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xr:revisionPtr revIDLastSave="0" documentId="13_ncr:1_{A7848155-7EDE-4AE1-B113-26A93A59C3FF}" xr6:coauthVersionLast="41" xr6:coauthVersionMax="41" xr10:uidLastSave="{00000000-0000-0000-0000-000000000000}"/>
  <workbookProtection workbookAlgorithmName="SHA-512" workbookHashValue="9o+ZmxnchaMxDyZoCh1JvVc8070c3bN2p36/1i2w/K2TSlSW8eFKDmxcOT3Zz/jn7dmJXMUhqgguWH+x90Gv+w==" workbookSaltValue="fsg6izlYyKldq7NC6JHZVw==" workbookSpinCount="100000" lockStructure="1"/>
  <bookViews>
    <workbookView xWindow="372" yWindow="0" windowWidth="20664" windowHeight="12264" firstSheet="10" activeTab="10" xr2:uid="{00000000-000D-0000-FFFF-FFFF00000000}"/>
  </bookViews>
  <sheets>
    <sheet name="(2016-17)" sheetId="1" state="hidden" r:id="rId1"/>
    <sheet name="2017-18_working" sheetId="3" state="hidden" r:id="rId2"/>
    <sheet name="2018-19_working" sheetId="10" state="hidden" r:id="rId3"/>
    <sheet name="2019-20_working" sheetId="13" state="hidden" r:id="rId4"/>
    <sheet name="(2017-18)" sheetId="4" state="hidden" r:id="rId5"/>
    <sheet name="(2018-19)" sheetId="12" state="hidden" r:id="rId6"/>
    <sheet name="(2019-20)" sheetId="14" state="hidden" r:id="rId7"/>
    <sheet name="FIRE1121_raw" sheetId="5" state="hidden" r:id="rId8"/>
    <sheet name="raw" sheetId="8" state="hidden" r:id="rId9"/>
    <sheet name="macro" sheetId="9" state="hidden" r:id="rId10"/>
    <sheet name="Cover_sheet" sheetId="15" r:id="rId11"/>
    <sheet name="Contents" sheetId="16" r:id="rId12"/>
    <sheet name="FIRE1121" sheetId="6" r:id="rId13"/>
    <sheet name="QA" sheetId="7" state="hidden" r:id="rId14"/>
  </sheets>
  <definedNames>
    <definedName name="_xlnm._FilterDatabase" localSheetId="8" hidden="1">raw!$A$1:$G$1473</definedName>
    <definedName name="_xlnm.Print_Area" localSheetId="11">Contents!$A$1:$D$8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 i="7" l="1"/>
  <c r="AQ56" i="14" l="1"/>
  <c r="AP56" i="14"/>
  <c r="AO56" i="14"/>
  <c r="AN56" i="14"/>
  <c r="AM56" i="14"/>
  <c r="AL56" i="14"/>
  <c r="AH56" i="14"/>
  <c r="AG56" i="14"/>
  <c r="AF56" i="14"/>
  <c r="AE56" i="14"/>
  <c r="AD56" i="14"/>
  <c r="AC56" i="14"/>
  <c r="P56" i="14"/>
  <c r="O56" i="14"/>
  <c r="N56" i="14"/>
  <c r="M56" i="14"/>
  <c r="L56" i="14"/>
  <c r="K56" i="14"/>
  <c r="G56" i="14"/>
  <c r="F56" i="14"/>
  <c r="X56" i="14" s="1"/>
  <c r="AY56" i="14" s="1"/>
  <c r="E56" i="14"/>
  <c r="D56" i="14"/>
  <c r="C56" i="14"/>
  <c r="B56" i="14"/>
  <c r="AQ55" i="14"/>
  <c r="AP55" i="14"/>
  <c r="AO55" i="14"/>
  <c r="AN55" i="14"/>
  <c r="AM55" i="14"/>
  <c r="AL55" i="14"/>
  <c r="AH55" i="14"/>
  <c r="AG55" i="14"/>
  <c r="AF55" i="14"/>
  <c r="AE55" i="14"/>
  <c r="AD55" i="14"/>
  <c r="AC55" i="14"/>
  <c r="P55" i="14"/>
  <c r="O55" i="14"/>
  <c r="N55" i="14"/>
  <c r="M55" i="14"/>
  <c r="V55" i="14" s="1"/>
  <c r="AW55" i="14" s="1"/>
  <c r="L55" i="14"/>
  <c r="K55" i="14"/>
  <c r="G55" i="14"/>
  <c r="F55" i="14"/>
  <c r="X55" i="14" s="1"/>
  <c r="E55" i="14"/>
  <c r="D55" i="14"/>
  <c r="C55" i="14"/>
  <c r="B55" i="14"/>
  <c r="AQ54" i="14"/>
  <c r="AP54" i="14"/>
  <c r="AO54" i="14"/>
  <c r="AN54" i="14"/>
  <c r="AM54" i="14"/>
  <c r="AL54" i="14"/>
  <c r="AH54" i="14"/>
  <c r="AG54" i="14"/>
  <c r="AF54" i="14"/>
  <c r="AE54" i="14"/>
  <c r="AD54" i="14"/>
  <c r="AC54" i="14"/>
  <c r="P54" i="14"/>
  <c r="O54" i="14"/>
  <c r="N54" i="14"/>
  <c r="M54" i="14"/>
  <c r="V54" i="14" s="1"/>
  <c r="AW54" i="14" s="1"/>
  <c r="L54" i="14"/>
  <c r="K54" i="14"/>
  <c r="G54" i="14"/>
  <c r="F54" i="14"/>
  <c r="E54" i="14"/>
  <c r="D54" i="14"/>
  <c r="C54" i="14"/>
  <c r="B54" i="14"/>
  <c r="AQ53" i="14"/>
  <c r="AP53" i="14"/>
  <c r="AO53" i="14"/>
  <c r="AN53" i="14"/>
  <c r="AM53" i="14"/>
  <c r="AL53" i="14"/>
  <c r="AH53" i="14"/>
  <c r="AG53" i="14"/>
  <c r="AF53" i="14"/>
  <c r="AE53" i="14"/>
  <c r="AD53" i="14"/>
  <c r="AC53" i="14"/>
  <c r="P53" i="14"/>
  <c r="O53" i="14"/>
  <c r="N53" i="14"/>
  <c r="M53" i="14"/>
  <c r="V53" i="14" s="1"/>
  <c r="L53" i="14"/>
  <c r="K53" i="14"/>
  <c r="G53" i="14"/>
  <c r="F53" i="14"/>
  <c r="E53" i="14"/>
  <c r="D53" i="14"/>
  <c r="C53" i="14"/>
  <c r="B53" i="14"/>
  <c r="AQ52" i="14"/>
  <c r="AP52" i="14"/>
  <c r="AO52" i="14"/>
  <c r="AN52" i="14"/>
  <c r="AR52" i="14" s="1"/>
  <c r="AM52" i="14"/>
  <c r="AL52" i="14"/>
  <c r="AH52" i="14"/>
  <c r="AG52" i="14"/>
  <c r="AF52" i="14"/>
  <c r="AE52" i="14"/>
  <c r="AD52" i="14"/>
  <c r="AC52" i="14"/>
  <c r="AI52" i="14" s="1"/>
  <c r="P52" i="14"/>
  <c r="O52" i="14"/>
  <c r="N52" i="14"/>
  <c r="M52" i="14"/>
  <c r="V52" i="14" s="1"/>
  <c r="AW52" i="14" s="1"/>
  <c r="L52" i="14"/>
  <c r="K52" i="14"/>
  <c r="G52" i="14"/>
  <c r="F52" i="14"/>
  <c r="E52" i="14"/>
  <c r="D52" i="14"/>
  <c r="C52" i="14"/>
  <c r="B52" i="14"/>
  <c r="AQ51" i="14"/>
  <c r="AP51" i="14"/>
  <c r="AO51" i="14"/>
  <c r="AN51" i="14"/>
  <c r="AR51" i="14" s="1"/>
  <c r="AM51" i="14"/>
  <c r="AL51" i="14"/>
  <c r="AH51" i="14"/>
  <c r="AG51" i="14"/>
  <c r="AF51" i="14"/>
  <c r="AE51" i="14"/>
  <c r="AD51" i="14"/>
  <c r="AC51" i="14"/>
  <c r="AI51" i="14" s="1"/>
  <c r="P51" i="14"/>
  <c r="O51" i="14"/>
  <c r="N51" i="14"/>
  <c r="M51" i="14"/>
  <c r="V51" i="14" s="1"/>
  <c r="AW51" i="14" s="1"/>
  <c r="L51" i="14"/>
  <c r="K51" i="14"/>
  <c r="G51" i="14"/>
  <c r="F51" i="14"/>
  <c r="E51" i="14"/>
  <c r="D51" i="14"/>
  <c r="C51" i="14"/>
  <c r="B51" i="14"/>
  <c r="AQ50" i="14"/>
  <c r="AP50" i="14"/>
  <c r="AO50" i="14"/>
  <c r="AN50" i="14"/>
  <c r="AR50" i="14" s="1"/>
  <c r="AM50" i="14"/>
  <c r="AL50" i="14"/>
  <c r="AH50" i="14"/>
  <c r="AG50" i="14"/>
  <c r="AF50" i="14"/>
  <c r="AE50" i="14"/>
  <c r="AD50" i="14"/>
  <c r="AC50" i="14"/>
  <c r="AI50" i="14" s="1"/>
  <c r="P50" i="14"/>
  <c r="O50" i="14"/>
  <c r="N50" i="14"/>
  <c r="M50" i="14"/>
  <c r="V50" i="14" s="1"/>
  <c r="AW50" i="14" s="1"/>
  <c r="L50" i="14"/>
  <c r="K50" i="14"/>
  <c r="G50" i="14"/>
  <c r="F50" i="14"/>
  <c r="E50" i="14"/>
  <c r="D50" i="14"/>
  <c r="C50" i="14"/>
  <c r="B50" i="14"/>
  <c r="AQ49" i="14"/>
  <c r="AP49" i="14"/>
  <c r="AO49" i="14"/>
  <c r="AN49" i="14"/>
  <c r="AR49" i="14" s="1"/>
  <c r="AM49" i="14"/>
  <c r="AL49" i="14"/>
  <c r="AH49" i="14"/>
  <c r="AG49" i="14"/>
  <c r="AF49" i="14"/>
  <c r="AE49" i="14"/>
  <c r="AD49" i="14"/>
  <c r="AC49" i="14"/>
  <c r="AJ49" i="14" s="1"/>
  <c r="P49" i="14"/>
  <c r="O49" i="14"/>
  <c r="N49" i="14"/>
  <c r="M49" i="14"/>
  <c r="R49" i="14" s="1"/>
  <c r="L49" i="14"/>
  <c r="K49" i="14"/>
  <c r="G49" i="14"/>
  <c r="F49" i="14"/>
  <c r="X49" i="14" s="1"/>
  <c r="AY49" i="14" s="1"/>
  <c r="E49" i="14"/>
  <c r="D49" i="14"/>
  <c r="C49" i="14"/>
  <c r="B49" i="14"/>
  <c r="T49" i="14" s="1"/>
  <c r="AU49" i="14" s="1"/>
  <c r="AQ48" i="14"/>
  <c r="AP48" i="14"/>
  <c r="AO48" i="14"/>
  <c r="AN48" i="14"/>
  <c r="AS48" i="14" s="1"/>
  <c r="AM48" i="14"/>
  <c r="AL48" i="14"/>
  <c r="AH48" i="14"/>
  <c r="AG48" i="14"/>
  <c r="AF48" i="14"/>
  <c r="AE48" i="14"/>
  <c r="AD48" i="14"/>
  <c r="AC48" i="14"/>
  <c r="AJ48" i="14" s="1"/>
  <c r="P48" i="14"/>
  <c r="O48" i="14"/>
  <c r="N48" i="14"/>
  <c r="M48" i="14"/>
  <c r="V48" i="14" s="1"/>
  <c r="AW48" i="14" s="1"/>
  <c r="L48" i="14"/>
  <c r="K48" i="14"/>
  <c r="G48" i="14"/>
  <c r="F48" i="14"/>
  <c r="X48" i="14" s="1"/>
  <c r="AY48" i="14" s="1"/>
  <c r="E48" i="14"/>
  <c r="D48" i="14"/>
  <c r="C48" i="14"/>
  <c r="B48" i="14"/>
  <c r="AQ47" i="14"/>
  <c r="AP47" i="14"/>
  <c r="AO47" i="14"/>
  <c r="AN47" i="14"/>
  <c r="AS47" i="14" s="1"/>
  <c r="AM47" i="14"/>
  <c r="AL47" i="14"/>
  <c r="AH47" i="14"/>
  <c r="AG47" i="14"/>
  <c r="AF47" i="14"/>
  <c r="AE47" i="14"/>
  <c r="AD47" i="14"/>
  <c r="AC47" i="14"/>
  <c r="AJ47" i="14" s="1"/>
  <c r="P47" i="14"/>
  <c r="O47" i="14"/>
  <c r="N47" i="14"/>
  <c r="M47" i="14"/>
  <c r="V47" i="14" s="1"/>
  <c r="AW47" i="14" s="1"/>
  <c r="L47" i="14"/>
  <c r="K47" i="14"/>
  <c r="G47" i="14"/>
  <c r="F47" i="14"/>
  <c r="X47" i="14" s="1"/>
  <c r="AY47" i="14" s="1"/>
  <c r="E47" i="14"/>
  <c r="D47" i="14"/>
  <c r="C47" i="14"/>
  <c r="B47" i="14"/>
  <c r="T47" i="14" s="1"/>
  <c r="AQ46" i="14"/>
  <c r="AP46" i="14"/>
  <c r="AO46" i="14"/>
  <c r="AN46" i="14"/>
  <c r="AM46" i="14"/>
  <c r="AL46" i="14"/>
  <c r="AH46" i="14"/>
  <c r="AG46" i="14"/>
  <c r="AF46" i="14"/>
  <c r="AE46" i="14"/>
  <c r="AD46" i="14"/>
  <c r="AC46" i="14"/>
  <c r="AJ46" i="14" s="1"/>
  <c r="P46" i="14"/>
  <c r="O46" i="14"/>
  <c r="N46" i="14"/>
  <c r="M46" i="14"/>
  <c r="L46" i="14"/>
  <c r="K46" i="14"/>
  <c r="G46" i="14"/>
  <c r="F46" i="14"/>
  <c r="E46" i="14"/>
  <c r="D46" i="14"/>
  <c r="C46" i="14"/>
  <c r="B46" i="14"/>
  <c r="AQ45" i="14"/>
  <c r="AP45" i="14"/>
  <c r="AO45" i="14"/>
  <c r="AN45" i="14"/>
  <c r="AR45" i="14" s="1"/>
  <c r="AM45" i="14"/>
  <c r="AL45" i="14"/>
  <c r="AH45" i="14"/>
  <c r="AG45" i="14"/>
  <c r="AF45" i="14"/>
  <c r="AE45" i="14"/>
  <c r="AD45" i="14"/>
  <c r="AC45" i="14"/>
  <c r="AJ45" i="14" s="1"/>
  <c r="P45" i="14"/>
  <c r="O45" i="14"/>
  <c r="N45" i="14"/>
  <c r="M45" i="14"/>
  <c r="V45" i="14" s="1"/>
  <c r="AW45" i="14" s="1"/>
  <c r="L45" i="14"/>
  <c r="K45" i="14"/>
  <c r="G45" i="14"/>
  <c r="F45" i="14"/>
  <c r="E45" i="14"/>
  <c r="D45" i="14"/>
  <c r="C45" i="14"/>
  <c r="B45" i="14"/>
  <c r="AQ44" i="14"/>
  <c r="AP44" i="14"/>
  <c r="AO44" i="14"/>
  <c r="AN44" i="14"/>
  <c r="AM44" i="14"/>
  <c r="AL44" i="14"/>
  <c r="AH44" i="14"/>
  <c r="AG44" i="14"/>
  <c r="AF44" i="14"/>
  <c r="AE44" i="14"/>
  <c r="AD44" i="14"/>
  <c r="AC44" i="14"/>
  <c r="P44" i="14"/>
  <c r="O44" i="14"/>
  <c r="N44" i="14"/>
  <c r="M44" i="14"/>
  <c r="V44" i="14" s="1"/>
  <c r="AW44" i="14" s="1"/>
  <c r="L44" i="14"/>
  <c r="K44" i="14"/>
  <c r="G44" i="14"/>
  <c r="F44" i="14"/>
  <c r="E44" i="14"/>
  <c r="D44" i="14"/>
  <c r="C44" i="14"/>
  <c r="B44" i="14"/>
  <c r="AQ43" i="14"/>
  <c r="AP43" i="14"/>
  <c r="AO43" i="14"/>
  <c r="AN43" i="14"/>
  <c r="AS43" i="14" s="1"/>
  <c r="AM43" i="14"/>
  <c r="AL43" i="14"/>
  <c r="AH43" i="14"/>
  <c r="AG43" i="14"/>
  <c r="AF43" i="14"/>
  <c r="AE43" i="14"/>
  <c r="AD43" i="14"/>
  <c r="AC43" i="14"/>
  <c r="P43" i="14"/>
  <c r="O43" i="14"/>
  <c r="N43" i="14"/>
  <c r="M43" i="14"/>
  <c r="V43" i="14" s="1"/>
  <c r="L43" i="14"/>
  <c r="K43" i="14"/>
  <c r="G43" i="14"/>
  <c r="F43" i="14"/>
  <c r="E43" i="14"/>
  <c r="D43" i="14"/>
  <c r="C43" i="14"/>
  <c r="B43" i="14"/>
  <c r="AQ42" i="14"/>
  <c r="AP42" i="14"/>
  <c r="AO42" i="14"/>
  <c r="AN42" i="14"/>
  <c r="AS42" i="14" s="1"/>
  <c r="AM42" i="14"/>
  <c r="AL42" i="14"/>
  <c r="AH42" i="14"/>
  <c r="AG42" i="14"/>
  <c r="AF42" i="14"/>
  <c r="AE42" i="14"/>
  <c r="AD42" i="14"/>
  <c r="AC42" i="14"/>
  <c r="P42" i="14"/>
  <c r="O42" i="14"/>
  <c r="N42" i="14"/>
  <c r="M42" i="14"/>
  <c r="V42" i="14" s="1"/>
  <c r="L42" i="14"/>
  <c r="K42" i="14"/>
  <c r="G42" i="14"/>
  <c r="F42" i="14"/>
  <c r="E42" i="14"/>
  <c r="D42" i="14"/>
  <c r="C42" i="14"/>
  <c r="B42" i="14"/>
  <c r="AQ41" i="14"/>
  <c r="AP41" i="14"/>
  <c r="AO41" i="14"/>
  <c r="AN41" i="14"/>
  <c r="AS41" i="14" s="1"/>
  <c r="AM41" i="14"/>
  <c r="AL41" i="14"/>
  <c r="AH41" i="14"/>
  <c r="AG41" i="14"/>
  <c r="AF41" i="14"/>
  <c r="AE41" i="14"/>
  <c r="AD41" i="14"/>
  <c r="AC41" i="14"/>
  <c r="AI41" i="14" s="1"/>
  <c r="P41" i="14"/>
  <c r="O41" i="14"/>
  <c r="N41" i="14"/>
  <c r="M41" i="14"/>
  <c r="V41" i="14" s="1"/>
  <c r="AW41" i="14" s="1"/>
  <c r="L41" i="14"/>
  <c r="K41" i="14"/>
  <c r="G41" i="14"/>
  <c r="F41" i="14"/>
  <c r="E41" i="14"/>
  <c r="D41" i="14"/>
  <c r="C41" i="14"/>
  <c r="B41" i="14"/>
  <c r="AQ40" i="14"/>
  <c r="AP40" i="14"/>
  <c r="AO40" i="14"/>
  <c r="AN40" i="14"/>
  <c r="AS40" i="14" s="1"/>
  <c r="AM40" i="14"/>
  <c r="AL40" i="14"/>
  <c r="AH40" i="14"/>
  <c r="AG40" i="14"/>
  <c r="AF40" i="14"/>
  <c r="AE40" i="14"/>
  <c r="AD40" i="14"/>
  <c r="AC40" i="14"/>
  <c r="P40" i="14"/>
  <c r="O40" i="14"/>
  <c r="N40" i="14"/>
  <c r="M40" i="14"/>
  <c r="V40" i="14" s="1"/>
  <c r="AW40" i="14" s="1"/>
  <c r="L40" i="14"/>
  <c r="K40" i="14"/>
  <c r="G40" i="14"/>
  <c r="F40" i="14"/>
  <c r="E40" i="14"/>
  <c r="D40" i="14"/>
  <c r="C40" i="14"/>
  <c r="B40" i="14"/>
  <c r="T40" i="14" s="1"/>
  <c r="AQ39" i="14"/>
  <c r="AP39" i="14"/>
  <c r="AO39" i="14"/>
  <c r="AN39" i="14"/>
  <c r="AM39" i="14"/>
  <c r="AL39" i="14"/>
  <c r="AH39" i="14"/>
  <c r="AG39" i="14"/>
  <c r="AF39" i="14"/>
  <c r="AE39" i="14"/>
  <c r="AD39" i="14"/>
  <c r="AC39" i="14"/>
  <c r="AJ39" i="14" s="1"/>
  <c r="P39" i="14"/>
  <c r="O39" i="14"/>
  <c r="N39" i="14"/>
  <c r="M39" i="14"/>
  <c r="L39" i="14"/>
  <c r="K39" i="14"/>
  <c r="G39" i="14"/>
  <c r="F39" i="14"/>
  <c r="X39" i="14" s="1"/>
  <c r="AY39" i="14" s="1"/>
  <c r="E39" i="14"/>
  <c r="D39" i="14"/>
  <c r="C39" i="14"/>
  <c r="B39" i="14"/>
  <c r="T39" i="14" s="1"/>
  <c r="AU39" i="14" s="1"/>
  <c r="AQ38" i="14"/>
  <c r="AP38" i="14"/>
  <c r="AO38" i="14"/>
  <c r="AN38" i="14"/>
  <c r="AR38" i="14" s="1"/>
  <c r="AM38" i="14"/>
  <c r="AL38" i="14"/>
  <c r="AH38" i="14"/>
  <c r="AG38" i="14"/>
  <c r="AF38" i="14"/>
  <c r="AE38" i="14"/>
  <c r="AD38" i="14"/>
  <c r="AC38" i="14"/>
  <c r="AI38" i="14" s="1"/>
  <c r="P38" i="14"/>
  <c r="O38" i="14"/>
  <c r="N38" i="14"/>
  <c r="M38" i="14"/>
  <c r="V38" i="14" s="1"/>
  <c r="AW38" i="14" s="1"/>
  <c r="L38" i="14"/>
  <c r="K38" i="14"/>
  <c r="G38" i="14"/>
  <c r="F38" i="14"/>
  <c r="E38" i="14"/>
  <c r="D38" i="14"/>
  <c r="C38" i="14"/>
  <c r="B38" i="14"/>
  <c r="AQ37" i="14"/>
  <c r="AP37" i="14"/>
  <c r="AO37" i="14"/>
  <c r="AN37" i="14"/>
  <c r="AM37" i="14"/>
  <c r="AL37" i="14"/>
  <c r="AH37" i="14"/>
  <c r="AG37" i="14"/>
  <c r="AF37" i="14"/>
  <c r="AE37" i="14"/>
  <c r="AD37" i="14"/>
  <c r="AC37" i="14"/>
  <c r="P37" i="14"/>
  <c r="O37" i="14"/>
  <c r="N37" i="14"/>
  <c r="M37" i="14"/>
  <c r="V37" i="14" s="1"/>
  <c r="AW37" i="14" s="1"/>
  <c r="L37" i="14"/>
  <c r="K37" i="14"/>
  <c r="G37" i="14"/>
  <c r="F37" i="14"/>
  <c r="E37" i="14"/>
  <c r="D37" i="14"/>
  <c r="C37" i="14"/>
  <c r="B37" i="14"/>
  <c r="I37" i="14" s="1"/>
  <c r="AQ36" i="14"/>
  <c r="AP36" i="14"/>
  <c r="AO36" i="14"/>
  <c r="AN36" i="14"/>
  <c r="AM36" i="14"/>
  <c r="AL36" i="14"/>
  <c r="AH36" i="14"/>
  <c r="AG36" i="14"/>
  <c r="AF36" i="14"/>
  <c r="AE36" i="14"/>
  <c r="AD36" i="14"/>
  <c r="AC36" i="14"/>
  <c r="P36" i="14"/>
  <c r="O36" i="14"/>
  <c r="N36" i="14"/>
  <c r="M36" i="14"/>
  <c r="R36" i="14" s="1"/>
  <c r="L36" i="14"/>
  <c r="K36" i="14"/>
  <c r="G36" i="14"/>
  <c r="F36" i="14"/>
  <c r="X36" i="14" s="1"/>
  <c r="AY36" i="14" s="1"/>
  <c r="E36" i="14"/>
  <c r="D36" i="14"/>
  <c r="C36" i="14"/>
  <c r="B36" i="14"/>
  <c r="AQ35" i="14"/>
  <c r="AP35" i="14"/>
  <c r="AO35" i="14"/>
  <c r="AN35" i="14"/>
  <c r="AR35" i="14" s="1"/>
  <c r="AM35" i="14"/>
  <c r="AL35" i="14"/>
  <c r="AH35" i="14"/>
  <c r="AG35" i="14"/>
  <c r="AF35" i="14"/>
  <c r="AE35" i="14"/>
  <c r="AD35" i="14"/>
  <c r="AC35" i="14"/>
  <c r="AI35" i="14" s="1"/>
  <c r="P35" i="14"/>
  <c r="O35" i="14"/>
  <c r="N35" i="14"/>
  <c r="M35" i="14"/>
  <c r="V35" i="14" s="1"/>
  <c r="AW35" i="14" s="1"/>
  <c r="L35" i="14"/>
  <c r="K35" i="14"/>
  <c r="G35" i="14"/>
  <c r="F35" i="14"/>
  <c r="E35" i="14"/>
  <c r="D35" i="14"/>
  <c r="C35" i="14"/>
  <c r="B35" i="14"/>
  <c r="H35" i="14" s="1"/>
  <c r="AQ34" i="14"/>
  <c r="AP34" i="14"/>
  <c r="AO34" i="14"/>
  <c r="AN34" i="14"/>
  <c r="AR34" i="14" s="1"/>
  <c r="AM34" i="14"/>
  <c r="AL34" i="14"/>
  <c r="AH34" i="14"/>
  <c r="AG34" i="14"/>
  <c r="AF34" i="14"/>
  <c r="AE34" i="14"/>
  <c r="AD34" i="14"/>
  <c r="AC34" i="14"/>
  <c r="AI34" i="14" s="1"/>
  <c r="P34" i="14"/>
  <c r="O34" i="14"/>
  <c r="N34" i="14"/>
  <c r="M34" i="14"/>
  <c r="V34" i="14" s="1"/>
  <c r="AW34" i="14" s="1"/>
  <c r="L34" i="14"/>
  <c r="K34" i="14"/>
  <c r="G34" i="14"/>
  <c r="F34" i="14"/>
  <c r="E34" i="14"/>
  <c r="D34" i="14"/>
  <c r="C34" i="14"/>
  <c r="B34" i="14"/>
  <c r="H34" i="14" s="1"/>
  <c r="AQ33" i="14"/>
  <c r="AP33" i="14"/>
  <c r="AO33" i="14"/>
  <c r="AN33" i="14"/>
  <c r="AR33" i="14" s="1"/>
  <c r="AM33" i="14"/>
  <c r="AL33" i="14"/>
  <c r="AH33" i="14"/>
  <c r="AG33" i="14"/>
  <c r="AF33" i="14"/>
  <c r="AE33" i="14"/>
  <c r="AD33" i="14"/>
  <c r="AC33" i="14"/>
  <c r="AI33" i="14" s="1"/>
  <c r="P33" i="14"/>
  <c r="O33" i="14"/>
  <c r="N33" i="14"/>
  <c r="M33" i="14"/>
  <c r="L33" i="14"/>
  <c r="K33" i="14"/>
  <c r="G33" i="14"/>
  <c r="F33" i="14"/>
  <c r="X33" i="14" s="1"/>
  <c r="AY33" i="14" s="1"/>
  <c r="E33" i="14"/>
  <c r="D33" i="14"/>
  <c r="C33" i="14"/>
  <c r="B33" i="14"/>
  <c r="H33" i="14" s="1"/>
  <c r="AQ32" i="14"/>
  <c r="AP32" i="14"/>
  <c r="AO32" i="14"/>
  <c r="AN32" i="14"/>
  <c r="AR32" i="14" s="1"/>
  <c r="AM32" i="14"/>
  <c r="AL32" i="14"/>
  <c r="AH32" i="14"/>
  <c r="AG32" i="14"/>
  <c r="AF32" i="14"/>
  <c r="AE32" i="14"/>
  <c r="AD32" i="14"/>
  <c r="AC32" i="14"/>
  <c r="P32" i="14"/>
  <c r="O32" i="14"/>
  <c r="N32" i="14"/>
  <c r="M32" i="14"/>
  <c r="Q32" i="14" s="1"/>
  <c r="L32" i="14"/>
  <c r="K32" i="14"/>
  <c r="G32" i="14"/>
  <c r="F32" i="14"/>
  <c r="X32" i="14" s="1"/>
  <c r="AY32" i="14" s="1"/>
  <c r="E32" i="14"/>
  <c r="D32" i="14"/>
  <c r="C32" i="14"/>
  <c r="B32" i="14"/>
  <c r="H32" i="14" s="1"/>
  <c r="AQ31" i="14"/>
  <c r="AP31" i="14"/>
  <c r="AO31" i="14"/>
  <c r="AN31" i="14"/>
  <c r="AM31" i="14"/>
  <c r="AL31" i="14"/>
  <c r="AH31" i="14"/>
  <c r="AG31" i="14"/>
  <c r="AF31" i="14"/>
  <c r="AE31" i="14"/>
  <c r="AD31" i="14"/>
  <c r="AC31" i="14"/>
  <c r="AI31" i="14" s="1"/>
  <c r="P31" i="14"/>
  <c r="O31" i="14"/>
  <c r="N31" i="14"/>
  <c r="M31" i="14"/>
  <c r="Q31" i="14" s="1"/>
  <c r="L31" i="14"/>
  <c r="K31" i="14"/>
  <c r="G31" i="14"/>
  <c r="F31" i="14"/>
  <c r="E31" i="14"/>
  <c r="D31" i="14"/>
  <c r="C31" i="14"/>
  <c r="B31" i="14"/>
  <c r="AQ30" i="14"/>
  <c r="AP30" i="14"/>
  <c r="AO30" i="14"/>
  <c r="AN30" i="14"/>
  <c r="AM30" i="14"/>
  <c r="AL30" i="14"/>
  <c r="AH30" i="14"/>
  <c r="AG30" i="14"/>
  <c r="AF30" i="14"/>
  <c r="AE30" i="14"/>
  <c r="AD30" i="14"/>
  <c r="AC30" i="14"/>
  <c r="P30" i="14"/>
  <c r="O30" i="14"/>
  <c r="N30" i="14"/>
  <c r="M30" i="14"/>
  <c r="V30" i="14" s="1"/>
  <c r="AW30" i="14" s="1"/>
  <c r="L30" i="14"/>
  <c r="K30" i="14"/>
  <c r="G30" i="14"/>
  <c r="F30" i="14"/>
  <c r="X30" i="14" s="1"/>
  <c r="AY30" i="14" s="1"/>
  <c r="E30" i="14"/>
  <c r="D30" i="14"/>
  <c r="C30" i="14"/>
  <c r="B30" i="14"/>
  <c r="AQ29" i="14"/>
  <c r="AP29" i="14"/>
  <c r="AO29" i="14"/>
  <c r="AN29" i="14"/>
  <c r="AM29" i="14"/>
  <c r="AL29" i="14"/>
  <c r="AH29" i="14"/>
  <c r="AG29" i="14"/>
  <c r="AF29" i="14"/>
  <c r="AE29" i="14"/>
  <c r="AD29" i="14"/>
  <c r="AC29" i="14"/>
  <c r="P29" i="14"/>
  <c r="O29" i="14"/>
  <c r="N29" i="14"/>
  <c r="M29" i="14"/>
  <c r="V29" i="14" s="1"/>
  <c r="AW29" i="14" s="1"/>
  <c r="L29" i="14"/>
  <c r="K29" i="14"/>
  <c r="G29" i="14"/>
  <c r="F29" i="14"/>
  <c r="X29" i="14" s="1"/>
  <c r="AY29" i="14" s="1"/>
  <c r="E29" i="14"/>
  <c r="D29" i="14"/>
  <c r="C29" i="14"/>
  <c r="B29" i="14"/>
  <c r="AQ28" i="14"/>
  <c r="AP28" i="14"/>
  <c r="AO28" i="14"/>
  <c r="AN28" i="14"/>
  <c r="AM28" i="14"/>
  <c r="AL28" i="14"/>
  <c r="AH28" i="14"/>
  <c r="AG28" i="14"/>
  <c r="AF28" i="14"/>
  <c r="AE28" i="14"/>
  <c r="AD28" i="14"/>
  <c r="AC28" i="14"/>
  <c r="P28" i="14"/>
  <c r="O28" i="14"/>
  <c r="N28" i="14"/>
  <c r="M28" i="14"/>
  <c r="L28" i="14"/>
  <c r="K28" i="14"/>
  <c r="G28" i="14"/>
  <c r="F28" i="14"/>
  <c r="X28" i="14" s="1"/>
  <c r="AY28" i="14" s="1"/>
  <c r="E28" i="14"/>
  <c r="D28" i="14"/>
  <c r="C28" i="14"/>
  <c r="B28" i="14"/>
  <c r="T28" i="14" s="1"/>
  <c r="AQ27" i="14"/>
  <c r="AP27" i="14"/>
  <c r="AO27" i="14"/>
  <c r="AN27" i="14"/>
  <c r="AM27" i="14"/>
  <c r="AL27" i="14"/>
  <c r="AH27" i="14"/>
  <c r="AG27" i="14"/>
  <c r="AF27" i="14"/>
  <c r="AE27" i="14"/>
  <c r="AD27" i="14"/>
  <c r="AC27" i="14"/>
  <c r="P27" i="14"/>
  <c r="O27" i="14"/>
  <c r="N27" i="14"/>
  <c r="M27" i="14"/>
  <c r="V27" i="14" s="1"/>
  <c r="AW27" i="14" s="1"/>
  <c r="L27" i="14"/>
  <c r="K27" i="14"/>
  <c r="G27" i="14"/>
  <c r="F27" i="14"/>
  <c r="E27" i="14"/>
  <c r="D27" i="14"/>
  <c r="C27" i="14"/>
  <c r="B27" i="14"/>
  <c r="AQ26" i="14"/>
  <c r="AP26" i="14"/>
  <c r="AO26" i="14"/>
  <c r="AN26" i="14"/>
  <c r="AM26" i="14"/>
  <c r="AL26" i="14"/>
  <c r="AH26" i="14"/>
  <c r="AG26" i="14"/>
  <c r="AF26" i="14"/>
  <c r="AE26" i="14"/>
  <c r="AD26" i="14"/>
  <c r="AC26" i="14"/>
  <c r="P26" i="14"/>
  <c r="O26" i="14"/>
  <c r="N26" i="14"/>
  <c r="M26" i="14"/>
  <c r="V26" i="14" s="1"/>
  <c r="AW26" i="14" s="1"/>
  <c r="L26" i="14"/>
  <c r="K26" i="14"/>
  <c r="G26" i="14"/>
  <c r="F26" i="14"/>
  <c r="E26" i="14"/>
  <c r="D26" i="14"/>
  <c r="C26" i="14"/>
  <c r="B26" i="14"/>
  <c r="AQ25" i="14"/>
  <c r="AP25" i="14"/>
  <c r="AO25" i="14"/>
  <c r="AN25" i="14"/>
  <c r="AS25" i="14" s="1"/>
  <c r="AM25" i="14"/>
  <c r="AL25" i="14"/>
  <c r="AH25" i="14"/>
  <c r="AG25" i="14"/>
  <c r="AF25" i="14"/>
  <c r="AE25" i="14"/>
  <c r="AD25" i="14"/>
  <c r="AC25" i="14"/>
  <c r="AJ25" i="14" s="1"/>
  <c r="P25" i="14"/>
  <c r="O25" i="14"/>
  <c r="N25" i="14"/>
  <c r="M25" i="14"/>
  <c r="L25" i="14"/>
  <c r="K25" i="14"/>
  <c r="G25" i="14"/>
  <c r="F25" i="14"/>
  <c r="X25" i="14" s="1"/>
  <c r="AY25" i="14" s="1"/>
  <c r="E25" i="14"/>
  <c r="D25" i="14"/>
  <c r="C25" i="14"/>
  <c r="B25" i="14"/>
  <c r="T25" i="14" s="1"/>
  <c r="AQ24" i="14"/>
  <c r="AP24" i="14"/>
  <c r="AO24" i="14"/>
  <c r="AN24" i="14"/>
  <c r="AS24" i="14" s="1"/>
  <c r="AM24" i="14"/>
  <c r="AL24" i="14"/>
  <c r="AH24" i="14"/>
  <c r="AG24" i="14"/>
  <c r="AF24" i="14"/>
  <c r="AE24" i="14"/>
  <c r="AD24" i="14"/>
  <c r="AC24" i="14"/>
  <c r="P24" i="14"/>
  <c r="O24" i="14"/>
  <c r="N24" i="14"/>
  <c r="M24" i="14"/>
  <c r="R24" i="14" s="1"/>
  <c r="L24" i="14"/>
  <c r="K24" i="14"/>
  <c r="G24" i="14"/>
  <c r="F24" i="14"/>
  <c r="X24" i="14" s="1"/>
  <c r="AY24" i="14" s="1"/>
  <c r="E24" i="14"/>
  <c r="D24" i="14"/>
  <c r="C24" i="14"/>
  <c r="B24" i="14"/>
  <c r="T24" i="14" s="1"/>
  <c r="AQ23" i="14"/>
  <c r="AP23" i="14"/>
  <c r="AO23" i="14"/>
  <c r="AN23" i="14"/>
  <c r="AM23" i="14"/>
  <c r="AL23" i="14"/>
  <c r="AH23" i="14"/>
  <c r="AG23" i="14"/>
  <c r="AF23" i="14"/>
  <c r="AE23" i="14"/>
  <c r="AD23" i="14"/>
  <c r="AC23" i="14"/>
  <c r="AJ23" i="14" s="1"/>
  <c r="P23" i="14"/>
  <c r="O23" i="14"/>
  <c r="N23" i="14"/>
  <c r="M23" i="14"/>
  <c r="R23" i="14" s="1"/>
  <c r="L23" i="14"/>
  <c r="K23" i="14"/>
  <c r="G23" i="14"/>
  <c r="F23" i="14"/>
  <c r="E23" i="14"/>
  <c r="D23" i="14"/>
  <c r="C23" i="14"/>
  <c r="B23" i="14"/>
  <c r="AQ22" i="14"/>
  <c r="AP22" i="14"/>
  <c r="AO22" i="14"/>
  <c r="AN22" i="14"/>
  <c r="AS22" i="14" s="1"/>
  <c r="AM22" i="14"/>
  <c r="AL22" i="14"/>
  <c r="AH22" i="14"/>
  <c r="AG22" i="14"/>
  <c r="AF22" i="14"/>
  <c r="AE22" i="14"/>
  <c r="AD22" i="14"/>
  <c r="AC22" i="14"/>
  <c r="AJ22" i="14" s="1"/>
  <c r="P22" i="14"/>
  <c r="O22" i="14"/>
  <c r="N22" i="14"/>
  <c r="M22" i="14"/>
  <c r="R22" i="14" s="1"/>
  <c r="L22" i="14"/>
  <c r="K22" i="14"/>
  <c r="G22" i="14"/>
  <c r="F22" i="14"/>
  <c r="X22" i="14" s="1"/>
  <c r="AY22" i="14" s="1"/>
  <c r="E22" i="14"/>
  <c r="D22" i="14"/>
  <c r="C22" i="14"/>
  <c r="B22" i="14"/>
  <c r="T22" i="14" s="1"/>
  <c r="AQ21" i="14"/>
  <c r="AP21" i="14"/>
  <c r="AO21" i="14"/>
  <c r="AN21" i="14"/>
  <c r="AS21" i="14" s="1"/>
  <c r="AM21" i="14"/>
  <c r="AL21" i="14"/>
  <c r="AH21" i="14"/>
  <c r="AG21" i="14"/>
  <c r="AF21" i="14"/>
  <c r="AE21" i="14"/>
  <c r="AD21" i="14"/>
  <c r="AC21" i="14"/>
  <c r="AJ21" i="14" s="1"/>
  <c r="P21" i="14"/>
  <c r="O21" i="14"/>
  <c r="N21" i="14"/>
  <c r="M21" i="14"/>
  <c r="L21" i="14"/>
  <c r="K21" i="14"/>
  <c r="G21" i="14"/>
  <c r="F21" i="14"/>
  <c r="X21" i="14" s="1"/>
  <c r="AY21" i="14" s="1"/>
  <c r="E21" i="14"/>
  <c r="D21" i="14"/>
  <c r="C21" i="14"/>
  <c r="B21" i="14"/>
  <c r="T21" i="14" s="1"/>
  <c r="AQ20" i="14"/>
  <c r="AP20" i="14"/>
  <c r="AO20" i="14"/>
  <c r="AN20" i="14"/>
  <c r="AS20" i="14" s="1"/>
  <c r="AM20" i="14"/>
  <c r="AL20" i="14"/>
  <c r="AH20" i="14"/>
  <c r="AG20" i="14"/>
  <c r="AF20" i="14"/>
  <c r="AE20" i="14"/>
  <c r="AD20" i="14"/>
  <c r="AC20" i="14"/>
  <c r="P20" i="14"/>
  <c r="O20" i="14"/>
  <c r="N20" i="14"/>
  <c r="M20" i="14"/>
  <c r="R20" i="14" s="1"/>
  <c r="L20" i="14"/>
  <c r="K20" i="14"/>
  <c r="G20" i="14"/>
  <c r="F20" i="14"/>
  <c r="X20" i="14" s="1"/>
  <c r="AY20" i="14" s="1"/>
  <c r="E20" i="14"/>
  <c r="D20" i="14"/>
  <c r="C20" i="14"/>
  <c r="B20" i="14"/>
  <c r="T20" i="14" s="1"/>
  <c r="AQ19" i="14"/>
  <c r="AP19" i="14"/>
  <c r="AO19" i="14"/>
  <c r="AN19" i="14"/>
  <c r="AM19" i="14"/>
  <c r="AL19" i="14"/>
  <c r="AH19" i="14"/>
  <c r="AG19" i="14"/>
  <c r="AF19" i="14"/>
  <c r="AE19" i="14"/>
  <c r="AD19" i="14"/>
  <c r="AC19" i="14"/>
  <c r="AJ19" i="14" s="1"/>
  <c r="P19" i="14"/>
  <c r="O19" i="14"/>
  <c r="N19" i="14"/>
  <c r="M19" i="14"/>
  <c r="R19" i="14" s="1"/>
  <c r="L19" i="14"/>
  <c r="K19" i="14"/>
  <c r="G19" i="14"/>
  <c r="F19" i="14"/>
  <c r="E19" i="14"/>
  <c r="D19" i="14"/>
  <c r="C19" i="14"/>
  <c r="B19" i="14"/>
  <c r="AQ18" i="14"/>
  <c r="AP18" i="14"/>
  <c r="AO18" i="14"/>
  <c r="AN18" i="14"/>
  <c r="AS18" i="14" s="1"/>
  <c r="AM18" i="14"/>
  <c r="AL18" i="14"/>
  <c r="AH18" i="14"/>
  <c r="AG18" i="14"/>
  <c r="AF18" i="14"/>
  <c r="AE18" i="14"/>
  <c r="AD18" i="14"/>
  <c r="AC18" i="14"/>
  <c r="AJ18" i="14" s="1"/>
  <c r="P18" i="14"/>
  <c r="O18" i="14"/>
  <c r="N18" i="14"/>
  <c r="M18" i="14"/>
  <c r="R18" i="14" s="1"/>
  <c r="L18" i="14"/>
  <c r="K18" i="14"/>
  <c r="G18" i="14"/>
  <c r="F18" i="14"/>
  <c r="X18" i="14" s="1"/>
  <c r="AY18" i="14" s="1"/>
  <c r="E18" i="14"/>
  <c r="D18" i="14"/>
  <c r="C18" i="14"/>
  <c r="B18" i="14"/>
  <c r="T18" i="14" s="1"/>
  <c r="AQ17" i="14"/>
  <c r="AP17" i="14"/>
  <c r="AO17" i="14"/>
  <c r="AN17" i="14"/>
  <c r="AS17" i="14" s="1"/>
  <c r="AM17" i="14"/>
  <c r="AL17" i="14"/>
  <c r="AH17" i="14"/>
  <c r="AG17" i="14"/>
  <c r="AF17" i="14"/>
  <c r="AE17" i="14"/>
  <c r="AD17" i="14"/>
  <c r="AC17" i="14"/>
  <c r="AJ17" i="14" s="1"/>
  <c r="P17" i="14"/>
  <c r="O17" i="14"/>
  <c r="N17" i="14"/>
  <c r="M17" i="14"/>
  <c r="L17" i="14"/>
  <c r="K17" i="14"/>
  <c r="G17" i="14"/>
  <c r="F17" i="14"/>
  <c r="X17" i="14" s="1"/>
  <c r="AY17" i="14" s="1"/>
  <c r="E17" i="14"/>
  <c r="D17" i="14"/>
  <c r="C17" i="14"/>
  <c r="B17" i="14"/>
  <c r="T17" i="14" s="1"/>
  <c r="AQ16" i="14"/>
  <c r="AP16" i="14"/>
  <c r="AO16" i="14"/>
  <c r="AN16" i="14"/>
  <c r="AS16" i="14" s="1"/>
  <c r="AM16" i="14"/>
  <c r="AL16" i="14"/>
  <c r="AH16" i="14"/>
  <c r="AG16" i="14"/>
  <c r="AF16" i="14"/>
  <c r="AE16" i="14"/>
  <c r="AD16" i="14"/>
  <c r="AC16" i="14"/>
  <c r="P16" i="14"/>
  <c r="O16" i="14"/>
  <c r="N16" i="14"/>
  <c r="M16" i="14"/>
  <c r="R16" i="14" s="1"/>
  <c r="L16" i="14"/>
  <c r="K16" i="14"/>
  <c r="G16" i="14"/>
  <c r="F16" i="14"/>
  <c r="E16" i="14"/>
  <c r="D16" i="14"/>
  <c r="C16" i="14"/>
  <c r="B16" i="14"/>
  <c r="AQ15" i="14"/>
  <c r="AP15" i="14"/>
  <c r="AO15" i="14"/>
  <c r="AN15" i="14"/>
  <c r="AR15" i="14" s="1"/>
  <c r="AM15" i="14"/>
  <c r="AL15" i="14"/>
  <c r="AH15" i="14"/>
  <c r="AG15" i="14"/>
  <c r="AF15" i="14"/>
  <c r="AE15" i="14"/>
  <c r="AD15" i="14"/>
  <c r="AC15" i="14"/>
  <c r="AJ15" i="14" s="1"/>
  <c r="P15" i="14"/>
  <c r="O15" i="14"/>
  <c r="N15" i="14"/>
  <c r="M15" i="14"/>
  <c r="R15" i="14" s="1"/>
  <c r="L15" i="14"/>
  <c r="K15" i="14"/>
  <c r="G15" i="14"/>
  <c r="F15" i="14"/>
  <c r="X15" i="14" s="1"/>
  <c r="AY15" i="14" s="1"/>
  <c r="E15" i="14"/>
  <c r="D15" i="14"/>
  <c r="C15" i="14"/>
  <c r="B15" i="14"/>
  <c r="AQ14" i="14"/>
  <c r="AP14" i="14"/>
  <c r="AO14" i="14"/>
  <c r="AN14" i="14"/>
  <c r="AS14" i="14" s="1"/>
  <c r="AM14" i="14"/>
  <c r="AL14" i="14"/>
  <c r="AH14" i="14"/>
  <c r="AG14" i="14"/>
  <c r="AF14" i="14"/>
  <c r="AE14" i="14"/>
  <c r="AD14" i="14"/>
  <c r="AC14" i="14"/>
  <c r="P14" i="14"/>
  <c r="O14" i="14"/>
  <c r="N14" i="14"/>
  <c r="M14" i="14"/>
  <c r="R14" i="14" s="1"/>
  <c r="L14" i="14"/>
  <c r="K14" i="14"/>
  <c r="G14" i="14"/>
  <c r="F14" i="14"/>
  <c r="E14" i="14"/>
  <c r="D14" i="14"/>
  <c r="C14" i="14"/>
  <c r="B14" i="14"/>
  <c r="AQ13" i="14"/>
  <c r="AP13" i="14"/>
  <c r="AO13" i="14"/>
  <c r="AN13" i="14"/>
  <c r="AR13" i="14" s="1"/>
  <c r="AM13" i="14"/>
  <c r="AL13" i="14"/>
  <c r="AH13" i="14"/>
  <c r="AG13" i="14"/>
  <c r="AF13" i="14"/>
  <c r="AE13" i="14"/>
  <c r="AD13" i="14"/>
  <c r="AC13" i="14"/>
  <c r="AJ13" i="14" s="1"/>
  <c r="P13" i="14"/>
  <c r="O13" i="14"/>
  <c r="N13" i="14"/>
  <c r="M13" i="14"/>
  <c r="R13" i="14" s="1"/>
  <c r="L13" i="14"/>
  <c r="K13" i="14"/>
  <c r="G13" i="14"/>
  <c r="F13" i="14"/>
  <c r="X13" i="14" s="1"/>
  <c r="AY13" i="14" s="1"/>
  <c r="E13" i="14"/>
  <c r="D13" i="14"/>
  <c r="C13" i="14"/>
  <c r="B13" i="14"/>
  <c r="AQ12" i="14"/>
  <c r="AP12" i="14"/>
  <c r="AO12" i="14"/>
  <c r="AN12" i="14"/>
  <c r="AS12" i="14" s="1"/>
  <c r="AM12" i="14"/>
  <c r="AL12" i="14"/>
  <c r="AH12" i="14"/>
  <c r="AG12" i="14"/>
  <c r="AF12" i="14"/>
  <c r="AE12" i="14"/>
  <c r="AD12" i="14"/>
  <c r="AC12" i="14"/>
  <c r="P12" i="14"/>
  <c r="O12" i="14"/>
  <c r="N12" i="14"/>
  <c r="M12" i="14"/>
  <c r="R12" i="14" s="1"/>
  <c r="L12" i="14"/>
  <c r="K12" i="14"/>
  <c r="G12" i="14"/>
  <c r="F12" i="14"/>
  <c r="E12" i="14"/>
  <c r="D12" i="14"/>
  <c r="C12" i="14"/>
  <c r="B12" i="14"/>
  <c r="AQ11" i="14"/>
  <c r="AP11" i="14"/>
  <c r="AO11" i="14"/>
  <c r="AN11" i="14"/>
  <c r="AR11" i="14" s="1"/>
  <c r="AM11" i="14"/>
  <c r="AL11" i="14"/>
  <c r="AH11" i="14"/>
  <c r="AG11" i="14"/>
  <c r="AF11" i="14"/>
  <c r="AE11" i="14"/>
  <c r="AD11" i="14"/>
  <c r="AC11" i="14"/>
  <c r="AJ11" i="14" s="1"/>
  <c r="P11" i="14"/>
  <c r="O11" i="14"/>
  <c r="N11" i="14"/>
  <c r="M11" i="14"/>
  <c r="R11" i="14" s="1"/>
  <c r="L11" i="14"/>
  <c r="K11" i="14"/>
  <c r="G11" i="14"/>
  <c r="F11" i="14"/>
  <c r="X11" i="14" s="1"/>
  <c r="AY11" i="14" s="1"/>
  <c r="E11" i="14"/>
  <c r="D11" i="14"/>
  <c r="C11" i="14"/>
  <c r="B11" i="14"/>
  <c r="AQ10" i="14"/>
  <c r="AP10" i="14"/>
  <c r="AO10" i="14"/>
  <c r="AN10" i="14"/>
  <c r="AS10" i="14" s="1"/>
  <c r="AM10" i="14"/>
  <c r="AL10" i="14"/>
  <c r="AH10" i="14"/>
  <c r="AG10" i="14"/>
  <c r="AF10" i="14"/>
  <c r="AE10" i="14"/>
  <c r="AD10" i="14"/>
  <c r="AC10" i="14"/>
  <c r="P10" i="14"/>
  <c r="O10" i="14"/>
  <c r="N10" i="14"/>
  <c r="M10" i="14"/>
  <c r="Q10" i="14" s="1"/>
  <c r="L10" i="14"/>
  <c r="K10" i="14"/>
  <c r="G10" i="14"/>
  <c r="F10" i="14"/>
  <c r="X10" i="14" s="1"/>
  <c r="AY10" i="14" s="1"/>
  <c r="E10" i="14"/>
  <c r="D10" i="14"/>
  <c r="C10" i="14"/>
  <c r="B10" i="14"/>
  <c r="AQ9" i="14"/>
  <c r="AP9" i="14"/>
  <c r="AO9" i="14"/>
  <c r="AN9" i="14"/>
  <c r="AS9" i="14" s="1"/>
  <c r="AM9" i="14"/>
  <c r="AL9" i="14"/>
  <c r="AH9" i="14"/>
  <c r="AG9" i="14"/>
  <c r="AF9" i="14"/>
  <c r="AE9" i="14"/>
  <c r="AD9" i="14"/>
  <c r="AC9" i="14"/>
  <c r="AJ9" i="14" s="1"/>
  <c r="P9" i="14"/>
  <c r="O9" i="14"/>
  <c r="N9" i="14"/>
  <c r="M9" i="14"/>
  <c r="Q9" i="14" s="1"/>
  <c r="L9" i="14"/>
  <c r="K9" i="14"/>
  <c r="G9" i="14"/>
  <c r="F9" i="14"/>
  <c r="X9" i="14" s="1"/>
  <c r="AY9" i="14" s="1"/>
  <c r="E9" i="14"/>
  <c r="D9" i="14"/>
  <c r="C9" i="14"/>
  <c r="B9" i="14"/>
  <c r="T9" i="14" s="1"/>
  <c r="AQ8" i="14"/>
  <c r="AP8" i="14"/>
  <c r="AO8" i="14"/>
  <c r="AN8" i="14"/>
  <c r="AR8" i="14" s="1"/>
  <c r="AM8" i="14"/>
  <c r="AL8" i="14"/>
  <c r="AH8" i="14"/>
  <c r="AG8" i="14"/>
  <c r="AF8" i="14"/>
  <c r="AE8" i="14"/>
  <c r="AD8" i="14"/>
  <c r="AC8" i="14"/>
  <c r="AJ8" i="14" s="1"/>
  <c r="P8" i="14"/>
  <c r="O8" i="14"/>
  <c r="N8" i="14"/>
  <c r="M8" i="14"/>
  <c r="Q8" i="14" s="1"/>
  <c r="L8" i="14"/>
  <c r="K8" i="14"/>
  <c r="G8" i="14"/>
  <c r="F8" i="14"/>
  <c r="X8" i="14" s="1"/>
  <c r="AY8" i="14" s="1"/>
  <c r="E8" i="14"/>
  <c r="D8" i="14"/>
  <c r="C8" i="14"/>
  <c r="B8" i="14"/>
  <c r="T8" i="14" s="1"/>
  <c r="Y56" i="14"/>
  <c r="AZ56" i="14" s="1"/>
  <c r="W56" i="14"/>
  <c r="AX56" i="14" s="1"/>
  <c r="V56" i="14"/>
  <c r="AW56" i="14" s="1"/>
  <c r="U56" i="14"/>
  <c r="AV56" i="14" s="1"/>
  <c r="Y55" i="14"/>
  <c r="AZ55" i="14" s="1"/>
  <c r="W55" i="14"/>
  <c r="AX55" i="14" s="1"/>
  <c r="U55" i="14"/>
  <c r="AV55" i="14" s="1"/>
  <c r="Y54" i="14"/>
  <c r="AZ54" i="14" s="1"/>
  <c r="X54" i="14"/>
  <c r="W54" i="14"/>
  <c r="AX54" i="14" s="1"/>
  <c r="U54" i="14"/>
  <c r="AV54" i="14" s="1"/>
  <c r="X53" i="14"/>
  <c r="AY53" i="14" s="1"/>
  <c r="Y53" i="14"/>
  <c r="AZ53" i="14" s="1"/>
  <c r="W53" i="14"/>
  <c r="AX53" i="14" s="1"/>
  <c r="U53" i="14"/>
  <c r="AV53" i="14" s="1"/>
  <c r="X52" i="14"/>
  <c r="AY52" i="14" s="1"/>
  <c r="Y52" i="14"/>
  <c r="AZ52" i="14" s="1"/>
  <c r="W52" i="14"/>
  <c r="AX52" i="14" s="1"/>
  <c r="U52" i="14"/>
  <c r="AV52" i="14" s="1"/>
  <c r="X51" i="14"/>
  <c r="AY51" i="14" s="1"/>
  <c r="Y51" i="14"/>
  <c r="AZ51" i="14" s="1"/>
  <c r="W51" i="14"/>
  <c r="AX51" i="14" s="1"/>
  <c r="U51" i="14"/>
  <c r="AV51" i="14" s="1"/>
  <c r="X50" i="14"/>
  <c r="AY50" i="14" s="1"/>
  <c r="Y50" i="14"/>
  <c r="AZ50" i="14" s="1"/>
  <c r="W50" i="14"/>
  <c r="AX50" i="14" s="1"/>
  <c r="U50" i="14"/>
  <c r="AV50" i="14" s="1"/>
  <c r="V49" i="14"/>
  <c r="AW49" i="14" s="1"/>
  <c r="Y49" i="14"/>
  <c r="AZ49" i="14" s="1"/>
  <c r="W49" i="14"/>
  <c r="U49" i="14"/>
  <c r="AV49" i="14" s="1"/>
  <c r="AR48" i="14"/>
  <c r="Y48" i="14"/>
  <c r="AZ48" i="14" s="1"/>
  <c r="W48" i="14"/>
  <c r="U48" i="14"/>
  <c r="AV48" i="14" s="1"/>
  <c r="T48" i="14"/>
  <c r="AI47" i="14"/>
  <c r="W47" i="14"/>
  <c r="Y47" i="14"/>
  <c r="AZ47" i="14" s="1"/>
  <c r="U47" i="14"/>
  <c r="AV47" i="14" s="1"/>
  <c r="AS46" i="14"/>
  <c r="W46" i="14"/>
  <c r="AX46" i="14" s="1"/>
  <c r="V46" i="14"/>
  <c r="Y46" i="14"/>
  <c r="AZ46" i="14" s="1"/>
  <c r="U46" i="14"/>
  <c r="AV46" i="14" s="1"/>
  <c r="AS45" i="14"/>
  <c r="W45" i="14"/>
  <c r="AX45" i="14" s="1"/>
  <c r="Y45" i="14"/>
  <c r="AZ45" i="14" s="1"/>
  <c r="U45" i="14"/>
  <c r="AV45" i="14" s="1"/>
  <c r="AS44" i="14"/>
  <c r="W44" i="14"/>
  <c r="Y44" i="14"/>
  <c r="AZ44" i="14" s="1"/>
  <c r="X44" i="14"/>
  <c r="AY44" i="14" s="1"/>
  <c r="U44" i="14"/>
  <c r="AV44" i="14" s="1"/>
  <c r="AJ43" i="14"/>
  <c r="W43" i="14"/>
  <c r="AX43" i="14" s="1"/>
  <c r="Y43" i="14"/>
  <c r="AZ43" i="14" s="1"/>
  <c r="X43" i="14"/>
  <c r="AY43" i="14" s="1"/>
  <c r="U43" i="14"/>
  <c r="AV43" i="14" s="1"/>
  <c r="AX42" i="14"/>
  <c r="AJ42" i="14"/>
  <c r="W42" i="14"/>
  <c r="Y42" i="14"/>
  <c r="AZ42" i="14" s="1"/>
  <c r="U42" i="14"/>
  <c r="AV42" i="14" s="1"/>
  <c r="AJ41" i="14"/>
  <c r="W41" i="14"/>
  <c r="AX41" i="14" s="1"/>
  <c r="Y41" i="14"/>
  <c r="AZ41" i="14" s="1"/>
  <c r="U41" i="14"/>
  <c r="AV41" i="14" s="1"/>
  <c r="AX40" i="14"/>
  <c r="W40" i="14"/>
  <c r="Y40" i="14"/>
  <c r="AZ40" i="14" s="1"/>
  <c r="U40" i="14"/>
  <c r="AV40" i="14" s="1"/>
  <c r="AS39" i="14"/>
  <c r="W39" i="14"/>
  <c r="AX39" i="14" s="1"/>
  <c r="Q39" i="14"/>
  <c r="Y39" i="14"/>
  <c r="AZ39" i="14" s="1"/>
  <c r="U39" i="14"/>
  <c r="AV39" i="14" s="1"/>
  <c r="AX38" i="14"/>
  <c r="AJ38" i="14"/>
  <c r="W38" i="14"/>
  <c r="Y38" i="14"/>
  <c r="AZ38" i="14" s="1"/>
  <c r="X38" i="14"/>
  <c r="AY38" i="14" s="1"/>
  <c r="U38" i="14"/>
  <c r="AV38" i="14" s="1"/>
  <c r="W37" i="14"/>
  <c r="AX37" i="14" s="1"/>
  <c r="Y37" i="14"/>
  <c r="AZ37" i="14" s="1"/>
  <c r="U37" i="14"/>
  <c r="AV37" i="14" s="1"/>
  <c r="W36" i="14"/>
  <c r="AX36" i="14" s="1"/>
  <c r="Y36" i="14"/>
  <c r="AZ36" i="14" s="1"/>
  <c r="U36" i="14"/>
  <c r="AV36" i="14" s="1"/>
  <c r="T36" i="14"/>
  <c r="X35" i="14"/>
  <c r="AY35" i="14" s="1"/>
  <c r="W35" i="14"/>
  <c r="AX35" i="14" s="1"/>
  <c r="T35" i="14"/>
  <c r="X34" i="14"/>
  <c r="AY34" i="14" s="1"/>
  <c r="W34" i="14"/>
  <c r="AX34" i="14" s="1"/>
  <c r="T34" i="14"/>
  <c r="Q33" i="14"/>
  <c r="Y33" i="14"/>
  <c r="AZ33" i="14" s="1"/>
  <c r="W33" i="14"/>
  <c r="AX33" i="14" s="1"/>
  <c r="V33" i="14"/>
  <c r="AW33" i="14" s="1"/>
  <c r="AI32" i="14"/>
  <c r="Y32" i="14"/>
  <c r="AZ32" i="14" s="1"/>
  <c r="W32" i="14"/>
  <c r="AX32" i="14" s="1"/>
  <c r="AR31" i="14"/>
  <c r="Y31" i="14"/>
  <c r="AZ31" i="14" s="1"/>
  <c r="X31" i="14"/>
  <c r="AY31" i="14" s="1"/>
  <c r="W31" i="14"/>
  <c r="AX31" i="14" s="1"/>
  <c r="U31" i="14"/>
  <c r="AV31" i="14" s="1"/>
  <c r="T31" i="14"/>
  <c r="W30" i="14"/>
  <c r="AX30" i="14" s="1"/>
  <c r="T30" i="14"/>
  <c r="W29" i="14"/>
  <c r="AX29" i="14" s="1"/>
  <c r="T29" i="14"/>
  <c r="Y28" i="14"/>
  <c r="AZ28" i="14" s="1"/>
  <c r="W28" i="14"/>
  <c r="AX28" i="14" s="1"/>
  <c r="V28" i="14"/>
  <c r="AW28" i="14" s="1"/>
  <c r="U28" i="14"/>
  <c r="Y27" i="14"/>
  <c r="AZ27" i="14" s="1"/>
  <c r="X27" i="14"/>
  <c r="AY27" i="14" s="1"/>
  <c r="W27" i="14"/>
  <c r="AX27" i="14" s="1"/>
  <c r="U27" i="14"/>
  <c r="AV27" i="14" s="1"/>
  <c r="T27" i="14"/>
  <c r="Y26" i="14"/>
  <c r="AZ26" i="14" s="1"/>
  <c r="U26" i="14"/>
  <c r="X26" i="14"/>
  <c r="AY26" i="14" s="1"/>
  <c r="W26" i="14"/>
  <c r="AX26" i="14" s="1"/>
  <c r="R25" i="14"/>
  <c r="Y25" i="14"/>
  <c r="AZ25" i="14" s="1"/>
  <c r="W25" i="14"/>
  <c r="V25" i="14"/>
  <c r="AW25" i="14" s="1"/>
  <c r="U25" i="14"/>
  <c r="AV25" i="14" s="1"/>
  <c r="AJ24" i="14"/>
  <c r="Y24" i="14"/>
  <c r="AZ24" i="14" s="1"/>
  <c r="W24" i="14"/>
  <c r="U24" i="14"/>
  <c r="AV24" i="14" s="1"/>
  <c r="AS23" i="14"/>
  <c r="Y23" i="14"/>
  <c r="AZ23" i="14" s="1"/>
  <c r="X23" i="14"/>
  <c r="AY23" i="14" s="1"/>
  <c r="W23" i="14"/>
  <c r="U23" i="14"/>
  <c r="AV23" i="14" s="1"/>
  <c r="T23" i="14"/>
  <c r="Y22" i="14"/>
  <c r="AZ22" i="14" s="1"/>
  <c r="W22" i="14"/>
  <c r="U22" i="14"/>
  <c r="AV22" i="14" s="1"/>
  <c r="R21" i="14"/>
  <c r="Y21" i="14"/>
  <c r="AZ21" i="14" s="1"/>
  <c r="W21" i="14"/>
  <c r="V21" i="14"/>
  <c r="AW21" i="14" s="1"/>
  <c r="U21" i="14"/>
  <c r="AV21" i="14" s="1"/>
  <c r="AJ20" i="14"/>
  <c r="Y20" i="14"/>
  <c r="AZ20" i="14" s="1"/>
  <c r="W20" i="14"/>
  <c r="U20" i="14"/>
  <c r="AV20" i="14" s="1"/>
  <c r="AS19" i="14"/>
  <c r="Y19" i="14"/>
  <c r="AZ19" i="14" s="1"/>
  <c r="X19" i="14"/>
  <c r="AY19" i="14" s="1"/>
  <c r="W19" i="14"/>
  <c r="U19" i="14"/>
  <c r="AV19" i="14" s="1"/>
  <c r="T19" i="14"/>
  <c r="Y18" i="14"/>
  <c r="AZ18" i="14" s="1"/>
  <c r="W18" i="14"/>
  <c r="U18" i="14"/>
  <c r="AV18" i="14" s="1"/>
  <c r="R17" i="14"/>
  <c r="Y17" i="14"/>
  <c r="AZ17" i="14" s="1"/>
  <c r="W17" i="14"/>
  <c r="V17" i="14"/>
  <c r="AW17" i="14" s="1"/>
  <c r="U17" i="14"/>
  <c r="AV17" i="14" s="1"/>
  <c r="AJ16" i="14"/>
  <c r="Y16" i="14"/>
  <c r="AZ16" i="14" s="1"/>
  <c r="X16" i="14"/>
  <c r="AY16" i="14" s="1"/>
  <c r="W16" i="14"/>
  <c r="AX16" i="14" s="1"/>
  <c r="U16" i="14"/>
  <c r="AV16" i="14" s="1"/>
  <c r="AS15" i="14"/>
  <c r="Q15" i="14"/>
  <c r="Y15" i="14"/>
  <c r="AZ15" i="14" s="1"/>
  <c r="W15" i="14"/>
  <c r="AX15" i="14" s="1"/>
  <c r="V15" i="14"/>
  <c r="AW15" i="14" s="1"/>
  <c r="U15" i="14"/>
  <c r="AV15" i="14" s="1"/>
  <c r="AJ14" i="14"/>
  <c r="Y14" i="14"/>
  <c r="AZ14" i="14" s="1"/>
  <c r="X14" i="14"/>
  <c r="AY14" i="14" s="1"/>
  <c r="W14" i="14"/>
  <c r="AX14" i="14" s="1"/>
  <c r="U14" i="14"/>
  <c r="AV14" i="14" s="1"/>
  <c r="AS13" i="14"/>
  <c r="Q13" i="14"/>
  <c r="Y13" i="14"/>
  <c r="AZ13" i="14" s="1"/>
  <c r="W13" i="14"/>
  <c r="AX13" i="14" s="1"/>
  <c r="V13" i="14"/>
  <c r="AW13" i="14" s="1"/>
  <c r="U13" i="14"/>
  <c r="AV13" i="14" s="1"/>
  <c r="AJ12" i="14"/>
  <c r="Y12" i="14"/>
  <c r="AZ12" i="14" s="1"/>
  <c r="X12" i="14"/>
  <c r="AY12" i="14" s="1"/>
  <c r="W12" i="14"/>
  <c r="AX12" i="14" s="1"/>
  <c r="U12" i="14"/>
  <c r="AV12" i="14" s="1"/>
  <c r="AS11" i="14"/>
  <c r="Q11" i="14"/>
  <c r="Y11" i="14"/>
  <c r="AZ11" i="14" s="1"/>
  <c r="W11" i="14"/>
  <c r="AX11" i="14" s="1"/>
  <c r="V11" i="14"/>
  <c r="AW11" i="14" s="1"/>
  <c r="U11" i="14"/>
  <c r="AV11" i="14" s="1"/>
  <c r="AJ10" i="14"/>
  <c r="Y10" i="14"/>
  <c r="AZ10" i="14" s="1"/>
  <c r="W10" i="14"/>
  <c r="AX10" i="14" s="1"/>
  <c r="U10" i="14"/>
  <c r="AV10" i="14" s="1"/>
  <c r="AI9" i="14"/>
  <c r="Y9" i="14"/>
  <c r="AZ9" i="14" s="1"/>
  <c r="W9" i="14"/>
  <c r="AX9" i="14" s="1"/>
  <c r="U9" i="14"/>
  <c r="AV9" i="14" s="1"/>
  <c r="AI8" i="14"/>
  <c r="Y8" i="14"/>
  <c r="AZ8" i="14" s="1"/>
  <c r="W8" i="14"/>
  <c r="AX8" i="14" s="1"/>
  <c r="U8" i="14"/>
  <c r="AV8" i="14" s="1"/>
  <c r="AJ56" i="13"/>
  <c r="AI56" i="13"/>
  <c r="AH56" i="13"/>
  <c r="AG56" i="13"/>
  <c r="AF56" i="13"/>
  <c r="AE56" i="13"/>
  <c r="AD56" i="13"/>
  <c r="AC56" i="13"/>
  <c r="AA56" i="13"/>
  <c r="Z56" i="13"/>
  <c r="Y56" i="13"/>
  <c r="X56" i="13"/>
  <c r="W56" i="13"/>
  <c r="V56" i="13"/>
  <c r="U56" i="13"/>
  <c r="T56" i="13"/>
  <c r="R56" i="13"/>
  <c r="Q56" i="13"/>
  <c r="P56" i="13"/>
  <c r="O56" i="13"/>
  <c r="N56" i="13"/>
  <c r="M56" i="13"/>
  <c r="L56" i="13"/>
  <c r="K56" i="13"/>
  <c r="I56" i="13"/>
  <c r="H56" i="13"/>
  <c r="G56" i="13"/>
  <c r="F56" i="13"/>
  <c r="E56" i="13"/>
  <c r="D56" i="13"/>
  <c r="C56" i="13"/>
  <c r="B56" i="13"/>
  <c r="AJ55" i="13"/>
  <c r="AI55" i="13"/>
  <c r="AH55" i="13"/>
  <c r="AG55" i="13"/>
  <c r="AF55" i="13"/>
  <c r="AE55" i="13"/>
  <c r="AD55" i="13"/>
  <c r="AC55" i="13"/>
  <c r="AA55" i="13"/>
  <c r="Z55" i="13"/>
  <c r="Y55" i="13"/>
  <c r="X55" i="13"/>
  <c r="W55" i="13"/>
  <c r="V55" i="13"/>
  <c r="U55" i="13"/>
  <c r="T55" i="13"/>
  <c r="R55" i="13"/>
  <c r="Q55" i="13"/>
  <c r="P55" i="13"/>
  <c r="O55" i="13"/>
  <c r="N55" i="13"/>
  <c r="M55" i="13"/>
  <c r="L55" i="13"/>
  <c r="K55" i="13"/>
  <c r="I55" i="13"/>
  <c r="H55" i="13"/>
  <c r="G55" i="13"/>
  <c r="F55" i="13"/>
  <c r="E55" i="13"/>
  <c r="D55" i="13"/>
  <c r="C55" i="13"/>
  <c r="B55" i="13"/>
  <c r="AJ54" i="13"/>
  <c r="AI54" i="13"/>
  <c r="AH54" i="13"/>
  <c r="AG54" i="13"/>
  <c r="AF54" i="13"/>
  <c r="AE54" i="13"/>
  <c r="AD54" i="13"/>
  <c r="AC54" i="13"/>
  <c r="AA54" i="13"/>
  <c r="Z54" i="13"/>
  <c r="Y54" i="13"/>
  <c r="X54" i="13"/>
  <c r="W54" i="13"/>
  <c r="V54" i="13"/>
  <c r="U54" i="13"/>
  <c r="T54" i="13"/>
  <c r="R54" i="13"/>
  <c r="Q54" i="13"/>
  <c r="P54" i="13"/>
  <c r="O54" i="13"/>
  <c r="N54" i="13"/>
  <c r="M54" i="13"/>
  <c r="L54" i="13"/>
  <c r="K54" i="13"/>
  <c r="I54" i="13"/>
  <c r="H54" i="13"/>
  <c r="G54" i="13"/>
  <c r="F54" i="13"/>
  <c r="E54" i="13"/>
  <c r="D54" i="13"/>
  <c r="C54" i="13"/>
  <c r="B54" i="13"/>
  <c r="AJ53" i="13"/>
  <c r="AI53" i="13"/>
  <c r="AH53" i="13"/>
  <c r="AG53" i="13"/>
  <c r="AF53" i="13"/>
  <c r="AE53" i="13"/>
  <c r="AD53" i="13"/>
  <c r="AC53" i="13"/>
  <c r="AA53" i="13"/>
  <c r="Z53" i="13"/>
  <c r="Y53" i="13"/>
  <c r="X53" i="13"/>
  <c r="W53" i="13"/>
  <c r="V53" i="13"/>
  <c r="U53" i="13"/>
  <c r="T53" i="13"/>
  <c r="R53" i="13"/>
  <c r="Q53" i="13"/>
  <c r="P53" i="13"/>
  <c r="O53" i="13"/>
  <c r="N53" i="13"/>
  <c r="M53" i="13"/>
  <c r="L53" i="13"/>
  <c r="K53" i="13"/>
  <c r="I53" i="13"/>
  <c r="H53" i="13"/>
  <c r="G53" i="13"/>
  <c r="F53" i="13"/>
  <c r="E53" i="13"/>
  <c r="D53" i="13"/>
  <c r="C53" i="13"/>
  <c r="B53" i="13"/>
  <c r="AJ52" i="13"/>
  <c r="AI52" i="13"/>
  <c r="AH52" i="13"/>
  <c r="AG52" i="13"/>
  <c r="AF52" i="13"/>
  <c r="AE52" i="13"/>
  <c r="AD52" i="13"/>
  <c r="AC52" i="13"/>
  <c r="AA52" i="13"/>
  <c r="Z52" i="13"/>
  <c r="Y52" i="13"/>
  <c r="X52" i="13"/>
  <c r="W52" i="13"/>
  <c r="V52" i="13"/>
  <c r="U52" i="13"/>
  <c r="T52" i="13"/>
  <c r="R52" i="13"/>
  <c r="Q52" i="13"/>
  <c r="P52" i="13"/>
  <c r="O52" i="13"/>
  <c r="N52" i="13"/>
  <c r="M52" i="13"/>
  <c r="L52" i="13"/>
  <c r="K52" i="13"/>
  <c r="I52" i="13"/>
  <c r="H52" i="13"/>
  <c r="G52" i="13"/>
  <c r="F52" i="13"/>
  <c r="E52" i="13"/>
  <c r="D52" i="13"/>
  <c r="C52" i="13"/>
  <c r="B52" i="13"/>
  <c r="AJ51" i="13"/>
  <c r="AI51" i="13"/>
  <c r="AH51" i="13"/>
  <c r="AG51" i="13"/>
  <c r="AF51" i="13"/>
  <c r="AE51" i="13"/>
  <c r="AD51" i="13"/>
  <c r="AC51" i="13"/>
  <c r="AA51" i="13"/>
  <c r="Z51" i="13"/>
  <c r="Y51" i="13"/>
  <c r="X51" i="13"/>
  <c r="W51" i="13"/>
  <c r="V51" i="13"/>
  <c r="U51" i="13"/>
  <c r="T51" i="13"/>
  <c r="R51" i="13"/>
  <c r="Q51" i="13"/>
  <c r="P51" i="13"/>
  <c r="O51" i="13"/>
  <c r="N51" i="13"/>
  <c r="M51" i="13"/>
  <c r="L51" i="13"/>
  <c r="K51" i="13"/>
  <c r="I51" i="13"/>
  <c r="H51" i="13"/>
  <c r="G51" i="13"/>
  <c r="F51" i="13"/>
  <c r="E51" i="13"/>
  <c r="D51" i="13"/>
  <c r="C51" i="13"/>
  <c r="B51" i="13"/>
  <c r="AJ50" i="13"/>
  <c r="AI50" i="13"/>
  <c r="AH50" i="13"/>
  <c r="AG50" i="13"/>
  <c r="AF50" i="13"/>
  <c r="AE50" i="13"/>
  <c r="AD50" i="13"/>
  <c r="AC50" i="13"/>
  <c r="AA50" i="13"/>
  <c r="Z50" i="13"/>
  <c r="Y50" i="13"/>
  <c r="X50" i="13"/>
  <c r="W50" i="13"/>
  <c r="V50" i="13"/>
  <c r="U50" i="13"/>
  <c r="T50" i="13"/>
  <c r="R50" i="13"/>
  <c r="Q50" i="13"/>
  <c r="P50" i="13"/>
  <c r="O50" i="13"/>
  <c r="N50" i="13"/>
  <c r="M50" i="13"/>
  <c r="L50" i="13"/>
  <c r="K50" i="13"/>
  <c r="I50" i="13"/>
  <c r="H50" i="13"/>
  <c r="G50" i="13"/>
  <c r="F50" i="13"/>
  <c r="E50" i="13"/>
  <c r="D50" i="13"/>
  <c r="C50" i="13"/>
  <c r="B50" i="13"/>
  <c r="AJ49" i="13"/>
  <c r="AI49" i="13"/>
  <c r="AH49" i="13"/>
  <c r="AG49" i="13"/>
  <c r="AF49" i="13"/>
  <c r="AE49" i="13"/>
  <c r="AD49" i="13"/>
  <c r="AC49" i="13"/>
  <c r="AA49" i="13"/>
  <c r="Z49" i="13"/>
  <c r="Y49" i="13"/>
  <c r="X49" i="13"/>
  <c r="W49" i="13"/>
  <c r="V49" i="13"/>
  <c r="U49" i="13"/>
  <c r="T49" i="13"/>
  <c r="R49" i="13"/>
  <c r="Q49" i="13"/>
  <c r="P49" i="13"/>
  <c r="O49" i="13"/>
  <c r="N49" i="13"/>
  <c r="M49" i="13"/>
  <c r="L49" i="13"/>
  <c r="K49" i="13"/>
  <c r="I49" i="13"/>
  <c r="H49" i="13"/>
  <c r="G49" i="13"/>
  <c r="F49" i="13"/>
  <c r="E49" i="13"/>
  <c r="D49" i="13"/>
  <c r="C49" i="13"/>
  <c r="B49" i="13"/>
  <c r="AJ48" i="13"/>
  <c r="AI48" i="13"/>
  <c r="AH48" i="13"/>
  <c r="AG48" i="13"/>
  <c r="AF48" i="13"/>
  <c r="AE48" i="13"/>
  <c r="AD48" i="13"/>
  <c r="AC48" i="13"/>
  <c r="AA48" i="13"/>
  <c r="Z48" i="13"/>
  <c r="Y48" i="13"/>
  <c r="X48" i="13"/>
  <c r="W48" i="13"/>
  <c r="V48" i="13"/>
  <c r="U48" i="13"/>
  <c r="T48" i="13"/>
  <c r="R48" i="13"/>
  <c r="Q48" i="13"/>
  <c r="P48" i="13"/>
  <c r="O48" i="13"/>
  <c r="N48" i="13"/>
  <c r="M48" i="13"/>
  <c r="L48" i="13"/>
  <c r="K48" i="13"/>
  <c r="I48" i="13"/>
  <c r="H48" i="13"/>
  <c r="G48" i="13"/>
  <c r="F48" i="13"/>
  <c r="E48" i="13"/>
  <c r="D48" i="13"/>
  <c r="C48" i="13"/>
  <c r="B48" i="13"/>
  <c r="AJ47" i="13"/>
  <c r="AI47" i="13"/>
  <c r="AH47" i="13"/>
  <c r="AG47" i="13"/>
  <c r="AF47" i="13"/>
  <c r="AE47" i="13"/>
  <c r="AD47" i="13"/>
  <c r="AC47" i="13"/>
  <c r="AA47" i="13"/>
  <c r="Z47" i="13"/>
  <c r="Y47" i="13"/>
  <c r="X47" i="13"/>
  <c r="W47" i="13"/>
  <c r="V47" i="13"/>
  <c r="U47" i="13"/>
  <c r="T47" i="13"/>
  <c r="R47" i="13"/>
  <c r="Q47" i="13"/>
  <c r="P47" i="13"/>
  <c r="O47" i="13"/>
  <c r="N47" i="13"/>
  <c r="M47" i="13"/>
  <c r="L47" i="13"/>
  <c r="K47" i="13"/>
  <c r="I47" i="13"/>
  <c r="H47" i="13"/>
  <c r="G47" i="13"/>
  <c r="F47" i="13"/>
  <c r="E47" i="13"/>
  <c r="D47" i="13"/>
  <c r="C47" i="13"/>
  <c r="B47" i="13"/>
  <c r="AJ46" i="13"/>
  <c r="AI46" i="13"/>
  <c r="AH46" i="13"/>
  <c r="AG46" i="13"/>
  <c r="AF46" i="13"/>
  <c r="AE46" i="13"/>
  <c r="AD46" i="13"/>
  <c r="AC46" i="13"/>
  <c r="AA46" i="13"/>
  <c r="Z46" i="13"/>
  <c r="Y46" i="13"/>
  <c r="X46" i="13"/>
  <c r="W46" i="13"/>
  <c r="V46" i="13"/>
  <c r="U46" i="13"/>
  <c r="T46" i="13"/>
  <c r="R46" i="13"/>
  <c r="Q46" i="13"/>
  <c r="P46" i="13"/>
  <c r="O46" i="13"/>
  <c r="N46" i="13"/>
  <c r="M46" i="13"/>
  <c r="L46" i="13"/>
  <c r="K46" i="13"/>
  <c r="I46" i="13"/>
  <c r="H46" i="13"/>
  <c r="G46" i="13"/>
  <c r="F46" i="13"/>
  <c r="E46" i="13"/>
  <c r="D46" i="13"/>
  <c r="C46" i="13"/>
  <c r="B46" i="13"/>
  <c r="AJ45" i="13"/>
  <c r="AI45" i="13"/>
  <c r="AH45" i="13"/>
  <c r="AG45" i="13"/>
  <c r="AF45" i="13"/>
  <c r="AE45" i="13"/>
  <c r="AD45" i="13"/>
  <c r="AC45" i="13"/>
  <c r="AA45" i="13"/>
  <c r="Z45" i="13"/>
  <c r="Y45" i="13"/>
  <c r="X45" i="13"/>
  <c r="W45" i="13"/>
  <c r="V45" i="13"/>
  <c r="U45" i="13"/>
  <c r="T45" i="13"/>
  <c r="R45" i="13"/>
  <c r="Q45" i="13"/>
  <c r="P45" i="13"/>
  <c r="O45" i="13"/>
  <c r="N45" i="13"/>
  <c r="M45" i="13"/>
  <c r="L45" i="13"/>
  <c r="K45" i="13"/>
  <c r="I45" i="13"/>
  <c r="H45" i="13"/>
  <c r="G45" i="13"/>
  <c r="F45" i="13"/>
  <c r="E45" i="13"/>
  <c r="D45" i="13"/>
  <c r="C45" i="13"/>
  <c r="B45" i="13"/>
  <c r="AJ44" i="13"/>
  <c r="AI44" i="13"/>
  <c r="AH44" i="13"/>
  <c r="AG44" i="13"/>
  <c r="AF44" i="13"/>
  <c r="AE44" i="13"/>
  <c r="AD44" i="13"/>
  <c r="AC44" i="13"/>
  <c r="AA44" i="13"/>
  <c r="Z44" i="13"/>
  <c r="Y44" i="13"/>
  <c r="X44" i="13"/>
  <c r="W44" i="13"/>
  <c r="V44" i="13"/>
  <c r="U44" i="13"/>
  <c r="T44" i="13"/>
  <c r="R44" i="13"/>
  <c r="Q44" i="13"/>
  <c r="P44" i="13"/>
  <c r="O44" i="13"/>
  <c r="N44" i="13"/>
  <c r="M44" i="13"/>
  <c r="L44" i="13"/>
  <c r="K44" i="13"/>
  <c r="I44" i="13"/>
  <c r="H44" i="13"/>
  <c r="G44" i="13"/>
  <c r="F44" i="13"/>
  <c r="E44" i="13"/>
  <c r="D44" i="13"/>
  <c r="C44" i="13"/>
  <c r="B44" i="13"/>
  <c r="AJ43" i="13"/>
  <c r="AI43" i="13"/>
  <c r="AH43" i="13"/>
  <c r="AG43" i="13"/>
  <c r="AF43" i="13"/>
  <c r="AE43" i="13"/>
  <c r="AD43" i="13"/>
  <c r="AC43" i="13"/>
  <c r="AA43" i="13"/>
  <c r="Z43" i="13"/>
  <c r="Y43" i="13"/>
  <c r="X43" i="13"/>
  <c r="W43" i="13"/>
  <c r="V43" i="13"/>
  <c r="U43" i="13"/>
  <c r="T43" i="13"/>
  <c r="R43" i="13"/>
  <c r="Q43" i="13"/>
  <c r="P43" i="13"/>
  <c r="O43" i="13"/>
  <c r="N43" i="13"/>
  <c r="M43" i="13"/>
  <c r="L43" i="13"/>
  <c r="K43" i="13"/>
  <c r="I43" i="13"/>
  <c r="H43" i="13"/>
  <c r="G43" i="13"/>
  <c r="F43" i="13"/>
  <c r="E43" i="13"/>
  <c r="D43" i="13"/>
  <c r="C43" i="13"/>
  <c r="B43" i="13"/>
  <c r="AJ42" i="13"/>
  <c r="AI42" i="13"/>
  <c r="AH42" i="13"/>
  <c r="AG42" i="13"/>
  <c r="AF42" i="13"/>
  <c r="AE42" i="13"/>
  <c r="AD42" i="13"/>
  <c r="AC42" i="13"/>
  <c r="AA42" i="13"/>
  <c r="Z42" i="13"/>
  <c r="Y42" i="13"/>
  <c r="X42" i="13"/>
  <c r="W42" i="13"/>
  <c r="V42" i="13"/>
  <c r="U42" i="13"/>
  <c r="T42" i="13"/>
  <c r="R42" i="13"/>
  <c r="Q42" i="13"/>
  <c r="P42" i="13"/>
  <c r="O42" i="13"/>
  <c r="N42" i="13"/>
  <c r="M42" i="13"/>
  <c r="L42" i="13"/>
  <c r="K42" i="13"/>
  <c r="I42" i="13"/>
  <c r="H42" i="13"/>
  <c r="G42" i="13"/>
  <c r="F42" i="13"/>
  <c r="E42" i="13"/>
  <c r="D42" i="13"/>
  <c r="C42" i="13"/>
  <c r="B42" i="13"/>
  <c r="AJ41" i="13"/>
  <c r="AI41" i="13"/>
  <c r="AH41" i="13"/>
  <c r="AG41" i="13"/>
  <c r="AF41" i="13"/>
  <c r="AE41" i="13"/>
  <c r="AD41" i="13"/>
  <c r="AC41" i="13"/>
  <c r="AA41" i="13"/>
  <c r="Z41" i="13"/>
  <c r="Y41" i="13"/>
  <c r="X41" i="13"/>
  <c r="W41" i="13"/>
  <c r="V41" i="13"/>
  <c r="U41" i="13"/>
  <c r="T41" i="13"/>
  <c r="R41" i="13"/>
  <c r="Q41" i="13"/>
  <c r="P41" i="13"/>
  <c r="O41" i="13"/>
  <c r="N41" i="13"/>
  <c r="M41" i="13"/>
  <c r="L41" i="13"/>
  <c r="K41" i="13"/>
  <c r="I41" i="13"/>
  <c r="H41" i="13"/>
  <c r="G41" i="13"/>
  <c r="F41" i="13"/>
  <c r="E41" i="13"/>
  <c r="D41" i="13"/>
  <c r="C41" i="13"/>
  <c r="B41" i="13"/>
  <c r="AJ40" i="13"/>
  <c r="AI40" i="13"/>
  <c r="AH40" i="13"/>
  <c r="AG40" i="13"/>
  <c r="AF40" i="13"/>
  <c r="AE40" i="13"/>
  <c r="AD40" i="13"/>
  <c r="AC40" i="13"/>
  <c r="AA40" i="13"/>
  <c r="Z40" i="13"/>
  <c r="Y40" i="13"/>
  <c r="X40" i="13"/>
  <c r="W40" i="13"/>
  <c r="V40" i="13"/>
  <c r="U40" i="13"/>
  <c r="T40" i="13"/>
  <c r="R40" i="13"/>
  <c r="Q40" i="13"/>
  <c r="P40" i="13"/>
  <c r="O40" i="13"/>
  <c r="N40" i="13"/>
  <c r="M40" i="13"/>
  <c r="L40" i="13"/>
  <c r="K40" i="13"/>
  <c r="I40" i="13"/>
  <c r="H40" i="13"/>
  <c r="G40" i="13"/>
  <c r="F40" i="13"/>
  <c r="E40" i="13"/>
  <c r="D40" i="13"/>
  <c r="C40" i="13"/>
  <c r="B40" i="13"/>
  <c r="AJ39" i="13"/>
  <c r="AI39" i="13"/>
  <c r="AH39" i="13"/>
  <c r="AG39" i="13"/>
  <c r="AF39" i="13"/>
  <c r="AE39" i="13"/>
  <c r="AD39" i="13"/>
  <c r="AC39" i="13"/>
  <c r="AA39" i="13"/>
  <c r="Z39" i="13"/>
  <c r="Y39" i="13"/>
  <c r="X39" i="13"/>
  <c r="W39" i="13"/>
  <c r="V39" i="13"/>
  <c r="U39" i="13"/>
  <c r="T39" i="13"/>
  <c r="R39" i="13"/>
  <c r="Q39" i="13"/>
  <c r="P39" i="13"/>
  <c r="O39" i="13"/>
  <c r="N39" i="13"/>
  <c r="M39" i="13"/>
  <c r="L39" i="13"/>
  <c r="K39" i="13"/>
  <c r="I39" i="13"/>
  <c r="H39" i="13"/>
  <c r="G39" i="13"/>
  <c r="F39" i="13"/>
  <c r="E39" i="13"/>
  <c r="D39" i="13"/>
  <c r="C39" i="13"/>
  <c r="B39" i="13"/>
  <c r="AJ38" i="13"/>
  <c r="AI38" i="13"/>
  <c r="AH38" i="13"/>
  <c r="AG38" i="13"/>
  <c r="AF38" i="13"/>
  <c r="AE38" i="13"/>
  <c r="AD38" i="13"/>
  <c r="AC38" i="13"/>
  <c r="AA38" i="13"/>
  <c r="Z38" i="13"/>
  <c r="Y38" i="13"/>
  <c r="X38" i="13"/>
  <c r="W38" i="13"/>
  <c r="V38" i="13"/>
  <c r="U38" i="13"/>
  <c r="T38" i="13"/>
  <c r="R38" i="13"/>
  <c r="Q38" i="13"/>
  <c r="P38" i="13"/>
  <c r="O38" i="13"/>
  <c r="N38" i="13"/>
  <c r="M38" i="13"/>
  <c r="L38" i="13"/>
  <c r="K38" i="13"/>
  <c r="I38" i="13"/>
  <c r="H38" i="13"/>
  <c r="G38" i="13"/>
  <c r="F38" i="13"/>
  <c r="E38" i="13"/>
  <c r="D38" i="13"/>
  <c r="C38" i="13"/>
  <c r="B38" i="13"/>
  <c r="AJ37" i="13"/>
  <c r="AI37" i="13"/>
  <c r="AH37" i="13"/>
  <c r="AG37" i="13"/>
  <c r="AF37" i="13"/>
  <c r="AE37" i="13"/>
  <c r="AD37" i="13"/>
  <c r="AC37" i="13"/>
  <c r="AA37" i="13"/>
  <c r="Z37" i="13"/>
  <c r="Y37" i="13"/>
  <c r="X37" i="13"/>
  <c r="W37" i="13"/>
  <c r="V37" i="13"/>
  <c r="U37" i="13"/>
  <c r="T37" i="13"/>
  <c r="R37" i="13"/>
  <c r="Q37" i="13"/>
  <c r="P37" i="13"/>
  <c r="O37" i="13"/>
  <c r="N37" i="13"/>
  <c r="M37" i="13"/>
  <c r="L37" i="13"/>
  <c r="K37" i="13"/>
  <c r="I37" i="13"/>
  <c r="H37" i="13"/>
  <c r="G37" i="13"/>
  <c r="F37" i="13"/>
  <c r="E37" i="13"/>
  <c r="D37" i="13"/>
  <c r="C37" i="13"/>
  <c r="B37" i="13"/>
  <c r="AJ36" i="13"/>
  <c r="AI36" i="13"/>
  <c r="AH36" i="13"/>
  <c r="AG36" i="13"/>
  <c r="AF36" i="13"/>
  <c r="AE36" i="13"/>
  <c r="AD36" i="13"/>
  <c r="AC36" i="13"/>
  <c r="AA36" i="13"/>
  <c r="Z36" i="13"/>
  <c r="Y36" i="13"/>
  <c r="X36" i="13"/>
  <c r="W36" i="13"/>
  <c r="V36" i="13"/>
  <c r="U36" i="13"/>
  <c r="T36" i="13"/>
  <c r="R36" i="13"/>
  <c r="Q36" i="13"/>
  <c r="P36" i="13"/>
  <c r="O36" i="13"/>
  <c r="N36" i="13"/>
  <c r="M36" i="13"/>
  <c r="L36" i="13"/>
  <c r="K36" i="13"/>
  <c r="I36" i="13"/>
  <c r="H36" i="13"/>
  <c r="G36" i="13"/>
  <c r="F36" i="13"/>
  <c r="E36" i="13"/>
  <c r="D36" i="13"/>
  <c r="C36" i="13"/>
  <c r="B36" i="13"/>
  <c r="AJ35" i="13"/>
  <c r="AI35" i="13"/>
  <c r="AH35" i="13"/>
  <c r="AG35" i="13"/>
  <c r="AF35" i="13"/>
  <c r="AE35" i="13"/>
  <c r="AD35" i="13"/>
  <c r="AC35" i="13"/>
  <c r="AA35" i="13"/>
  <c r="Z35" i="13"/>
  <c r="Y35" i="13"/>
  <c r="X35" i="13"/>
  <c r="W35" i="13"/>
  <c r="V35" i="13"/>
  <c r="U35" i="13"/>
  <c r="T35" i="13"/>
  <c r="R35" i="13"/>
  <c r="Q35" i="13"/>
  <c r="P35" i="13"/>
  <c r="O35" i="13"/>
  <c r="N35" i="13"/>
  <c r="M35" i="13"/>
  <c r="L35" i="13"/>
  <c r="K35" i="13"/>
  <c r="I35" i="13"/>
  <c r="H35" i="13"/>
  <c r="G35" i="13"/>
  <c r="F35" i="13"/>
  <c r="E35" i="13"/>
  <c r="D35" i="13"/>
  <c r="C35" i="13"/>
  <c r="B35" i="13"/>
  <c r="AJ34" i="13"/>
  <c r="AI34" i="13"/>
  <c r="AH34" i="13"/>
  <c r="AG34" i="13"/>
  <c r="AF34" i="13"/>
  <c r="AE34" i="13"/>
  <c r="AD34" i="13"/>
  <c r="AC34" i="13"/>
  <c r="AA34" i="13"/>
  <c r="Z34" i="13"/>
  <c r="Y34" i="13"/>
  <c r="X34" i="13"/>
  <c r="W34" i="13"/>
  <c r="V34" i="13"/>
  <c r="U34" i="13"/>
  <c r="T34" i="13"/>
  <c r="R34" i="13"/>
  <c r="Q34" i="13"/>
  <c r="P34" i="13"/>
  <c r="O34" i="13"/>
  <c r="N34" i="13"/>
  <c r="M34" i="13"/>
  <c r="L34" i="13"/>
  <c r="K34" i="13"/>
  <c r="I34" i="13"/>
  <c r="H34" i="13"/>
  <c r="G34" i="13"/>
  <c r="F34" i="13"/>
  <c r="E34" i="13"/>
  <c r="D34" i="13"/>
  <c r="C34" i="13"/>
  <c r="B34" i="13"/>
  <c r="AJ33" i="13"/>
  <c r="AI33" i="13"/>
  <c r="AH33" i="13"/>
  <c r="AG33" i="13"/>
  <c r="AF33" i="13"/>
  <c r="AE33" i="13"/>
  <c r="AD33" i="13"/>
  <c r="AC33" i="13"/>
  <c r="AA33" i="13"/>
  <c r="Z33" i="13"/>
  <c r="Y33" i="13"/>
  <c r="X33" i="13"/>
  <c r="W33" i="13"/>
  <c r="V33" i="13"/>
  <c r="U33" i="13"/>
  <c r="T33" i="13"/>
  <c r="R33" i="13"/>
  <c r="Q33" i="13"/>
  <c r="P33" i="13"/>
  <c r="O33" i="13"/>
  <c r="N33" i="13"/>
  <c r="M33" i="13"/>
  <c r="L33" i="13"/>
  <c r="K33" i="13"/>
  <c r="I33" i="13"/>
  <c r="H33" i="13"/>
  <c r="G33" i="13"/>
  <c r="F33" i="13"/>
  <c r="E33" i="13"/>
  <c r="D33" i="13"/>
  <c r="C33" i="13"/>
  <c r="B33" i="13"/>
  <c r="AJ32" i="13"/>
  <c r="AI32" i="13"/>
  <c r="AH32" i="13"/>
  <c r="AG32" i="13"/>
  <c r="AF32" i="13"/>
  <c r="AE32" i="13"/>
  <c r="AD32" i="13"/>
  <c r="AC32" i="13"/>
  <c r="AA32" i="13"/>
  <c r="Z32" i="13"/>
  <c r="Y32" i="13"/>
  <c r="X32" i="13"/>
  <c r="W32" i="13"/>
  <c r="V32" i="13"/>
  <c r="U32" i="13"/>
  <c r="T32" i="13"/>
  <c r="R32" i="13"/>
  <c r="Q32" i="13"/>
  <c r="P32" i="13"/>
  <c r="O32" i="13"/>
  <c r="N32" i="13"/>
  <c r="M32" i="13"/>
  <c r="L32" i="13"/>
  <c r="K32" i="13"/>
  <c r="I32" i="13"/>
  <c r="H32" i="13"/>
  <c r="G32" i="13"/>
  <c r="F32" i="13"/>
  <c r="E32" i="13"/>
  <c r="D32" i="13"/>
  <c r="C32" i="13"/>
  <c r="B32" i="13"/>
  <c r="AJ31" i="13"/>
  <c r="AI31" i="13"/>
  <c r="AH31" i="13"/>
  <c r="AG31" i="13"/>
  <c r="AF31" i="13"/>
  <c r="AE31" i="13"/>
  <c r="AD31" i="13"/>
  <c r="AC31" i="13"/>
  <c r="AA31" i="13"/>
  <c r="Z31" i="13"/>
  <c r="Y31" i="13"/>
  <c r="X31" i="13"/>
  <c r="W31" i="13"/>
  <c r="V31" i="13"/>
  <c r="U31" i="13"/>
  <c r="T31" i="13"/>
  <c r="R31" i="13"/>
  <c r="Q31" i="13"/>
  <c r="P31" i="13"/>
  <c r="O31" i="13"/>
  <c r="N31" i="13"/>
  <c r="M31" i="13"/>
  <c r="L31" i="13"/>
  <c r="K31" i="13"/>
  <c r="I31" i="13"/>
  <c r="H31" i="13"/>
  <c r="G31" i="13"/>
  <c r="F31" i="13"/>
  <c r="E31" i="13"/>
  <c r="D31" i="13"/>
  <c r="C31" i="13"/>
  <c r="B31" i="13"/>
  <c r="AJ30" i="13"/>
  <c r="AI30" i="13"/>
  <c r="AH30" i="13"/>
  <c r="AG30" i="13"/>
  <c r="AF30" i="13"/>
  <c r="AE30" i="13"/>
  <c r="AD30" i="13"/>
  <c r="AC30" i="13"/>
  <c r="AA30" i="13"/>
  <c r="Z30" i="13"/>
  <c r="Y30" i="13"/>
  <c r="X30" i="13"/>
  <c r="W30" i="13"/>
  <c r="V30" i="13"/>
  <c r="U30" i="13"/>
  <c r="T30" i="13"/>
  <c r="R30" i="13"/>
  <c r="Q30" i="13"/>
  <c r="P30" i="13"/>
  <c r="O30" i="13"/>
  <c r="N30" i="13"/>
  <c r="M30" i="13"/>
  <c r="L30" i="13"/>
  <c r="K30" i="13"/>
  <c r="I30" i="13"/>
  <c r="H30" i="13"/>
  <c r="G30" i="13"/>
  <c r="F30" i="13"/>
  <c r="E30" i="13"/>
  <c r="D30" i="13"/>
  <c r="C30" i="13"/>
  <c r="B30" i="13"/>
  <c r="AJ29" i="13"/>
  <c r="AI29" i="13"/>
  <c r="AH29" i="13"/>
  <c r="AG29" i="13"/>
  <c r="AF29" i="13"/>
  <c r="AE29" i="13"/>
  <c r="AD29" i="13"/>
  <c r="AC29" i="13"/>
  <c r="AA29" i="13"/>
  <c r="Z29" i="13"/>
  <c r="Y29" i="13"/>
  <c r="X29" i="13"/>
  <c r="W29" i="13"/>
  <c r="V29" i="13"/>
  <c r="U29" i="13"/>
  <c r="T29" i="13"/>
  <c r="R29" i="13"/>
  <c r="Q29" i="13"/>
  <c r="P29" i="13"/>
  <c r="O29" i="13"/>
  <c r="N29" i="13"/>
  <c r="M29" i="13"/>
  <c r="L29" i="13"/>
  <c r="K29" i="13"/>
  <c r="I29" i="13"/>
  <c r="H29" i="13"/>
  <c r="G29" i="13"/>
  <c r="F29" i="13"/>
  <c r="E29" i="13"/>
  <c r="D29" i="13"/>
  <c r="C29" i="13"/>
  <c r="B29" i="13"/>
  <c r="AJ28" i="13"/>
  <c r="AI28" i="13"/>
  <c r="AH28" i="13"/>
  <c r="AG28" i="13"/>
  <c r="AF28" i="13"/>
  <c r="AE28" i="13"/>
  <c r="AD28" i="13"/>
  <c r="AC28" i="13"/>
  <c r="AA28" i="13"/>
  <c r="Z28" i="13"/>
  <c r="Y28" i="13"/>
  <c r="X28" i="13"/>
  <c r="W28" i="13"/>
  <c r="V28" i="13"/>
  <c r="U28" i="13"/>
  <c r="T28" i="13"/>
  <c r="R28" i="13"/>
  <c r="Q28" i="13"/>
  <c r="P28" i="13"/>
  <c r="O28" i="13"/>
  <c r="N28" i="13"/>
  <c r="M28" i="13"/>
  <c r="L28" i="13"/>
  <c r="K28" i="13"/>
  <c r="I28" i="13"/>
  <c r="H28" i="13"/>
  <c r="G28" i="13"/>
  <c r="F28" i="13"/>
  <c r="E28" i="13"/>
  <c r="D28" i="13"/>
  <c r="C28" i="13"/>
  <c r="B28" i="13"/>
  <c r="AJ27" i="13"/>
  <c r="AI27" i="13"/>
  <c r="AH27" i="13"/>
  <c r="AG27" i="13"/>
  <c r="AF27" i="13"/>
  <c r="AE27" i="13"/>
  <c r="AD27" i="13"/>
  <c r="AC27" i="13"/>
  <c r="AA27" i="13"/>
  <c r="Z27" i="13"/>
  <c r="Y27" i="13"/>
  <c r="X27" i="13"/>
  <c r="W27" i="13"/>
  <c r="V27" i="13"/>
  <c r="U27" i="13"/>
  <c r="T27" i="13"/>
  <c r="R27" i="13"/>
  <c r="Q27" i="13"/>
  <c r="P27" i="13"/>
  <c r="O27" i="13"/>
  <c r="N27" i="13"/>
  <c r="M27" i="13"/>
  <c r="L27" i="13"/>
  <c r="K27" i="13"/>
  <c r="I27" i="13"/>
  <c r="H27" i="13"/>
  <c r="G27" i="13"/>
  <c r="F27" i="13"/>
  <c r="E27" i="13"/>
  <c r="D27" i="13"/>
  <c r="C27" i="13"/>
  <c r="B27" i="13"/>
  <c r="AJ26" i="13"/>
  <c r="AI26" i="13"/>
  <c r="AH26" i="13"/>
  <c r="AG26" i="13"/>
  <c r="AF26" i="13"/>
  <c r="AE26" i="13"/>
  <c r="AD26" i="13"/>
  <c r="AC26" i="13"/>
  <c r="AA26" i="13"/>
  <c r="Z26" i="13"/>
  <c r="Y26" i="13"/>
  <c r="X26" i="13"/>
  <c r="W26" i="13"/>
  <c r="V26" i="13"/>
  <c r="U26" i="13"/>
  <c r="T26" i="13"/>
  <c r="R26" i="13"/>
  <c r="Q26" i="13"/>
  <c r="P26" i="13"/>
  <c r="O26" i="13"/>
  <c r="N26" i="13"/>
  <c r="M26" i="13"/>
  <c r="L26" i="13"/>
  <c r="K26" i="13"/>
  <c r="I26" i="13"/>
  <c r="H26" i="13"/>
  <c r="G26" i="13"/>
  <c r="F26" i="13"/>
  <c r="E26" i="13"/>
  <c r="D26" i="13"/>
  <c r="C26" i="13"/>
  <c r="B26" i="13"/>
  <c r="AJ25" i="13"/>
  <c r="AI25" i="13"/>
  <c r="AH25" i="13"/>
  <c r="AG25" i="13"/>
  <c r="AF25" i="13"/>
  <c r="AE25" i="13"/>
  <c r="AD25" i="13"/>
  <c r="AC25" i="13"/>
  <c r="AA25" i="13"/>
  <c r="Z25" i="13"/>
  <c r="Y25" i="13"/>
  <c r="X25" i="13"/>
  <c r="W25" i="13"/>
  <c r="V25" i="13"/>
  <c r="U25" i="13"/>
  <c r="T25" i="13"/>
  <c r="R25" i="13"/>
  <c r="Q25" i="13"/>
  <c r="P25" i="13"/>
  <c r="O25" i="13"/>
  <c r="N25" i="13"/>
  <c r="M25" i="13"/>
  <c r="L25" i="13"/>
  <c r="K25" i="13"/>
  <c r="I25" i="13"/>
  <c r="H25" i="13"/>
  <c r="G25" i="13"/>
  <c r="F25" i="13"/>
  <c r="E25" i="13"/>
  <c r="D25" i="13"/>
  <c r="C25" i="13"/>
  <c r="B25" i="13"/>
  <c r="AJ24" i="13"/>
  <c r="AI24" i="13"/>
  <c r="AH24" i="13"/>
  <c r="AG24" i="13"/>
  <c r="AF24" i="13"/>
  <c r="AE24" i="13"/>
  <c r="AD24" i="13"/>
  <c r="AC24" i="13"/>
  <c r="AA24" i="13"/>
  <c r="Z24" i="13"/>
  <c r="Y24" i="13"/>
  <c r="X24" i="13"/>
  <c r="W24" i="13"/>
  <c r="V24" i="13"/>
  <c r="U24" i="13"/>
  <c r="T24" i="13"/>
  <c r="R24" i="13"/>
  <c r="Q24" i="13"/>
  <c r="P24" i="13"/>
  <c r="O24" i="13"/>
  <c r="N24" i="13"/>
  <c r="M24" i="13"/>
  <c r="L24" i="13"/>
  <c r="K24" i="13"/>
  <c r="I24" i="13"/>
  <c r="H24" i="13"/>
  <c r="G24" i="13"/>
  <c r="F24" i="13"/>
  <c r="E24" i="13"/>
  <c r="D24" i="13"/>
  <c r="C24" i="13"/>
  <c r="B24" i="13"/>
  <c r="AJ23" i="13"/>
  <c r="AI23" i="13"/>
  <c r="AH23" i="13"/>
  <c r="AG23" i="13"/>
  <c r="AF23" i="13"/>
  <c r="AE23" i="13"/>
  <c r="AD23" i="13"/>
  <c r="AC23" i="13"/>
  <c r="AA23" i="13"/>
  <c r="Z23" i="13"/>
  <c r="Y23" i="13"/>
  <c r="X23" i="13"/>
  <c r="W23" i="13"/>
  <c r="V23" i="13"/>
  <c r="U23" i="13"/>
  <c r="T23" i="13"/>
  <c r="R23" i="13"/>
  <c r="Q23" i="13"/>
  <c r="P23" i="13"/>
  <c r="O23" i="13"/>
  <c r="N23" i="13"/>
  <c r="M23" i="13"/>
  <c r="L23" i="13"/>
  <c r="K23" i="13"/>
  <c r="I23" i="13"/>
  <c r="H23" i="13"/>
  <c r="G23" i="13"/>
  <c r="F23" i="13"/>
  <c r="E23" i="13"/>
  <c r="D23" i="13"/>
  <c r="C23" i="13"/>
  <c r="B23" i="13"/>
  <c r="AJ22" i="13"/>
  <c r="AI22" i="13"/>
  <c r="AH22" i="13"/>
  <c r="AG22" i="13"/>
  <c r="AF22" i="13"/>
  <c r="AE22" i="13"/>
  <c r="AD22" i="13"/>
  <c r="AC22" i="13"/>
  <c r="AA22" i="13"/>
  <c r="Z22" i="13"/>
  <c r="Y22" i="13"/>
  <c r="X22" i="13"/>
  <c r="W22" i="13"/>
  <c r="V22" i="13"/>
  <c r="U22" i="13"/>
  <c r="T22" i="13"/>
  <c r="R22" i="13"/>
  <c r="Q22" i="13"/>
  <c r="P22" i="13"/>
  <c r="O22" i="13"/>
  <c r="N22" i="13"/>
  <c r="M22" i="13"/>
  <c r="L22" i="13"/>
  <c r="K22" i="13"/>
  <c r="I22" i="13"/>
  <c r="H22" i="13"/>
  <c r="G22" i="13"/>
  <c r="F22" i="13"/>
  <c r="E22" i="13"/>
  <c r="D22" i="13"/>
  <c r="C22" i="13"/>
  <c r="B22" i="13"/>
  <c r="AJ21" i="13"/>
  <c r="AI21" i="13"/>
  <c r="AH21" i="13"/>
  <c r="AG21" i="13"/>
  <c r="AF21" i="13"/>
  <c r="AE21" i="13"/>
  <c r="AD21" i="13"/>
  <c r="AC21" i="13"/>
  <c r="AA21" i="13"/>
  <c r="Z21" i="13"/>
  <c r="Y21" i="13"/>
  <c r="X21" i="13"/>
  <c r="W21" i="13"/>
  <c r="V21" i="13"/>
  <c r="U21" i="13"/>
  <c r="T21" i="13"/>
  <c r="R21" i="13"/>
  <c r="Q21" i="13"/>
  <c r="P21" i="13"/>
  <c r="O21" i="13"/>
  <c r="N21" i="13"/>
  <c r="M21" i="13"/>
  <c r="L21" i="13"/>
  <c r="K21" i="13"/>
  <c r="I21" i="13"/>
  <c r="H21" i="13"/>
  <c r="G21" i="13"/>
  <c r="F21" i="13"/>
  <c r="E21" i="13"/>
  <c r="D21" i="13"/>
  <c r="C21" i="13"/>
  <c r="B21" i="13"/>
  <c r="AJ20" i="13"/>
  <c r="AI20" i="13"/>
  <c r="AH20" i="13"/>
  <c r="AG20" i="13"/>
  <c r="AF20" i="13"/>
  <c r="AE20" i="13"/>
  <c r="AD20" i="13"/>
  <c r="AC20" i="13"/>
  <c r="AA20" i="13"/>
  <c r="Z20" i="13"/>
  <c r="Y20" i="13"/>
  <c r="X20" i="13"/>
  <c r="W20" i="13"/>
  <c r="V20" i="13"/>
  <c r="U20" i="13"/>
  <c r="T20" i="13"/>
  <c r="R20" i="13"/>
  <c r="Q20" i="13"/>
  <c r="P20" i="13"/>
  <c r="O20" i="13"/>
  <c r="N20" i="13"/>
  <c r="M20" i="13"/>
  <c r="L20" i="13"/>
  <c r="K20" i="13"/>
  <c r="I20" i="13"/>
  <c r="H20" i="13"/>
  <c r="G20" i="13"/>
  <c r="F20" i="13"/>
  <c r="E20" i="13"/>
  <c r="D20" i="13"/>
  <c r="C20" i="13"/>
  <c r="B20" i="13"/>
  <c r="AJ19" i="13"/>
  <c r="AI19" i="13"/>
  <c r="AH19" i="13"/>
  <c r="AG19" i="13"/>
  <c r="AF19" i="13"/>
  <c r="AE19" i="13"/>
  <c r="AD19" i="13"/>
  <c r="AC19" i="13"/>
  <c r="AA19" i="13"/>
  <c r="Z19" i="13"/>
  <c r="Y19" i="13"/>
  <c r="X19" i="13"/>
  <c r="W19" i="13"/>
  <c r="V19" i="13"/>
  <c r="U19" i="13"/>
  <c r="T19" i="13"/>
  <c r="R19" i="13"/>
  <c r="Q19" i="13"/>
  <c r="P19" i="13"/>
  <c r="O19" i="13"/>
  <c r="N19" i="13"/>
  <c r="M19" i="13"/>
  <c r="L19" i="13"/>
  <c r="K19" i="13"/>
  <c r="I19" i="13"/>
  <c r="H19" i="13"/>
  <c r="G19" i="13"/>
  <c r="F19" i="13"/>
  <c r="E19" i="13"/>
  <c r="D19" i="13"/>
  <c r="C19" i="13"/>
  <c r="B19" i="13"/>
  <c r="AJ18" i="13"/>
  <c r="AI18" i="13"/>
  <c r="AH18" i="13"/>
  <c r="AG18" i="13"/>
  <c r="AF18" i="13"/>
  <c r="AE18" i="13"/>
  <c r="AD18" i="13"/>
  <c r="AC18" i="13"/>
  <c r="AA18" i="13"/>
  <c r="Z18" i="13"/>
  <c r="Y18" i="13"/>
  <c r="X18" i="13"/>
  <c r="W18" i="13"/>
  <c r="V18" i="13"/>
  <c r="U18" i="13"/>
  <c r="T18" i="13"/>
  <c r="R18" i="13"/>
  <c r="Q18" i="13"/>
  <c r="P18" i="13"/>
  <c r="O18" i="13"/>
  <c r="N18" i="13"/>
  <c r="M18" i="13"/>
  <c r="L18" i="13"/>
  <c r="K18" i="13"/>
  <c r="I18" i="13"/>
  <c r="H18" i="13"/>
  <c r="G18" i="13"/>
  <c r="F18" i="13"/>
  <c r="E18" i="13"/>
  <c r="D18" i="13"/>
  <c r="C18" i="13"/>
  <c r="B18" i="13"/>
  <c r="AJ17" i="13"/>
  <c r="AI17" i="13"/>
  <c r="AH17" i="13"/>
  <c r="AG17" i="13"/>
  <c r="AF17" i="13"/>
  <c r="AE17" i="13"/>
  <c r="AD17" i="13"/>
  <c r="AC17" i="13"/>
  <c r="AA17" i="13"/>
  <c r="Z17" i="13"/>
  <c r="Y17" i="13"/>
  <c r="X17" i="13"/>
  <c r="W17" i="13"/>
  <c r="V17" i="13"/>
  <c r="U17" i="13"/>
  <c r="T17" i="13"/>
  <c r="R17" i="13"/>
  <c r="Q17" i="13"/>
  <c r="P17" i="13"/>
  <c r="O17" i="13"/>
  <c r="N17" i="13"/>
  <c r="M17" i="13"/>
  <c r="L17" i="13"/>
  <c r="K17" i="13"/>
  <c r="I17" i="13"/>
  <c r="H17" i="13"/>
  <c r="G17" i="13"/>
  <c r="F17" i="13"/>
  <c r="E17" i="13"/>
  <c r="D17" i="13"/>
  <c r="C17" i="13"/>
  <c r="B17" i="13"/>
  <c r="AJ16" i="13"/>
  <c r="AI16" i="13"/>
  <c r="AH16" i="13"/>
  <c r="AG16" i="13"/>
  <c r="AF16" i="13"/>
  <c r="AE16" i="13"/>
  <c r="AD16" i="13"/>
  <c r="AC16" i="13"/>
  <c r="AA16" i="13"/>
  <c r="Z16" i="13"/>
  <c r="Y16" i="13"/>
  <c r="X16" i="13"/>
  <c r="W16" i="13"/>
  <c r="V16" i="13"/>
  <c r="U16" i="13"/>
  <c r="T16" i="13"/>
  <c r="R16" i="13"/>
  <c r="Q16" i="13"/>
  <c r="P16" i="13"/>
  <c r="O16" i="13"/>
  <c r="N16" i="13"/>
  <c r="M16" i="13"/>
  <c r="L16" i="13"/>
  <c r="K16" i="13"/>
  <c r="I16" i="13"/>
  <c r="H16" i="13"/>
  <c r="G16" i="13"/>
  <c r="F16" i="13"/>
  <c r="E16" i="13"/>
  <c r="D16" i="13"/>
  <c r="C16" i="13"/>
  <c r="B16" i="13"/>
  <c r="AJ15" i="13"/>
  <c r="AI15" i="13"/>
  <c r="AH15" i="13"/>
  <c r="AG15" i="13"/>
  <c r="AF15" i="13"/>
  <c r="AE15" i="13"/>
  <c r="AD15" i="13"/>
  <c r="AC15" i="13"/>
  <c r="AA15" i="13"/>
  <c r="Z15" i="13"/>
  <c r="Y15" i="13"/>
  <c r="X15" i="13"/>
  <c r="W15" i="13"/>
  <c r="V15" i="13"/>
  <c r="U15" i="13"/>
  <c r="T15" i="13"/>
  <c r="R15" i="13"/>
  <c r="Q15" i="13"/>
  <c r="P15" i="13"/>
  <c r="O15" i="13"/>
  <c r="N15" i="13"/>
  <c r="M15" i="13"/>
  <c r="L15" i="13"/>
  <c r="K15" i="13"/>
  <c r="I15" i="13"/>
  <c r="H15" i="13"/>
  <c r="G15" i="13"/>
  <c r="F15" i="13"/>
  <c r="E15" i="13"/>
  <c r="D15" i="13"/>
  <c r="C15" i="13"/>
  <c r="B15" i="13"/>
  <c r="AJ14" i="13"/>
  <c r="AI14" i="13"/>
  <c r="AH14" i="13"/>
  <c r="AG14" i="13"/>
  <c r="AF14" i="13"/>
  <c r="AE14" i="13"/>
  <c r="AD14" i="13"/>
  <c r="AC14" i="13"/>
  <c r="AA14" i="13"/>
  <c r="Z14" i="13"/>
  <c r="Y14" i="13"/>
  <c r="X14" i="13"/>
  <c r="W14" i="13"/>
  <c r="V14" i="13"/>
  <c r="U14" i="13"/>
  <c r="T14" i="13"/>
  <c r="R14" i="13"/>
  <c r="Q14" i="13"/>
  <c r="P14" i="13"/>
  <c r="O14" i="13"/>
  <c r="N14" i="13"/>
  <c r="M14" i="13"/>
  <c r="L14" i="13"/>
  <c r="K14" i="13"/>
  <c r="I14" i="13"/>
  <c r="H14" i="13"/>
  <c r="G14" i="13"/>
  <c r="F14" i="13"/>
  <c r="E14" i="13"/>
  <c r="D14" i="13"/>
  <c r="C14" i="13"/>
  <c r="B14" i="13"/>
  <c r="AJ13" i="13"/>
  <c r="AI13" i="13"/>
  <c r="AH13" i="13"/>
  <c r="AG13" i="13"/>
  <c r="AF13" i="13"/>
  <c r="AE13" i="13"/>
  <c r="AD13" i="13"/>
  <c r="AC13" i="13"/>
  <c r="AA13" i="13"/>
  <c r="Z13" i="13"/>
  <c r="Y13" i="13"/>
  <c r="X13" i="13"/>
  <c r="W13" i="13"/>
  <c r="V13" i="13"/>
  <c r="U13" i="13"/>
  <c r="T13" i="13"/>
  <c r="R13" i="13"/>
  <c r="Q13" i="13"/>
  <c r="P13" i="13"/>
  <c r="O13" i="13"/>
  <c r="N13" i="13"/>
  <c r="M13" i="13"/>
  <c r="L13" i="13"/>
  <c r="K13" i="13"/>
  <c r="I13" i="13"/>
  <c r="H13" i="13"/>
  <c r="G13" i="13"/>
  <c r="F13" i="13"/>
  <c r="E13" i="13"/>
  <c r="D13" i="13"/>
  <c r="C13" i="13"/>
  <c r="B13" i="13"/>
  <c r="AJ12" i="13"/>
  <c r="AI12" i="13"/>
  <c r="AH12" i="13"/>
  <c r="AG12" i="13"/>
  <c r="AF12" i="13"/>
  <c r="AE12" i="13"/>
  <c r="AD12" i="13"/>
  <c r="AC12" i="13"/>
  <c r="AA12" i="13"/>
  <c r="Z12" i="13"/>
  <c r="Y12" i="13"/>
  <c r="X12" i="13"/>
  <c r="W12" i="13"/>
  <c r="V12" i="13"/>
  <c r="U12" i="13"/>
  <c r="T12" i="13"/>
  <c r="R12" i="13"/>
  <c r="Q12" i="13"/>
  <c r="P12" i="13"/>
  <c r="O12" i="13"/>
  <c r="N12" i="13"/>
  <c r="M12" i="13"/>
  <c r="L12" i="13"/>
  <c r="K12" i="13"/>
  <c r="I12" i="13"/>
  <c r="H12" i="13"/>
  <c r="G12" i="13"/>
  <c r="F12" i="13"/>
  <c r="E12" i="13"/>
  <c r="D12" i="13"/>
  <c r="C12" i="13"/>
  <c r="B12" i="13"/>
  <c r="AJ11" i="13"/>
  <c r="AI11" i="13"/>
  <c r="AH11" i="13"/>
  <c r="AG11" i="13"/>
  <c r="AF11" i="13"/>
  <c r="AE11" i="13"/>
  <c r="AD11" i="13"/>
  <c r="AC11" i="13"/>
  <c r="AA11" i="13"/>
  <c r="Z11" i="13"/>
  <c r="Y11" i="13"/>
  <c r="X11" i="13"/>
  <c r="W11" i="13"/>
  <c r="V11" i="13"/>
  <c r="U11" i="13"/>
  <c r="T11" i="13"/>
  <c r="R11" i="13"/>
  <c r="Q11" i="13"/>
  <c r="P11" i="13"/>
  <c r="O11" i="13"/>
  <c r="N11" i="13"/>
  <c r="M11" i="13"/>
  <c r="L11" i="13"/>
  <c r="K11" i="13"/>
  <c r="I11" i="13"/>
  <c r="H11" i="13"/>
  <c r="G11" i="13"/>
  <c r="F11" i="13"/>
  <c r="E11" i="13"/>
  <c r="D11" i="13"/>
  <c r="C11" i="13"/>
  <c r="B11" i="13"/>
  <c r="AJ10" i="13"/>
  <c r="AI10" i="13"/>
  <c r="AH10" i="13"/>
  <c r="AG10" i="13"/>
  <c r="AF10" i="13"/>
  <c r="AE10" i="13"/>
  <c r="AD10" i="13"/>
  <c r="AC10" i="13"/>
  <c r="AA10" i="13"/>
  <c r="Z10" i="13"/>
  <c r="Y10" i="13"/>
  <c r="X10" i="13"/>
  <c r="W10" i="13"/>
  <c r="V10" i="13"/>
  <c r="U10" i="13"/>
  <c r="T10" i="13"/>
  <c r="R10" i="13"/>
  <c r="Q10" i="13"/>
  <c r="P10" i="13"/>
  <c r="O10" i="13"/>
  <c r="N10" i="13"/>
  <c r="M10" i="13"/>
  <c r="L10" i="13"/>
  <c r="K10" i="13"/>
  <c r="I10" i="13"/>
  <c r="I9" i="13" s="1"/>
  <c r="I8" i="13" s="1"/>
  <c r="H10" i="13"/>
  <c r="H9" i="13" s="1"/>
  <c r="H8" i="13" s="1"/>
  <c r="G10" i="13"/>
  <c r="F10" i="13"/>
  <c r="E10" i="13"/>
  <c r="E9" i="13" s="1"/>
  <c r="E8" i="13" s="1"/>
  <c r="D10" i="13"/>
  <c r="D9" i="13" s="1"/>
  <c r="D8" i="13" s="1"/>
  <c r="C10" i="13"/>
  <c r="B10" i="13"/>
  <c r="B9" i="13" s="1"/>
  <c r="B8" i="13" s="1"/>
  <c r="AJ9" i="13"/>
  <c r="AI9" i="13"/>
  <c r="AI8" i="13" s="1"/>
  <c r="AH9" i="13"/>
  <c r="AG9" i="13"/>
  <c r="AF9" i="13"/>
  <c r="AE9" i="13"/>
  <c r="AE8" i="13" s="1"/>
  <c r="AD9" i="13"/>
  <c r="AC9" i="13"/>
  <c r="AA9" i="13"/>
  <c r="Z9" i="13"/>
  <c r="Z8" i="13" s="1"/>
  <c r="Y9" i="13"/>
  <c r="X9" i="13"/>
  <c r="W9" i="13"/>
  <c r="V9" i="13"/>
  <c r="V8" i="13" s="1"/>
  <c r="U9" i="13"/>
  <c r="T9" i="13"/>
  <c r="R9" i="13"/>
  <c r="Q9" i="13"/>
  <c r="Q8" i="13" s="1"/>
  <c r="P9" i="13"/>
  <c r="O9" i="13"/>
  <c r="N9" i="13"/>
  <c r="M9" i="13"/>
  <c r="M8" i="13" s="1"/>
  <c r="L9" i="13"/>
  <c r="K9" i="13"/>
  <c r="G9" i="13"/>
  <c r="F9" i="13"/>
  <c r="C9" i="13"/>
  <c r="AJ8" i="13"/>
  <c r="AH8" i="13"/>
  <c r="AG8" i="13"/>
  <c r="AF8" i="13"/>
  <c r="AD8" i="13"/>
  <c r="AC8" i="13"/>
  <c r="AA8" i="13"/>
  <c r="Y8" i="13"/>
  <c r="X8" i="13"/>
  <c r="W8" i="13"/>
  <c r="U8" i="13"/>
  <c r="T8" i="13"/>
  <c r="R8" i="13"/>
  <c r="P8" i="13"/>
  <c r="O8" i="13"/>
  <c r="N8" i="13"/>
  <c r="L8" i="13"/>
  <c r="K8" i="13"/>
  <c r="G8" i="13"/>
  <c r="F8" i="13"/>
  <c r="C8" i="13"/>
  <c r="AJ56" i="10"/>
  <c r="AI56" i="10"/>
  <c r="AH56" i="10"/>
  <c r="AG56" i="10"/>
  <c r="AF56" i="10"/>
  <c r="AE56" i="10"/>
  <c r="AD56" i="10"/>
  <c r="AC56" i="10"/>
  <c r="AA56" i="10"/>
  <c r="Z56" i="10"/>
  <c r="Y56" i="10"/>
  <c r="X56" i="10"/>
  <c r="W56" i="10"/>
  <c r="V56" i="10"/>
  <c r="U56" i="10"/>
  <c r="T56" i="10"/>
  <c r="R56" i="10"/>
  <c r="Q56" i="10"/>
  <c r="P56" i="10"/>
  <c r="O56" i="10"/>
  <c r="N56" i="10"/>
  <c r="M56" i="10"/>
  <c r="L56" i="10"/>
  <c r="K56" i="10"/>
  <c r="I56" i="10"/>
  <c r="H56" i="10"/>
  <c r="G56" i="10"/>
  <c r="F56" i="10"/>
  <c r="E56" i="10"/>
  <c r="D56" i="10"/>
  <c r="C56" i="10"/>
  <c r="B56" i="10"/>
  <c r="AJ55" i="10"/>
  <c r="AI55" i="10"/>
  <c r="AH55" i="10"/>
  <c r="AG55" i="10"/>
  <c r="AF55" i="10"/>
  <c r="AE55" i="10"/>
  <c r="AD55" i="10"/>
  <c r="AC55" i="10"/>
  <c r="AA55" i="10"/>
  <c r="Z55" i="10"/>
  <c r="Y55" i="10"/>
  <c r="X55" i="10"/>
  <c r="W55" i="10"/>
  <c r="V55" i="10"/>
  <c r="U55" i="10"/>
  <c r="T55" i="10"/>
  <c r="R55" i="10"/>
  <c r="Q55" i="10"/>
  <c r="P55" i="10"/>
  <c r="O55" i="10"/>
  <c r="N55" i="10"/>
  <c r="M55" i="10"/>
  <c r="L55" i="10"/>
  <c r="K55" i="10"/>
  <c r="I55" i="10"/>
  <c r="H55" i="10"/>
  <c r="G55" i="10"/>
  <c r="F55" i="10"/>
  <c r="E55" i="10"/>
  <c r="D55" i="10"/>
  <c r="C55" i="10"/>
  <c r="B55" i="10"/>
  <c r="AJ54" i="10"/>
  <c r="AI54" i="10"/>
  <c r="AH54" i="10"/>
  <c r="AG54" i="10"/>
  <c r="AF54" i="10"/>
  <c r="AE54" i="10"/>
  <c r="AD54" i="10"/>
  <c r="AC54" i="10"/>
  <c r="AA54" i="10"/>
  <c r="Z54" i="10"/>
  <c r="Y54" i="10"/>
  <c r="X54" i="10"/>
  <c r="W54" i="10"/>
  <c r="V54" i="10"/>
  <c r="U54" i="10"/>
  <c r="T54" i="10"/>
  <c r="R54" i="10"/>
  <c r="Q54" i="10"/>
  <c r="P54" i="10"/>
  <c r="O54" i="10"/>
  <c r="N54" i="10"/>
  <c r="M54" i="10"/>
  <c r="L54" i="10"/>
  <c r="K54" i="10"/>
  <c r="I54" i="10"/>
  <c r="H54" i="10"/>
  <c r="G54" i="10"/>
  <c r="F54" i="10"/>
  <c r="E54" i="10"/>
  <c r="D54" i="10"/>
  <c r="C54" i="10"/>
  <c r="B54" i="10"/>
  <c r="AJ53" i="10"/>
  <c r="AI53" i="10"/>
  <c r="AH53" i="10"/>
  <c r="AG53" i="10"/>
  <c r="AF53" i="10"/>
  <c r="AE53" i="10"/>
  <c r="AD53" i="10"/>
  <c r="AC53" i="10"/>
  <c r="AA53" i="10"/>
  <c r="Z53" i="10"/>
  <c r="Y53" i="10"/>
  <c r="X53" i="10"/>
  <c r="W53" i="10"/>
  <c r="V53" i="10"/>
  <c r="U53" i="10"/>
  <c r="T53" i="10"/>
  <c r="R53" i="10"/>
  <c r="Q53" i="10"/>
  <c r="P53" i="10"/>
  <c r="O53" i="10"/>
  <c r="N53" i="10"/>
  <c r="M53" i="10"/>
  <c r="L53" i="10"/>
  <c r="K53" i="10"/>
  <c r="I53" i="10"/>
  <c r="H53" i="10"/>
  <c r="G53" i="10"/>
  <c r="F53" i="10"/>
  <c r="E53" i="10"/>
  <c r="D53" i="10"/>
  <c r="C53" i="10"/>
  <c r="B53" i="10"/>
  <c r="AJ52" i="10"/>
  <c r="AI52" i="10"/>
  <c r="AH52" i="10"/>
  <c r="AG52" i="10"/>
  <c r="AF52" i="10"/>
  <c r="AE52" i="10"/>
  <c r="AD52" i="10"/>
  <c r="AC52" i="10"/>
  <c r="AA52" i="10"/>
  <c r="Z52" i="10"/>
  <c r="Y52" i="10"/>
  <c r="X52" i="10"/>
  <c r="W52" i="10"/>
  <c r="V52" i="10"/>
  <c r="U52" i="10"/>
  <c r="T52" i="10"/>
  <c r="R52" i="10"/>
  <c r="Q52" i="10"/>
  <c r="P52" i="10"/>
  <c r="O52" i="10"/>
  <c r="N52" i="10"/>
  <c r="M52" i="10"/>
  <c r="L52" i="10"/>
  <c r="K52" i="10"/>
  <c r="I52" i="10"/>
  <c r="H52" i="10"/>
  <c r="G52" i="10"/>
  <c r="F52" i="10"/>
  <c r="E52" i="10"/>
  <c r="D52" i="10"/>
  <c r="C52" i="10"/>
  <c r="B52" i="10"/>
  <c r="AJ51" i="10"/>
  <c r="AI51" i="10"/>
  <c r="AH51" i="10"/>
  <c r="AG51" i="10"/>
  <c r="AF51" i="10"/>
  <c r="AE51" i="10"/>
  <c r="AD51" i="10"/>
  <c r="AC51" i="10"/>
  <c r="AA51" i="10"/>
  <c r="Z51" i="10"/>
  <c r="Y51" i="10"/>
  <c r="X51" i="10"/>
  <c r="W51" i="10"/>
  <c r="V51" i="10"/>
  <c r="U51" i="10"/>
  <c r="T51" i="10"/>
  <c r="R51" i="10"/>
  <c r="Q51" i="10"/>
  <c r="P51" i="10"/>
  <c r="O51" i="10"/>
  <c r="N51" i="10"/>
  <c r="M51" i="10"/>
  <c r="L51" i="10"/>
  <c r="K51" i="10"/>
  <c r="I51" i="10"/>
  <c r="H51" i="10"/>
  <c r="G51" i="10"/>
  <c r="F51" i="10"/>
  <c r="E51" i="10"/>
  <c r="D51" i="10"/>
  <c r="C51" i="10"/>
  <c r="B51" i="10"/>
  <c r="AJ50" i="10"/>
  <c r="AI50" i="10"/>
  <c r="AH50" i="10"/>
  <c r="AG50" i="10"/>
  <c r="AF50" i="10"/>
  <c r="AE50" i="10"/>
  <c r="AD50" i="10"/>
  <c r="AC50" i="10"/>
  <c r="AA50" i="10"/>
  <c r="Z50" i="10"/>
  <c r="Y50" i="10"/>
  <c r="X50" i="10"/>
  <c r="W50" i="10"/>
  <c r="V50" i="10"/>
  <c r="U50" i="10"/>
  <c r="T50" i="10"/>
  <c r="R50" i="10"/>
  <c r="Q50" i="10"/>
  <c r="P50" i="10"/>
  <c r="O50" i="10"/>
  <c r="N50" i="10"/>
  <c r="M50" i="10"/>
  <c r="L50" i="10"/>
  <c r="K50" i="10"/>
  <c r="I50" i="10"/>
  <c r="H50" i="10"/>
  <c r="G50" i="10"/>
  <c r="F50" i="10"/>
  <c r="E50" i="10"/>
  <c r="D50" i="10"/>
  <c r="C50" i="10"/>
  <c r="B50" i="10"/>
  <c r="AJ48" i="10"/>
  <c r="AI48" i="10"/>
  <c r="AH48" i="10"/>
  <c r="AG48" i="10"/>
  <c r="AF48" i="10"/>
  <c r="AE48" i="10"/>
  <c r="AD48" i="10"/>
  <c r="AC48" i="10"/>
  <c r="AA48" i="10"/>
  <c r="Z48" i="10"/>
  <c r="Y48" i="10"/>
  <c r="X48" i="10"/>
  <c r="W48" i="10"/>
  <c r="V48" i="10"/>
  <c r="U48" i="10"/>
  <c r="T48" i="10"/>
  <c r="R48" i="10"/>
  <c r="Q48" i="10"/>
  <c r="P48" i="10"/>
  <c r="O48" i="10"/>
  <c r="N48" i="10"/>
  <c r="M48" i="10"/>
  <c r="L48" i="10"/>
  <c r="K48" i="10"/>
  <c r="I48" i="10"/>
  <c r="H48" i="10"/>
  <c r="G48" i="10"/>
  <c r="F48" i="10"/>
  <c r="E48" i="10"/>
  <c r="D48" i="10"/>
  <c r="C48" i="10"/>
  <c r="B48" i="10"/>
  <c r="AJ47" i="10"/>
  <c r="AI47" i="10"/>
  <c r="AH47" i="10"/>
  <c r="AG47" i="10"/>
  <c r="AF47" i="10"/>
  <c r="AE47" i="10"/>
  <c r="AD47" i="10"/>
  <c r="AC47" i="10"/>
  <c r="AA47" i="10"/>
  <c r="Z47" i="10"/>
  <c r="Y47" i="10"/>
  <c r="X47" i="10"/>
  <c r="W47" i="10"/>
  <c r="V47" i="10"/>
  <c r="U47" i="10"/>
  <c r="T47" i="10"/>
  <c r="R47" i="10"/>
  <c r="Q47" i="10"/>
  <c r="P47" i="10"/>
  <c r="O47" i="10"/>
  <c r="N47" i="10"/>
  <c r="M47" i="10"/>
  <c r="L47" i="10"/>
  <c r="K47" i="10"/>
  <c r="I47" i="10"/>
  <c r="H47" i="10"/>
  <c r="G47" i="10"/>
  <c r="F47" i="10"/>
  <c r="E47" i="10"/>
  <c r="D47" i="10"/>
  <c r="C47" i="10"/>
  <c r="B47" i="10"/>
  <c r="AJ46" i="10"/>
  <c r="AI46" i="10"/>
  <c r="AH46" i="10"/>
  <c r="AG46" i="10"/>
  <c r="AF46" i="10"/>
  <c r="AE46" i="10"/>
  <c r="AD46" i="10"/>
  <c r="AC46" i="10"/>
  <c r="AA46" i="10"/>
  <c r="Z46" i="10"/>
  <c r="Y46" i="10"/>
  <c r="X46" i="10"/>
  <c r="W46" i="10"/>
  <c r="V46" i="10"/>
  <c r="U46" i="10"/>
  <c r="T46" i="10"/>
  <c r="R46" i="10"/>
  <c r="Q46" i="10"/>
  <c r="P46" i="10"/>
  <c r="O46" i="10"/>
  <c r="N46" i="10"/>
  <c r="M46" i="10"/>
  <c r="L46" i="10"/>
  <c r="K46" i="10"/>
  <c r="I46" i="10"/>
  <c r="H46" i="10"/>
  <c r="G46" i="10"/>
  <c r="F46" i="10"/>
  <c r="E46" i="10"/>
  <c r="D46" i="10"/>
  <c r="C46" i="10"/>
  <c r="B46" i="10"/>
  <c r="AJ45" i="10"/>
  <c r="AI45" i="10"/>
  <c r="AH45" i="10"/>
  <c r="AG45" i="10"/>
  <c r="AF45" i="10"/>
  <c r="AE45" i="10"/>
  <c r="AD45" i="10"/>
  <c r="AC45" i="10"/>
  <c r="AA45" i="10"/>
  <c r="Z45" i="10"/>
  <c r="Y45" i="10"/>
  <c r="X45" i="10"/>
  <c r="W45" i="10"/>
  <c r="V45" i="10"/>
  <c r="U45" i="10"/>
  <c r="T45" i="10"/>
  <c r="R45" i="10"/>
  <c r="Q45" i="10"/>
  <c r="P45" i="10"/>
  <c r="O45" i="10"/>
  <c r="N45" i="10"/>
  <c r="M45" i="10"/>
  <c r="L45" i="10"/>
  <c r="K45" i="10"/>
  <c r="I45" i="10"/>
  <c r="H45" i="10"/>
  <c r="G45" i="10"/>
  <c r="F45" i="10"/>
  <c r="E45" i="10"/>
  <c r="D45" i="10"/>
  <c r="C45" i="10"/>
  <c r="B45" i="10"/>
  <c r="AJ44" i="10"/>
  <c r="AI44" i="10"/>
  <c r="AH44" i="10"/>
  <c r="AG44" i="10"/>
  <c r="AF44" i="10"/>
  <c r="AE44" i="10"/>
  <c r="AD44" i="10"/>
  <c r="AC44" i="10"/>
  <c r="AA44" i="10"/>
  <c r="Z44" i="10"/>
  <c r="Y44" i="10"/>
  <c r="X44" i="10"/>
  <c r="W44" i="10"/>
  <c r="V44" i="10"/>
  <c r="U44" i="10"/>
  <c r="T44" i="10"/>
  <c r="R44" i="10"/>
  <c r="Q44" i="10"/>
  <c r="P44" i="10"/>
  <c r="O44" i="10"/>
  <c r="N44" i="10"/>
  <c r="M44" i="10"/>
  <c r="L44" i="10"/>
  <c r="K44" i="10"/>
  <c r="I44" i="10"/>
  <c r="H44" i="10"/>
  <c r="G44" i="10"/>
  <c r="F44" i="10"/>
  <c r="E44" i="10"/>
  <c r="D44" i="10"/>
  <c r="C44" i="10"/>
  <c r="B44" i="10"/>
  <c r="AJ43" i="10"/>
  <c r="AI43" i="10"/>
  <c r="AH43" i="10"/>
  <c r="AG43" i="10"/>
  <c r="AF43" i="10"/>
  <c r="AE43" i="10"/>
  <c r="AD43" i="10"/>
  <c r="AC43" i="10"/>
  <c r="AA43" i="10"/>
  <c r="Z43" i="10"/>
  <c r="Y43" i="10"/>
  <c r="X43" i="10"/>
  <c r="W43" i="10"/>
  <c r="V43" i="10"/>
  <c r="U43" i="10"/>
  <c r="T43" i="10"/>
  <c r="R43" i="10"/>
  <c r="Q43" i="10"/>
  <c r="P43" i="10"/>
  <c r="O43" i="10"/>
  <c r="N43" i="10"/>
  <c r="M43" i="10"/>
  <c r="L43" i="10"/>
  <c r="K43" i="10"/>
  <c r="I43" i="10"/>
  <c r="H43" i="10"/>
  <c r="G43" i="10"/>
  <c r="F43" i="10"/>
  <c r="E43" i="10"/>
  <c r="D43" i="10"/>
  <c r="C43" i="10"/>
  <c r="B43" i="10"/>
  <c r="AJ42" i="10"/>
  <c r="AI42" i="10"/>
  <c r="AH42" i="10"/>
  <c r="AG42" i="10"/>
  <c r="AF42" i="10"/>
  <c r="AE42" i="10"/>
  <c r="AD42" i="10"/>
  <c r="AC42" i="10"/>
  <c r="AA42" i="10"/>
  <c r="Z42" i="10"/>
  <c r="Y42" i="10"/>
  <c r="X42" i="10"/>
  <c r="W42" i="10"/>
  <c r="V42" i="10"/>
  <c r="U42" i="10"/>
  <c r="T42" i="10"/>
  <c r="R42" i="10"/>
  <c r="Q42" i="10"/>
  <c r="P42" i="10"/>
  <c r="O42" i="10"/>
  <c r="N42" i="10"/>
  <c r="M42" i="10"/>
  <c r="L42" i="10"/>
  <c r="K42" i="10"/>
  <c r="I42" i="10"/>
  <c r="H42" i="10"/>
  <c r="G42" i="10"/>
  <c r="F42" i="10"/>
  <c r="E42" i="10"/>
  <c r="D42" i="10"/>
  <c r="C42" i="10"/>
  <c r="B42" i="10"/>
  <c r="AJ41" i="10"/>
  <c r="AI41" i="10"/>
  <c r="AH41" i="10"/>
  <c r="AG41" i="10"/>
  <c r="AF41" i="10"/>
  <c r="AE41" i="10"/>
  <c r="AD41" i="10"/>
  <c r="AC41" i="10"/>
  <c r="AA41" i="10"/>
  <c r="Z41" i="10"/>
  <c r="Y41" i="10"/>
  <c r="X41" i="10"/>
  <c r="W41" i="10"/>
  <c r="V41" i="10"/>
  <c r="U41" i="10"/>
  <c r="T41" i="10"/>
  <c r="R41" i="10"/>
  <c r="Q41" i="10"/>
  <c r="P41" i="10"/>
  <c r="O41" i="10"/>
  <c r="N41" i="10"/>
  <c r="M41" i="10"/>
  <c r="L41" i="10"/>
  <c r="K41" i="10"/>
  <c r="I41" i="10"/>
  <c r="H41" i="10"/>
  <c r="G41" i="10"/>
  <c r="F41" i="10"/>
  <c r="E41" i="10"/>
  <c r="D41" i="10"/>
  <c r="C41" i="10"/>
  <c r="B41" i="10"/>
  <c r="AJ40" i="10"/>
  <c r="AI40" i="10"/>
  <c r="AH40" i="10"/>
  <c r="AG40" i="10"/>
  <c r="AF40" i="10"/>
  <c r="AE40" i="10"/>
  <c r="AD40" i="10"/>
  <c r="AC40" i="10"/>
  <c r="AA40" i="10"/>
  <c r="Z40" i="10"/>
  <c r="Y40" i="10"/>
  <c r="X40" i="10"/>
  <c r="W40" i="10"/>
  <c r="V40" i="10"/>
  <c r="U40" i="10"/>
  <c r="T40" i="10"/>
  <c r="R40" i="10"/>
  <c r="Q40" i="10"/>
  <c r="P40" i="10"/>
  <c r="O40" i="10"/>
  <c r="N40" i="10"/>
  <c r="M40" i="10"/>
  <c r="L40" i="10"/>
  <c r="K40" i="10"/>
  <c r="I40" i="10"/>
  <c r="H40" i="10"/>
  <c r="G40" i="10"/>
  <c r="F40" i="10"/>
  <c r="E40" i="10"/>
  <c r="D40" i="10"/>
  <c r="C40" i="10"/>
  <c r="B40" i="10"/>
  <c r="AJ39" i="10"/>
  <c r="AI39" i="10"/>
  <c r="AH39" i="10"/>
  <c r="AG39" i="10"/>
  <c r="AF39" i="10"/>
  <c r="AE39" i="10"/>
  <c r="AD39" i="10"/>
  <c r="AC39" i="10"/>
  <c r="AA39" i="10"/>
  <c r="Z39" i="10"/>
  <c r="Y39" i="10"/>
  <c r="X39" i="10"/>
  <c r="W39" i="10"/>
  <c r="V39" i="10"/>
  <c r="U39" i="10"/>
  <c r="T39" i="10"/>
  <c r="R39" i="10"/>
  <c r="Q39" i="10"/>
  <c r="P39" i="10"/>
  <c r="O39" i="10"/>
  <c r="N39" i="10"/>
  <c r="M39" i="10"/>
  <c r="L39" i="10"/>
  <c r="K39" i="10"/>
  <c r="I39" i="10"/>
  <c r="H39" i="10"/>
  <c r="G39" i="10"/>
  <c r="F39" i="10"/>
  <c r="E39" i="10"/>
  <c r="D39" i="10"/>
  <c r="C39" i="10"/>
  <c r="B39" i="10"/>
  <c r="AJ38" i="10"/>
  <c r="AI38" i="10"/>
  <c r="AH38" i="10"/>
  <c r="AG38" i="10"/>
  <c r="AF38" i="10"/>
  <c r="AE38" i="10"/>
  <c r="AD38" i="10"/>
  <c r="AC38" i="10"/>
  <c r="AA38" i="10"/>
  <c r="Z38" i="10"/>
  <c r="Y38" i="10"/>
  <c r="X38" i="10"/>
  <c r="W38" i="10"/>
  <c r="V38" i="10"/>
  <c r="U38" i="10"/>
  <c r="T38" i="10"/>
  <c r="R38" i="10"/>
  <c r="Q38" i="10"/>
  <c r="P38" i="10"/>
  <c r="O38" i="10"/>
  <c r="N38" i="10"/>
  <c r="M38" i="10"/>
  <c r="L38" i="10"/>
  <c r="K38" i="10"/>
  <c r="I38" i="10"/>
  <c r="H38" i="10"/>
  <c r="G38" i="10"/>
  <c r="F38" i="10"/>
  <c r="E38" i="10"/>
  <c r="D38" i="10"/>
  <c r="C38" i="10"/>
  <c r="B38" i="10"/>
  <c r="AJ37" i="10"/>
  <c r="AI37" i="10"/>
  <c r="AH37" i="10"/>
  <c r="AG37" i="10"/>
  <c r="AF37" i="10"/>
  <c r="AE37" i="10"/>
  <c r="AD37" i="10"/>
  <c r="AC37" i="10"/>
  <c r="AA37" i="10"/>
  <c r="Z37" i="10"/>
  <c r="Y37" i="10"/>
  <c r="X37" i="10"/>
  <c r="W37" i="10"/>
  <c r="V37" i="10"/>
  <c r="U37" i="10"/>
  <c r="T37" i="10"/>
  <c r="R37" i="10"/>
  <c r="Q37" i="10"/>
  <c r="P37" i="10"/>
  <c r="O37" i="10"/>
  <c r="N37" i="10"/>
  <c r="M37" i="10"/>
  <c r="L37" i="10"/>
  <c r="K37" i="10"/>
  <c r="I37" i="10"/>
  <c r="H37" i="10"/>
  <c r="G37" i="10"/>
  <c r="F37" i="10"/>
  <c r="E37" i="10"/>
  <c r="D37" i="10"/>
  <c r="C37" i="10"/>
  <c r="B37" i="10"/>
  <c r="AJ36" i="10"/>
  <c r="AI36" i="10"/>
  <c r="AH36" i="10"/>
  <c r="AG36" i="10"/>
  <c r="AF36" i="10"/>
  <c r="AE36" i="10"/>
  <c r="AD36" i="10"/>
  <c r="AC36" i="10"/>
  <c r="AA36" i="10"/>
  <c r="Z36" i="10"/>
  <c r="Y36" i="10"/>
  <c r="X36" i="10"/>
  <c r="W36" i="10"/>
  <c r="V36" i="10"/>
  <c r="U36" i="10"/>
  <c r="T36" i="10"/>
  <c r="R36" i="10"/>
  <c r="Q36" i="10"/>
  <c r="P36" i="10"/>
  <c r="O36" i="10"/>
  <c r="N36" i="10"/>
  <c r="M36" i="10"/>
  <c r="L36" i="10"/>
  <c r="K36" i="10"/>
  <c r="I36" i="10"/>
  <c r="H36" i="10"/>
  <c r="G36" i="10"/>
  <c r="F36" i="10"/>
  <c r="E36" i="10"/>
  <c r="D36" i="10"/>
  <c r="C36" i="10"/>
  <c r="B36" i="10"/>
  <c r="AJ35" i="10"/>
  <c r="AI35" i="10"/>
  <c r="AH35" i="10"/>
  <c r="AG35" i="10"/>
  <c r="AF35" i="10"/>
  <c r="AE35" i="10"/>
  <c r="AD35" i="10"/>
  <c r="AC35" i="10"/>
  <c r="AA35" i="10"/>
  <c r="Z35" i="10"/>
  <c r="Y35" i="10"/>
  <c r="X35" i="10"/>
  <c r="W35" i="10"/>
  <c r="V35" i="10"/>
  <c r="U35" i="10"/>
  <c r="T35" i="10"/>
  <c r="R35" i="10"/>
  <c r="Q35" i="10"/>
  <c r="P35" i="10"/>
  <c r="O35" i="10"/>
  <c r="N35" i="10"/>
  <c r="M35" i="10"/>
  <c r="L35" i="10"/>
  <c r="K35" i="10"/>
  <c r="I35" i="10"/>
  <c r="H35" i="10"/>
  <c r="G35" i="10"/>
  <c r="F35" i="10"/>
  <c r="E35" i="10"/>
  <c r="D35" i="10"/>
  <c r="C35" i="10"/>
  <c r="B35" i="10"/>
  <c r="AJ34" i="10"/>
  <c r="AI34" i="10"/>
  <c r="AH34" i="10"/>
  <c r="AG34" i="10"/>
  <c r="AF34" i="10"/>
  <c r="AE34" i="10"/>
  <c r="AD34" i="10"/>
  <c r="AC34" i="10"/>
  <c r="AA34" i="10"/>
  <c r="Z34" i="10"/>
  <c r="Y34" i="10"/>
  <c r="X34" i="10"/>
  <c r="W34" i="10"/>
  <c r="V34" i="10"/>
  <c r="U34" i="10"/>
  <c r="T34" i="10"/>
  <c r="R34" i="10"/>
  <c r="Q34" i="10"/>
  <c r="P34" i="10"/>
  <c r="O34" i="10"/>
  <c r="N34" i="10"/>
  <c r="M34" i="10"/>
  <c r="L34" i="10"/>
  <c r="K34" i="10"/>
  <c r="I34" i="10"/>
  <c r="H34" i="10"/>
  <c r="G34" i="10"/>
  <c r="F34" i="10"/>
  <c r="E34" i="10"/>
  <c r="D34" i="10"/>
  <c r="C34" i="10"/>
  <c r="B34" i="10"/>
  <c r="AJ33" i="10"/>
  <c r="AI33" i="10"/>
  <c r="AH33" i="10"/>
  <c r="AG33" i="10"/>
  <c r="AF33" i="10"/>
  <c r="AE33" i="10"/>
  <c r="AD33" i="10"/>
  <c r="AC33" i="10"/>
  <c r="AA33" i="10"/>
  <c r="Z33" i="10"/>
  <c r="Y33" i="10"/>
  <c r="X33" i="10"/>
  <c r="W33" i="10"/>
  <c r="V33" i="10"/>
  <c r="U33" i="10"/>
  <c r="T33" i="10"/>
  <c r="R33" i="10"/>
  <c r="Q33" i="10"/>
  <c r="P33" i="10"/>
  <c r="O33" i="10"/>
  <c r="N33" i="10"/>
  <c r="M33" i="10"/>
  <c r="L33" i="10"/>
  <c r="K33" i="10"/>
  <c r="I33" i="10"/>
  <c r="H33" i="10"/>
  <c r="G33" i="10"/>
  <c r="F33" i="10"/>
  <c r="E33" i="10"/>
  <c r="D33" i="10"/>
  <c r="C33" i="10"/>
  <c r="B33" i="10"/>
  <c r="AJ32" i="10"/>
  <c r="AI32" i="10"/>
  <c r="AH32" i="10"/>
  <c r="AG32" i="10"/>
  <c r="AF32" i="10"/>
  <c r="AE32" i="10"/>
  <c r="AD32" i="10"/>
  <c r="AC32" i="10"/>
  <c r="AA32" i="10"/>
  <c r="Z32" i="10"/>
  <c r="Y32" i="10"/>
  <c r="X32" i="10"/>
  <c r="W32" i="10"/>
  <c r="V32" i="10"/>
  <c r="U32" i="10"/>
  <c r="T32" i="10"/>
  <c r="R32" i="10"/>
  <c r="Q32" i="10"/>
  <c r="P32" i="10"/>
  <c r="O32" i="10"/>
  <c r="N32" i="10"/>
  <c r="M32" i="10"/>
  <c r="L32" i="10"/>
  <c r="K32" i="10"/>
  <c r="I32" i="10"/>
  <c r="H32" i="10"/>
  <c r="G32" i="10"/>
  <c r="F32" i="10"/>
  <c r="E32" i="10"/>
  <c r="D32" i="10"/>
  <c r="C32" i="10"/>
  <c r="B32" i="10"/>
  <c r="AJ31" i="10"/>
  <c r="AI31" i="10"/>
  <c r="AH31" i="10"/>
  <c r="AG31" i="10"/>
  <c r="AF31" i="10"/>
  <c r="AE31" i="10"/>
  <c r="AD31" i="10"/>
  <c r="AC31" i="10"/>
  <c r="AA31" i="10"/>
  <c r="Z31" i="10"/>
  <c r="Y31" i="10"/>
  <c r="X31" i="10"/>
  <c r="W31" i="10"/>
  <c r="V31" i="10"/>
  <c r="U31" i="10"/>
  <c r="T31" i="10"/>
  <c r="R31" i="10"/>
  <c r="Q31" i="10"/>
  <c r="P31" i="10"/>
  <c r="O31" i="10"/>
  <c r="N31" i="10"/>
  <c r="M31" i="10"/>
  <c r="L31" i="10"/>
  <c r="K31" i="10"/>
  <c r="I31" i="10"/>
  <c r="H31" i="10"/>
  <c r="G31" i="10"/>
  <c r="F31" i="10"/>
  <c r="E31" i="10"/>
  <c r="D31" i="10"/>
  <c r="C31" i="10"/>
  <c r="B31" i="10"/>
  <c r="AJ30" i="10"/>
  <c r="AI30" i="10"/>
  <c r="AH30" i="10"/>
  <c r="AG30" i="10"/>
  <c r="AF30" i="10"/>
  <c r="AE30" i="10"/>
  <c r="AD30" i="10"/>
  <c r="AC30" i="10"/>
  <c r="AA30" i="10"/>
  <c r="Z30" i="10"/>
  <c r="Y30" i="10"/>
  <c r="X30" i="10"/>
  <c r="W30" i="10"/>
  <c r="V30" i="10"/>
  <c r="U30" i="10"/>
  <c r="T30" i="10"/>
  <c r="R30" i="10"/>
  <c r="Q30" i="10"/>
  <c r="P30" i="10"/>
  <c r="O30" i="10"/>
  <c r="N30" i="10"/>
  <c r="M30" i="10"/>
  <c r="L30" i="10"/>
  <c r="K30" i="10"/>
  <c r="I30" i="10"/>
  <c r="H30" i="10"/>
  <c r="G30" i="10"/>
  <c r="F30" i="10"/>
  <c r="E30" i="10"/>
  <c r="D30" i="10"/>
  <c r="C30" i="10"/>
  <c r="B30" i="10"/>
  <c r="AJ29" i="10"/>
  <c r="AI29" i="10"/>
  <c r="AH29" i="10"/>
  <c r="AG29" i="10"/>
  <c r="AF29" i="10"/>
  <c r="AE29" i="10"/>
  <c r="AD29" i="10"/>
  <c r="AC29" i="10"/>
  <c r="AA29" i="10"/>
  <c r="Z29" i="10"/>
  <c r="Y29" i="10"/>
  <c r="X29" i="10"/>
  <c r="W29" i="10"/>
  <c r="V29" i="10"/>
  <c r="U29" i="10"/>
  <c r="T29" i="10"/>
  <c r="R29" i="10"/>
  <c r="Q29" i="10"/>
  <c r="P29" i="10"/>
  <c r="O29" i="10"/>
  <c r="N29" i="10"/>
  <c r="M29" i="10"/>
  <c r="L29" i="10"/>
  <c r="K29" i="10"/>
  <c r="I29" i="10"/>
  <c r="H29" i="10"/>
  <c r="G29" i="10"/>
  <c r="F29" i="10"/>
  <c r="E29" i="10"/>
  <c r="D29" i="10"/>
  <c r="C29" i="10"/>
  <c r="B29" i="10"/>
  <c r="AJ28" i="10"/>
  <c r="AI28" i="10"/>
  <c r="AH28" i="10"/>
  <c r="AG28" i="10"/>
  <c r="AF28" i="10"/>
  <c r="AE28" i="10"/>
  <c r="AD28" i="10"/>
  <c r="AC28" i="10"/>
  <c r="AA28" i="10"/>
  <c r="Z28" i="10"/>
  <c r="Y28" i="10"/>
  <c r="X28" i="10"/>
  <c r="W28" i="10"/>
  <c r="V28" i="10"/>
  <c r="U28" i="10"/>
  <c r="T28" i="10"/>
  <c r="R28" i="10"/>
  <c r="Q28" i="10"/>
  <c r="P28" i="10"/>
  <c r="O28" i="10"/>
  <c r="N28" i="10"/>
  <c r="M28" i="10"/>
  <c r="L28" i="10"/>
  <c r="K28" i="10"/>
  <c r="I28" i="10"/>
  <c r="H28" i="10"/>
  <c r="G28" i="10"/>
  <c r="F28" i="10"/>
  <c r="E28" i="10"/>
  <c r="D28" i="10"/>
  <c r="C28" i="10"/>
  <c r="B28" i="10"/>
  <c r="AJ27" i="10"/>
  <c r="AI27" i="10"/>
  <c r="AH27" i="10"/>
  <c r="AG27" i="10"/>
  <c r="AF27" i="10"/>
  <c r="AE27" i="10"/>
  <c r="AD27" i="10"/>
  <c r="AC27" i="10"/>
  <c r="AA27" i="10"/>
  <c r="Z27" i="10"/>
  <c r="Y27" i="10"/>
  <c r="X27" i="10"/>
  <c r="W27" i="10"/>
  <c r="V27" i="10"/>
  <c r="U27" i="10"/>
  <c r="T27" i="10"/>
  <c r="R27" i="10"/>
  <c r="Q27" i="10"/>
  <c r="P27" i="10"/>
  <c r="O27" i="10"/>
  <c r="N27" i="10"/>
  <c r="M27" i="10"/>
  <c r="L27" i="10"/>
  <c r="K27" i="10"/>
  <c r="I27" i="10"/>
  <c r="H27" i="10"/>
  <c r="G27" i="10"/>
  <c r="F27" i="10"/>
  <c r="E27" i="10"/>
  <c r="D27" i="10"/>
  <c r="C27" i="10"/>
  <c r="B27" i="10"/>
  <c r="AJ26" i="10"/>
  <c r="AI26" i="10"/>
  <c r="AH26" i="10"/>
  <c r="AG26" i="10"/>
  <c r="AF26" i="10"/>
  <c r="AE26" i="10"/>
  <c r="AD26" i="10"/>
  <c r="AC26" i="10"/>
  <c r="AA26" i="10"/>
  <c r="Z26" i="10"/>
  <c r="Y26" i="10"/>
  <c r="X26" i="10"/>
  <c r="W26" i="10"/>
  <c r="V26" i="10"/>
  <c r="U26" i="10"/>
  <c r="T26" i="10"/>
  <c r="R26" i="10"/>
  <c r="Q26" i="10"/>
  <c r="P26" i="10"/>
  <c r="O26" i="10"/>
  <c r="N26" i="10"/>
  <c r="M26" i="10"/>
  <c r="L26" i="10"/>
  <c r="K26" i="10"/>
  <c r="I26" i="10"/>
  <c r="H26" i="10"/>
  <c r="G26" i="10"/>
  <c r="F26" i="10"/>
  <c r="E26" i="10"/>
  <c r="D26" i="10"/>
  <c r="C26" i="10"/>
  <c r="B26" i="10"/>
  <c r="AJ25" i="10"/>
  <c r="AI25" i="10"/>
  <c r="AH25" i="10"/>
  <c r="AG25" i="10"/>
  <c r="AF25" i="10"/>
  <c r="AE25" i="10"/>
  <c r="AD25" i="10"/>
  <c r="AC25" i="10"/>
  <c r="AA25" i="10"/>
  <c r="Z25" i="10"/>
  <c r="Y25" i="10"/>
  <c r="X25" i="10"/>
  <c r="W25" i="10"/>
  <c r="V25" i="10"/>
  <c r="U25" i="10"/>
  <c r="T25" i="10"/>
  <c r="R25" i="10"/>
  <c r="Q25" i="10"/>
  <c r="P25" i="10"/>
  <c r="O25" i="10"/>
  <c r="N25" i="10"/>
  <c r="M25" i="10"/>
  <c r="L25" i="10"/>
  <c r="K25" i="10"/>
  <c r="I25" i="10"/>
  <c r="H25" i="10"/>
  <c r="G25" i="10"/>
  <c r="F25" i="10"/>
  <c r="E25" i="10"/>
  <c r="D25" i="10"/>
  <c r="C25" i="10"/>
  <c r="B25" i="10"/>
  <c r="AJ24" i="10"/>
  <c r="AI24" i="10"/>
  <c r="AH24" i="10"/>
  <c r="AG24" i="10"/>
  <c r="AF24" i="10"/>
  <c r="AE24" i="10"/>
  <c r="AD24" i="10"/>
  <c r="AC24" i="10"/>
  <c r="AA24" i="10"/>
  <c r="Z24" i="10"/>
  <c r="Y24" i="10"/>
  <c r="X24" i="10"/>
  <c r="W24" i="10"/>
  <c r="V24" i="10"/>
  <c r="U24" i="10"/>
  <c r="T24" i="10"/>
  <c r="R24" i="10"/>
  <c r="Q24" i="10"/>
  <c r="P24" i="10"/>
  <c r="O24" i="10"/>
  <c r="N24" i="10"/>
  <c r="M24" i="10"/>
  <c r="L24" i="10"/>
  <c r="K24" i="10"/>
  <c r="I24" i="10"/>
  <c r="H24" i="10"/>
  <c r="G24" i="10"/>
  <c r="F24" i="10"/>
  <c r="E24" i="10"/>
  <c r="D24" i="10"/>
  <c r="C24" i="10"/>
  <c r="B24" i="10"/>
  <c r="AJ23" i="10"/>
  <c r="AI23" i="10"/>
  <c r="AH23" i="10"/>
  <c r="AG23" i="10"/>
  <c r="AF23" i="10"/>
  <c r="AE23" i="10"/>
  <c r="AD23" i="10"/>
  <c r="AC23" i="10"/>
  <c r="AA23" i="10"/>
  <c r="Z23" i="10"/>
  <c r="Y23" i="10"/>
  <c r="X23" i="10"/>
  <c r="W23" i="10"/>
  <c r="V23" i="10"/>
  <c r="U23" i="10"/>
  <c r="T23" i="10"/>
  <c r="R23" i="10"/>
  <c r="Q23" i="10"/>
  <c r="P23" i="10"/>
  <c r="O23" i="10"/>
  <c r="N23" i="10"/>
  <c r="M23" i="10"/>
  <c r="L23" i="10"/>
  <c r="K23" i="10"/>
  <c r="I23" i="10"/>
  <c r="H23" i="10"/>
  <c r="G23" i="10"/>
  <c r="F23" i="10"/>
  <c r="E23" i="10"/>
  <c r="D23" i="10"/>
  <c r="C23" i="10"/>
  <c r="B23" i="10"/>
  <c r="AJ22" i="10"/>
  <c r="AI22" i="10"/>
  <c r="AH22" i="10"/>
  <c r="AG22" i="10"/>
  <c r="AF22" i="10"/>
  <c r="AE22" i="10"/>
  <c r="AD22" i="10"/>
  <c r="AC22" i="10"/>
  <c r="AA22" i="10"/>
  <c r="Z22" i="10"/>
  <c r="Y22" i="10"/>
  <c r="X22" i="10"/>
  <c r="W22" i="10"/>
  <c r="V22" i="10"/>
  <c r="U22" i="10"/>
  <c r="T22" i="10"/>
  <c r="R22" i="10"/>
  <c r="Q22" i="10"/>
  <c r="P22" i="10"/>
  <c r="O22" i="10"/>
  <c r="N22" i="10"/>
  <c r="M22" i="10"/>
  <c r="L22" i="10"/>
  <c r="K22" i="10"/>
  <c r="I22" i="10"/>
  <c r="H22" i="10"/>
  <c r="G22" i="10"/>
  <c r="F22" i="10"/>
  <c r="E22" i="10"/>
  <c r="D22" i="10"/>
  <c r="C22" i="10"/>
  <c r="B22" i="10"/>
  <c r="AJ21" i="10"/>
  <c r="AI21" i="10"/>
  <c r="AH21" i="10"/>
  <c r="AG21" i="10"/>
  <c r="AF21" i="10"/>
  <c r="AE21" i="10"/>
  <c r="AD21" i="10"/>
  <c r="AC21" i="10"/>
  <c r="AA21" i="10"/>
  <c r="Z21" i="10"/>
  <c r="Y21" i="10"/>
  <c r="X21" i="10"/>
  <c r="W21" i="10"/>
  <c r="V21" i="10"/>
  <c r="U21" i="10"/>
  <c r="T21" i="10"/>
  <c r="R21" i="10"/>
  <c r="Q21" i="10"/>
  <c r="P21" i="10"/>
  <c r="O21" i="10"/>
  <c r="N21" i="10"/>
  <c r="M21" i="10"/>
  <c r="L21" i="10"/>
  <c r="K21" i="10"/>
  <c r="I21" i="10"/>
  <c r="H21" i="10"/>
  <c r="G21" i="10"/>
  <c r="F21" i="10"/>
  <c r="E21" i="10"/>
  <c r="D21" i="10"/>
  <c r="C21" i="10"/>
  <c r="B21" i="10"/>
  <c r="AJ20" i="10"/>
  <c r="AI20" i="10"/>
  <c r="AH20" i="10"/>
  <c r="AG20" i="10"/>
  <c r="AF20" i="10"/>
  <c r="AE20" i="10"/>
  <c r="AD20" i="10"/>
  <c r="AC20" i="10"/>
  <c r="AA20" i="10"/>
  <c r="Z20" i="10"/>
  <c r="Y20" i="10"/>
  <c r="X20" i="10"/>
  <c r="W20" i="10"/>
  <c r="V20" i="10"/>
  <c r="U20" i="10"/>
  <c r="T20" i="10"/>
  <c r="R20" i="10"/>
  <c r="Q20" i="10"/>
  <c r="P20" i="10"/>
  <c r="O20" i="10"/>
  <c r="N20" i="10"/>
  <c r="M20" i="10"/>
  <c r="L20" i="10"/>
  <c r="K20" i="10"/>
  <c r="I20" i="10"/>
  <c r="H20" i="10"/>
  <c r="G20" i="10"/>
  <c r="F20" i="10"/>
  <c r="E20" i="10"/>
  <c r="D20" i="10"/>
  <c r="C20" i="10"/>
  <c r="B20" i="10"/>
  <c r="AJ19" i="10"/>
  <c r="AI19" i="10"/>
  <c r="AH19" i="10"/>
  <c r="AG19" i="10"/>
  <c r="AF19" i="10"/>
  <c r="AE19" i="10"/>
  <c r="AD19" i="10"/>
  <c r="AC19" i="10"/>
  <c r="AA19" i="10"/>
  <c r="Z19" i="10"/>
  <c r="Y19" i="10"/>
  <c r="X19" i="10"/>
  <c r="W19" i="10"/>
  <c r="V19" i="10"/>
  <c r="U19" i="10"/>
  <c r="T19" i="10"/>
  <c r="R19" i="10"/>
  <c r="Q19" i="10"/>
  <c r="P19" i="10"/>
  <c r="O19" i="10"/>
  <c r="N19" i="10"/>
  <c r="M19" i="10"/>
  <c r="L19" i="10"/>
  <c r="K19" i="10"/>
  <c r="I19" i="10"/>
  <c r="H19" i="10"/>
  <c r="G19" i="10"/>
  <c r="F19" i="10"/>
  <c r="E19" i="10"/>
  <c r="D19" i="10"/>
  <c r="C19" i="10"/>
  <c r="B19" i="10"/>
  <c r="AJ18" i="10"/>
  <c r="AI18" i="10"/>
  <c r="AH18" i="10"/>
  <c r="AG18" i="10"/>
  <c r="AF18" i="10"/>
  <c r="AE18" i="10"/>
  <c r="AD18" i="10"/>
  <c r="AC18" i="10"/>
  <c r="AA18" i="10"/>
  <c r="Z18" i="10"/>
  <c r="Y18" i="10"/>
  <c r="X18" i="10"/>
  <c r="W18" i="10"/>
  <c r="V18" i="10"/>
  <c r="U18" i="10"/>
  <c r="T18" i="10"/>
  <c r="R18" i="10"/>
  <c r="Q18" i="10"/>
  <c r="P18" i="10"/>
  <c r="O18" i="10"/>
  <c r="N18" i="10"/>
  <c r="M18" i="10"/>
  <c r="L18" i="10"/>
  <c r="K18" i="10"/>
  <c r="I18" i="10"/>
  <c r="H18" i="10"/>
  <c r="G18" i="10"/>
  <c r="F18" i="10"/>
  <c r="E18" i="10"/>
  <c r="D18" i="10"/>
  <c r="C18" i="10"/>
  <c r="B18" i="10"/>
  <c r="AJ17" i="10"/>
  <c r="AI17" i="10"/>
  <c r="AH17" i="10"/>
  <c r="AG17" i="10"/>
  <c r="AF17" i="10"/>
  <c r="AE17" i="10"/>
  <c r="AD17" i="10"/>
  <c r="AC17" i="10"/>
  <c r="AA17" i="10"/>
  <c r="Z17" i="10"/>
  <c r="Y17" i="10"/>
  <c r="X17" i="10"/>
  <c r="W17" i="10"/>
  <c r="V17" i="10"/>
  <c r="U17" i="10"/>
  <c r="T17" i="10"/>
  <c r="R17" i="10"/>
  <c r="Q17" i="10"/>
  <c r="P17" i="10"/>
  <c r="O17" i="10"/>
  <c r="N17" i="10"/>
  <c r="M17" i="10"/>
  <c r="L17" i="10"/>
  <c r="K17" i="10"/>
  <c r="I17" i="10"/>
  <c r="H17" i="10"/>
  <c r="G17" i="10"/>
  <c r="F17" i="10"/>
  <c r="E17" i="10"/>
  <c r="D17" i="10"/>
  <c r="C17" i="10"/>
  <c r="B17" i="10"/>
  <c r="AJ16" i="10"/>
  <c r="AI16" i="10"/>
  <c r="AH16" i="10"/>
  <c r="AG16" i="10"/>
  <c r="AF16" i="10"/>
  <c r="AE16" i="10"/>
  <c r="AD16" i="10"/>
  <c r="AC16" i="10"/>
  <c r="AA16" i="10"/>
  <c r="Z16" i="10"/>
  <c r="Y16" i="10"/>
  <c r="X16" i="10"/>
  <c r="W16" i="10"/>
  <c r="V16" i="10"/>
  <c r="U16" i="10"/>
  <c r="T16" i="10"/>
  <c r="R16" i="10"/>
  <c r="Q16" i="10"/>
  <c r="P16" i="10"/>
  <c r="O16" i="10"/>
  <c r="N16" i="10"/>
  <c r="M16" i="10"/>
  <c r="L16" i="10"/>
  <c r="K16" i="10"/>
  <c r="I16" i="10"/>
  <c r="H16" i="10"/>
  <c r="G16" i="10"/>
  <c r="F16" i="10"/>
  <c r="E16" i="10"/>
  <c r="D16" i="10"/>
  <c r="C16" i="10"/>
  <c r="B16" i="10"/>
  <c r="AJ15" i="10"/>
  <c r="AI15" i="10"/>
  <c r="AH15" i="10"/>
  <c r="AG15" i="10"/>
  <c r="AF15" i="10"/>
  <c r="AE15" i="10"/>
  <c r="AD15" i="10"/>
  <c r="AC15" i="10"/>
  <c r="AA15" i="10"/>
  <c r="Z15" i="10"/>
  <c r="Y15" i="10"/>
  <c r="X15" i="10"/>
  <c r="W15" i="10"/>
  <c r="V15" i="10"/>
  <c r="U15" i="10"/>
  <c r="T15" i="10"/>
  <c r="R15" i="10"/>
  <c r="Q15" i="10"/>
  <c r="P15" i="10"/>
  <c r="O15" i="10"/>
  <c r="N15" i="10"/>
  <c r="M15" i="10"/>
  <c r="L15" i="10"/>
  <c r="K15" i="10"/>
  <c r="I15" i="10"/>
  <c r="H15" i="10"/>
  <c r="G15" i="10"/>
  <c r="F15" i="10"/>
  <c r="E15" i="10"/>
  <c r="D15" i="10"/>
  <c r="C15" i="10"/>
  <c r="B15" i="10"/>
  <c r="AJ14" i="10"/>
  <c r="AI14" i="10"/>
  <c r="AH14" i="10"/>
  <c r="AG14" i="10"/>
  <c r="AF14" i="10"/>
  <c r="AE14" i="10"/>
  <c r="AD14" i="10"/>
  <c r="AC14" i="10"/>
  <c r="AA14" i="10"/>
  <c r="Z14" i="10"/>
  <c r="Y14" i="10"/>
  <c r="X14" i="10"/>
  <c r="W14" i="10"/>
  <c r="V14" i="10"/>
  <c r="U14" i="10"/>
  <c r="T14" i="10"/>
  <c r="R14" i="10"/>
  <c r="Q14" i="10"/>
  <c r="P14" i="10"/>
  <c r="O14" i="10"/>
  <c r="N14" i="10"/>
  <c r="M14" i="10"/>
  <c r="L14" i="10"/>
  <c r="K14" i="10"/>
  <c r="I14" i="10"/>
  <c r="H14" i="10"/>
  <c r="G14" i="10"/>
  <c r="F14" i="10"/>
  <c r="E14" i="10"/>
  <c r="D14" i="10"/>
  <c r="C14" i="10"/>
  <c r="B14" i="10"/>
  <c r="AJ13" i="10"/>
  <c r="AI13" i="10"/>
  <c r="AH13" i="10"/>
  <c r="AG13" i="10"/>
  <c r="AF13" i="10"/>
  <c r="AE13" i="10"/>
  <c r="AD13" i="10"/>
  <c r="AC13" i="10"/>
  <c r="AA13" i="10"/>
  <c r="Z13" i="10"/>
  <c r="Y13" i="10"/>
  <c r="X13" i="10"/>
  <c r="W13" i="10"/>
  <c r="V13" i="10"/>
  <c r="U13" i="10"/>
  <c r="T13" i="10"/>
  <c r="R13" i="10"/>
  <c r="Q13" i="10"/>
  <c r="P13" i="10"/>
  <c r="O13" i="10"/>
  <c r="N13" i="10"/>
  <c r="M13" i="10"/>
  <c r="L13" i="10"/>
  <c r="K13" i="10"/>
  <c r="I13" i="10"/>
  <c r="H13" i="10"/>
  <c r="G13" i="10"/>
  <c r="F13" i="10"/>
  <c r="E13" i="10"/>
  <c r="D13" i="10"/>
  <c r="C13" i="10"/>
  <c r="B13" i="10"/>
  <c r="AJ12" i="10"/>
  <c r="AI12" i="10"/>
  <c r="AH12" i="10"/>
  <c r="AG12" i="10"/>
  <c r="AF12" i="10"/>
  <c r="AE12" i="10"/>
  <c r="AD12" i="10"/>
  <c r="AC12" i="10"/>
  <c r="AA12" i="10"/>
  <c r="Z12" i="10"/>
  <c r="Y12" i="10"/>
  <c r="X12" i="10"/>
  <c r="W12" i="10"/>
  <c r="V12" i="10"/>
  <c r="U12" i="10"/>
  <c r="T12" i="10"/>
  <c r="R12" i="10"/>
  <c r="Q12" i="10"/>
  <c r="P12" i="10"/>
  <c r="O12" i="10"/>
  <c r="N12" i="10"/>
  <c r="M12" i="10"/>
  <c r="L12" i="10"/>
  <c r="K12" i="10"/>
  <c r="I12" i="10"/>
  <c r="H12" i="10"/>
  <c r="G12" i="10"/>
  <c r="F12" i="10"/>
  <c r="E12" i="10"/>
  <c r="D12" i="10"/>
  <c r="C12" i="10"/>
  <c r="B12" i="10"/>
  <c r="AJ11" i="10"/>
  <c r="AI11" i="10"/>
  <c r="AH11" i="10"/>
  <c r="AG11" i="10"/>
  <c r="AF11" i="10"/>
  <c r="AE11" i="10"/>
  <c r="AD11" i="10"/>
  <c r="AC11" i="10"/>
  <c r="AA11" i="10"/>
  <c r="Z11" i="10"/>
  <c r="Y11" i="10"/>
  <c r="X11" i="10"/>
  <c r="W11" i="10"/>
  <c r="V11" i="10"/>
  <c r="U11" i="10"/>
  <c r="T11" i="10"/>
  <c r="R11" i="10"/>
  <c r="Q11" i="10"/>
  <c r="P11" i="10"/>
  <c r="O11" i="10"/>
  <c r="N11" i="10"/>
  <c r="M11" i="10"/>
  <c r="L11" i="10"/>
  <c r="K11" i="10"/>
  <c r="I11" i="10"/>
  <c r="H11" i="10"/>
  <c r="G11" i="10"/>
  <c r="F11" i="10"/>
  <c r="E11" i="10"/>
  <c r="D11" i="10"/>
  <c r="C11" i="10"/>
  <c r="B11" i="10"/>
  <c r="AJ10" i="10"/>
  <c r="AI10" i="10"/>
  <c r="AH10" i="10"/>
  <c r="AG10" i="10"/>
  <c r="AF10" i="10"/>
  <c r="AE10" i="10"/>
  <c r="AD10" i="10"/>
  <c r="AC10" i="10"/>
  <c r="AA10" i="10"/>
  <c r="Z10" i="10"/>
  <c r="Y10" i="10"/>
  <c r="X10" i="10"/>
  <c r="W10" i="10"/>
  <c r="V10" i="10"/>
  <c r="U10" i="10"/>
  <c r="T10" i="10"/>
  <c r="R10" i="10"/>
  <c r="Q10" i="10"/>
  <c r="P10" i="10"/>
  <c r="O10" i="10"/>
  <c r="N10" i="10"/>
  <c r="M10" i="10"/>
  <c r="L10" i="10"/>
  <c r="K10" i="10"/>
  <c r="I10" i="10"/>
  <c r="H10" i="10"/>
  <c r="G10" i="10"/>
  <c r="F10" i="10"/>
  <c r="E10" i="10"/>
  <c r="D10" i="10"/>
  <c r="C10" i="10"/>
  <c r="B10" i="10"/>
  <c r="V8" i="14" l="1"/>
  <c r="AW8" i="14" s="1"/>
  <c r="R8" i="14"/>
  <c r="AS8" i="14"/>
  <c r="H9" i="14"/>
  <c r="R9" i="14"/>
  <c r="AR10" i="14"/>
  <c r="AR12" i="14"/>
  <c r="AR14" i="14"/>
  <c r="V18" i="14"/>
  <c r="AW18" i="14" s="1"/>
  <c r="V22" i="14"/>
  <c r="AW22" i="14" s="1"/>
  <c r="T32" i="14"/>
  <c r="Q34" i="14"/>
  <c r="Q35" i="14"/>
  <c r="R40" i="14"/>
  <c r="AR40" i="14"/>
  <c r="AR41" i="14"/>
  <c r="AI45" i="14"/>
  <c r="R47" i="14"/>
  <c r="R48" i="14"/>
  <c r="V12" i="14"/>
  <c r="AW12" i="14" s="1"/>
  <c r="Q12" i="14"/>
  <c r="V14" i="14"/>
  <c r="AW14" i="14" s="1"/>
  <c r="Q14" i="14"/>
  <c r="V16" i="14"/>
  <c r="AW16" i="14" s="1"/>
  <c r="Q16" i="14"/>
  <c r="V19" i="14"/>
  <c r="AW19" i="14" s="1"/>
  <c r="V23" i="14"/>
  <c r="AW23" i="14" s="1"/>
  <c r="V31" i="14"/>
  <c r="AW31" i="14" s="1"/>
  <c r="T33" i="14"/>
  <c r="AS38" i="14"/>
  <c r="AR47" i="14"/>
  <c r="R50" i="14"/>
  <c r="R51" i="14"/>
  <c r="R52" i="14"/>
  <c r="R53" i="14"/>
  <c r="V10" i="14"/>
  <c r="AW10" i="14" s="1"/>
  <c r="V20" i="14"/>
  <c r="AW20" i="14" s="1"/>
  <c r="V24" i="14"/>
  <c r="AW24" i="14" s="1"/>
  <c r="V32" i="14"/>
  <c r="AW32" i="14" s="1"/>
  <c r="AU8" i="14"/>
  <c r="AA8" i="14"/>
  <c r="Z8" i="14"/>
  <c r="AU9" i="14"/>
  <c r="AX17" i="14"/>
  <c r="AA17" i="14"/>
  <c r="AX18" i="14"/>
  <c r="AA18" i="14"/>
  <c r="AX19" i="14"/>
  <c r="AX20" i="14"/>
  <c r="AA20" i="14"/>
  <c r="AX21" i="14"/>
  <c r="AA21" i="14"/>
  <c r="AX22" i="14"/>
  <c r="AA22" i="14"/>
  <c r="AX23" i="14"/>
  <c r="AA23" i="14"/>
  <c r="AX24" i="14"/>
  <c r="AA24" i="14"/>
  <c r="AX25" i="14"/>
  <c r="AA25" i="14"/>
  <c r="H8" i="14"/>
  <c r="V9" i="14"/>
  <c r="AW9" i="14" s="1"/>
  <c r="I26" i="14"/>
  <c r="T26" i="14"/>
  <c r="H26" i="14"/>
  <c r="AV28" i="14"/>
  <c r="AR43" i="14"/>
  <c r="I8" i="14"/>
  <c r="I9" i="14"/>
  <c r="H10" i="14"/>
  <c r="T10" i="14"/>
  <c r="AI10" i="14"/>
  <c r="H11" i="14"/>
  <c r="AI11" i="14"/>
  <c r="H12" i="14"/>
  <c r="AI12" i="14"/>
  <c r="H13" i="14"/>
  <c r="AI13" i="14"/>
  <c r="H14" i="14"/>
  <c r="AI14" i="14"/>
  <c r="H15" i="14"/>
  <c r="AI15" i="14"/>
  <c r="H16" i="14"/>
  <c r="AI16" i="14"/>
  <c r="Z17" i="14"/>
  <c r="AU17" i="14"/>
  <c r="Z18" i="14"/>
  <c r="AU18" i="14"/>
  <c r="Z19" i="14"/>
  <c r="AU19" i="14"/>
  <c r="Z20" i="14"/>
  <c r="AU20" i="14"/>
  <c r="Z21" i="14"/>
  <c r="AU21" i="14"/>
  <c r="Z22" i="14"/>
  <c r="AU22" i="14"/>
  <c r="Z23" i="14"/>
  <c r="AU23" i="14"/>
  <c r="Z24" i="14"/>
  <c r="AU24" i="14"/>
  <c r="Z25" i="14"/>
  <c r="AU25" i="14"/>
  <c r="AJ26" i="14"/>
  <c r="AI26" i="14"/>
  <c r="U29" i="14"/>
  <c r="AV29" i="14" s="1"/>
  <c r="Y29" i="14"/>
  <c r="AZ29" i="14" s="1"/>
  <c r="AU40" i="14"/>
  <c r="R46" i="14"/>
  <c r="Q46" i="14"/>
  <c r="Z47" i="14"/>
  <c r="AU47" i="14"/>
  <c r="AA47" i="14"/>
  <c r="AR9" i="14"/>
  <c r="R10" i="14"/>
  <c r="AR16" i="14"/>
  <c r="Q17" i="14"/>
  <c r="AR17" i="14"/>
  <c r="Q18" i="14"/>
  <c r="AR18" i="14"/>
  <c r="Q19" i="14"/>
  <c r="AR19" i="14"/>
  <c r="Q20" i="14"/>
  <c r="AR20" i="14"/>
  <c r="Q21" i="14"/>
  <c r="AR21" i="14"/>
  <c r="Q22" i="14"/>
  <c r="AR22" i="14"/>
  <c r="Q23" i="14"/>
  <c r="AR23" i="14"/>
  <c r="Q24" i="14"/>
  <c r="AR24" i="14"/>
  <c r="Q25" i="14"/>
  <c r="AR25" i="14"/>
  <c r="Q26" i="14"/>
  <c r="U30" i="14"/>
  <c r="AV30" i="14" s="1"/>
  <c r="Y30" i="14"/>
  <c r="AZ30" i="14" s="1"/>
  <c r="Y34" i="14"/>
  <c r="AZ34" i="14" s="1"/>
  <c r="I10" i="14"/>
  <c r="I11" i="14"/>
  <c r="I12" i="14"/>
  <c r="I13" i="14"/>
  <c r="I14" i="14"/>
  <c r="I15" i="14"/>
  <c r="I16" i="14"/>
  <c r="I17" i="14"/>
  <c r="AI17" i="14"/>
  <c r="I18" i="14"/>
  <c r="AI18" i="14"/>
  <c r="I19" i="14"/>
  <c r="AI19" i="14"/>
  <c r="I20" i="14"/>
  <c r="AI20" i="14"/>
  <c r="I21" i="14"/>
  <c r="AI21" i="14"/>
  <c r="I22" i="14"/>
  <c r="AI22" i="14"/>
  <c r="I23" i="14"/>
  <c r="AI23" i="14"/>
  <c r="I24" i="14"/>
  <c r="AI24" i="14"/>
  <c r="I25" i="14"/>
  <c r="AI25" i="14"/>
  <c r="AV26" i="14"/>
  <c r="AR26" i="14"/>
  <c r="Y35" i="14"/>
  <c r="AZ35" i="14" s="1"/>
  <c r="AX44" i="14"/>
  <c r="AJ44" i="14"/>
  <c r="T11" i="14"/>
  <c r="T12" i="14"/>
  <c r="T13" i="14"/>
  <c r="T14" i="14"/>
  <c r="T15" i="14"/>
  <c r="T16" i="14"/>
  <c r="AU27" i="14"/>
  <c r="AA27" i="14"/>
  <c r="Z27" i="14"/>
  <c r="AS27" i="14"/>
  <c r="AU28" i="14"/>
  <c r="AA28" i="14"/>
  <c r="Z28" i="14"/>
  <c r="AS28" i="14"/>
  <c r="AU29" i="14"/>
  <c r="AA29" i="14"/>
  <c r="Z29" i="14"/>
  <c r="AS29" i="14"/>
  <c r="AU30" i="14"/>
  <c r="AA30" i="14"/>
  <c r="AS30" i="14"/>
  <c r="AU31" i="14"/>
  <c r="AA31" i="14"/>
  <c r="AS31" i="14"/>
  <c r="AU32" i="14"/>
  <c r="Z32" i="14"/>
  <c r="U32" i="14"/>
  <c r="AV32" i="14" s="1"/>
  <c r="AS32" i="14"/>
  <c r="AU33" i="14"/>
  <c r="U33" i="14"/>
  <c r="AV33" i="14" s="1"/>
  <c r="AS33" i="14"/>
  <c r="AU34" i="14"/>
  <c r="Z34" i="14"/>
  <c r="U34" i="14"/>
  <c r="AV34" i="14" s="1"/>
  <c r="AS34" i="14"/>
  <c r="AU35" i="14"/>
  <c r="AA35" i="14"/>
  <c r="U35" i="14"/>
  <c r="AV35" i="14" s="1"/>
  <c r="AS35" i="14"/>
  <c r="AJ36" i="14"/>
  <c r="AI36" i="14"/>
  <c r="AU36" i="14"/>
  <c r="R37" i="14"/>
  <c r="Q37" i="14"/>
  <c r="AJ37" i="14"/>
  <c r="AI37" i="14"/>
  <c r="AR39" i="14"/>
  <c r="H40" i="14"/>
  <c r="AI40" i="14"/>
  <c r="AJ40" i="14"/>
  <c r="AI43" i="14"/>
  <c r="I44" i="14"/>
  <c r="H44" i="14"/>
  <c r="T44" i="14"/>
  <c r="Q36" i="14"/>
  <c r="I38" i="14"/>
  <c r="T38" i="14"/>
  <c r="H38" i="14"/>
  <c r="V39" i="14"/>
  <c r="AI39" i="14"/>
  <c r="R42" i="14"/>
  <c r="Q42" i="14"/>
  <c r="AR44" i="14"/>
  <c r="AS54" i="14"/>
  <c r="AR54" i="14"/>
  <c r="H17" i="14"/>
  <c r="H18" i="14"/>
  <c r="H19" i="14"/>
  <c r="H20" i="14"/>
  <c r="H21" i="14"/>
  <c r="H22" i="14"/>
  <c r="H23" i="14"/>
  <c r="H24" i="14"/>
  <c r="H25" i="14"/>
  <c r="R26" i="14"/>
  <c r="AS26" i="14"/>
  <c r="R27" i="14"/>
  <c r="AJ27" i="14"/>
  <c r="R28" i="14"/>
  <c r="AJ28" i="14"/>
  <c r="R29" i="14"/>
  <c r="AJ29" i="14"/>
  <c r="R30" i="14"/>
  <c r="AJ30" i="14"/>
  <c r="R31" i="14"/>
  <c r="AJ31" i="14"/>
  <c r="R32" i="14"/>
  <c r="AJ32" i="14"/>
  <c r="R33" i="14"/>
  <c r="AJ33" i="14"/>
  <c r="R34" i="14"/>
  <c r="AJ34" i="14"/>
  <c r="R35" i="14"/>
  <c r="AJ35" i="14"/>
  <c r="V36" i="14"/>
  <c r="AW36" i="14" s="1"/>
  <c r="I36" i="14"/>
  <c r="H36" i="14"/>
  <c r="AS36" i="14"/>
  <c r="AR36" i="14"/>
  <c r="AS37" i="14"/>
  <c r="AR37" i="14"/>
  <c r="AI44" i="14"/>
  <c r="AA49" i="14"/>
  <c r="H27" i="14"/>
  <c r="Q27" i="14"/>
  <c r="AI27" i="14"/>
  <c r="AR27" i="14"/>
  <c r="H28" i="14"/>
  <c r="Q28" i="14"/>
  <c r="AI28" i="14"/>
  <c r="AR28" i="14"/>
  <c r="H29" i="14"/>
  <c r="Q29" i="14"/>
  <c r="AI29" i="14"/>
  <c r="AR29" i="14"/>
  <c r="H30" i="14"/>
  <c r="Q30" i="14"/>
  <c r="AI30" i="14"/>
  <c r="AR30" i="14"/>
  <c r="H31" i="14"/>
  <c r="X37" i="14"/>
  <c r="AY37" i="14" s="1"/>
  <c r="Q38" i="14"/>
  <c r="H39" i="14"/>
  <c r="AA39" i="14"/>
  <c r="R41" i="14"/>
  <c r="Q41" i="14"/>
  <c r="AI42" i="14"/>
  <c r="AR42" i="14"/>
  <c r="I43" i="14"/>
  <c r="H43" i="14"/>
  <c r="T43" i="14"/>
  <c r="R45" i="14"/>
  <c r="Q45" i="14"/>
  <c r="AI46" i="14"/>
  <c r="AR46" i="14"/>
  <c r="AX48" i="14"/>
  <c r="I54" i="14"/>
  <c r="H54" i="14"/>
  <c r="AY54" i="14"/>
  <c r="T54" i="14"/>
  <c r="AS55" i="14"/>
  <c r="AR55" i="14"/>
  <c r="I27" i="14"/>
  <c r="I28" i="14"/>
  <c r="I29" i="14"/>
  <c r="I30" i="14"/>
  <c r="I31" i="14"/>
  <c r="I32" i="14"/>
  <c r="I33" i="14"/>
  <c r="I34" i="14"/>
  <c r="I35" i="14"/>
  <c r="R39" i="14"/>
  <c r="I40" i="14"/>
  <c r="X40" i="14"/>
  <c r="AY40" i="14" s="1"/>
  <c r="I42" i="14"/>
  <c r="H42" i="14"/>
  <c r="X42" i="14"/>
  <c r="AY42" i="14" s="1"/>
  <c r="T42" i="14"/>
  <c r="AW43" i="14"/>
  <c r="R44" i="14"/>
  <c r="Q44" i="14"/>
  <c r="I46" i="14"/>
  <c r="H46" i="14"/>
  <c r="X46" i="14"/>
  <c r="AY46" i="14" s="1"/>
  <c r="T46" i="14"/>
  <c r="AX47" i="14"/>
  <c r="Z48" i="14"/>
  <c r="AU48" i="14"/>
  <c r="AI48" i="14"/>
  <c r="AX49" i="14"/>
  <c r="BA49" i="14" s="1"/>
  <c r="I55" i="14"/>
  <c r="H55" i="14"/>
  <c r="AY55" i="14"/>
  <c r="T55" i="14"/>
  <c r="AS56" i="14"/>
  <c r="AR56" i="14"/>
  <c r="H37" i="14"/>
  <c r="T37" i="14"/>
  <c r="R38" i="14"/>
  <c r="I39" i="14"/>
  <c r="Q40" i="14"/>
  <c r="I41" i="14"/>
  <c r="H41" i="14"/>
  <c r="X41" i="14"/>
  <c r="AY41" i="14" s="1"/>
  <c r="T41" i="14"/>
  <c r="AW42" i="14"/>
  <c r="R43" i="14"/>
  <c r="Q43" i="14"/>
  <c r="I45" i="14"/>
  <c r="H45" i="14"/>
  <c r="X45" i="14"/>
  <c r="AY45" i="14" s="1"/>
  <c r="T45" i="14"/>
  <c r="AW46" i="14"/>
  <c r="AA48" i="14"/>
  <c r="Z49" i="14"/>
  <c r="AI49" i="14"/>
  <c r="I50" i="14"/>
  <c r="T50" i="14"/>
  <c r="H50" i="14"/>
  <c r="I51" i="14"/>
  <c r="T51" i="14"/>
  <c r="H51" i="14"/>
  <c r="I52" i="14"/>
  <c r="T52" i="14"/>
  <c r="H52" i="14"/>
  <c r="I53" i="14"/>
  <c r="T53" i="14"/>
  <c r="H53" i="14"/>
  <c r="AS53" i="14"/>
  <c r="AR53" i="14"/>
  <c r="I56" i="14"/>
  <c r="H56" i="14"/>
  <c r="T56" i="14"/>
  <c r="H47" i="14"/>
  <c r="Q47" i="14"/>
  <c r="H48" i="14"/>
  <c r="Q48" i="14"/>
  <c r="H49" i="14"/>
  <c r="Q49" i="14"/>
  <c r="AS49" i="14"/>
  <c r="Q50" i="14"/>
  <c r="AS50" i="14"/>
  <c r="Q51" i="14"/>
  <c r="AS51" i="14"/>
  <c r="Q52" i="14"/>
  <c r="AS52" i="14"/>
  <c r="Q53" i="14"/>
  <c r="I47" i="14"/>
  <c r="I48" i="14"/>
  <c r="I49" i="14"/>
  <c r="AJ50" i="14"/>
  <c r="AJ51" i="14"/>
  <c r="AJ52" i="14"/>
  <c r="AJ53" i="14"/>
  <c r="AI53" i="14"/>
  <c r="R54" i="14"/>
  <c r="Q54" i="14"/>
  <c r="AJ54" i="14"/>
  <c r="AI54" i="14"/>
  <c r="R55" i="14"/>
  <c r="Q55" i="14"/>
  <c r="AJ55" i="14"/>
  <c r="AI55" i="14"/>
  <c r="R56" i="14"/>
  <c r="Q56" i="14"/>
  <c r="AJ56" i="14"/>
  <c r="AI56" i="14"/>
  <c r="AW53" i="14"/>
  <c r="E20" i="7"/>
  <c r="E19" i="7"/>
  <c r="E18" i="7"/>
  <c r="E17" i="7"/>
  <c r="E16" i="7"/>
  <c r="E15" i="7"/>
  <c r="E14" i="7"/>
  <c r="E13" i="7"/>
  <c r="E12" i="7"/>
  <c r="E11" i="7"/>
  <c r="E10" i="7"/>
  <c r="E9" i="7"/>
  <c r="E8" i="7"/>
  <c r="E7" i="7"/>
  <c r="E6" i="7"/>
  <c r="E5" i="7"/>
  <c r="E4" i="7"/>
  <c r="C23" i="7" l="1"/>
  <c r="AA36" i="14"/>
  <c r="AA34" i="14"/>
  <c r="Z31" i="14"/>
  <c r="Z30" i="14"/>
  <c r="AA19" i="14"/>
  <c r="AA50" i="14"/>
  <c r="Z50" i="14"/>
  <c r="AU50" i="14"/>
  <c r="BB31" i="14"/>
  <c r="BA31" i="14"/>
  <c r="BB28" i="14"/>
  <c r="BA28" i="14"/>
  <c r="BA20" i="14"/>
  <c r="BB20" i="14"/>
  <c r="AA56" i="14"/>
  <c r="Z56" i="14"/>
  <c r="AU56" i="14"/>
  <c r="AA51" i="14"/>
  <c r="Z51" i="14"/>
  <c r="AU51" i="14"/>
  <c r="AU41" i="14"/>
  <c r="AA41" i="14"/>
  <c r="Z41" i="14"/>
  <c r="AU46" i="14"/>
  <c r="AA46" i="14"/>
  <c r="Z46" i="14"/>
  <c r="AW39" i="14"/>
  <c r="Z39" i="14"/>
  <c r="BB35" i="14"/>
  <c r="BA35" i="14"/>
  <c r="Z33" i="14"/>
  <c r="Z16" i="14"/>
  <c r="AU16" i="14"/>
  <c r="AA16" i="14"/>
  <c r="Z12" i="14"/>
  <c r="AU12" i="14"/>
  <c r="AA12" i="14"/>
  <c r="BB40" i="14"/>
  <c r="BA40" i="14"/>
  <c r="Z10" i="14"/>
  <c r="AU10" i="14"/>
  <c r="AA10" i="14"/>
  <c r="AA37" i="14"/>
  <c r="Z37" i="14"/>
  <c r="AU37" i="14"/>
  <c r="AU42" i="14"/>
  <c r="AA42" i="14"/>
  <c r="Z42" i="14"/>
  <c r="BB36" i="14"/>
  <c r="BA36" i="14"/>
  <c r="BB32" i="14"/>
  <c r="BA32" i="14"/>
  <c r="BB29" i="14"/>
  <c r="BA29" i="14"/>
  <c r="Z13" i="14"/>
  <c r="AU13" i="14"/>
  <c r="AA13" i="14"/>
  <c r="BA24" i="14"/>
  <c r="BB24" i="14"/>
  <c r="AA26" i="14"/>
  <c r="Z26" i="14"/>
  <c r="AU26" i="14"/>
  <c r="AA52" i="14"/>
  <c r="Z52" i="14"/>
  <c r="AU52" i="14"/>
  <c r="AU45" i="14"/>
  <c r="AA45" i="14"/>
  <c r="Z45" i="14"/>
  <c r="BB48" i="14"/>
  <c r="BA48" i="14"/>
  <c r="AA54" i="14"/>
  <c r="Z54" i="14"/>
  <c r="AU54" i="14"/>
  <c r="AU44" i="14"/>
  <c r="Z44" i="14"/>
  <c r="AA44" i="14"/>
  <c r="BB34" i="14"/>
  <c r="BA34" i="14"/>
  <c r="AA33" i="14"/>
  <c r="Z15" i="14"/>
  <c r="AU15" i="14"/>
  <c r="AA15" i="14"/>
  <c r="Z11" i="14"/>
  <c r="AU11" i="14"/>
  <c r="AA11" i="14"/>
  <c r="BB25" i="14"/>
  <c r="BA25" i="14"/>
  <c r="BA23" i="14"/>
  <c r="BB23" i="14"/>
  <c r="BA21" i="14"/>
  <c r="BB21" i="14"/>
  <c r="BA19" i="14"/>
  <c r="BB19" i="14"/>
  <c r="BA17" i="14"/>
  <c r="BB17" i="14"/>
  <c r="Z9" i="14"/>
  <c r="AA55" i="14"/>
  <c r="Z55" i="14"/>
  <c r="AU55" i="14"/>
  <c r="BB49" i="14"/>
  <c r="BB30" i="14"/>
  <c r="BA30" i="14"/>
  <c r="BB27" i="14"/>
  <c r="BA27" i="14"/>
  <c r="Z40" i="14"/>
  <c r="BA22" i="14"/>
  <c r="BB22" i="14"/>
  <c r="BA18" i="14"/>
  <c r="BB18" i="14"/>
  <c r="BA9" i="14"/>
  <c r="BB9" i="14"/>
  <c r="AA53" i="14"/>
  <c r="AU53" i="14"/>
  <c r="Z53" i="14"/>
  <c r="AU43" i="14"/>
  <c r="AA43" i="14"/>
  <c r="Z43" i="14"/>
  <c r="AU38" i="14"/>
  <c r="AA38" i="14"/>
  <c r="Z38" i="14"/>
  <c r="Z36" i="14"/>
  <c r="Z35" i="14"/>
  <c r="BB33" i="14"/>
  <c r="BA33" i="14"/>
  <c r="AA32" i="14"/>
  <c r="Z14" i="14"/>
  <c r="AU14" i="14"/>
  <c r="AA14" i="14"/>
  <c r="BB47" i="14"/>
  <c r="BA47" i="14"/>
  <c r="AA40" i="14"/>
  <c r="AA9" i="14"/>
  <c r="BA8" i="14"/>
  <c r="BB8" i="14"/>
  <c r="BA15" i="14" l="1"/>
  <c r="BB15" i="14"/>
  <c r="BB37" i="14"/>
  <c r="BA37" i="14"/>
  <c r="BA10" i="14"/>
  <c r="BB10" i="14"/>
  <c r="BA16" i="14"/>
  <c r="BB16" i="14"/>
  <c r="BB41" i="14"/>
  <c r="BA41" i="14"/>
  <c r="BB56" i="14"/>
  <c r="BA56" i="14"/>
  <c r="BA11" i="14"/>
  <c r="BB11" i="14"/>
  <c r="BA13" i="14"/>
  <c r="BB13" i="14"/>
  <c r="BA12" i="14"/>
  <c r="BB12" i="14"/>
  <c r="BB46" i="14"/>
  <c r="BA46" i="14"/>
  <c r="BB51" i="14"/>
  <c r="BA51" i="14"/>
  <c r="BB50" i="14"/>
  <c r="BA50" i="14"/>
  <c r="BB53" i="14"/>
  <c r="BA53" i="14"/>
  <c r="BB54" i="14"/>
  <c r="BA54" i="14"/>
  <c r="BB52" i="14"/>
  <c r="BA52" i="14"/>
  <c r="BA14" i="14"/>
  <c r="BB14" i="14"/>
  <c r="BB43" i="14"/>
  <c r="BA43" i="14"/>
  <c r="BB55" i="14"/>
  <c r="BA55" i="14"/>
  <c r="BB39" i="14"/>
  <c r="BA39" i="14"/>
  <c r="BB38" i="14"/>
  <c r="BA38" i="14"/>
  <c r="BB44" i="14"/>
  <c r="BA44" i="14"/>
  <c r="BB45" i="14"/>
  <c r="BA45" i="14"/>
  <c r="BB26" i="14"/>
  <c r="BA26" i="14"/>
  <c r="BB42" i="14"/>
  <c r="BA42" i="14"/>
  <c r="AQ56" i="12"/>
  <c r="AO56" i="12"/>
  <c r="AN56" i="12"/>
  <c r="AM56" i="12"/>
  <c r="AQ55" i="12"/>
  <c r="AO55" i="12"/>
  <c r="AN55" i="12"/>
  <c r="AM55" i="12"/>
  <c r="AQ54" i="12"/>
  <c r="AO54" i="12"/>
  <c r="AN54" i="12"/>
  <c r="AM54" i="12"/>
  <c r="AQ53" i="12"/>
  <c r="AO53" i="12"/>
  <c r="AN53" i="12"/>
  <c r="AM53" i="12"/>
  <c r="AQ52" i="12"/>
  <c r="AO52" i="12"/>
  <c r="AN52" i="12"/>
  <c r="AM52" i="12"/>
  <c r="AQ51" i="12"/>
  <c r="AO51" i="12"/>
  <c r="AN51" i="12"/>
  <c r="AM51" i="12"/>
  <c r="AQ50" i="12"/>
  <c r="AN50" i="12"/>
  <c r="AM50" i="12"/>
  <c r="AM11" i="12"/>
  <c r="AN11" i="12"/>
  <c r="AO11" i="12"/>
  <c r="AQ11" i="12"/>
  <c r="AM12" i="12"/>
  <c r="AN12" i="12"/>
  <c r="AO12" i="12"/>
  <c r="AQ12" i="12"/>
  <c r="AM13" i="12"/>
  <c r="AN13" i="12"/>
  <c r="AO13" i="12"/>
  <c r="AQ13" i="12"/>
  <c r="AM14" i="12"/>
  <c r="AN14" i="12"/>
  <c r="AO14" i="12"/>
  <c r="AQ14" i="12"/>
  <c r="AM15" i="12"/>
  <c r="AN15" i="12"/>
  <c r="AO15" i="12"/>
  <c r="AQ15" i="12"/>
  <c r="AM16" i="12"/>
  <c r="AN16" i="12"/>
  <c r="AO16" i="12"/>
  <c r="AQ16" i="12"/>
  <c r="AM17" i="12"/>
  <c r="AN17" i="12"/>
  <c r="AO17" i="12"/>
  <c r="AQ17" i="12"/>
  <c r="AM18" i="12"/>
  <c r="AN18" i="12"/>
  <c r="AO18" i="12"/>
  <c r="AQ18" i="12"/>
  <c r="AM19" i="12"/>
  <c r="AN19" i="12"/>
  <c r="AO19" i="12"/>
  <c r="AQ19" i="12"/>
  <c r="AM20" i="12"/>
  <c r="AN20" i="12"/>
  <c r="AO20" i="12"/>
  <c r="AQ20" i="12"/>
  <c r="AM21" i="12"/>
  <c r="AN21" i="12"/>
  <c r="AO21" i="12"/>
  <c r="AQ21" i="12"/>
  <c r="AM22" i="12"/>
  <c r="AN22" i="12"/>
  <c r="AO22" i="12"/>
  <c r="AQ22" i="12"/>
  <c r="AM23" i="12"/>
  <c r="AN23" i="12"/>
  <c r="AO23" i="12"/>
  <c r="AQ23" i="12"/>
  <c r="AM24" i="12"/>
  <c r="AN24" i="12"/>
  <c r="AO24" i="12"/>
  <c r="AQ24" i="12"/>
  <c r="AM25" i="12"/>
  <c r="AN25" i="12"/>
  <c r="AO25" i="12"/>
  <c r="AQ25" i="12"/>
  <c r="AM26" i="12"/>
  <c r="AN26" i="12"/>
  <c r="AO26" i="12"/>
  <c r="AQ26" i="12"/>
  <c r="AM27" i="12"/>
  <c r="AN27" i="12"/>
  <c r="AO27" i="12"/>
  <c r="AQ27" i="12"/>
  <c r="AM28" i="12"/>
  <c r="AN28" i="12"/>
  <c r="AO28" i="12"/>
  <c r="AQ28" i="12"/>
  <c r="AM29" i="12"/>
  <c r="AN29" i="12"/>
  <c r="AO29" i="12"/>
  <c r="AQ29" i="12"/>
  <c r="AM30" i="12"/>
  <c r="AN30" i="12"/>
  <c r="AO30" i="12"/>
  <c r="AQ30" i="12"/>
  <c r="AM31" i="12"/>
  <c r="AN31" i="12"/>
  <c r="AO31" i="12"/>
  <c r="AQ31" i="12"/>
  <c r="AM32" i="12"/>
  <c r="AN32" i="12"/>
  <c r="AO32" i="12"/>
  <c r="AQ32" i="12"/>
  <c r="AM33" i="12"/>
  <c r="AN33" i="12"/>
  <c r="AO33" i="12"/>
  <c r="AQ33" i="12"/>
  <c r="AM34" i="12"/>
  <c r="AN34" i="12"/>
  <c r="AO34" i="12"/>
  <c r="AQ34" i="12"/>
  <c r="AM35" i="12"/>
  <c r="AN35" i="12"/>
  <c r="AO35" i="12"/>
  <c r="AQ35" i="12"/>
  <c r="AM36" i="12"/>
  <c r="AO36" i="12"/>
  <c r="AQ36" i="12"/>
  <c r="AM37" i="12"/>
  <c r="AN37" i="12"/>
  <c r="AO37" i="12"/>
  <c r="AQ37" i="12"/>
  <c r="AM38" i="12"/>
  <c r="AN38" i="12"/>
  <c r="AO38" i="12"/>
  <c r="AM39" i="12"/>
  <c r="AN39" i="12"/>
  <c r="AO39" i="12"/>
  <c r="AQ39" i="12"/>
  <c r="AM40" i="12"/>
  <c r="AN40" i="12"/>
  <c r="AO40" i="12"/>
  <c r="AQ40" i="12"/>
  <c r="AM41" i="12"/>
  <c r="AN41" i="12"/>
  <c r="AO41" i="12"/>
  <c r="AQ41" i="12"/>
  <c r="AM42" i="12"/>
  <c r="AN42" i="12"/>
  <c r="AO42" i="12"/>
  <c r="AQ42" i="12"/>
  <c r="AM43" i="12"/>
  <c r="AN43" i="12"/>
  <c r="AO43" i="12"/>
  <c r="AQ43" i="12"/>
  <c r="AM44" i="12"/>
  <c r="AN44" i="12"/>
  <c r="AO44" i="12"/>
  <c r="AQ44" i="12"/>
  <c r="AM45" i="12"/>
  <c r="AN45" i="12"/>
  <c r="AO45" i="12"/>
  <c r="AQ45" i="12"/>
  <c r="AM46" i="12"/>
  <c r="AN46" i="12"/>
  <c r="AO46" i="12"/>
  <c r="AQ46" i="12"/>
  <c r="AM47" i="12"/>
  <c r="AN47" i="12"/>
  <c r="AO47" i="12"/>
  <c r="AQ47" i="12"/>
  <c r="AN48" i="12"/>
  <c r="AO48" i="12"/>
  <c r="AQ48" i="12"/>
  <c r="AM10" i="12"/>
  <c r="AN10" i="12"/>
  <c r="AQ10" i="12"/>
  <c r="AH56" i="12"/>
  <c r="AF56" i="12"/>
  <c r="AE56" i="12"/>
  <c r="AD56" i="12"/>
  <c r="AH55" i="12"/>
  <c r="AF55" i="12"/>
  <c r="AE55" i="12"/>
  <c r="AD55" i="12"/>
  <c r="AH54" i="12"/>
  <c r="AF54" i="12"/>
  <c r="AE54" i="12"/>
  <c r="AD54" i="12"/>
  <c r="AH53" i="12"/>
  <c r="AF53" i="12"/>
  <c r="AE53" i="12"/>
  <c r="AD53" i="12"/>
  <c r="AH52" i="12"/>
  <c r="AF52" i="12"/>
  <c r="AE52" i="12"/>
  <c r="AD52" i="12"/>
  <c r="AH51" i="12"/>
  <c r="AF51" i="12"/>
  <c r="AE51" i="12"/>
  <c r="AD51" i="12"/>
  <c r="AH50" i="12"/>
  <c r="AD11" i="12"/>
  <c r="AE11" i="12"/>
  <c r="AF11" i="12"/>
  <c r="AH11" i="12"/>
  <c r="AD12" i="12"/>
  <c r="AE12" i="12"/>
  <c r="AF12" i="12"/>
  <c r="AH12" i="12"/>
  <c r="AD13" i="12"/>
  <c r="AE13" i="12"/>
  <c r="AF13" i="12"/>
  <c r="AH13" i="12"/>
  <c r="AD14" i="12"/>
  <c r="AE14" i="12"/>
  <c r="AF14" i="12"/>
  <c r="AH14" i="12"/>
  <c r="AD15" i="12"/>
  <c r="AE15" i="12"/>
  <c r="AF15" i="12"/>
  <c r="AH15" i="12"/>
  <c r="AD16" i="12"/>
  <c r="AE16" i="12"/>
  <c r="AF16" i="12"/>
  <c r="AH16" i="12"/>
  <c r="AD17" i="12"/>
  <c r="AE17" i="12"/>
  <c r="AF17" i="12"/>
  <c r="AH17" i="12"/>
  <c r="AD18" i="12"/>
  <c r="AE18" i="12"/>
  <c r="AF18" i="12"/>
  <c r="AH18" i="12"/>
  <c r="AD19" i="12"/>
  <c r="AE19" i="12"/>
  <c r="AF19" i="12"/>
  <c r="AH19" i="12"/>
  <c r="AD20" i="12"/>
  <c r="AE20" i="12"/>
  <c r="AF20" i="12"/>
  <c r="AH20" i="12"/>
  <c r="AD21" i="12"/>
  <c r="AE21" i="12"/>
  <c r="AF21" i="12"/>
  <c r="AH21" i="12"/>
  <c r="AD22" i="12"/>
  <c r="AE22" i="12"/>
  <c r="AF22" i="12"/>
  <c r="AH22" i="12"/>
  <c r="AD23" i="12"/>
  <c r="AE23" i="12"/>
  <c r="AF23" i="12"/>
  <c r="AH23" i="12"/>
  <c r="AD24" i="12"/>
  <c r="AE24" i="12"/>
  <c r="AF24" i="12"/>
  <c r="AH24" i="12"/>
  <c r="AD25" i="12"/>
  <c r="AE25" i="12"/>
  <c r="AF25" i="12"/>
  <c r="AH25" i="12"/>
  <c r="AD26" i="12"/>
  <c r="AE26" i="12"/>
  <c r="AF26" i="12"/>
  <c r="AH26" i="12"/>
  <c r="AD27" i="12"/>
  <c r="AE27" i="12"/>
  <c r="AF27" i="12"/>
  <c r="AH27" i="12"/>
  <c r="AD28" i="12"/>
  <c r="AE28" i="12"/>
  <c r="AF28" i="12"/>
  <c r="AH28" i="12"/>
  <c r="AD29" i="12"/>
  <c r="AE29" i="12"/>
  <c r="AF29" i="12"/>
  <c r="AH29" i="12"/>
  <c r="AD30" i="12"/>
  <c r="AE30" i="12"/>
  <c r="AF30" i="12"/>
  <c r="AH30" i="12"/>
  <c r="AD31" i="12"/>
  <c r="AE31" i="12"/>
  <c r="AF31" i="12"/>
  <c r="AH31" i="12"/>
  <c r="AD32" i="12"/>
  <c r="AE32" i="12"/>
  <c r="AF32" i="12"/>
  <c r="AH32" i="12"/>
  <c r="AD33" i="12"/>
  <c r="AE33" i="12"/>
  <c r="AF33" i="12"/>
  <c r="AH33" i="12"/>
  <c r="AD34" i="12"/>
  <c r="AE34" i="12"/>
  <c r="AF34" i="12"/>
  <c r="AH34" i="12"/>
  <c r="AD35" i="12"/>
  <c r="AE35" i="12"/>
  <c r="AF35" i="12"/>
  <c r="AH35" i="12"/>
  <c r="AD36" i="12"/>
  <c r="AE36" i="12"/>
  <c r="AF36" i="12"/>
  <c r="AH36" i="12"/>
  <c r="AD37" i="12"/>
  <c r="AE37" i="12"/>
  <c r="AF37" i="12"/>
  <c r="AH37" i="12"/>
  <c r="AD38" i="12"/>
  <c r="AE38" i="12"/>
  <c r="AF38" i="12"/>
  <c r="AH38" i="12"/>
  <c r="AD39" i="12"/>
  <c r="AE39" i="12"/>
  <c r="AF39" i="12"/>
  <c r="AH39" i="12"/>
  <c r="AD40" i="12"/>
  <c r="AE40" i="12"/>
  <c r="AF40" i="12"/>
  <c r="AH40" i="12"/>
  <c r="AE41" i="12"/>
  <c r="AF41" i="12"/>
  <c r="AH41" i="12"/>
  <c r="AD42" i="12"/>
  <c r="AE42" i="12"/>
  <c r="AF42" i="12"/>
  <c r="AH42" i="12"/>
  <c r="AD43" i="12"/>
  <c r="AE43" i="12"/>
  <c r="AF43" i="12"/>
  <c r="AH43" i="12"/>
  <c r="AD44" i="12"/>
  <c r="AE44" i="12"/>
  <c r="AF44" i="12"/>
  <c r="AH44" i="12"/>
  <c r="AD45" i="12"/>
  <c r="AE45" i="12"/>
  <c r="AF45" i="12"/>
  <c r="AH45" i="12"/>
  <c r="AD46" i="12"/>
  <c r="AE46" i="12"/>
  <c r="AF46" i="12"/>
  <c r="AH46" i="12"/>
  <c r="AD47" i="12"/>
  <c r="AE47" i="12"/>
  <c r="AF47" i="12"/>
  <c r="AH47" i="12"/>
  <c r="AD48" i="12"/>
  <c r="AE48" i="12"/>
  <c r="AF48" i="12"/>
  <c r="AH48" i="12"/>
  <c r="AD10" i="12"/>
  <c r="AE10" i="12"/>
  <c r="AH10" i="12"/>
  <c r="P56" i="12"/>
  <c r="N56" i="12"/>
  <c r="M56" i="12"/>
  <c r="L56" i="12"/>
  <c r="P55" i="12"/>
  <c r="N55" i="12"/>
  <c r="M55" i="12"/>
  <c r="L55" i="12"/>
  <c r="P54" i="12"/>
  <c r="N54" i="12"/>
  <c r="M54" i="12"/>
  <c r="L54" i="12"/>
  <c r="P53" i="12"/>
  <c r="N53" i="12"/>
  <c r="M53" i="12"/>
  <c r="L53" i="12"/>
  <c r="P52" i="12"/>
  <c r="N52" i="12"/>
  <c r="M52" i="12"/>
  <c r="L52" i="12"/>
  <c r="P51" i="12"/>
  <c r="N51" i="12"/>
  <c r="M51" i="12"/>
  <c r="L51" i="12"/>
  <c r="P50" i="12"/>
  <c r="N50" i="12"/>
  <c r="L11" i="12"/>
  <c r="M11" i="12"/>
  <c r="N11" i="12"/>
  <c r="P11" i="12"/>
  <c r="L12" i="12"/>
  <c r="M12" i="12"/>
  <c r="N12" i="12"/>
  <c r="P12" i="12"/>
  <c r="L13" i="12"/>
  <c r="M13" i="12"/>
  <c r="N13" i="12"/>
  <c r="P13" i="12"/>
  <c r="L14" i="12"/>
  <c r="M14" i="12"/>
  <c r="N14" i="12"/>
  <c r="P14" i="12"/>
  <c r="L15" i="12"/>
  <c r="M15" i="12"/>
  <c r="N15" i="12"/>
  <c r="P15" i="12"/>
  <c r="L16" i="12"/>
  <c r="M16" i="12"/>
  <c r="N16" i="12"/>
  <c r="P16" i="12"/>
  <c r="L17" i="12"/>
  <c r="M17" i="12"/>
  <c r="N17" i="12"/>
  <c r="P17" i="12"/>
  <c r="L18" i="12"/>
  <c r="M18" i="12"/>
  <c r="N18" i="12"/>
  <c r="P18" i="12"/>
  <c r="L19" i="12"/>
  <c r="M19" i="12"/>
  <c r="N19" i="12"/>
  <c r="P19" i="12"/>
  <c r="L20" i="12"/>
  <c r="M20" i="12"/>
  <c r="N20" i="12"/>
  <c r="P20" i="12"/>
  <c r="L21" i="12"/>
  <c r="M21" i="12"/>
  <c r="N21" i="12"/>
  <c r="P21" i="12"/>
  <c r="L22" i="12"/>
  <c r="M22" i="12"/>
  <c r="N22" i="12"/>
  <c r="P22" i="12"/>
  <c r="L23" i="12"/>
  <c r="M23" i="12"/>
  <c r="N23" i="12"/>
  <c r="P23" i="12"/>
  <c r="L24" i="12"/>
  <c r="M24" i="12"/>
  <c r="N24" i="12"/>
  <c r="P24" i="12"/>
  <c r="L25" i="12"/>
  <c r="M25" i="12"/>
  <c r="N25" i="12"/>
  <c r="P25" i="12"/>
  <c r="L26" i="12"/>
  <c r="M26" i="12"/>
  <c r="N26" i="12"/>
  <c r="P26" i="12"/>
  <c r="L27" i="12"/>
  <c r="M27" i="12"/>
  <c r="N27" i="12"/>
  <c r="P27" i="12"/>
  <c r="L28" i="12"/>
  <c r="M28" i="12"/>
  <c r="N28" i="12"/>
  <c r="P28" i="12"/>
  <c r="L29" i="12"/>
  <c r="M29" i="12"/>
  <c r="N29" i="12"/>
  <c r="P29" i="12"/>
  <c r="L30" i="12"/>
  <c r="M30" i="12"/>
  <c r="N30" i="12"/>
  <c r="P30" i="12"/>
  <c r="L31" i="12"/>
  <c r="M31" i="12"/>
  <c r="N31" i="12"/>
  <c r="P31" i="12"/>
  <c r="L32" i="12"/>
  <c r="M32" i="12"/>
  <c r="N32" i="12"/>
  <c r="P32" i="12"/>
  <c r="L33" i="12"/>
  <c r="M33" i="12"/>
  <c r="N33" i="12"/>
  <c r="P33" i="12"/>
  <c r="L34" i="12"/>
  <c r="M34" i="12"/>
  <c r="N34" i="12"/>
  <c r="P34" i="12"/>
  <c r="L35" i="12"/>
  <c r="M35" i="12"/>
  <c r="N35" i="12"/>
  <c r="P35" i="12"/>
  <c r="L36" i="12"/>
  <c r="M36" i="12"/>
  <c r="N36" i="12"/>
  <c r="P36" i="12"/>
  <c r="L37" i="12"/>
  <c r="M37" i="12"/>
  <c r="N37" i="12"/>
  <c r="P37" i="12"/>
  <c r="L38" i="12"/>
  <c r="M38" i="12"/>
  <c r="N38" i="12"/>
  <c r="P38" i="12"/>
  <c r="L39" i="12"/>
  <c r="M39" i="12"/>
  <c r="N39" i="12"/>
  <c r="P39" i="12"/>
  <c r="L40" i="12"/>
  <c r="M40" i="12"/>
  <c r="N40" i="12"/>
  <c r="P40" i="12"/>
  <c r="L41" i="12"/>
  <c r="M41" i="12"/>
  <c r="N41" i="12"/>
  <c r="P41" i="12"/>
  <c r="L42" i="12"/>
  <c r="M42" i="12"/>
  <c r="N42" i="12"/>
  <c r="P42" i="12"/>
  <c r="L43" i="12"/>
  <c r="M43" i="12"/>
  <c r="N43" i="12"/>
  <c r="P43" i="12"/>
  <c r="L44" i="12"/>
  <c r="M44" i="12"/>
  <c r="N44" i="12"/>
  <c r="P44" i="12"/>
  <c r="L45" i="12"/>
  <c r="M45" i="12"/>
  <c r="N45" i="12"/>
  <c r="P45" i="12"/>
  <c r="L46" i="12"/>
  <c r="M46" i="12"/>
  <c r="N46" i="12"/>
  <c r="P46" i="12"/>
  <c r="L47" i="12"/>
  <c r="M47" i="12"/>
  <c r="N47" i="12"/>
  <c r="P47" i="12"/>
  <c r="L48" i="12"/>
  <c r="M48" i="12"/>
  <c r="N48" i="12"/>
  <c r="P48" i="12"/>
  <c r="L10" i="12"/>
  <c r="M10" i="12"/>
  <c r="P10" i="12"/>
  <c r="C51" i="12"/>
  <c r="U51" i="12" s="1"/>
  <c r="AV51" i="12" s="1"/>
  <c r="D51" i="12"/>
  <c r="V51" i="12" s="1"/>
  <c r="AW51" i="12" s="1"/>
  <c r="E51" i="12"/>
  <c r="G51" i="12"/>
  <c r="Y51" i="12" s="1"/>
  <c r="AZ51" i="12" s="1"/>
  <c r="C52" i="12"/>
  <c r="U52" i="12" s="1"/>
  <c r="AV52" i="12" s="1"/>
  <c r="D52" i="12"/>
  <c r="V52" i="12" s="1"/>
  <c r="AW52" i="12" s="1"/>
  <c r="E52" i="12"/>
  <c r="W52" i="12" s="1"/>
  <c r="G52" i="12"/>
  <c r="Y52" i="12" s="1"/>
  <c r="AZ52" i="12" s="1"/>
  <c r="C53" i="12"/>
  <c r="U53" i="12" s="1"/>
  <c r="AV53" i="12" s="1"/>
  <c r="D53" i="12"/>
  <c r="V53" i="12" s="1"/>
  <c r="AW53" i="12" s="1"/>
  <c r="E53" i="12"/>
  <c r="W53" i="12" s="1"/>
  <c r="G53" i="12"/>
  <c r="Y53" i="12" s="1"/>
  <c r="AZ53" i="12" s="1"/>
  <c r="C54" i="12"/>
  <c r="U54" i="12" s="1"/>
  <c r="AV54" i="12" s="1"/>
  <c r="D54" i="12"/>
  <c r="V54" i="12" s="1"/>
  <c r="AW54" i="12" s="1"/>
  <c r="E54" i="12"/>
  <c r="W54" i="12" s="1"/>
  <c r="C55" i="12"/>
  <c r="U55" i="12" s="1"/>
  <c r="AV55" i="12" s="1"/>
  <c r="D55" i="12"/>
  <c r="V55" i="12" s="1"/>
  <c r="AW55" i="12" s="1"/>
  <c r="E55" i="12"/>
  <c r="W55" i="12" s="1"/>
  <c r="G55" i="12"/>
  <c r="Y55" i="12" s="1"/>
  <c r="AZ55" i="12" s="1"/>
  <c r="C56" i="12"/>
  <c r="U56" i="12" s="1"/>
  <c r="AV56" i="12" s="1"/>
  <c r="D56" i="12"/>
  <c r="V56" i="12" s="1"/>
  <c r="AW56" i="12" s="1"/>
  <c r="E56" i="12"/>
  <c r="W56" i="12" s="1"/>
  <c r="G56" i="12"/>
  <c r="Y56" i="12" s="1"/>
  <c r="AZ56" i="12" s="1"/>
  <c r="G50" i="12"/>
  <c r="Y50" i="12" s="1"/>
  <c r="AZ50" i="12" s="1"/>
  <c r="D50" i="12"/>
  <c r="C11" i="12"/>
  <c r="U11" i="12" s="1"/>
  <c r="AV11" i="12" s="1"/>
  <c r="D11" i="12"/>
  <c r="V11" i="12" s="1"/>
  <c r="AW11" i="12" s="1"/>
  <c r="E11" i="12"/>
  <c r="W11" i="12" s="1"/>
  <c r="G11" i="12"/>
  <c r="Y11" i="12" s="1"/>
  <c r="AZ11" i="12" s="1"/>
  <c r="C12" i="12"/>
  <c r="U12" i="12" s="1"/>
  <c r="AV12" i="12" s="1"/>
  <c r="D12" i="12"/>
  <c r="V12" i="12" s="1"/>
  <c r="AW12" i="12" s="1"/>
  <c r="E12" i="12"/>
  <c r="W12" i="12" s="1"/>
  <c r="G12" i="12"/>
  <c r="Y12" i="12" s="1"/>
  <c r="AZ12" i="12" s="1"/>
  <c r="C13" i="12"/>
  <c r="U13" i="12" s="1"/>
  <c r="AV13" i="12" s="1"/>
  <c r="D13" i="12"/>
  <c r="V13" i="12" s="1"/>
  <c r="AW13" i="12" s="1"/>
  <c r="E13" i="12"/>
  <c r="W13" i="12" s="1"/>
  <c r="G13" i="12"/>
  <c r="Y13" i="12" s="1"/>
  <c r="AZ13" i="12" s="1"/>
  <c r="C14" i="12"/>
  <c r="U14" i="12" s="1"/>
  <c r="AV14" i="12" s="1"/>
  <c r="D14" i="12"/>
  <c r="V14" i="12" s="1"/>
  <c r="AW14" i="12" s="1"/>
  <c r="E14" i="12"/>
  <c r="W14" i="12" s="1"/>
  <c r="G14" i="12"/>
  <c r="Y14" i="12" s="1"/>
  <c r="AZ14" i="12" s="1"/>
  <c r="C15" i="12"/>
  <c r="U15" i="12" s="1"/>
  <c r="AV15" i="12" s="1"/>
  <c r="D15" i="12"/>
  <c r="V15" i="12" s="1"/>
  <c r="AW15" i="12" s="1"/>
  <c r="E15" i="12"/>
  <c r="W15" i="12" s="1"/>
  <c r="G15" i="12"/>
  <c r="Y15" i="12" s="1"/>
  <c r="AZ15" i="12" s="1"/>
  <c r="C16" i="12"/>
  <c r="U16" i="12" s="1"/>
  <c r="AV16" i="12" s="1"/>
  <c r="D16" i="12"/>
  <c r="V16" i="12" s="1"/>
  <c r="AW16" i="12" s="1"/>
  <c r="E16" i="12"/>
  <c r="W16" i="12" s="1"/>
  <c r="G16" i="12"/>
  <c r="Y16" i="12" s="1"/>
  <c r="AZ16" i="12" s="1"/>
  <c r="C17" i="12"/>
  <c r="U17" i="12" s="1"/>
  <c r="AV17" i="12" s="1"/>
  <c r="D17" i="12"/>
  <c r="V17" i="12" s="1"/>
  <c r="AW17" i="12" s="1"/>
  <c r="E17" i="12"/>
  <c r="W17" i="12" s="1"/>
  <c r="G17" i="12"/>
  <c r="Y17" i="12" s="1"/>
  <c r="AZ17" i="12" s="1"/>
  <c r="C18" i="12"/>
  <c r="U18" i="12" s="1"/>
  <c r="AV18" i="12" s="1"/>
  <c r="D18" i="12"/>
  <c r="V18" i="12" s="1"/>
  <c r="AW18" i="12" s="1"/>
  <c r="E18" i="12"/>
  <c r="W18" i="12" s="1"/>
  <c r="G18" i="12"/>
  <c r="Y18" i="12" s="1"/>
  <c r="AZ18" i="12" s="1"/>
  <c r="C19" i="12"/>
  <c r="U19" i="12" s="1"/>
  <c r="AV19" i="12" s="1"/>
  <c r="D19" i="12"/>
  <c r="V19" i="12" s="1"/>
  <c r="AW19" i="12" s="1"/>
  <c r="E19" i="12"/>
  <c r="W19" i="12" s="1"/>
  <c r="G19" i="12"/>
  <c r="Y19" i="12" s="1"/>
  <c r="AZ19" i="12" s="1"/>
  <c r="C20" i="12"/>
  <c r="U20" i="12" s="1"/>
  <c r="AV20" i="12" s="1"/>
  <c r="D20" i="12"/>
  <c r="V20" i="12" s="1"/>
  <c r="AW20" i="12" s="1"/>
  <c r="E20" i="12"/>
  <c r="W20" i="12" s="1"/>
  <c r="G20" i="12"/>
  <c r="Y20" i="12" s="1"/>
  <c r="AZ20" i="12" s="1"/>
  <c r="C21" i="12"/>
  <c r="U21" i="12" s="1"/>
  <c r="AV21" i="12" s="1"/>
  <c r="D21" i="12"/>
  <c r="V21" i="12" s="1"/>
  <c r="AW21" i="12" s="1"/>
  <c r="E21" i="12"/>
  <c r="W21" i="12" s="1"/>
  <c r="G21" i="12"/>
  <c r="Y21" i="12" s="1"/>
  <c r="AZ21" i="12" s="1"/>
  <c r="C22" i="12"/>
  <c r="U22" i="12" s="1"/>
  <c r="AV22" i="12" s="1"/>
  <c r="D22" i="12"/>
  <c r="V22" i="12" s="1"/>
  <c r="AW22" i="12" s="1"/>
  <c r="E22" i="12"/>
  <c r="W22" i="12" s="1"/>
  <c r="G22" i="12"/>
  <c r="Y22" i="12" s="1"/>
  <c r="AZ22" i="12" s="1"/>
  <c r="C23" i="12"/>
  <c r="U23" i="12" s="1"/>
  <c r="AV23" i="12" s="1"/>
  <c r="D23" i="12"/>
  <c r="V23" i="12" s="1"/>
  <c r="AW23" i="12" s="1"/>
  <c r="E23" i="12"/>
  <c r="W23" i="12" s="1"/>
  <c r="G23" i="12"/>
  <c r="Y23" i="12" s="1"/>
  <c r="AZ23" i="12" s="1"/>
  <c r="C24" i="12"/>
  <c r="U24" i="12" s="1"/>
  <c r="AV24" i="12" s="1"/>
  <c r="D24" i="12"/>
  <c r="V24" i="12" s="1"/>
  <c r="AW24" i="12" s="1"/>
  <c r="E24" i="12"/>
  <c r="W24" i="12" s="1"/>
  <c r="G24" i="12"/>
  <c r="Y24" i="12" s="1"/>
  <c r="AZ24" i="12" s="1"/>
  <c r="C25" i="12"/>
  <c r="U25" i="12" s="1"/>
  <c r="AV25" i="12" s="1"/>
  <c r="D25" i="12"/>
  <c r="V25" i="12" s="1"/>
  <c r="AW25" i="12" s="1"/>
  <c r="E25" i="12"/>
  <c r="W25" i="12" s="1"/>
  <c r="G25" i="12"/>
  <c r="Y25" i="12" s="1"/>
  <c r="AZ25" i="12" s="1"/>
  <c r="C26" i="12"/>
  <c r="U26" i="12" s="1"/>
  <c r="AV26" i="12" s="1"/>
  <c r="D26" i="12"/>
  <c r="V26" i="12" s="1"/>
  <c r="AW26" i="12" s="1"/>
  <c r="E26" i="12"/>
  <c r="W26" i="12" s="1"/>
  <c r="G26" i="12"/>
  <c r="Y26" i="12" s="1"/>
  <c r="AZ26" i="12" s="1"/>
  <c r="C27" i="12"/>
  <c r="U27" i="12" s="1"/>
  <c r="AV27" i="12" s="1"/>
  <c r="D27" i="12"/>
  <c r="V27" i="12" s="1"/>
  <c r="AW27" i="12" s="1"/>
  <c r="E27" i="12"/>
  <c r="W27" i="12" s="1"/>
  <c r="G27" i="12"/>
  <c r="Y27" i="12" s="1"/>
  <c r="AZ27" i="12" s="1"/>
  <c r="C28" i="12"/>
  <c r="U28" i="12" s="1"/>
  <c r="AV28" i="12" s="1"/>
  <c r="D28" i="12"/>
  <c r="V28" i="12" s="1"/>
  <c r="AW28" i="12" s="1"/>
  <c r="E28" i="12"/>
  <c r="W28" i="12" s="1"/>
  <c r="G28" i="12"/>
  <c r="Y28" i="12" s="1"/>
  <c r="AZ28" i="12" s="1"/>
  <c r="C29" i="12"/>
  <c r="U29" i="12" s="1"/>
  <c r="AV29" i="12" s="1"/>
  <c r="D29" i="12"/>
  <c r="V29" i="12" s="1"/>
  <c r="AW29" i="12" s="1"/>
  <c r="E29" i="12"/>
  <c r="W29" i="12" s="1"/>
  <c r="G29" i="12"/>
  <c r="Y29" i="12" s="1"/>
  <c r="AZ29" i="12" s="1"/>
  <c r="C30" i="12"/>
  <c r="U30" i="12" s="1"/>
  <c r="AV30" i="12" s="1"/>
  <c r="D30" i="12"/>
  <c r="V30" i="12" s="1"/>
  <c r="AW30" i="12" s="1"/>
  <c r="E30" i="12"/>
  <c r="W30" i="12" s="1"/>
  <c r="G30" i="12"/>
  <c r="Y30" i="12" s="1"/>
  <c r="AZ30" i="12" s="1"/>
  <c r="C31" i="12"/>
  <c r="U31" i="12" s="1"/>
  <c r="AV31" i="12" s="1"/>
  <c r="D31" i="12"/>
  <c r="V31" i="12" s="1"/>
  <c r="AW31" i="12" s="1"/>
  <c r="E31" i="12"/>
  <c r="W31" i="12" s="1"/>
  <c r="G31" i="12"/>
  <c r="Y31" i="12" s="1"/>
  <c r="AZ31" i="12" s="1"/>
  <c r="C32" i="12"/>
  <c r="U32" i="12" s="1"/>
  <c r="AV32" i="12" s="1"/>
  <c r="D32" i="12"/>
  <c r="V32" i="12" s="1"/>
  <c r="AW32" i="12" s="1"/>
  <c r="E32" i="12"/>
  <c r="W32" i="12" s="1"/>
  <c r="G32" i="12"/>
  <c r="Y32" i="12" s="1"/>
  <c r="AZ32" i="12" s="1"/>
  <c r="C33" i="12"/>
  <c r="U33" i="12" s="1"/>
  <c r="AV33" i="12" s="1"/>
  <c r="D33" i="12"/>
  <c r="V33" i="12" s="1"/>
  <c r="AW33" i="12" s="1"/>
  <c r="E33" i="12"/>
  <c r="W33" i="12" s="1"/>
  <c r="G33" i="12"/>
  <c r="Y33" i="12" s="1"/>
  <c r="AZ33" i="12" s="1"/>
  <c r="C34" i="12"/>
  <c r="U34" i="12" s="1"/>
  <c r="AV34" i="12" s="1"/>
  <c r="D34" i="12"/>
  <c r="V34" i="12" s="1"/>
  <c r="AW34" i="12" s="1"/>
  <c r="E34" i="12"/>
  <c r="W34" i="12" s="1"/>
  <c r="G34" i="12"/>
  <c r="Y34" i="12" s="1"/>
  <c r="AZ34" i="12" s="1"/>
  <c r="C35" i="12"/>
  <c r="U35" i="12" s="1"/>
  <c r="AV35" i="12" s="1"/>
  <c r="D35" i="12"/>
  <c r="V35" i="12" s="1"/>
  <c r="AW35" i="12" s="1"/>
  <c r="E35" i="12"/>
  <c r="W35" i="12" s="1"/>
  <c r="G35" i="12"/>
  <c r="Y35" i="12" s="1"/>
  <c r="AZ35" i="12" s="1"/>
  <c r="C36" i="12"/>
  <c r="U36" i="12" s="1"/>
  <c r="AV36" i="12" s="1"/>
  <c r="D36" i="12"/>
  <c r="V36" i="12" s="1"/>
  <c r="E36" i="12"/>
  <c r="W36" i="12" s="1"/>
  <c r="G36" i="12"/>
  <c r="Y36" i="12" s="1"/>
  <c r="AZ36" i="12" s="1"/>
  <c r="C37" i="12"/>
  <c r="U37" i="12" s="1"/>
  <c r="AV37" i="12" s="1"/>
  <c r="D37" i="12"/>
  <c r="V37" i="12" s="1"/>
  <c r="AW37" i="12" s="1"/>
  <c r="E37" i="12"/>
  <c r="W37" i="12" s="1"/>
  <c r="G37" i="12"/>
  <c r="Y37" i="12" s="1"/>
  <c r="AZ37" i="12" s="1"/>
  <c r="C38" i="12"/>
  <c r="U38" i="12" s="1"/>
  <c r="AV38" i="12" s="1"/>
  <c r="D38" i="12"/>
  <c r="V38" i="12" s="1"/>
  <c r="AW38" i="12" s="1"/>
  <c r="E38" i="12"/>
  <c r="W38" i="12" s="1"/>
  <c r="G38" i="12"/>
  <c r="Y38" i="12" s="1"/>
  <c r="C39" i="12"/>
  <c r="U39" i="12" s="1"/>
  <c r="AV39" i="12" s="1"/>
  <c r="D39" i="12"/>
  <c r="V39" i="12" s="1"/>
  <c r="AW39" i="12" s="1"/>
  <c r="E39" i="12"/>
  <c r="W39" i="12" s="1"/>
  <c r="G39" i="12"/>
  <c r="Y39" i="12" s="1"/>
  <c r="AZ39" i="12" s="1"/>
  <c r="C40" i="12"/>
  <c r="U40" i="12" s="1"/>
  <c r="AV40" i="12" s="1"/>
  <c r="D40" i="12"/>
  <c r="V40" i="12" s="1"/>
  <c r="AW40" i="12" s="1"/>
  <c r="E40" i="12"/>
  <c r="W40" i="12" s="1"/>
  <c r="G40" i="12"/>
  <c r="Y40" i="12" s="1"/>
  <c r="AZ40" i="12" s="1"/>
  <c r="C41" i="12"/>
  <c r="U41" i="12" s="1"/>
  <c r="D41" i="12"/>
  <c r="V41" i="12" s="1"/>
  <c r="AW41" i="12" s="1"/>
  <c r="E41" i="12"/>
  <c r="W41" i="12" s="1"/>
  <c r="G41" i="12"/>
  <c r="Y41" i="12" s="1"/>
  <c r="AZ41" i="12" s="1"/>
  <c r="C42" i="12"/>
  <c r="U42" i="12" s="1"/>
  <c r="AV42" i="12" s="1"/>
  <c r="D42" i="12"/>
  <c r="V42" i="12" s="1"/>
  <c r="AW42" i="12" s="1"/>
  <c r="E42" i="12"/>
  <c r="W42" i="12" s="1"/>
  <c r="G42" i="12"/>
  <c r="Y42" i="12" s="1"/>
  <c r="AZ42" i="12" s="1"/>
  <c r="C43" i="12"/>
  <c r="U43" i="12" s="1"/>
  <c r="AV43" i="12" s="1"/>
  <c r="D43" i="12"/>
  <c r="V43" i="12" s="1"/>
  <c r="AW43" i="12" s="1"/>
  <c r="E43" i="12"/>
  <c r="W43" i="12" s="1"/>
  <c r="G43" i="12"/>
  <c r="Y43" i="12" s="1"/>
  <c r="AZ43" i="12" s="1"/>
  <c r="C44" i="12"/>
  <c r="U44" i="12" s="1"/>
  <c r="AV44" i="12" s="1"/>
  <c r="D44" i="12"/>
  <c r="V44" i="12" s="1"/>
  <c r="AW44" i="12" s="1"/>
  <c r="E44" i="12"/>
  <c r="W44" i="12" s="1"/>
  <c r="G44" i="12"/>
  <c r="Y44" i="12" s="1"/>
  <c r="AZ44" i="12" s="1"/>
  <c r="C45" i="12"/>
  <c r="U45" i="12" s="1"/>
  <c r="AV45" i="12" s="1"/>
  <c r="D45" i="12"/>
  <c r="V45" i="12" s="1"/>
  <c r="AW45" i="12" s="1"/>
  <c r="E45" i="12"/>
  <c r="W45" i="12" s="1"/>
  <c r="G45" i="12"/>
  <c r="Y45" i="12" s="1"/>
  <c r="AZ45" i="12" s="1"/>
  <c r="C46" i="12"/>
  <c r="U46" i="12" s="1"/>
  <c r="AV46" i="12" s="1"/>
  <c r="D46" i="12"/>
  <c r="V46" i="12" s="1"/>
  <c r="AW46" i="12" s="1"/>
  <c r="E46" i="12"/>
  <c r="G46" i="12"/>
  <c r="Y46" i="12" s="1"/>
  <c r="AZ46" i="12" s="1"/>
  <c r="C47" i="12"/>
  <c r="U47" i="12" s="1"/>
  <c r="AV47" i="12" s="1"/>
  <c r="D47" i="12"/>
  <c r="V47" i="12" s="1"/>
  <c r="AW47" i="12" s="1"/>
  <c r="E47" i="12"/>
  <c r="W47" i="12" s="1"/>
  <c r="G47" i="12"/>
  <c r="Y47" i="12" s="1"/>
  <c r="AZ47" i="12" s="1"/>
  <c r="C48" i="12"/>
  <c r="U48" i="12" s="1"/>
  <c r="D48" i="12"/>
  <c r="V48" i="12" s="1"/>
  <c r="AW48" i="12" s="1"/>
  <c r="E48" i="12"/>
  <c r="W48" i="12" s="1"/>
  <c r="G48" i="12"/>
  <c r="Y48" i="12" s="1"/>
  <c r="AZ48" i="12" s="1"/>
  <c r="C10" i="12"/>
  <c r="U10" i="12" s="1"/>
  <c r="AV10" i="12" s="1"/>
  <c r="D10" i="12"/>
  <c r="V10" i="12" s="1"/>
  <c r="AW10" i="12" s="1"/>
  <c r="E10" i="12"/>
  <c r="G10" i="12"/>
  <c r="Y10" i="12" s="1"/>
  <c r="AZ10" i="12" s="1"/>
  <c r="AJ49" i="10"/>
  <c r="AQ49" i="12" s="1"/>
  <c r="AI49" i="10"/>
  <c r="AH49" i="10"/>
  <c r="AF49" i="10"/>
  <c r="AN49" i="12" s="1"/>
  <c r="AE49" i="10"/>
  <c r="AM49" i="12" s="1"/>
  <c r="AD49" i="10"/>
  <c r="AD9" i="10"/>
  <c r="AH9" i="10"/>
  <c r="AA49" i="10"/>
  <c r="AH49" i="12" s="1"/>
  <c r="Z49" i="10"/>
  <c r="Y49" i="10"/>
  <c r="U49" i="10"/>
  <c r="Y9" i="10"/>
  <c r="W9" i="10"/>
  <c r="AE9" i="12" s="1"/>
  <c r="U9" i="10"/>
  <c r="R49" i="10"/>
  <c r="P49" i="12" s="1"/>
  <c r="Q49" i="10"/>
  <c r="P49" i="10"/>
  <c r="O49" i="10"/>
  <c r="N49" i="12" s="1"/>
  <c r="L49" i="10"/>
  <c r="M9" i="10"/>
  <c r="L9" i="12" s="1"/>
  <c r="G49" i="10"/>
  <c r="C49" i="10"/>
  <c r="F50" i="12" l="1"/>
  <c r="O50" i="12"/>
  <c r="O51" i="12"/>
  <c r="O52" i="12"/>
  <c r="O53" i="12"/>
  <c r="O54" i="12"/>
  <c r="O55" i="12"/>
  <c r="O56" i="12"/>
  <c r="W51" i="12"/>
  <c r="AP50" i="12"/>
  <c r="AP51" i="12"/>
  <c r="AP52" i="12"/>
  <c r="AP53" i="12"/>
  <c r="AP54" i="12"/>
  <c r="AP55" i="12"/>
  <c r="AP56" i="12"/>
  <c r="C9" i="10"/>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56" i="12"/>
  <c r="B55" i="12"/>
  <c r="B54" i="12"/>
  <c r="B53" i="12"/>
  <c r="B52" i="12"/>
  <c r="B51" i="12"/>
  <c r="O10" i="12"/>
  <c r="K48" i="12"/>
  <c r="K47" i="12"/>
  <c r="K46" i="12"/>
  <c r="K45" i="12"/>
  <c r="T45" i="12" s="1"/>
  <c r="K44" i="12"/>
  <c r="K43" i="12"/>
  <c r="K42" i="12"/>
  <c r="K41" i="12"/>
  <c r="K40" i="12"/>
  <c r="K39" i="12"/>
  <c r="K38" i="12"/>
  <c r="K37" i="12"/>
  <c r="K36" i="12"/>
  <c r="K35" i="12"/>
  <c r="K34" i="12"/>
  <c r="AG50" i="12"/>
  <c r="AG51" i="12"/>
  <c r="AG52" i="12"/>
  <c r="AG53" i="12"/>
  <c r="AG54" i="12"/>
  <c r="AG55" i="12"/>
  <c r="AG56" i="12"/>
  <c r="AP16" i="12"/>
  <c r="K33" i="12"/>
  <c r="K32" i="12"/>
  <c r="K31" i="12"/>
  <c r="K30" i="12"/>
  <c r="K29" i="12"/>
  <c r="T29" i="12" s="1"/>
  <c r="K28" i="12"/>
  <c r="K27" i="12"/>
  <c r="K26" i="12"/>
  <c r="K25" i="12"/>
  <c r="K24" i="12"/>
  <c r="K23" i="12"/>
  <c r="K22" i="12"/>
  <c r="K21" i="12"/>
  <c r="K20" i="12"/>
  <c r="K19" i="12"/>
  <c r="K18" i="12"/>
  <c r="K17" i="12"/>
  <c r="K16" i="12"/>
  <c r="K15" i="12"/>
  <c r="K14" i="12"/>
  <c r="K13" i="12"/>
  <c r="K12" i="12"/>
  <c r="K11" i="12"/>
  <c r="AG10" i="12"/>
  <c r="AC48" i="12"/>
  <c r="AC47" i="12"/>
  <c r="AC46" i="12"/>
  <c r="AC45" i="12"/>
  <c r="AC44" i="12"/>
  <c r="AC43" i="12"/>
  <c r="AC42" i="12"/>
  <c r="AC41" i="12"/>
  <c r="AC40" i="12"/>
  <c r="AC39" i="12"/>
  <c r="AC38" i="12"/>
  <c r="AC37" i="12"/>
  <c r="AC36" i="12"/>
  <c r="AC35" i="12"/>
  <c r="AC34" i="12"/>
  <c r="AC33" i="12"/>
  <c r="AC32" i="12"/>
  <c r="AC31" i="12"/>
  <c r="AC30" i="12"/>
  <c r="AC29" i="12"/>
  <c r="AC28" i="12"/>
  <c r="AC27" i="12"/>
  <c r="AC26" i="12"/>
  <c r="AC25" i="12"/>
  <c r="AC24" i="12"/>
  <c r="AC23" i="12"/>
  <c r="AC22" i="12"/>
  <c r="AC21" i="12"/>
  <c r="AC20" i="12"/>
  <c r="AC19" i="12"/>
  <c r="AC18" i="12"/>
  <c r="AC17" i="12"/>
  <c r="AC16" i="12"/>
  <c r="AC15" i="12"/>
  <c r="AC14" i="12"/>
  <c r="AC13" i="12"/>
  <c r="AC12" i="12"/>
  <c r="AC11" i="12"/>
  <c r="AP10" i="12"/>
  <c r="AL48" i="12"/>
  <c r="AL47" i="12"/>
  <c r="AL46" i="12"/>
  <c r="AL45" i="12"/>
  <c r="AL44" i="12"/>
  <c r="AL43" i="12"/>
  <c r="AL42" i="12"/>
  <c r="AL41" i="12"/>
  <c r="AL40" i="12"/>
  <c r="AL39" i="12"/>
  <c r="AL38" i="12"/>
  <c r="AL37" i="12"/>
  <c r="AL36" i="12"/>
  <c r="AL35" i="12"/>
  <c r="AL34" i="12"/>
  <c r="AL33" i="12"/>
  <c r="AL32" i="12"/>
  <c r="AL31" i="12"/>
  <c r="AL30" i="12"/>
  <c r="AL29" i="12"/>
  <c r="AL28" i="12"/>
  <c r="AL27" i="12"/>
  <c r="F44" i="12"/>
  <c r="H44" i="12" s="1"/>
  <c r="F43" i="12"/>
  <c r="H43" i="12" s="1"/>
  <c r="F42" i="12"/>
  <c r="F41" i="12"/>
  <c r="I41" i="12" s="1"/>
  <c r="F40" i="12"/>
  <c r="I40" i="12" s="1"/>
  <c r="F39" i="12"/>
  <c r="I39" i="12" s="1"/>
  <c r="F38" i="12"/>
  <c r="F37" i="12"/>
  <c r="H37" i="12" s="1"/>
  <c r="F36" i="12"/>
  <c r="H36" i="12" s="1"/>
  <c r="F35" i="12"/>
  <c r="H35" i="12" s="1"/>
  <c r="F34" i="12"/>
  <c r="F33" i="12"/>
  <c r="I33" i="12" s="1"/>
  <c r="F32" i="12"/>
  <c r="I32" i="12" s="1"/>
  <c r="F31" i="12"/>
  <c r="I31" i="12" s="1"/>
  <c r="F30" i="12"/>
  <c r="F29" i="12"/>
  <c r="I29" i="12" s="1"/>
  <c r="F28" i="12"/>
  <c r="I28" i="12" s="1"/>
  <c r="F27" i="12"/>
  <c r="H27" i="12" s="1"/>
  <c r="F26" i="12"/>
  <c r="F25" i="12"/>
  <c r="I25" i="12" s="1"/>
  <c r="F24" i="12"/>
  <c r="I24" i="12" s="1"/>
  <c r="F23" i="12"/>
  <c r="I23" i="12" s="1"/>
  <c r="F22" i="12"/>
  <c r="F21" i="12"/>
  <c r="I21" i="12" s="1"/>
  <c r="F20" i="12"/>
  <c r="H20" i="12" s="1"/>
  <c r="F19" i="12"/>
  <c r="I19" i="12" s="1"/>
  <c r="F18" i="12"/>
  <c r="F17" i="12"/>
  <c r="F16" i="12"/>
  <c r="H16" i="12" s="1"/>
  <c r="F15" i="12"/>
  <c r="H15" i="12" s="1"/>
  <c r="F14" i="12"/>
  <c r="AG31" i="12"/>
  <c r="AL26" i="12"/>
  <c r="AL25" i="12"/>
  <c r="AL24" i="12"/>
  <c r="AL23" i="12"/>
  <c r="AL22" i="12"/>
  <c r="AL21" i="12"/>
  <c r="AL20" i="12"/>
  <c r="AL19" i="12"/>
  <c r="AL18" i="12"/>
  <c r="AL17" i="12"/>
  <c r="AL16" i="12"/>
  <c r="AL15" i="12"/>
  <c r="AL14" i="12"/>
  <c r="AL13" i="12"/>
  <c r="AL12" i="12"/>
  <c r="AL11" i="12"/>
  <c r="K51" i="12"/>
  <c r="T51" i="12" s="1"/>
  <c r="K52" i="12"/>
  <c r="R52" i="12" s="1"/>
  <c r="K53" i="12"/>
  <c r="K54" i="12"/>
  <c r="R54" i="12" s="1"/>
  <c r="K55" i="12"/>
  <c r="R55" i="12" s="1"/>
  <c r="K56" i="12"/>
  <c r="T56" i="12" s="1"/>
  <c r="AC51" i="12"/>
  <c r="AC52" i="12"/>
  <c r="AC53" i="12"/>
  <c r="AI53" i="12" s="1"/>
  <c r="AC54" i="12"/>
  <c r="AI54" i="12" s="1"/>
  <c r="AC55" i="12"/>
  <c r="AC56" i="12"/>
  <c r="AL53" i="12"/>
  <c r="AS53" i="12" s="1"/>
  <c r="AX48" i="12"/>
  <c r="W46" i="12"/>
  <c r="AX44" i="12"/>
  <c r="AX42" i="12"/>
  <c r="AX40" i="12"/>
  <c r="AX38" i="12"/>
  <c r="B10" i="12"/>
  <c r="U8" i="10"/>
  <c r="AG49" i="12"/>
  <c r="AD8" i="10"/>
  <c r="AP49" i="12"/>
  <c r="H49" i="10"/>
  <c r="F49" i="12" s="1"/>
  <c r="Q9" i="10"/>
  <c r="Q8" i="10" s="1"/>
  <c r="V9" i="10"/>
  <c r="AD9" i="12" s="1"/>
  <c r="AD41" i="12"/>
  <c r="AV41" i="12" s="1"/>
  <c r="Z9" i="10"/>
  <c r="Z8" i="10" s="1"/>
  <c r="T47" i="12"/>
  <c r="T41" i="12"/>
  <c r="T37" i="12"/>
  <c r="I37" i="12"/>
  <c r="AH8" i="10"/>
  <c r="O49" i="12"/>
  <c r="F48" i="12"/>
  <c r="I48" i="12" s="1"/>
  <c r="F47" i="12"/>
  <c r="I47" i="12" s="1"/>
  <c r="F46" i="12"/>
  <c r="F45" i="12"/>
  <c r="F13" i="12"/>
  <c r="H13" i="12" s="1"/>
  <c r="F12" i="12"/>
  <c r="I12" i="12" s="1"/>
  <c r="F11" i="12"/>
  <c r="D49" i="10"/>
  <c r="C49" i="12" s="1"/>
  <c r="C50" i="12"/>
  <c r="F56" i="12"/>
  <c r="F55" i="12"/>
  <c r="F54" i="12"/>
  <c r="H54" i="12" s="1"/>
  <c r="F53" i="12"/>
  <c r="X53" i="12" s="1"/>
  <c r="AY53" i="12" s="1"/>
  <c r="F52" i="12"/>
  <c r="F51" i="12"/>
  <c r="O48" i="12"/>
  <c r="L9" i="10"/>
  <c r="L8" i="10" s="1"/>
  <c r="O47" i="12"/>
  <c r="O46" i="12"/>
  <c r="R46" i="12" s="1"/>
  <c r="O45" i="12"/>
  <c r="O44" i="12"/>
  <c r="R44" i="12" s="1"/>
  <c r="O43" i="12"/>
  <c r="O42" i="12"/>
  <c r="X42" i="12" s="1"/>
  <c r="O41" i="12"/>
  <c r="R41" i="12" s="1"/>
  <c r="O40" i="12"/>
  <c r="O39" i="12"/>
  <c r="O38" i="12"/>
  <c r="Q38" i="12" s="1"/>
  <c r="O37" i="12"/>
  <c r="O36" i="12"/>
  <c r="O35" i="12"/>
  <c r="O34" i="12"/>
  <c r="X34" i="12" s="1"/>
  <c r="O33" i="12"/>
  <c r="O32" i="12"/>
  <c r="O31" i="12"/>
  <c r="O30" i="12"/>
  <c r="R30" i="12" s="1"/>
  <c r="O29" i="12"/>
  <c r="O28" i="12"/>
  <c r="O27" i="12"/>
  <c r="O26" i="12"/>
  <c r="X26" i="12" s="1"/>
  <c r="O25" i="12"/>
  <c r="O24" i="12"/>
  <c r="O23" i="12"/>
  <c r="O22" i="12"/>
  <c r="Q22" i="12" s="1"/>
  <c r="O21" i="12"/>
  <c r="R21" i="12" s="1"/>
  <c r="O20" i="12"/>
  <c r="O19" i="12"/>
  <c r="O18" i="12"/>
  <c r="X18" i="12" s="1"/>
  <c r="O17" i="12"/>
  <c r="O16" i="12"/>
  <c r="O15" i="12"/>
  <c r="O14" i="12"/>
  <c r="R14" i="12" s="1"/>
  <c r="O13" i="12"/>
  <c r="O12" i="12"/>
  <c r="O11" i="12"/>
  <c r="M49" i="10"/>
  <c r="L49" i="12" s="1"/>
  <c r="L50" i="12"/>
  <c r="AG48" i="12"/>
  <c r="AJ48" i="12" s="1"/>
  <c r="AG47" i="12"/>
  <c r="AI47" i="12" s="1"/>
  <c r="AG46" i="12"/>
  <c r="AG45" i="12"/>
  <c r="AG44" i="12"/>
  <c r="AJ44" i="12" s="1"/>
  <c r="AG43" i="12"/>
  <c r="AI43" i="12" s="1"/>
  <c r="AG42" i="12"/>
  <c r="AG41" i="12"/>
  <c r="AG40" i="12"/>
  <c r="AI40" i="12" s="1"/>
  <c r="AG39" i="12"/>
  <c r="AJ39" i="12" s="1"/>
  <c r="AG38" i="12"/>
  <c r="AG37" i="12"/>
  <c r="AG36" i="12"/>
  <c r="AI36" i="12" s="1"/>
  <c r="AG35" i="12"/>
  <c r="AJ35" i="12" s="1"/>
  <c r="AG34" i="12"/>
  <c r="AG33" i="12"/>
  <c r="AG32" i="12"/>
  <c r="AI32" i="12" s="1"/>
  <c r="G9" i="10"/>
  <c r="G8" i="10" s="1"/>
  <c r="F10" i="12"/>
  <c r="X10" i="12" s="1"/>
  <c r="AX47" i="12"/>
  <c r="AX45" i="12"/>
  <c r="AX43" i="12"/>
  <c r="AX41" i="12"/>
  <c r="AX39" i="12"/>
  <c r="AX37" i="12"/>
  <c r="AX36" i="12"/>
  <c r="AX35" i="12"/>
  <c r="AX34" i="12"/>
  <c r="AX33" i="12"/>
  <c r="T33" i="12"/>
  <c r="AX32" i="12"/>
  <c r="H32" i="12"/>
  <c r="AX31" i="12"/>
  <c r="AX30" i="12"/>
  <c r="AX29" i="12"/>
  <c r="H29" i="12"/>
  <c r="AX28" i="12"/>
  <c r="H28" i="12"/>
  <c r="AX27" i="12"/>
  <c r="AX26" i="12"/>
  <c r="AX25" i="12"/>
  <c r="H25" i="12"/>
  <c r="T25" i="12"/>
  <c r="AX24" i="12"/>
  <c r="AX23" i="12"/>
  <c r="AX22" i="12"/>
  <c r="AX21" i="12"/>
  <c r="H21" i="12"/>
  <c r="T21" i="12"/>
  <c r="AX20" i="12"/>
  <c r="I20" i="12"/>
  <c r="T20" i="12"/>
  <c r="AX19" i="12"/>
  <c r="AX18" i="12"/>
  <c r="AX17" i="12"/>
  <c r="H17" i="12"/>
  <c r="T17" i="12"/>
  <c r="I17" i="12"/>
  <c r="AX16" i="12"/>
  <c r="I16" i="12"/>
  <c r="AX15" i="12"/>
  <c r="AX14" i="12"/>
  <c r="AX13" i="12"/>
  <c r="T13" i="12"/>
  <c r="AX12" i="12"/>
  <c r="AX11" i="12"/>
  <c r="AX56" i="12"/>
  <c r="AX55" i="12"/>
  <c r="AX54" i="12"/>
  <c r="T54" i="12"/>
  <c r="AX53" i="12"/>
  <c r="AX52" i="12"/>
  <c r="AX51" i="12"/>
  <c r="R45" i="12"/>
  <c r="R37" i="12"/>
  <c r="R33" i="12"/>
  <c r="R29" i="12"/>
  <c r="R25" i="12"/>
  <c r="R24" i="12"/>
  <c r="R17" i="12"/>
  <c r="R13" i="12"/>
  <c r="N49" i="10"/>
  <c r="M49" i="12" s="1"/>
  <c r="M50" i="12"/>
  <c r="V50" i="12" s="1"/>
  <c r="AI45" i="12"/>
  <c r="AJ45" i="12"/>
  <c r="AI41" i="12"/>
  <c r="AJ37" i="12"/>
  <c r="AI37" i="12"/>
  <c r="AJ36" i="12"/>
  <c r="AI33" i="12"/>
  <c r="AJ33" i="12"/>
  <c r="W49" i="10"/>
  <c r="AE49" i="12" s="1"/>
  <c r="AE50" i="12"/>
  <c r="AG9" i="12"/>
  <c r="H40" i="12"/>
  <c r="B49" i="10"/>
  <c r="B49" i="12" s="1"/>
  <c r="B50" i="12"/>
  <c r="F49" i="10"/>
  <c r="E49" i="12" s="1"/>
  <c r="W49" i="12" s="1"/>
  <c r="E50" i="12"/>
  <c r="W50" i="12" s="1"/>
  <c r="I49" i="10"/>
  <c r="G49" i="12" s="1"/>
  <c r="Y49" i="12" s="1"/>
  <c r="AZ49" i="12" s="1"/>
  <c r="G54" i="12"/>
  <c r="Y54" i="12" s="1"/>
  <c r="AZ54" i="12" s="1"/>
  <c r="K9" i="10"/>
  <c r="K10" i="12"/>
  <c r="O9" i="10"/>
  <c r="N9" i="12" s="1"/>
  <c r="N10" i="12"/>
  <c r="W10" i="12" s="1"/>
  <c r="K49" i="10"/>
  <c r="K49" i="12" s="1"/>
  <c r="K50" i="12"/>
  <c r="R53" i="12"/>
  <c r="T9" i="10"/>
  <c r="AC9" i="12" s="1"/>
  <c r="AC10" i="12"/>
  <c r="X9" i="10"/>
  <c r="AF9" i="12" s="1"/>
  <c r="AF10" i="12"/>
  <c r="AS16" i="12"/>
  <c r="T49" i="10"/>
  <c r="AC49" i="12" s="1"/>
  <c r="AC50" i="12"/>
  <c r="X49" i="10"/>
  <c r="AF49" i="12" s="1"/>
  <c r="AF50" i="12"/>
  <c r="AJ51" i="12"/>
  <c r="AI55" i="12"/>
  <c r="AC9" i="10"/>
  <c r="AL9" i="12" s="1"/>
  <c r="AL10" i="12"/>
  <c r="AG9" i="10"/>
  <c r="AO9" i="12" s="1"/>
  <c r="AO10" i="12"/>
  <c r="AJ9" i="10"/>
  <c r="AQ38" i="12"/>
  <c r="AF9" i="10"/>
  <c r="AN36" i="12"/>
  <c r="AW36" i="12" s="1"/>
  <c r="AC49" i="10"/>
  <c r="AL49" i="12" s="1"/>
  <c r="AL50" i="12"/>
  <c r="AG49" i="10"/>
  <c r="AO49" i="12" s="1"/>
  <c r="AO50" i="12"/>
  <c r="AL51" i="12"/>
  <c r="AL52" i="12"/>
  <c r="AL54" i="12"/>
  <c r="AS54" i="12" s="1"/>
  <c r="AL55" i="12"/>
  <c r="AL56" i="12"/>
  <c r="AE9" i="10"/>
  <c r="AM9" i="12" s="1"/>
  <c r="AM48" i="12"/>
  <c r="AV48" i="12" s="1"/>
  <c r="AG30" i="12"/>
  <c r="AG29" i="12"/>
  <c r="AJ29" i="12" s="1"/>
  <c r="AG28" i="12"/>
  <c r="AI28" i="12" s="1"/>
  <c r="AG27" i="12"/>
  <c r="AJ27" i="12" s="1"/>
  <c r="AG26" i="12"/>
  <c r="AG25" i="12"/>
  <c r="AJ25" i="12" s="1"/>
  <c r="AG24" i="12"/>
  <c r="AI24" i="12" s="1"/>
  <c r="AG23" i="12"/>
  <c r="AJ23" i="12" s="1"/>
  <c r="AG22" i="12"/>
  <c r="AG21" i="12"/>
  <c r="AJ21" i="12" s="1"/>
  <c r="AG20" i="12"/>
  <c r="AI20" i="12" s="1"/>
  <c r="AG19" i="12"/>
  <c r="AJ19" i="12" s="1"/>
  <c r="AG18" i="12"/>
  <c r="AG17" i="12"/>
  <c r="AJ17" i="12" s="1"/>
  <c r="AG16" i="12"/>
  <c r="AI16" i="12" s="1"/>
  <c r="AG15" i="12"/>
  <c r="AJ15" i="12" s="1"/>
  <c r="AG14" i="12"/>
  <c r="AG13" i="12"/>
  <c r="AJ13" i="12" s="1"/>
  <c r="AG12" i="12"/>
  <c r="AI12" i="12" s="1"/>
  <c r="AG11" i="12"/>
  <c r="AJ11" i="12" s="1"/>
  <c r="V49" i="10"/>
  <c r="AD49" i="12" s="1"/>
  <c r="AD50" i="12"/>
  <c r="AP48" i="12"/>
  <c r="AP47" i="12"/>
  <c r="AR47" i="12" s="1"/>
  <c r="AP46" i="12"/>
  <c r="AP45" i="12"/>
  <c r="AP44" i="12"/>
  <c r="AS44" i="12" s="1"/>
  <c r="AP43" i="12"/>
  <c r="AP42" i="12"/>
  <c r="AP41" i="12"/>
  <c r="AP40" i="12"/>
  <c r="AS40" i="12" s="1"/>
  <c r="AP39" i="12"/>
  <c r="AP38" i="12"/>
  <c r="AP37" i="12"/>
  <c r="AP36" i="12"/>
  <c r="AP35" i="12"/>
  <c r="AP34" i="12"/>
  <c r="AP33" i="12"/>
  <c r="AP32" i="12"/>
  <c r="AS32" i="12" s="1"/>
  <c r="AP31" i="12"/>
  <c r="AP30" i="12"/>
  <c r="AP29" i="12"/>
  <c r="AP28" i="12"/>
  <c r="AS28" i="12" s="1"/>
  <c r="AP27" i="12"/>
  <c r="AP26" i="12"/>
  <c r="AP25" i="12"/>
  <c r="AP24" i="12"/>
  <c r="AS24" i="12" s="1"/>
  <c r="AP23" i="12"/>
  <c r="AP22" i="12"/>
  <c r="AP21" i="12"/>
  <c r="AP20" i="12"/>
  <c r="AS20" i="12" s="1"/>
  <c r="AP19" i="12"/>
  <c r="AP18" i="12"/>
  <c r="AP17" i="12"/>
  <c r="AP15" i="12"/>
  <c r="AR15" i="12" s="1"/>
  <c r="AP14" i="12"/>
  <c r="AP13" i="12"/>
  <c r="AP12" i="12"/>
  <c r="AR12" i="12" s="1"/>
  <c r="AP11" i="12"/>
  <c r="AS11" i="12" s="1"/>
  <c r="AR16" i="12"/>
  <c r="Q13" i="12"/>
  <c r="Q16" i="12"/>
  <c r="Q17" i="12"/>
  <c r="Q21" i="12"/>
  <c r="Q25" i="12"/>
  <c r="Q29" i="12"/>
  <c r="Q33" i="12"/>
  <c r="Q37" i="12"/>
  <c r="Q40" i="12"/>
  <c r="Q41" i="12"/>
  <c r="Q45" i="12"/>
  <c r="Q51" i="12"/>
  <c r="Q53" i="12"/>
  <c r="Q54" i="12"/>
  <c r="AE8" i="10"/>
  <c r="AM8" i="12" s="1"/>
  <c r="AI9" i="10"/>
  <c r="AI8" i="10" s="1"/>
  <c r="Y8" i="10"/>
  <c r="AA9" i="10"/>
  <c r="R9" i="10"/>
  <c r="N9" i="10"/>
  <c r="P9" i="10"/>
  <c r="E49" i="10"/>
  <c r="D49" i="12" s="1"/>
  <c r="B9" i="10"/>
  <c r="F9" i="10"/>
  <c r="E9" i="10"/>
  <c r="I9" i="10"/>
  <c r="H9" i="10"/>
  <c r="H8" i="10" s="1"/>
  <c r="D9" i="10"/>
  <c r="C8" i="10"/>
  <c r="P63" i="9"/>
  <c r="Q63" i="9" s="1"/>
  <c r="R63" i="9" s="1"/>
  <c r="P56" i="9"/>
  <c r="Q56" i="9" s="1"/>
  <c r="R56" i="9" s="1"/>
  <c r="P49" i="9"/>
  <c r="Q49" i="9" s="1"/>
  <c r="R49" i="9" s="1"/>
  <c r="P42" i="9"/>
  <c r="Q42" i="9" s="1"/>
  <c r="R42" i="9" s="1"/>
  <c r="P35" i="9"/>
  <c r="Q35" i="9" s="1"/>
  <c r="R35" i="9" s="1"/>
  <c r="P28" i="9"/>
  <c r="Q28" i="9" s="1"/>
  <c r="R28" i="9" s="1"/>
  <c r="P21" i="9"/>
  <c r="Q21" i="9" s="1"/>
  <c r="R21" i="9" s="1"/>
  <c r="P14" i="9"/>
  <c r="Q14" i="9" s="1"/>
  <c r="R14" i="9" s="1"/>
  <c r="O62" i="9"/>
  <c r="O55" i="9"/>
  <c r="O48" i="9"/>
  <c r="O41" i="9"/>
  <c r="O34" i="9"/>
  <c r="O27" i="9"/>
  <c r="O20" i="9"/>
  <c r="X50" i="12" l="1"/>
  <c r="T16" i="12"/>
  <c r="T24" i="12"/>
  <c r="T32" i="12"/>
  <c r="T40" i="12"/>
  <c r="T44" i="12"/>
  <c r="AJ40" i="12"/>
  <c r="AJ32" i="12"/>
  <c r="AI44" i="12"/>
  <c r="H53" i="12"/>
  <c r="T11" i="12"/>
  <c r="T19" i="12"/>
  <c r="T23" i="12"/>
  <c r="AI56" i="12"/>
  <c r="AI52" i="12"/>
  <c r="T35" i="12"/>
  <c r="T43" i="12"/>
  <c r="Q47" i="12"/>
  <c r="H14" i="12"/>
  <c r="T18" i="12"/>
  <c r="T22" i="12"/>
  <c r="T26" i="12"/>
  <c r="Z26" i="12" s="1"/>
  <c r="H30" i="12"/>
  <c r="I34" i="12"/>
  <c r="H38" i="12"/>
  <c r="I42" i="12"/>
  <c r="AR18" i="12"/>
  <c r="AJ31" i="12"/>
  <c r="AI39" i="12"/>
  <c r="AJ55" i="12"/>
  <c r="AI51" i="12"/>
  <c r="Q48" i="12"/>
  <c r="H11" i="12"/>
  <c r="I14" i="12"/>
  <c r="R40" i="12"/>
  <c r="H24" i="12"/>
  <c r="AG8" i="10"/>
  <c r="AO8" i="12" s="1"/>
  <c r="Q24" i="12"/>
  <c r="K9" i="12"/>
  <c r="I44" i="12"/>
  <c r="AS18" i="12"/>
  <c r="AS22" i="12"/>
  <c r="AS26" i="12"/>
  <c r="AS30" i="12"/>
  <c r="AS34" i="12"/>
  <c r="AR38" i="12"/>
  <c r="AS42" i="12"/>
  <c r="AS46" i="12"/>
  <c r="AS55" i="12"/>
  <c r="AI31" i="12"/>
  <c r="R32" i="12"/>
  <c r="H22" i="12"/>
  <c r="H33" i="12"/>
  <c r="AY10" i="12"/>
  <c r="X51" i="12"/>
  <c r="AY51" i="12" s="1"/>
  <c r="X55" i="12"/>
  <c r="AY55" i="12" s="1"/>
  <c r="I11" i="12"/>
  <c r="H41" i="12"/>
  <c r="Q15" i="12"/>
  <c r="Q27" i="12"/>
  <c r="Q31" i="12"/>
  <c r="Q39" i="12"/>
  <c r="H52" i="12"/>
  <c r="H56" i="12"/>
  <c r="H18" i="12"/>
  <c r="I27" i="12"/>
  <c r="T31" i="12"/>
  <c r="AR26" i="12"/>
  <c r="AR42" i="12"/>
  <c r="AI35" i="12"/>
  <c r="AJ47" i="12"/>
  <c r="Q12" i="12"/>
  <c r="Q20" i="12"/>
  <c r="R28" i="12"/>
  <c r="R36" i="12"/>
  <c r="I53" i="12"/>
  <c r="T15" i="12"/>
  <c r="H19" i="12"/>
  <c r="T39" i="12"/>
  <c r="AU39" i="12" s="1"/>
  <c r="I43" i="12"/>
  <c r="O8" i="10"/>
  <c r="N8" i="12" s="1"/>
  <c r="Q32" i="12"/>
  <c r="AR53" i="12"/>
  <c r="H48" i="12"/>
  <c r="R16" i="12"/>
  <c r="T55" i="12"/>
  <c r="I36" i="12"/>
  <c r="I46" i="12"/>
  <c r="AI38" i="12"/>
  <c r="AJ34" i="12"/>
  <c r="AJ46" i="12"/>
  <c r="Z18" i="12"/>
  <c r="T52" i="12"/>
  <c r="Q55" i="12"/>
  <c r="AR48" i="12"/>
  <c r="R51" i="12"/>
  <c r="T42" i="12"/>
  <c r="AI34" i="12"/>
  <c r="R12" i="12"/>
  <c r="T28" i="12"/>
  <c r="AU28" i="12" s="1"/>
  <c r="T30" i="12"/>
  <c r="AU30" i="12" s="1"/>
  <c r="T34" i="12"/>
  <c r="Z34" i="12" s="1"/>
  <c r="T36" i="12"/>
  <c r="X16" i="12"/>
  <c r="AY16" i="12" s="1"/>
  <c r="X20" i="12"/>
  <c r="Z20" i="12" s="1"/>
  <c r="X24" i="12"/>
  <c r="AY24" i="12" s="1"/>
  <c r="X28" i="12"/>
  <c r="AY28" i="12" s="1"/>
  <c r="X32" i="12"/>
  <c r="AY32" i="12" s="1"/>
  <c r="X36" i="12"/>
  <c r="X40" i="12"/>
  <c r="AY40" i="12" s="1"/>
  <c r="X44" i="12"/>
  <c r="AY44" i="12" s="1"/>
  <c r="AI42" i="12"/>
  <c r="H46" i="12"/>
  <c r="AI46" i="12"/>
  <c r="V8" i="10"/>
  <c r="AD8" i="12" s="1"/>
  <c r="Q50" i="12"/>
  <c r="Q44" i="12"/>
  <c r="AR36" i="12"/>
  <c r="AS52" i="12"/>
  <c r="AJ53" i="12"/>
  <c r="T48" i="12"/>
  <c r="R20" i="12"/>
  <c r="R26" i="12"/>
  <c r="R48" i="12"/>
  <c r="T12" i="12"/>
  <c r="Q43" i="12"/>
  <c r="Q36" i="12"/>
  <c r="Q28" i="12"/>
  <c r="AS51" i="12"/>
  <c r="AR49" i="12"/>
  <c r="Q10" i="12"/>
  <c r="AJ41" i="12"/>
  <c r="AI48" i="12"/>
  <c r="R42" i="12"/>
  <c r="H12" i="12"/>
  <c r="X17" i="12"/>
  <c r="AY17" i="12" s="1"/>
  <c r="X21" i="12"/>
  <c r="Z21" i="12" s="1"/>
  <c r="X25" i="12"/>
  <c r="Z25" i="12" s="1"/>
  <c r="X33" i="12"/>
  <c r="AA33" i="12" s="1"/>
  <c r="X37" i="12"/>
  <c r="AY37" i="12" s="1"/>
  <c r="X41" i="12"/>
  <c r="X54" i="12"/>
  <c r="AA54" i="12" s="1"/>
  <c r="T53" i="12"/>
  <c r="Z53" i="12" s="1"/>
  <c r="W8" i="10"/>
  <c r="AE8" i="12" s="1"/>
  <c r="AR17" i="12"/>
  <c r="AR21" i="12"/>
  <c r="AR25" i="12"/>
  <c r="AR29" i="12"/>
  <c r="AR33" i="12"/>
  <c r="AR37" i="12"/>
  <c r="AR41" i="12"/>
  <c r="AR45" i="12"/>
  <c r="AS56" i="12"/>
  <c r="I38" i="12"/>
  <c r="H42" i="12"/>
  <c r="T46" i="12"/>
  <c r="AU46" i="12" s="1"/>
  <c r="AJ42" i="12"/>
  <c r="R22" i="12"/>
  <c r="R38" i="12"/>
  <c r="I51" i="12"/>
  <c r="I55" i="12"/>
  <c r="T14" i="12"/>
  <c r="AU14" i="12" s="1"/>
  <c r="I26" i="12"/>
  <c r="T27" i="12"/>
  <c r="H31" i="12"/>
  <c r="H34" i="12"/>
  <c r="R11" i="12"/>
  <c r="X15" i="12"/>
  <c r="Z15" i="12" s="1"/>
  <c r="X19" i="12"/>
  <c r="X23" i="12"/>
  <c r="X27" i="12"/>
  <c r="AY27" i="12" s="1"/>
  <c r="X31" i="12"/>
  <c r="X35" i="12"/>
  <c r="X39" i="12"/>
  <c r="X43" i="12"/>
  <c r="AY43" i="12" s="1"/>
  <c r="R47" i="12"/>
  <c r="X52" i="12"/>
  <c r="X56" i="12"/>
  <c r="AY56" i="12" s="1"/>
  <c r="H39" i="12"/>
  <c r="V49" i="12"/>
  <c r="AW49" i="12" s="1"/>
  <c r="X8" i="10"/>
  <c r="AF8" i="12" s="1"/>
  <c r="Q56" i="12"/>
  <c r="Q52" i="12"/>
  <c r="Q35" i="12"/>
  <c r="Q23" i="12"/>
  <c r="Q19" i="12"/>
  <c r="Q11" i="12"/>
  <c r="AS13" i="12"/>
  <c r="AI14" i="12"/>
  <c r="AJ18" i="12"/>
  <c r="AI22" i="12"/>
  <c r="AJ26" i="12"/>
  <c r="AI30" i="12"/>
  <c r="AJ56" i="12"/>
  <c r="AJ54" i="12"/>
  <c r="AJ52" i="12"/>
  <c r="R49" i="12"/>
  <c r="T38" i="12"/>
  <c r="AU38" i="12" s="1"/>
  <c r="AJ38" i="12"/>
  <c r="R18" i="12"/>
  <c r="R34" i="12"/>
  <c r="I22" i="12"/>
  <c r="AY50" i="12"/>
  <c r="M8" i="10"/>
  <c r="L8" i="12" s="1"/>
  <c r="Q46" i="12"/>
  <c r="Q42" i="12"/>
  <c r="Q34" i="12"/>
  <c r="Q30" i="12"/>
  <c r="Q26" i="12"/>
  <c r="Q18" i="12"/>
  <c r="Q14" i="12"/>
  <c r="AR52" i="12"/>
  <c r="R56" i="12"/>
  <c r="H55" i="12"/>
  <c r="AR46" i="12"/>
  <c r="AR30" i="12"/>
  <c r="I18" i="12"/>
  <c r="H26" i="12"/>
  <c r="AR34" i="12"/>
  <c r="X29" i="12"/>
  <c r="Z29" i="12" s="1"/>
  <c r="AG8" i="12"/>
  <c r="AR22" i="12"/>
  <c r="AR13" i="12"/>
  <c r="AJ22" i="12"/>
  <c r="U50" i="12"/>
  <c r="AV50" i="12" s="1"/>
  <c r="X13" i="12"/>
  <c r="AA13" i="12" s="1"/>
  <c r="X45" i="12"/>
  <c r="Z45" i="12" s="1"/>
  <c r="I15" i="12"/>
  <c r="H23" i="12"/>
  <c r="I35" i="12"/>
  <c r="AS50" i="12"/>
  <c r="AS38" i="12"/>
  <c r="AS10" i="12"/>
  <c r="AI26" i="12"/>
  <c r="Z41" i="12"/>
  <c r="AJ14" i="12"/>
  <c r="AJ30" i="12"/>
  <c r="AI18" i="12"/>
  <c r="X48" i="12"/>
  <c r="AY48" i="12" s="1"/>
  <c r="X14" i="12"/>
  <c r="AY14" i="12" s="1"/>
  <c r="X22" i="12"/>
  <c r="Z22" i="12" s="1"/>
  <c r="X30" i="12"/>
  <c r="AY30" i="12" s="1"/>
  <c r="X38" i="12"/>
  <c r="AY38" i="12" s="1"/>
  <c r="AR44" i="12"/>
  <c r="F8" i="12"/>
  <c r="T8" i="10"/>
  <c r="AC8" i="12" s="1"/>
  <c r="AC8" i="10"/>
  <c r="AL8" i="12" s="1"/>
  <c r="Q49" i="12"/>
  <c r="AR55" i="12"/>
  <c r="AR40" i="12"/>
  <c r="AR32" i="12"/>
  <c r="AR24" i="12"/>
  <c r="AR11" i="12"/>
  <c r="AS41" i="12"/>
  <c r="Z42" i="12"/>
  <c r="AJ43" i="12"/>
  <c r="R15" i="12"/>
  <c r="R19" i="12"/>
  <c r="R23" i="12"/>
  <c r="R27" i="12"/>
  <c r="R31" i="12"/>
  <c r="R35" i="12"/>
  <c r="R39" i="12"/>
  <c r="R43" i="12"/>
  <c r="H51" i="12"/>
  <c r="I52" i="12"/>
  <c r="I13" i="12"/>
  <c r="I30" i="12"/>
  <c r="U49" i="12"/>
  <c r="AV49" i="12" s="1"/>
  <c r="X46" i="12"/>
  <c r="AS17" i="12"/>
  <c r="AS25" i="12"/>
  <c r="AS33" i="12"/>
  <c r="H47" i="12"/>
  <c r="AR28" i="12"/>
  <c r="AS45" i="12"/>
  <c r="AR20" i="12"/>
  <c r="AR56" i="12"/>
  <c r="AR51" i="12"/>
  <c r="AS21" i="12"/>
  <c r="AS29" i="12"/>
  <c r="AS37" i="12"/>
  <c r="AY20" i="12"/>
  <c r="AY36" i="12"/>
  <c r="AY19" i="12"/>
  <c r="AY35" i="12"/>
  <c r="Z35" i="12"/>
  <c r="AX10" i="12"/>
  <c r="E8" i="10"/>
  <c r="D8" i="12" s="1"/>
  <c r="D9" i="12"/>
  <c r="F8" i="10"/>
  <c r="E8" i="12" s="1"/>
  <c r="W8" i="12" s="1"/>
  <c r="AX8" i="12" s="1"/>
  <c r="E9" i="12"/>
  <c r="W9" i="12" s="1"/>
  <c r="AR54" i="12"/>
  <c r="B8" i="10"/>
  <c r="B8" i="12" s="1"/>
  <c r="B9" i="12"/>
  <c r="R8" i="10"/>
  <c r="P8" i="12" s="1"/>
  <c r="P9" i="12"/>
  <c r="K8" i="10"/>
  <c r="K8" i="12" s="1"/>
  <c r="AS36" i="12"/>
  <c r="AI10" i="12"/>
  <c r="AJ10" i="12"/>
  <c r="R50" i="12"/>
  <c r="R10" i="12"/>
  <c r="AX50" i="12"/>
  <c r="AU44" i="12"/>
  <c r="AS48" i="12"/>
  <c r="AI11" i="12"/>
  <c r="AI13" i="12"/>
  <c r="AI15" i="12"/>
  <c r="AI17" i="12"/>
  <c r="AI19" i="12"/>
  <c r="AI21" i="12"/>
  <c r="AI23" i="12"/>
  <c r="AI25" i="12"/>
  <c r="AI27" i="12"/>
  <c r="AI29" i="12"/>
  <c r="AU51" i="12"/>
  <c r="AU52" i="12"/>
  <c r="AA52" i="12"/>
  <c r="AU55" i="12"/>
  <c r="I56" i="12"/>
  <c r="AU13" i="12"/>
  <c r="AU33" i="12"/>
  <c r="X11" i="12"/>
  <c r="AA11" i="12" s="1"/>
  <c r="X47" i="12"/>
  <c r="AA47" i="12" s="1"/>
  <c r="AP9" i="12"/>
  <c r="AU43" i="12"/>
  <c r="H45" i="12"/>
  <c r="AX46" i="12"/>
  <c r="AF8" i="10"/>
  <c r="AN8" i="12" s="1"/>
  <c r="AN9" i="12"/>
  <c r="AI9" i="12"/>
  <c r="AX49" i="12"/>
  <c r="AZ38" i="12"/>
  <c r="AU48" i="12"/>
  <c r="AS12" i="12"/>
  <c r="AJ12" i="12"/>
  <c r="AJ16" i="12"/>
  <c r="AJ20" i="12"/>
  <c r="AJ24" i="12"/>
  <c r="AJ28" i="12"/>
  <c r="AU56" i="12"/>
  <c r="AW50" i="12"/>
  <c r="AU17" i="12"/>
  <c r="AA17" i="12"/>
  <c r="AU21" i="12"/>
  <c r="AA21" i="12"/>
  <c r="AU25" i="12"/>
  <c r="AU29" i="12"/>
  <c r="F9" i="12"/>
  <c r="X12" i="12"/>
  <c r="AY12" i="12" s="1"/>
  <c r="AP8" i="12"/>
  <c r="AU41" i="12"/>
  <c r="AA41" i="12"/>
  <c r="AA8" i="10"/>
  <c r="AH8" i="12" s="1"/>
  <c r="AH9" i="12"/>
  <c r="AJ9" i="12" s="1"/>
  <c r="AR43" i="12"/>
  <c r="AR39" i="12"/>
  <c r="AR35" i="12"/>
  <c r="AR31" i="12"/>
  <c r="AR23" i="12"/>
  <c r="AR19" i="12"/>
  <c r="AI50" i="12"/>
  <c r="AJ50" i="12"/>
  <c r="AS14" i="12"/>
  <c r="H50" i="12"/>
  <c r="T50" i="12"/>
  <c r="I50" i="12"/>
  <c r="AU40" i="12"/>
  <c r="AU42" i="12"/>
  <c r="AA42" i="12"/>
  <c r="I54" i="12"/>
  <c r="AU18" i="12"/>
  <c r="AA18" i="12"/>
  <c r="AU22" i="12"/>
  <c r="AU26" i="12"/>
  <c r="AA26" i="12"/>
  <c r="AU34" i="12"/>
  <c r="AA34" i="12"/>
  <c r="AY25" i="12"/>
  <c r="AY33" i="12"/>
  <c r="AY41" i="12"/>
  <c r="I45" i="12"/>
  <c r="AU47" i="12"/>
  <c r="I8" i="10"/>
  <c r="G8" i="12" s="1"/>
  <c r="G9" i="12"/>
  <c r="P8" i="10"/>
  <c r="O8" i="12" s="1"/>
  <c r="O9" i="12"/>
  <c r="AR27" i="12"/>
  <c r="D8" i="10"/>
  <c r="C8" i="12" s="1"/>
  <c r="U8" i="12" s="1"/>
  <c r="C9" i="12"/>
  <c r="U9" i="12" s="1"/>
  <c r="AV9" i="12" s="1"/>
  <c r="N8" i="10"/>
  <c r="M8" i="12" s="1"/>
  <c r="M9" i="12"/>
  <c r="AR50" i="12"/>
  <c r="AR14" i="12"/>
  <c r="AR10" i="12"/>
  <c r="AS49" i="12"/>
  <c r="AJ8" i="10"/>
  <c r="AQ8" i="12" s="1"/>
  <c r="AQ9" i="12"/>
  <c r="AI49" i="12"/>
  <c r="AJ49" i="12"/>
  <c r="AS15" i="12"/>
  <c r="AS19" i="12"/>
  <c r="AS23" i="12"/>
  <c r="AS27" i="12"/>
  <c r="AS31" i="12"/>
  <c r="AS35" i="12"/>
  <c r="AS39" i="12"/>
  <c r="AS43" i="12"/>
  <c r="H49" i="12"/>
  <c r="T49" i="12"/>
  <c r="I49" i="12"/>
  <c r="AS47" i="12"/>
  <c r="AU54" i="12"/>
  <c r="AU11" i="12"/>
  <c r="AU12" i="12"/>
  <c r="AU15" i="12"/>
  <c r="AU16" i="12"/>
  <c r="AU19" i="12"/>
  <c r="AA19" i="12"/>
  <c r="AU20" i="12"/>
  <c r="AA20" i="12"/>
  <c r="AU23" i="12"/>
  <c r="AA23" i="12"/>
  <c r="AU24" i="12"/>
  <c r="Z24" i="12"/>
  <c r="AU31" i="12"/>
  <c r="AU32" i="12"/>
  <c r="AU35" i="12"/>
  <c r="AA35" i="12"/>
  <c r="AU36" i="12"/>
  <c r="Z36" i="12"/>
  <c r="AY18" i="12"/>
  <c r="AY26" i="12"/>
  <c r="AY34" i="12"/>
  <c r="AY42" i="12"/>
  <c r="X49" i="12"/>
  <c r="AY49" i="12" s="1"/>
  <c r="AU37" i="12"/>
  <c r="AU45" i="12"/>
  <c r="H10" i="12"/>
  <c r="T10" i="12"/>
  <c r="Z10" i="12" s="1"/>
  <c r="I10" i="12"/>
  <c r="Z44" i="12"/>
  <c r="Z48" i="12"/>
  <c r="O13" i="9"/>
  <c r="D9" i="9"/>
  <c r="D8" i="9"/>
  <c r="K7" i="9"/>
  <c r="I7" i="9"/>
  <c r="H6" i="9"/>
  <c r="AV8" i="12" l="1"/>
  <c r="Z13" i="12"/>
  <c r="Z51" i="12"/>
  <c r="AA27" i="12"/>
  <c r="Z16" i="12"/>
  <c r="AA39" i="12"/>
  <c r="AA15" i="12"/>
  <c r="Z19" i="12"/>
  <c r="AA36" i="12"/>
  <c r="AY22" i="12"/>
  <c r="BA22" i="12" s="1"/>
  <c r="Z32" i="12"/>
  <c r="AY21" i="12"/>
  <c r="AA43" i="12"/>
  <c r="Z33" i="12"/>
  <c r="AA46" i="12"/>
  <c r="AA51" i="12"/>
  <c r="Z39" i="12"/>
  <c r="Z23" i="12"/>
  <c r="Z55" i="12"/>
  <c r="Z40" i="12"/>
  <c r="AA24" i="12"/>
  <c r="AA53" i="12"/>
  <c r="AA40" i="12"/>
  <c r="AA25" i="12"/>
  <c r="Z43" i="12"/>
  <c r="AU53" i="12"/>
  <c r="BB53" i="12" s="1"/>
  <c r="Z30" i="12"/>
  <c r="AA55" i="12"/>
  <c r="AA44" i="12"/>
  <c r="Z31" i="12"/>
  <c r="Z27" i="12"/>
  <c r="AY39" i="12"/>
  <c r="BA39" i="12" s="1"/>
  <c r="AY23" i="12"/>
  <c r="BA23" i="12" s="1"/>
  <c r="Z38" i="12"/>
  <c r="AA32" i="12"/>
  <c r="Z28" i="12"/>
  <c r="AU27" i="12"/>
  <c r="BB27" i="12" s="1"/>
  <c r="AA16" i="12"/>
  <c r="AA30" i="12"/>
  <c r="AY31" i="12"/>
  <c r="BB31" i="12" s="1"/>
  <c r="Z17" i="12"/>
  <c r="Z37" i="12"/>
  <c r="AA28" i="12"/>
  <c r="Z50" i="12"/>
  <c r="AJ8" i="12"/>
  <c r="AY54" i="12"/>
  <c r="BA54" i="12" s="1"/>
  <c r="Z54" i="12"/>
  <c r="AY46" i="12"/>
  <c r="AA37" i="12"/>
  <c r="AA31" i="12"/>
  <c r="AY15" i="12"/>
  <c r="BA15" i="12" s="1"/>
  <c r="AA56" i="12"/>
  <c r="AA48" i="12"/>
  <c r="Z46" i="12"/>
  <c r="Z14" i="12"/>
  <c r="Z56" i="12"/>
  <c r="AY52" i="12"/>
  <c r="BB52" i="12" s="1"/>
  <c r="Z52" i="12"/>
  <c r="AA38" i="12"/>
  <c r="AI8" i="12"/>
  <c r="Z12" i="12"/>
  <c r="AA45" i="12"/>
  <c r="AY45" i="12"/>
  <c r="BA45" i="12" s="1"/>
  <c r="AY29" i="12"/>
  <c r="BA29" i="12" s="1"/>
  <c r="AY13" i="12"/>
  <c r="AA29" i="12"/>
  <c r="Q9" i="12"/>
  <c r="Y8" i="12"/>
  <c r="AZ8" i="12" s="1"/>
  <c r="AA22" i="12"/>
  <c r="AA14" i="12"/>
  <c r="AR9" i="12"/>
  <c r="BB42" i="12"/>
  <c r="AS9" i="12"/>
  <c r="BA19" i="12"/>
  <c r="X8" i="12"/>
  <c r="AY8" i="12" s="1"/>
  <c r="AR8" i="12"/>
  <c r="BA37" i="12"/>
  <c r="BB37" i="12"/>
  <c r="BA12" i="12"/>
  <c r="BB12" i="12"/>
  <c r="BA40" i="12"/>
  <c r="BB40" i="12"/>
  <c r="BB19" i="12"/>
  <c r="BA36" i="12"/>
  <c r="BB36" i="12"/>
  <c r="BA20" i="12"/>
  <c r="BB20" i="12"/>
  <c r="BA30" i="12"/>
  <c r="BB30" i="12"/>
  <c r="BA25" i="12"/>
  <c r="BB25" i="12"/>
  <c r="BA48" i="12"/>
  <c r="BB48" i="12"/>
  <c r="R9" i="12"/>
  <c r="AY47" i="12"/>
  <c r="BA47" i="12" s="1"/>
  <c r="Z47" i="12"/>
  <c r="BA33" i="12"/>
  <c r="BB33" i="12"/>
  <c r="BA13" i="12"/>
  <c r="BB13" i="12"/>
  <c r="AU10" i="12"/>
  <c r="AA10" i="12"/>
  <c r="BA32" i="12"/>
  <c r="BB32" i="12"/>
  <c r="BA16" i="12"/>
  <c r="BB16" i="12"/>
  <c r="AA12" i="12"/>
  <c r="AS8" i="12"/>
  <c r="Y9" i="12"/>
  <c r="AZ9" i="12" s="1"/>
  <c r="BA26" i="12"/>
  <c r="BB26" i="12"/>
  <c r="BA18" i="12"/>
  <c r="BA42" i="12"/>
  <c r="AU50" i="12"/>
  <c r="AA50" i="12"/>
  <c r="BA41" i="12"/>
  <c r="BB41" i="12"/>
  <c r="X9" i="12"/>
  <c r="AY9" i="12" s="1"/>
  <c r="BA17" i="12"/>
  <c r="BB17" i="12"/>
  <c r="BA43" i="12"/>
  <c r="BB43" i="12"/>
  <c r="AY11" i="12"/>
  <c r="BB11" i="12" s="1"/>
  <c r="Z11" i="12"/>
  <c r="BB18" i="12"/>
  <c r="BA52" i="12"/>
  <c r="BA38" i="12"/>
  <c r="BB38" i="12"/>
  <c r="R8" i="12"/>
  <c r="Q8" i="12"/>
  <c r="T8" i="12"/>
  <c r="H8" i="12"/>
  <c r="I8" i="12"/>
  <c r="AX9" i="12"/>
  <c r="AU49" i="12"/>
  <c r="AA49" i="12"/>
  <c r="BB29" i="12"/>
  <c r="BA21" i="12"/>
  <c r="BB21" i="12"/>
  <c r="BA51" i="12"/>
  <c r="BB51" i="12"/>
  <c r="BA35" i="12"/>
  <c r="BB35" i="12"/>
  <c r="BA28" i="12"/>
  <c r="BB28" i="12"/>
  <c r="BB15" i="12"/>
  <c r="BA24" i="12"/>
  <c r="BB24" i="12"/>
  <c r="BB39" i="12"/>
  <c r="BA14" i="12"/>
  <c r="BB14" i="12"/>
  <c r="Z49" i="12"/>
  <c r="BA55" i="12"/>
  <c r="BB55" i="12"/>
  <c r="BA44" i="12"/>
  <c r="BB44" i="12"/>
  <c r="V9" i="12"/>
  <c r="AW9" i="12" s="1"/>
  <c r="BA46" i="12"/>
  <c r="BB46" i="12"/>
  <c r="BA34" i="12"/>
  <c r="BB34" i="12"/>
  <c r="BA56" i="12"/>
  <c r="BB56" i="12"/>
  <c r="H9" i="12"/>
  <c r="T9" i="12"/>
  <c r="I9" i="12"/>
  <c r="V8" i="12"/>
  <c r="AW8" i="12" s="1"/>
  <c r="AP9" i="1"/>
  <c r="AP8" i="1" s="1"/>
  <c r="AO9" i="1"/>
  <c r="AO8" i="1" s="1"/>
  <c r="AN9" i="1"/>
  <c r="AM9" i="1"/>
  <c r="AM8" i="1" s="1"/>
  <c r="AN8" i="1"/>
  <c r="AG9" i="1"/>
  <c r="AF9" i="1"/>
  <c r="AE9" i="1"/>
  <c r="AD9" i="1"/>
  <c r="AG8" i="1"/>
  <c r="AF8" i="1"/>
  <c r="AE8" i="1"/>
  <c r="O9" i="1"/>
  <c r="N9" i="1"/>
  <c r="M9" i="1"/>
  <c r="L9" i="1"/>
  <c r="L8" i="1" s="1"/>
  <c r="O8" i="1"/>
  <c r="N8" i="1"/>
  <c r="M8" i="1"/>
  <c r="C9" i="1"/>
  <c r="C8" i="1" s="1"/>
  <c r="D9" i="1"/>
  <c r="D8" i="1" s="1"/>
  <c r="E9" i="1"/>
  <c r="E8" i="1" s="1"/>
  <c r="F9" i="1"/>
  <c r="BD32" i="1"/>
  <c r="AL9" i="1"/>
  <c r="AL8" i="1" s="1"/>
  <c r="AC9" i="1"/>
  <c r="AC8" i="1" s="1"/>
  <c r="T10" i="1"/>
  <c r="AU10" i="1" s="1"/>
  <c r="U10" i="1"/>
  <c r="AV10" i="1" s="1"/>
  <c r="V10" i="1"/>
  <c r="W10" i="1"/>
  <c r="X10" i="1"/>
  <c r="Y10" i="1"/>
  <c r="AZ10" i="1" s="1"/>
  <c r="T11" i="1"/>
  <c r="U11" i="1"/>
  <c r="V11" i="1"/>
  <c r="AW11" i="1" s="1"/>
  <c r="W11" i="1"/>
  <c r="AX11" i="1" s="1"/>
  <c r="X11" i="1"/>
  <c r="AY11" i="1" s="1"/>
  <c r="Y11" i="1"/>
  <c r="T12" i="1"/>
  <c r="AU12" i="1" s="1"/>
  <c r="U12" i="1"/>
  <c r="AV12" i="1" s="1"/>
  <c r="V12" i="1"/>
  <c r="W12" i="1"/>
  <c r="X12" i="1"/>
  <c r="AY12" i="1" s="1"/>
  <c r="Y12" i="1"/>
  <c r="AZ12" i="1" s="1"/>
  <c r="T13" i="1"/>
  <c r="AU13" i="1" s="1"/>
  <c r="U13" i="1"/>
  <c r="V13" i="1"/>
  <c r="W13" i="1"/>
  <c r="AX13" i="1" s="1"/>
  <c r="X13" i="1"/>
  <c r="AY13" i="1" s="1"/>
  <c r="Y13" i="1"/>
  <c r="T14" i="1"/>
  <c r="U14" i="1"/>
  <c r="AV14" i="1" s="1"/>
  <c r="V14" i="1"/>
  <c r="W14" i="1"/>
  <c r="X14" i="1"/>
  <c r="AY14" i="1" s="1"/>
  <c r="Y14" i="1"/>
  <c r="AZ14" i="1" s="1"/>
  <c r="T15" i="1"/>
  <c r="AU15" i="1" s="1"/>
  <c r="U15" i="1"/>
  <c r="V15" i="1"/>
  <c r="AW15" i="1" s="1"/>
  <c r="W15" i="1"/>
  <c r="AX15" i="1" s="1"/>
  <c r="X15" i="1"/>
  <c r="Y15" i="1"/>
  <c r="T16" i="1"/>
  <c r="U16" i="1"/>
  <c r="AV16" i="1" s="1"/>
  <c r="V16" i="1"/>
  <c r="W16" i="1"/>
  <c r="X16" i="1"/>
  <c r="AY16" i="1" s="1"/>
  <c r="Y16" i="1"/>
  <c r="AZ16" i="1" s="1"/>
  <c r="T17" i="1"/>
  <c r="AU17" i="1" s="1"/>
  <c r="U17" i="1"/>
  <c r="V17" i="1"/>
  <c r="AW17" i="1" s="1"/>
  <c r="W17" i="1"/>
  <c r="AX17" i="1" s="1"/>
  <c r="X17" i="1"/>
  <c r="Y17" i="1"/>
  <c r="T18" i="1"/>
  <c r="AU18" i="1" s="1"/>
  <c r="U18" i="1"/>
  <c r="AV18" i="1" s="1"/>
  <c r="V18" i="1"/>
  <c r="AW18" i="1" s="1"/>
  <c r="W18" i="1"/>
  <c r="X18" i="1"/>
  <c r="Y18" i="1"/>
  <c r="AZ18" i="1" s="1"/>
  <c r="T19" i="1"/>
  <c r="AU19" i="1" s="1"/>
  <c r="U19" i="1"/>
  <c r="V19" i="1"/>
  <c r="W19" i="1"/>
  <c r="AX19" i="1" s="1"/>
  <c r="X19" i="1"/>
  <c r="Y19" i="1"/>
  <c r="T20" i="1"/>
  <c r="AU20" i="1" s="1"/>
  <c r="U20" i="1"/>
  <c r="AV20" i="1" s="1"/>
  <c r="V20" i="1"/>
  <c r="AW20" i="1" s="1"/>
  <c r="W20" i="1"/>
  <c r="X20" i="1"/>
  <c r="AY20" i="1" s="1"/>
  <c r="Y20" i="1"/>
  <c r="AZ20" i="1" s="1"/>
  <c r="T21" i="1"/>
  <c r="U21" i="1"/>
  <c r="V21" i="1"/>
  <c r="W21" i="1"/>
  <c r="AX21" i="1" s="1"/>
  <c r="X21" i="1"/>
  <c r="Y21" i="1"/>
  <c r="T22" i="1"/>
  <c r="AU22" i="1" s="1"/>
  <c r="U22" i="1"/>
  <c r="AV22" i="1" s="1"/>
  <c r="V22" i="1"/>
  <c r="AW22" i="1" s="1"/>
  <c r="W22" i="1"/>
  <c r="X22" i="1"/>
  <c r="AY22" i="1" s="1"/>
  <c r="Y22" i="1"/>
  <c r="AZ22" i="1" s="1"/>
  <c r="T23" i="1"/>
  <c r="U23" i="1"/>
  <c r="V23" i="1"/>
  <c r="AW23" i="1" s="1"/>
  <c r="W23" i="1"/>
  <c r="AX23" i="1" s="1"/>
  <c r="X23" i="1"/>
  <c r="AY23" i="1" s="1"/>
  <c r="Y23" i="1"/>
  <c r="T24" i="1"/>
  <c r="U24" i="1"/>
  <c r="AV24" i="1" s="1"/>
  <c r="V24" i="1"/>
  <c r="AW24" i="1" s="1"/>
  <c r="W24" i="1"/>
  <c r="X24" i="1"/>
  <c r="Y24" i="1"/>
  <c r="AZ24" i="1" s="1"/>
  <c r="T25" i="1"/>
  <c r="U25" i="1"/>
  <c r="V25" i="1"/>
  <c r="AW25" i="1" s="1"/>
  <c r="W25" i="1"/>
  <c r="AX25" i="1" s="1"/>
  <c r="X25" i="1"/>
  <c r="AY25" i="1" s="1"/>
  <c r="Y25" i="1"/>
  <c r="T26" i="1"/>
  <c r="AU26" i="1" s="1"/>
  <c r="U26" i="1"/>
  <c r="AV26" i="1" s="1"/>
  <c r="V26" i="1"/>
  <c r="W26" i="1"/>
  <c r="X26" i="1"/>
  <c r="Y26" i="1"/>
  <c r="AZ26" i="1" s="1"/>
  <c r="T27" i="1"/>
  <c r="U27" i="1"/>
  <c r="V27" i="1"/>
  <c r="AW27" i="1" s="1"/>
  <c r="W27" i="1"/>
  <c r="AX27" i="1" s="1"/>
  <c r="X27" i="1"/>
  <c r="AY27" i="1" s="1"/>
  <c r="Y27" i="1"/>
  <c r="T28" i="1"/>
  <c r="AU28" i="1" s="1"/>
  <c r="U28" i="1"/>
  <c r="AV28" i="1" s="1"/>
  <c r="V28" i="1"/>
  <c r="W28" i="1"/>
  <c r="X28" i="1"/>
  <c r="AY28" i="1" s="1"/>
  <c r="Y28" i="1"/>
  <c r="AZ28" i="1" s="1"/>
  <c r="T29" i="1"/>
  <c r="AU29" i="1" s="1"/>
  <c r="U29" i="1"/>
  <c r="V29" i="1"/>
  <c r="W29" i="1"/>
  <c r="AX29" i="1" s="1"/>
  <c r="X29" i="1"/>
  <c r="AY29" i="1" s="1"/>
  <c r="Y29" i="1"/>
  <c r="T30" i="1"/>
  <c r="U30" i="1"/>
  <c r="AV30" i="1" s="1"/>
  <c r="V30" i="1"/>
  <c r="W30" i="1"/>
  <c r="X30" i="1"/>
  <c r="AY30" i="1" s="1"/>
  <c r="Y30" i="1"/>
  <c r="AZ30" i="1" s="1"/>
  <c r="U31" i="1"/>
  <c r="AV31" i="1" s="1"/>
  <c r="V31" i="1"/>
  <c r="W31" i="1"/>
  <c r="AX31" i="1" s="1"/>
  <c r="X31" i="1"/>
  <c r="T33" i="1"/>
  <c r="AU33" i="1" s="1"/>
  <c r="U33" i="1"/>
  <c r="V33" i="1"/>
  <c r="W33" i="1"/>
  <c r="AX33" i="1" s="1"/>
  <c r="X33" i="1"/>
  <c r="Y33" i="1"/>
  <c r="T34" i="1"/>
  <c r="U34" i="1"/>
  <c r="AV34" i="1" s="1"/>
  <c r="V34" i="1"/>
  <c r="W34" i="1"/>
  <c r="X34" i="1"/>
  <c r="AY34" i="1" s="1"/>
  <c r="Y34" i="1"/>
  <c r="AZ34" i="1" s="1"/>
  <c r="T35" i="1"/>
  <c r="AU35" i="1" s="1"/>
  <c r="U35" i="1"/>
  <c r="V35" i="1"/>
  <c r="AW35" i="1" s="1"/>
  <c r="W35" i="1"/>
  <c r="AX35" i="1" s="1"/>
  <c r="X35" i="1"/>
  <c r="Y35" i="1"/>
  <c r="T36" i="1"/>
  <c r="AU36" i="1" s="1"/>
  <c r="U36" i="1"/>
  <c r="AV36" i="1" s="1"/>
  <c r="V36" i="1"/>
  <c r="AW36" i="1" s="1"/>
  <c r="W36" i="1"/>
  <c r="X36" i="1"/>
  <c r="Y36" i="1"/>
  <c r="AZ36" i="1" s="1"/>
  <c r="T37" i="1"/>
  <c r="AU37" i="1" s="1"/>
  <c r="U37" i="1"/>
  <c r="V37" i="1"/>
  <c r="AW37" i="1" s="1"/>
  <c r="W37" i="1"/>
  <c r="AX37" i="1" s="1"/>
  <c r="X37" i="1"/>
  <c r="Y37" i="1"/>
  <c r="T38" i="1"/>
  <c r="AU38" i="1" s="1"/>
  <c r="U38" i="1"/>
  <c r="AV38" i="1" s="1"/>
  <c r="V38" i="1"/>
  <c r="AW38" i="1" s="1"/>
  <c r="W38" i="1"/>
  <c r="X38" i="1"/>
  <c r="Y38" i="1"/>
  <c r="AZ38" i="1" s="1"/>
  <c r="T39" i="1"/>
  <c r="U39" i="1"/>
  <c r="V39" i="1"/>
  <c r="W39" i="1"/>
  <c r="AX39" i="1" s="1"/>
  <c r="X39" i="1"/>
  <c r="Y39" i="1"/>
  <c r="T40" i="1"/>
  <c r="AU40" i="1" s="1"/>
  <c r="U40" i="1"/>
  <c r="AV40" i="1" s="1"/>
  <c r="V40" i="1"/>
  <c r="AW40" i="1" s="1"/>
  <c r="W40" i="1"/>
  <c r="X40" i="1"/>
  <c r="AY40" i="1" s="1"/>
  <c r="Y40" i="1"/>
  <c r="AZ40" i="1" s="1"/>
  <c r="T41" i="1"/>
  <c r="U41" i="1"/>
  <c r="V41" i="1"/>
  <c r="AW41" i="1" s="1"/>
  <c r="W41" i="1"/>
  <c r="AX41" i="1" s="1"/>
  <c r="X41" i="1"/>
  <c r="AY41" i="1" s="1"/>
  <c r="Y41" i="1"/>
  <c r="T42" i="1"/>
  <c r="U42" i="1"/>
  <c r="AV42" i="1" s="1"/>
  <c r="V42" i="1"/>
  <c r="AW42" i="1" s="1"/>
  <c r="W42" i="1"/>
  <c r="X42" i="1"/>
  <c r="AY42" i="1" s="1"/>
  <c r="Y42" i="1"/>
  <c r="AZ42" i="1" s="1"/>
  <c r="T43" i="1"/>
  <c r="U43" i="1"/>
  <c r="V43" i="1"/>
  <c r="AW43" i="1" s="1"/>
  <c r="W43" i="1"/>
  <c r="AX43" i="1" s="1"/>
  <c r="X43" i="1"/>
  <c r="AY43" i="1" s="1"/>
  <c r="Y43" i="1"/>
  <c r="T44" i="1"/>
  <c r="U44" i="1"/>
  <c r="AV44" i="1" s="1"/>
  <c r="V44" i="1"/>
  <c r="AW44" i="1" s="1"/>
  <c r="W44" i="1"/>
  <c r="X44" i="1"/>
  <c r="Y44" i="1"/>
  <c r="AZ44" i="1" s="1"/>
  <c r="T45" i="1"/>
  <c r="U45" i="1"/>
  <c r="V45" i="1"/>
  <c r="AW45" i="1" s="1"/>
  <c r="W45" i="1"/>
  <c r="AX45" i="1" s="1"/>
  <c r="X45" i="1"/>
  <c r="AY45" i="1" s="1"/>
  <c r="Y45" i="1"/>
  <c r="T46" i="1"/>
  <c r="U46" i="1"/>
  <c r="AV46" i="1" s="1"/>
  <c r="V46" i="1"/>
  <c r="AW46" i="1" s="1"/>
  <c r="W46" i="1"/>
  <c r="X46" i="1"/>
  <c r="Y46" i="1"/>
  <c r="AZ46" i="1" s="1"/>
  <c r="T47" i="1"/>
  <c r="U47" i="1"/>
  <c r="V47" i="1"/>
  <c r="W47" i="1"/>
  <c r="AX47" i="1" s="1"/>
  <c r="X47" i="1"/>
  <c r="Y47" i="1"/>
  <c r="T48" i="1"/>
  <c r="AU48" i="1" s="1"/>
  <c r="U48" i="1"/>
  <c r="AV48" i="1" s="1"/>
  <c r="V48" i="1"/>
  <c r="AW48" i="1" s="1"/>
  <c r="W48" i="1"/>
  <c r="X48" i="1"/>
  <c r="Y48" i="1"/>
  <c r="AZ48" i="1" s="1"/>
  <c r="T49" i="1"/>
  <c r="U49" i="1"/>
  <c r="V49" i="1"/>
  <c r="W49" i="1"/>
  <c r="AX49" i="1" s="1"/>
  <c r="X49" i="1"/>
  <c r="AY49" i="1" s="1"/>
  <c r="Y49" i="1"/>
  <c r="T50" i="1"/>
  <c r="AU50" i="1" s="1"/>
  <c r="U50" i="1"/>
  <c r="AV50" i="1" s="1"/>
  <c r="V50" i="1"/>
  <c r="AW50" i="1" s="1"/>
  <c r="W50" i="1"/>
  <c r="X50" i="1"/>
  <c r="AY50" i="1" s="1"/>
  <c r="Y50" i="1"/>
  <c r="AZ50" i="1" s="1"/>
  <c r="T51" i="1"/>
  <c r="AU51" i="1" s="1"/>
  <c r="U51" i="1"/>
  <c r="V51" i="1"/>
  <c r="AW51" i="1" s="1"/>
  <c r="W51" i="1"/>
  <c r="AX51" i="1" s="1"/>
  <c r="X51" i="1"/>
  <c r="AY51" i="1" s="1"/>
  <c r="Y51" i="1"/>
  <c r="T52" i="1"/>
  <c r="U52" i="1"/>
  <c r="AV52" i="1" s="1"/>
  <c r="V52" i="1"/>
  <c r="AW52" i="1" s="1"/>
  <c r="W52" i="1"/>
  <c r="X52" i="1"/>
  <c r="AY52" i="1" s="1"/>
  <c r="Y52" i="1"/>
  <c r="AZ52" i="1" s="1"/>
  <c r="T53" i="1"/>
  <c r="AU53" i="1" s="1"/>
  <c r="U53" i="1"/>
  <c r="V53" i="1"/>
  <c r="W53" i="1"/>
  <c r="AX53" i="1" s="1"/>
  <c r="X53" i="1"/>
  <c r="AY53" i="1" s="1"/>
  <c r="Y53" i="1"/>
  <c r="T54" i="1"/>
  <c r="AU54" i="1" s="1"/>
  <c r="U54" i="1"/>
  <c r="AV54" i="1" s="1"/>
  <c r="V54" i="1"/>
  <c r="AW54" i="1" s="1"/>
  <c r="W54" i="1"/>
  <c r="X54" i="1"/>
  <c r="Y54" i="1"/>
  <c r="AZ54" i="1" s="1"/>
  <c r="T55" i="1"/>
  <c r="AU55" i="1" s="1"/>
  <c r="U55" i="1"/>
  <c r="V55" i="1"/>
  <c r="AW55" i="1" s="1"/>
  <c r="W55" i="1"/>
  <c r="AX55" i="1" s="1"/>
  <c r="X55" i="1"/>
  <c r="AY55" i="1" s="1"/>
  <c r="Y55" i="1"/>
  <c r="T56" i="1"/>
  <c r="AU56" i="1" s="1"/>
  <c r="U56" i="1"/>
  <c r="AV56" i="1" s="1"/>
  <c r="V56" i="1"/>
  <c r="AW56" i="1" s="1"/>
  <c r="W56" i="1"/>
  <c r="X56" i="1"/>
  <c r="AY56" i="1" s="1"/>
  <c r="Y56" i="1"/>
  <c r="AZ56" i="1" s="1"/>
  <c r="AW10" i="1"/>
  <c r="AX10" i="1"/>
  <c r="AY10" i="1"/>
  <c r="AU11" i="1"/>
  <c r="AV11" i="1"/>
  <c r="AZ11" i="1"/>
  <c r="AW12" i="1"/>
  <c r="AX12" i="1"/>
  <c r="AV13" i="1"/>
  <c r="AW13" i="1"/>
  <c r="AZ13" i="1"/>
  <c r="AU14" i="1"/>
  <c r="AW14" i="1"/>
  <c r="AX14" i="1"/>
  <c r="AV15" i="1"/>
  <c r="AY15" i="1"/>
  <c r="AZ15" i="1"/>
  <c r="AU16" i="1"/>
  <c r="AW16" i="1"/>
  <c r="AX16" i="1"/>
  <c r="AV17" i="1"/>
  <c r="AY17" i="1"/>
  <c r="AZ17" i="1"/>
  <c r="AX18" i="1"/>
  <c r="AY18" i="1"/>
  <c r="AV19" i="1"/>
  <c r="AW19" i="1"/>
  <c r="AY19" i="1"/>
  <c r="AZ19" i="1"/>
  <c r="AX20" i="1"/>
  <c r="AU21" i="1"/>
  <c r="AV21" i="1"/>
  <c r="AW21" i="1"/>
  <c r="AY21" i="1"/>
  <c r="AZ21" i="1"/>
  <c r="AX22" i="1"/>
  <c r="AU23" i="1"/>
  <c r="AV23" i="1"/>
  <c r="AZ23" i="1"/>
  <c r="AU24" i="1"/>
  <c r="AX24" i="1"/>
  <c r="AY24" i="1"/>
  <c r="AU25" i="1"/>
  <c r="AV25" i="1"/>
  <c r="AZ25" i="1"/>
  <c r="AW26" i="1"/>
  <c r="AX26" i="1"/>
  <c r="AY26" i="1"/>
  <c r="AU27" i="1"/>
  <c r="AV27" i="1"/>
  <c r="AZ27" i="1"/>
  <c r="AW28" i="1"/>
  <c r="AX28" i="1"/>
  <c r="AV29" i="1"/>
  <c r="AW29" i="1"/>
  <c r="AZ29" i="1"/>
  <c r="AU30" i="1"/>
  <c r="AW30" i="1"/>
  <c r="AX30" i="1"/>
  <c r="AW31" i="1"/>
  <c r="AY31" i="1"/>
  <c r="AV33" i="1"/>
  <c r="AW33" i="1"/>
  <c r="AY33" i="1"/>
  <c r="AZ33" i="1"/>
  <c r="AU34" i="1"/>
  <c r="AW34" i="1"/>
  <c r="AX34" i="1"/>
  <c r="AV35" i="1"/>
  <c r="AY35" i="1"/>
  <c r="AZ35" i="1"/>
  <c r="AX36" i="1"/>
  <c r="AY36" i="1"/>
  <c r="AV37" i="1"/>
  <c r="AY37" i="1"/>
  <c r="AZ37" i="1"/>
  <c r="AX38" i="1"/>
  <c r="AY38" i="1"/>
  <c r="AU39" i="1"/>
  <c r="AV39" i="1"/>
  <c r="AW39" i="1"/>
  <c r="AY39" i="1"/>
  <c r="AZ39" i="1"/>
  <c r="AX40" i="1"/>
  <c r="AU41" i="1"/>
  <c r="AV41" i="1"/>
  <c r="AZ41" i="1"/>
  <c r="AU42" i="1"/>
  <c r="AX42" i="1"/>
  <c r="AU43" i="1"/>
  <c r="AV43" i="1"/>
  <c r="AZ43" i="1"/>
  <c r="AU44" i="1"/>
  <c r="AX44" i="1"/>
  <c r="AY44" i="1"/>
  <c r="AU45" i="1"/>
  <c r="AV45" i="1"/>
  <c r="AZ45" i="1"/>
  <c r="AU46" i="1"/>
  <c r="AX46" i="1"/>
  <c r="AY46" i="1"/>
  <c r="AU47" i="1"/>
  <c r="AV47" i="1"/>
  <c r="AW47" i="1"/>
  <c r="AY47" i="1"/>
  <c r="AZ47" i="1"/>
  <c r="AX48" i="1"/>
  <c r="AY48" i="1"/>
  <c r="AU49" i="1"/>
  <c r="AV49" i="1"/>
  <c r="AW49" i="1"/>
  <c r="AZ49" i="1"/>
  <c r="AX50" i="1"/>
  <c r="AV51" i="1"/>
  <c r="AZ51" i="1"/>
  <c r="AU52" i="1"/>
  <c r="AX52" i="1"/>
  <c r="AV53" i="1"/>
  <c r="AW53" i="1"/>
  <c r="AZ53" i="1"/>
  <c r="AX54" i="1"/>
  <c r="AY54" i="1"/>
  <c r="AV55" i="1"/>
  <c r="AZ55" i="1"/>
  <c r="AX56" i="1"/>
  <c r="AQ9" i="1"/>
  <c r="AQ8" i="1" s="1"/>
  <c r="P9" i="1"/>
  <c r="P8" i="1" s="1"/>
  <c r="K9" i="1"/>
  <c r="K8" i="1" s="1"/>
  <c r="B9" i="1"/>
  <c r="B8" i="1" s="1"/>
  <c r="BA53" i="12" l="1"/>
  <c r="BB22" i="12"/>
  <c r="BB23" i="12"/>
  <c r="BA27" i="12"/>
  <c r="BA31" i="12"/>
  <c r="X9" i="1"/>
  <c r="X8" i="1" s="1"/>
  <c r="W9" i="1"/>
  <c r="W8" i="1" s="1"/>
  <c r="AX8" i="1" s="1"/>
  <c r="V9" i="1"/>
  <c r="V8" i="1" s="1"/>
  <c r="AW8" i="1" s="1"/>
  <c r="BB54" i="12"/>
  <c r="AA9" i="12"/>
  <c r="BB45" i="12"/>
  <c r="AU9" i="12"/>
  <c r="Z9" i="12"/>
  <c r="Z8" i="12"/>
  <c r="AU8" i="12"/>
  <c r="AA8" i="12"/>
  <c r="BA11" i="12"/>
  <c r="BB47" i="12"/>
  <c r="BA50" i="12"/>
  <c r="BB50" i="12"/>
  <c r="BA49" i="12"/>
  <c r="BB49" i="12"/>
  <c r="BA10" i="12"/>
  <c r="BB10" i="12"/>
  <c r="Y31" i="1"/>
  <c r="Y9" i="1" s="1"/>
  <c r="Y8" i="1" s="1"/>
  <c r="AX9" i="1"/>
  <c r="U9" i="1"/>
  <c r="U8" i="1" s="1"/>
  <c r="T31" i="1"/>
  <c r="T9" i="1" s="1"/>
  <c r="T8" i="1" s="1"/>
  <c r="AU8" i="1" s="1"/>
  <c r="AZ31" i="1"/>
  <c r="G9" i="1"/>
  <c r="G8" i="1" s="1"/>
  <c r="AH9" i="1"/>
  <c r="AH8" i="1" s="1"/>
  <c r="AD8" i="1"/>
  <c r="AV8" i="1" s="1"/>
  <c r="AY9" i="1"/>
  <c r="F8" i="1"/>
  <c r="AY8" i="1" s="1"/>
  <c r="AW9" i="1" l="1"/>
  <c r="BB8" i="12"/>
  <c r="BA8" i="12"/>
  <c r="BA9" i="12"/>
  <c r="BB9" i="12"/>
  <c r="AU31" i="1"/>
  <c r="BD31" i="1" s="1"/>
  <c r="AZ8" i="1"/>
  <c r="BD8" i="1" s="1"/>
  <c r="AV9" i="1"/>
  <c r="AU9" i="1"/>
  <c r="AZ9" i="1"/>
  <c r="BD10" i="1"/>
  <c r="BD11" i="1"/>
  <c r="BD12" i="1"/>
  <c r="BD13" i="1"/>
  <c r="BD14" i="1"/>
  <c r="BD15" i="1"/>
  <c r="BD16" i="1"/>
  <c r="BD17" i="1"/>
  <c r="BD18" i="1"/>
  <c r="BD19" i="1"/>
  <c r="BD20" i="1"/>
  <c r="BD21" i="1"/>
  <c r="BD22" i="1"/>
  <c r="BD23" i="1"/>
  <c r="BD24" i="1"/>
  <c r="BD25" i="1"/>
  <c r="BD26" i="1"/>
  <c r="BD27" i="1"/>
  <c r="BD28" i="1"/>
  <c r="BD29" i="1"/>
  <c r="BD30" i="1"/>
  <c r="BD33" i="1"/>
  <c r="BD34" i="1"/>
  <c r="BD35" i="1"/>
  <c r="BD36" i="1"/>
  <c r="BD37" i="1"/>
  <c r="BD38" i="1"/>
  <c r="BD39" i="1"/>
  <c r="BD40" i="1"/>
  <c r="BD41" i="1"/>
  <c r="BD42" i="1"/>
  <c r="BD43" i="1"/>
  <c r="BD44" i="1"/>
  <c r="BD45" i="1"/>
  <c r="BD46" i="1"/>
  <c r="BD47" i="1"/>
  <c r="BD48" i="1"/>
  <c r="BD49" i="1"/>
  <c r="BD50" i="1"/>
  <c r="BD51" i="1"/>
  <c r="BD52" i="1"/>
  <c r="BD53" i="1"/>
  <c r="BD54" i="1"/>
  <c r="BD55" i="1"/>
  <c r="BD56" i="1"/>
  <c r="BF28" i="1" l="1"/>
  <c r="BD9" i="1"/>
  <c r="A4" i="5" l="1"/>
  <c r="AP34" i="5"/>
  <c r="AP27" i="5"/>
  <c r="AP23" i="5"/>
  <c r="AP41" i="5"/>
  <c r="AP38" i="5"/>
  <c r="AP32" i="5"/>
  <c r="AP43" i="5"/>
  <c r="AP47" i="5"/>
  <c r="AP16" i="5"/>
  <c r="AP48" i="5"/>
  <c r="AP39" i="5"/>
  <c r="AP28" i="5"/>
  <c r="AP30" i="5"/>
  <c r="AP45" i="5"/>
  <c r="AP55" i="5"/>
  <c r="AP29" i="5"/>
  <c r="AP24" i="5"/>
  <c r="AP53" i="5"/>
  <c r="AP44" i="5"/>
  <c r="AP31" i="5"/>
  <c r="AP19" i="5"/>
  <c r="AP36" i="5"/>
  <c r="AP42" i="5"/>
  <c r="AP51" i="5"/>
  <c r="AP54" i="5"/>
  <c r="AP40" i="5"/>
  <c r="AP18" i="5"/>
  <c r="AP15" i="5"/>
  <c r="AP26" i="5"/>
  <c r="AP50" i="5"/>
  <c r="AP20" i="5"/>
  <c r="AP33" i="5"/>
  <c r="AP25" i="5"/>
  <c r="AP21" i="5"/>
  <c r="AP22" i="5"/>
  <c r="AP11" i="5"/>
  <c r="AH10" i="4" l="1"/>
  <c r="AF10" i="4"/>
  <c r="AE10" i="4"/>
  <c r="AD10" i="4"/>
  <c r="AC10" i="4"/>
  <c r="AQ10" i="4"/>
  <c r="AO10" i="4"/>
  <c r="AN10" i="4"/>
  <c r="AM10" i="4"/>
  <c r="AL10" i="4"/>
  <c r="AO10" i="5"/>
  <c r="AP17" i="5"/>
  <c r="AF10" i="5"/>
  <c r="AN10" i="5"/>
  <c r="AC10" i="5"/>
  <c r="AL10" i="5"/>
  <c r="AP35" i="5"/>
  <c r="AM10" i="5"/>
  <c r="AP37" i="5"/>
  <c r="AD10" i="5"/>
  <c r="AP52" i="5"/>
  <c r="AH10" i="5"/>
  <c r="AQ10" i="5"/>
  <c r="AP12" i="5"/>
  <c r="AP56" i="5"/>
  <c r="AE10" i="5"/>
  <c r="AP13" i="5"/>
  <c r="AP10" i="5"/>
  <c r="AP46" i="5"/>
  <c r="AP14" i="5"/>
  <c r="AO11" i="4" l="1"/>
  <c r="AO13" i="4"/>
  <c r="AO14" i="4"/>
  <c r="AL15" i="4"/>
  <c r="AO16" i="4"/>
  <c r="AO18" i="4"/>
  <c r="AL20" i="4"/>
  <c r="AL22" i="4"/>
  <c r="AO22" i="4"/>
  <c r="AL23" i="4"/>
  <c r="AO24" i="4"/>
  <c r="AO25" i="4"/>
  <c r="AL27" i="4"/>
  <c r="AO28" i="4"/>
  <c r="AO31" i="4"/>
  <c r="AL33" i="4"/>
  <c r="AL35" i="4"/>
  <c r="AO36" i="4"/>
  <c r="AO39" i="4"/>
  <c r="AO41" i="4"/>
  <c r="AO42" i="4"/>
  <c r="AL44" i="4"/>
  <c r="AO45" i="4"/>
  <c r="AO50" i="4"/>
  <c r="AO52" i="4"/>
  <c r="AO53" i="4"/>
  <c r="AO54" i="4"/>
  <c r="AL56" i="4"/>
  <c r="AC11" i="4"/>
  <c r="AF13" i="4"/>
  <c r="AF15" i="4"/>
  <c r="AC17" i="4"/>
  <c r="AC19" i="4"/>
  <c r="AC22" i="4"/>
  <c r="AC23" i="4"/>
  <c r="AF24" i="4"/>
  <c r="AC26" i="4"/>
  <c r="AC27" i="4"/>
  <c r="AC28" i="4"/>
  <c r="AC30" i="4"/>
  <c r="AC31" i="4"/>
  <c r="AF31" i="4"/>
  <c r="AC33" i="4"/>
  <c r="AF34" i="4"/>
  <c r="AF35" i="4"/>
  <c r="AF36" i="4"/>
  <c r="AC38" i="4"/>
  <c r="AF39" i="4"/>
  <c r="AF41" i="4"/>
  <c r="AC42" i="4"/>
  <c r="AF43" i="4"/>
  <c r="AF44" i="4"/>
  <c r="AF46" i="4"/>
  <c r="AF47" i="4"/>
  <c r="AF50" i="4"/>
  <c r="AC51" i="4"/>
  <c r="AF51" i="4"/>
  <c r="AC52" i="4"/>
  <c r="AF52" i="4"/>
  <c r="AC53" i="4"/>
  <c r="AF53" i="4"/>
  <c r="AC54" i="4"/>
  <c r="AF54" i="4"/>
  <c r="AC55" i="4"/>
  <c r="AC56" i="4"/>
  <c r="AP15" i="4"/>
  <c r="AP17" i="4"/>
  <c r="AP18" i="4"/>
  <c r="AP19" i="4"/>
  <c r="AP23" i="4"/>
  <c r="AP24" i="4"/>
  <c r="AP25" i="4"/>
  <c r="AP26" i="4"/>
  <c r="AP27" i="4"/>
  <c r="AP28" i="4"/>
  <c r="AP29" i="4"/>
  <c r="AP30" i="4"/>
  <c r="AP31" i="4"/>
  <c r="AP32" i="4"/>
  <c r="AP33" i="4"/>
  <c r="AP34" i="4"/>
  <c r="AP35" i="4"/>
  <c r="AP37" i="4"/>
  <c r="AP39" i="4"/>
  <c r="AP40" i="4"/>
  <c r="AP41" i="4"/>
  <c r="AP42" i="4"/>
  <c r="AP43" i="4"/>
  <c r="AP51" i="4"/>
  <c r="AP52" i="4"/>
  <c r="AP53" i="4"/>
  <c r="AP54" i="4"/>
  <c r="AP55" i="4"/>
  <c r="AP56"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7" i="4"/>
  <c r="AG38" i="4"/>
  <c r="AG39" i="4"/>
  <c r="AG40" i="4"/>
  <c r="AG41" i="4"/>
  <c r="AG43" i="4"/>
  <c r="AG44" i="4"/>
  <c r="AG45" i="4"/>
  <c r="AG46" i="4"/>
  <c r="AG47" i="4"/>
  <c r="AG50" i="4"/>
  <c r="AG51" i="4"/>
  <c r="AG52" i="4"/>
  <c r="AG53" i="4"/>
  <c r="AG54" i="4"/>
  <c r="AG55" i="4"/>
  <c r="AG56" i="4"/>
  <c r="AO12" i="4"/>
  <c r="AO15" i="4"/>
  <c r="AL17" i="4"/>
  <c r="AL19" i="4"/>
  <c r="AL21" i="4"/>
  <c r="AO23" i="4"/>
  <c r="AO26" i="4"/>
  <c r="AO29" i="4"/>
  <c r="AL30" i="4"/>
  <c r="AL31" i="4"/>
  <c r="AL32" i="4"/>
  <c r="AO33" i="4"/>
  <c r="AO35" i="4"/>
  <c r="AO37" i="4"/>
  <c r="AO38" i="4"/>
  <c r="AO40" i="4"/>
  <c r="AL42" i="4"/>
  <c r="AL43" i="4"/>
  <c r="AO44" i="4"/>
  <c r="AL45" i="4"/>
  <c r="AO46" i="4"/>
  <c r="AL47" i="4"/>
  <c r="AL50" i="4"/>
  <c r="AO51" i="4"/>
  <c r="AL53" i="4"/>
  <c r="AO55" i="4"/>
  <c r="AF11" i="4"/>
  <c r="AC12" i="4"/>
  <c r="AF12" i="4"/>
  <c r="AC14" i="4"/>
  <c r="AF14" i="4"/>
  <c r="AC16" i="4"/>
  <c r="AC18" i="4"/>
  <c r="AC20" i="4"/>
  <c r="AC24" i="4"/>
  <c r="AF27" i="4"/>
  <c r="AF28" i="4"/>
  <c r="AF32" i="4"/>
  <c r="AF33" i="4"/>
  <c r="AC35" i="4"/>
  <c r="AC37" i="4"/>
  <c r="AF38" i="4"/>
  <c r="AC41" i="4"/>
  <c r="AC43" i="4"/>
  <c r="AC44" i="4"/>
  <c r="AC45" i="4"/>
  <c r="AC46" i="4"/>
  <c r="AC47" i="4"/>
  <c r="AF56"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M42" i="4"/>
  <c r="AM43" i="4"/>
  <c r="AM44" i="4"/>
  <c r="AM45" i="4"/>
  <c r="AM46" i="4"/>
  <c r="AM47" i="4"/>
  <c r="AM50" i="4"/>
  <c r="AM51" i="4"/>
  <c r="AM52" i="4"/>
  <c r="AM53" i="4"/>
  <c r="AM54" i="4"/>
  <c r="AM55" i="4"/>
  <c r="AM56" i="4"/>
  <c r="AD11" i="4"/>
  <c r="AD12" i="4"/>
  <c r="AD13" i="4"/>
  <c r="AD14" i="4"/>
  <c r="AD15" i="4"/>
  <c r="AD16" i="4"/>
  <c r="AD17" i="4"/>
  <c r="AD18" i="4"/>
  <c r="AD19" i="4"/>
  <c r="AJ19" i="4" s="1"/>
  <c r="AD20" i="4"/>
  <c r="AD21" i="4"/>
  <c r="AD22" i="4"/>
  <c r="AJ22" i="4" s="1"/>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50" i="4"/>
  <c r="AD51" i="4"/>
  <c r="AD52" i="4"/>
  <c r="AD53" i="4"/>
  <c r="AD54" i="4"/>
  <c r="AD55" i="4"/>
  <c r="AD56" i="4"/>
  <c r="AL11" i="4"/>
  <c r="AL12" i="4"/>
  <c r="AL13" i="4"/>
  <c r="AL14" i="4"/>
  <c r="AL16" i="4"/>
  <c r="AO17" i="4"/>
  <c r="AL18" i="4"/>
  <c r="AO19" i="4"/>
  <c r="AO20" i="4"/>
  <c r="AO21" i="4"/>
  <c r="AL24" i="4"/>
  <c r="AL25" i="4"/>
  <c r="AL26" i="4"/>
  <c r="AO27" i="4"/>
  <c r="AL28" i="4"/>
  <c r="AL29" i="4"/>
  <c r="AO30" i="4"/>
  <c r="AO32" i="4"/>
  <c r="AL34" i="4"/>
  <c r="AO34" i="4"/>
  <c r="AL36" i="4"/>
  <c r="AL37" i="4"/>
  <c r="AL38" i="4"/>
  <c r="AL39" i="4"/>
  <c r="AL40" i="4"/>
  <c r="AL41" i="4"/>
  <c r="AO43" i="4"/>
  <c r="AL46" i="4"/>
  <c r="AO47" i="4"/>
  <c r="AL51" i="4"/>
  <c r="AL52" i="4"/>
  <c r="AL54" i="4"/>
  <c r="AL55" i="4"/>
  <c r="AO56" i="4"/>
  <c r="AC13" i="4"/>
  <c r="AC15" i="4"/>
  <c r="AF16" i="4"/>
  <c r="AF17" i="4"/>
  <c r="AF18" i="4"/>
  <c r="AF19" i="4"/>
  <c r="AF20" i="4"/>
  <c r="AC21" i="4"/>
  <c r="AF21" i="4"/>
  <c r="AF22" i="4"/>
  <c r="AF23" i="4"/>
  <c r="AC25" i="4"/>
  <c r="AF25" i="4"/>
  <c r="AF26" i="4"/>
  <c r="AC29" i="4"/>
  <c r="AF29" i="4"/>
  <c r="AF30" i="4"/>
  <c r="AC32" i="4"/>
  <c r="AC34" i="4"/>
  <c r="AC36" i="4"/>
  <c r="AF37" i="4"/>
  <c r="AC39" i="4"/>
  <c r="AC40" i="4"/>
  <c r="AF40" i="4"/>
  <c r="AF42" i="4"/>
  <c r="AF45" i="4"/>
  <c r="AC50" i="4"/>
  <c r="AF55" i="4"/>
  <c r="AF49" i="4" s="1"/>
  <c r="AP16" i="4"/>
  <c r="AN11" i="4"/>
  <c r="AQ11" i="4"/>
  <c r="AN12" i="4"/>
  <c r="AQ12" i="4"/>
  <c r="AN13" i="4"/>
  <c r="AQ13" i="4"/>
  <c r="AN14" i="4"/>
  <c r="AQ14" i="4"/>
  <c r="AN15" i="4"/>
  <c r="AQ15" i="4"/>
  <c r="AN16" i="4"/>
  <c r="AQ16" i="4"/>
  <c r="AN17" i="4"/>
  <c r="AQ17" i="4"/>
  <c r="AN18" i="4"/>
  <c r="AQ18" i="4"/>
  <c r="AN19" i="4"/>
  <c r="AQ19" i="4"/>
  <c r="AN20" i="4"/>
  <c r="AQ20" i="4"/>
  <c r="AN21" i="4"/>
  <c r="AQ21" i="4"/>
  <c r="AN22" i="4"/>
  <c r="AQ22" i="4"/>
  <c r="AN23" i="4"/>
  <c r="AQ23" i="4"/>
  <c r="AS23" i="4" s="1"/>
  <c r="AN24" i="4"/>
  <c r="AQ24" i="4"/>
  <c r="AN25" i="4"/>
  <c r="AQ25" i="4"/>
  <c r="AN26" i="4"/>
  <c r="AQ26" i="4"/>
  <c r="AN27" i="4"/>
  <c r="AQ27" i="4"/>
  <c r="AN28" i="4"/>
  <c r="AQ28" i="4"/>
  <c r="AN29" i="4"/>
  <c r="AQ29" i="4"/>
  <c r="AN30" i="4"/>
  <c r="AQ30" i="4"/>
  <c r="AN31" i="4"/>
  <c r="AQ31" i="4"/>
  <c r="AS31" i="4" s="1"/>
  <c r="AN32" i="4"/>
  <c r="AQ32" i="4"/>
  <c r="AN33" i="4"/>
  <c r="AQ33" i="4"/>
  <c r="AN34" i="4"/>
  <c r="AQ34" i="4"/>
  <c r="AN35" i="4"/>
  <c r="AQ35" i="4"/>
  <c r="AN36" i="4"/>
  <c r="AQ36" i="4"/>
  <c r="AN37" i="4"/>
  <c r="AQ37" i="4"/>
  <c r="AN38" i="4"/>
  <c r="AQ38" i="4"/>
  <c r="AN39" i="4"/>
  <c r="AQ39" i="4"/>
  <c r="AN40" i="4"/>
  <c r="AQ40" i="4"/>
  <c r="AN41" i="4"/>
  <c r="AQ41" i="4"/>
  <c r="AN42" i="4"/>
  <c r="AQ42" i="4"/>
  <c r="AN43" i="4"/>
  <c r="AQ43" i="4"/>
  <c r="AN44" i="4"/>
  <c r="AQ44" i="4"/>
  <c r="AN45" i="4"/>
  <c r="AR45" i="4" s="1"/>
  <c r="AQ45" i="4"/>
  <c r="AN46" i="4"/>
  <c r="AQ46" i="4"/>
  <c r="AN47" i="4"/>
  <c r="AQ47" i="4"/>
  <c r="AN50" i="4"/>
  <c r="AQ50" i="4"/>
  <c r="AN51" i="4"/>
  <c r="AQ51" i="4"/>
  <c r="AN52" i="4"/>
  <c r="AQ52" i="4"/>
  <c r="AN53" i="4"/>
  <c r="AQ53" i="4"/>
  <c r="AN54" i="4"/>
  <c r="AQ54" i="4"/>
  <c r="AN55" i="4"/>
  <c r="AQ55" i="4"/>
  <c r="AN56" i="4"/>
  <c r="AQ56" i="4"/>
  <c r="AE11" i="4"/>
  <c r="AH11" i="4"/>
  <c r="AE12" i="4"/>
  <c r="AH12" i="4"/>
  <c r="AE13" i="4"/>
  <c r="AH13" i="4"/>
  <c r="AE14" i="4"/>
  <c r="AH14" i="4"/>
  <c r="AE15" i="4"/>
  <c r="AH15" i="4"/>
  <c r="AE16" i="4"/>
  <c r="AH16" i="4"/>
  <c r="AE17" i="4"/>
  <c r="AH17" i="4"/>
  <c r="AE18" i="4"/>
  <c r="AH18" i="4"/>
  <c r="AE19" i="4"/>
  <c r="AH19" i="4"/>
  <c r="AE20" i="4"/>
  <c r="AH20" i="4"/>
  <c r="AE21" i="4"/>
  <c r="AH21" i="4"/>
  <c r="AJ21" i="4" s="1"/>
  <c r="AE22" i="4"/>
  <c r="AH22" i="4"/>
  <c r="AE23" i="4"/>
  <c r="AH23" i="4"/>
  <c r="AE24" i="4"/>
  <c r="AH24" i="4"/>
  <c r="AE25" i="4"/>
  <c r="AH25" i="4"/>
  <c r="AE26" i="4"/>
  <c r="AH26" i="4"/>
  <c r="AE27" i="4"/>
  <c r="AH27" i="4"/>
  <c r="AE28" i="4"/>
  <c r="AH28" i="4"/>
  <c r="AE29" i="4"/>
  <c r="AH29" i="4"/>
  <c r="AE30" i="4"/>
  <c r="AH30" i="4"/>
  <c r="AE31" i="4"/>
  <c r="AH31" i="4"/>
  <c r="AE32" i="4"/>
  <c r="AH32" i="4"/>
  <c r="AE33" i="4"/>
  <c r="AH33" i="4"/>
  <c r="AE34" i="4"/>
  <c r="AH34" i="4"/>
  <c r="AE35" i="4"/>
  <c r="AH35" i="4"/>
  <c r="AE36" i="4"/>
  <c r="AH36" i="4"/>
  <c r="AE37" i="4"/>
  <c r="AH37" i="4"/>
  <c r="AE38" i="4"/>
  <c r="AH38" i="4"/>
  <c r="AE39" i="4"/>
  <c r="AH39" i="4"/>
  <c r="AE40" i="4"/>
  <c r="AH40" i="4"/>
  <c r="AE41" i="4"/>
  <c r="AH41" i="4"/>
  <c r="AE42" i="4"/>
  <c r="AH42" i="4"/>
  <c r="AE43" i="4"/>
  <c r="AH43" i="4"/>
  <c r="AE44" i="4"/>
  <c r="AH44" i="4"/>
  <c r="AE45" i="4"/>
  <c r="AH45" i="4"/>
  <c r="AJ45" i="4" s="1"/>
  <c r="AE46" i="4"/>
  <c r="AH46" i="4"/>
  <c r="AE47" i="4"/>
  <c r="AH47" i="4"/>
  <c r="AE50" i="4"/>
  <c r="AH50" i="4"/>
  <c r="AE51" i="4"/>
  <c r="AH51" i="4"/>
  <c r="AE52" i="4"/>
  <c r="AH52" i="4"/>
  <c r="AE53" i="4"/>
  <c r="AH53" i="4"/>
  <c r="AE54" i="4"/>
  <c r="AH54" i="4"/>
  <c r="AE55" i="4"/>
  <c r="AH55" i="4"/>
  <c r="AE56" i="4"/>
  <c r="AH56" i="4"/>
  <c r="AL48" i="4"/>
  <c r="AF48" i="4"/>
  <c r="AG48" i="4"/>
  <c r="AO48" i="4"/>
  <c r="AC48" i="4"/>
  <c r="AM48" i="4"/>
  <c r="AD48" i="4"/>
  <c r="AN48" i="4"/>
  <c r="AQ48" i="4"/>
  <c r="AE48" i="4"/>
  <c r="AI48" i="4" s="1"/>
  <c r="AH48" i="4"/>
  <c r="AG10" i="4"/>
  <c r="AJ10" i="4" s="1"/>
  <c r="AL8" i="6"/>
  <c r="AC8" i="6"/>
  <c r="AO8" i="6"/>
  <c r="AM8" i="6"/>
  <c r="AD8" i="6"/>
  <c r="AF8" i="6"/>
  <c r="AN8" i="6"/>
  <c r="AQ8" i="6"/>
  <c r="AE8" i="6"/>
  <c r="AH8" i="6"/>
  <c r="AP10" i="4"/>
  <c r="AS10" i="4" s="1"/>
  <c r="AP11" i="4"/>
  <c r="AR11" i="4" s="1"/>
  <c r="AP12" i="4"/>
  <c r="AP13" i="4"/>
  <c r="AP14" i="4"/>
  <c r="AS14" i="4" s="1"/>
  <c r="AP20" i="4"/>
  <c r="AP21" i="4"/>
  <c r="AP22" i="4"/>
  <c r="AP36" i="4"/>
  <c r="AS36" i="4" s="1"/>
  <c r="AP38" i="4"/>
  <c r="AP44" i="4"/>
  <c r="AP45" i="4"/>
  <c r="AP46" i="4"/>
  <c r="AS46" i="4" s="1"/>
  <c r="AP47" i="4"/>
  <c r="AS47" i="4" s="1"/>
  <c r="AP48" i="4"/>
  <c r="AP50" i="4"/>
  <c r="AG36" i="4"/>
  <c r="AI36" i="4" s="1"/>
  <c r="AG42" i="4"/>
  <c r="AI14" i="4"/>
  <c r="AR14" i="4"/>
  <c r="AI10" i="4"/>
  <c r="AJ26" i="4"/>
  <c r="AI50" i="4"/>
  <c r="AE49" i="4"/>
  <c r="AS32" i="4" l="1"/>
  <c r="AR36" i="4"/>
  <c r="AR20" i="4"/>
  <c r="AJ39" i="4"/>
  <c r="AJ35" i="4"/>
  <c r="AJ23" i="4"/>
  <c r="AI11" i="4"/>
  <c r="AR53" i="4"/>
  <c r="AI54" i="4"/>
  <c r="AN49" i="4"/>
  <c r="AN8" i="4" s="1"/>
  <c r="AS13" i="4"/>
  <c r="AS42" i="4"/>
  <c r="AJ11" i="4"/>
  <c r="AR46" i="4"/>
  <c r="AS45" i="4"/>
  <c r="AN9" i="4"/>
  <c r="AJ54" i="4"/>
  <c r="AJ50" i="4"/>
  <c r="AJ46" i="4"/>
  <c r="AJ40" i="4"/>
  <c r="AJ28" i="4"/>
  <c r="AJ14" i="4"/>
  <c r="AS30" i="4"/>
  <c r="AS26" i="4"/>
  <c r="AJ13" i="4"/>
  <c r="AS43" i="4"/>
  <c r="AJ55" i="4"/>
  <c r="AJ41" i="4"/>
  <c r="AJ33" i="4"/>
  <c r="AJ29" i="4"/>
  <c r="AR55" i="4"/>
  <c r="AR51" i="4"/>
  <c r="AS41" i="4"/>
  <c r="AS25" i="4"/>
  <c r="AS17" i="4"/>
  <c r="AJ47" i="4"/>
  <c r="AI16" i="4"/>
  <c r="AR54" i="4"/>
  <c r="AS39" i="4"/>
  <c r="AI53" i="4"/>
  <c r="AO49" i="4"/>
  <c r="AS33" i="4"/>
  <c r="AR15" i="4"/>
  <c r="AL9" i="4"/>
  <c r="AJ31" i="4"/>
  <c r="AD9" i="4"/>
  <c r="AH9" i="4"/>
  <c r="AR16" i="4"/>
  <c r="AS16" i="4"/>
  <c r="AJ18" i="4"/>
  <c r="AS52" i="4"/>
  <c r="AR52" i="4"/>
  <c r="AS38" i="4"/>
  <c r="AS28" i="4"/>
  <c r="AS24" i="4"/>
  <c r="AS18" i="4"/>
  <c r="AJ37" i="4"/>
  <c r="AJ25" i="4"/>
  <c r="AC9" i="4"/>
  <c r="AS40" i="4"/>
  <c r="AJ52" i="4"/>
  <c r="AJ32" i="4"/>
  <c r="AI55" i="4"/>
  <c r="AJ51" i="4"/>
  <c r="AJ44" i="4"/>
  <c r="AJ34" i="4"/>
  <c r="AJ30" i="4"/>
  <c r="AJ24" i="4"/>
  <c r="AR24" i="4"/>
  <c r="AR28" i="4"/>
  <c r="AF9" i="4"/>
  <c r="AF8" i="4" s="1"/>
  <c r="AJ12" i="4"/>
  <c r="AS44" i="4"/>
  <c r="AI52" i="4"/>
  <c r="AJ16" i="4"/>
  <c r="AS15" i="4"/>
  <c r="AM9" i="4"/>
  <c r="AI51" i="4"/>
  <c r="AP49" i="4"/>
  <c r="AR50" i="4"/>
  <c r="AS50" i="4"/>
  <c r="AR22" i="4"/>
  <c r="AR13" i="4"/>
  <c r="AR44" i="4"/>
  <c r="AR21" i="4"/>
  <c r="AR12" i="4"/>
  <c r="AI47" i="4"/>
  <c r="AI45" i="4"/>
  <c r="AI43" i="4"/>
  <c r="AJ38" i="4"/>
  <c r="AI35" i="4"/>
  <c r="AJ27" i="4"/>
  <c r="AI20" i="4"/>
  <c r="AI12" i="4"/>
  <c r="AS55" i="4"/>
  <c r="AS51" i="4"/>
  <c r="AR43" i="4"/>
  <c r="AS37" i="4"/>
  <c r="AR31" i="4"/>
  <c r="AS29" i="4"/>
  <c r="AR19" i="4"/>
  <c r="AG49" i="4"/>
  <c r="AJ42" i="4"/>
  <c r="AS20" i="4"/>
  <c r="AS11" i="4"/>
  <c r="AR38" i="4"/>
  <c r="AJ36" i="4"/>
  <c r="AR47" i="4"/>
  <c r="AO9" i="4"/>
  <c r="AI39" i="4"/>
  <c r="AI32" i="4"/>
  <c r="AI25" i="4"/>
  <c r="AI21" i="4"/>
  <c r="AJ17" i="4"/>
  <c r="AI15" i="4"/>
  <c r="AS56" i="4"/>
  <c r="AR41" i="4"/>
  <c r="AR39" i="4"/>
  <c r="AR37" i="4"/>
  <c r="AS34" i="4"/>
  <c r="AR29" i="4"/>
  <c r="AS27" i="4"/>
  <c r="AR25" i="4"/>
  <c r="AS19" i="4"/>
  <c r="AD49" i="4"/>
  <c r="AM49" i="4"/>
  <c r="AI30" i="4"/>
  <c r="AI27" i="4"/>
  <c r="AI22" i="4"/>
  <c r="AI17" i="4"/>
  <c r="AR56" i="4"/>
  <c r="AS53" i="4"/>
  <c r="AR33" i="4"/>
  <c r="AR23" i="4"/>
  <c r="AH49" i="4"/>
  <c r="AH8" i="4" s="1"/>
  <c r="AQ49" i="4"/>
  <c r="AJ56" i="4"/>
  <c r="AI46" i="4"/>
  <c r="AI44" i="4"/>
  <c r="AI41" i="4"/>
  <c r="AI37" i="4"/>
  <c r="AI24" i="4"/>
  <c r="AI18" i="4"/>
  <c r="AL49" i="4"/>
  <c r="AR42" i="4"/>
  <c r="AS35" i="4"/>
  <c r="AR32" i="4"/>
  <c r="AR30" i="4"/>
  <c r="AR17" i="4"/>
  <c r="AC49" i="4"/>
  <c r="AI49" i="4" s="1"/>
  <c r="AI40" i="4"/>
  <c r="AI34" i="4"/>
  <c r="AI29" i="4"/>
  <c r="AJ20" i="4"/>
  <c r="AI13" i="4"/>
  <c r="AR40" i="4"/>
  <c r="AR34" i="4"/>
  <c r="AR26" i="4"/>
  <c r="AR18" i="4"/>
  <c r="AI56" i="4"/>
  <c r="AJ53" i="4"/>
  <c r="AJ43" i="4"/>
  <c r="AI38" i="4"/>
  <c r="AI33" i="4"/>
  <c r="AI31" i="4"/>
  <c r="AI28" i="4"/>
  <c r="AI26" i="4"/>
  <c r="AI23" i="4"/>
  <c r="AI19" i="4"/>
  <c r="AJ15" i="4"/>
  <c r="AS54" i="4"/>
  <c r="AR35" i="4"/>
  <c r="AR27" i="4"/>
  <c r="AJ48" i="4"/>
  <c r="AE9" i="4"/>
  <c r="AQ9" i="4"/>
  <c r="AQ8" i="4" s="1"/>
  <c r="AR10" i="4"/>
  <c r="AR48" i="4"/>
  <c r="AJ49" i="4"/>
  <c r="AI42" i="4"/>
  <c r="AS12" i="4"/>
  <c r="AE8" i="4"/>
  <c r="AS48" i="4"/>
  <c r="AS22" i="4"/>
  <c r="AS21" i="4"/>
  <c r="AG9" i="4"/>
  <c r="AP9" i="4"/>
  <c r="AO8" i="4"/>
  <c r="AD8" i="4" l="1"/>
  <c r="AG8" i="4"/>
  <c r="AC8" i="4"/>
  <c r="AJ8" i="4" s="1"/>
  <c r="AS49" i="4"/>
  <c r="AR49" i="4"/>
  <c r="AL8" i="4"/>
  <c r="AM8" i="4"/>
  <c r="AP8" i="4"/>
  <c r="AI9" i="4"/>
  <c r="AS9" i="4"/>
  <c r="AJ9" i="4"/>
  <c r="AR9" i="4"/>
  <c r="AI8" i="4" l="1"/>
  <c r="AR8" i="4"/>
  <c r="AS8" i="4"/>
  <c r="AJ49" i="3"/>
  <c r="AI49" i="3"/>
  <c r="AH49" i="3"/>
  <c r="AG49" i="3"/>
  <c r="AF49" i="3"/>
  <c r="AE49" i="3"/>
  <c r="AD49" i="3"/>
  <c r="AC49" i="3"/>
  <c r="AA49" i="3"/>
  <c r="Z49" i="3"/>
  <c r="Y49" i="3"/>
  <c r="X49" i="3"/>
  <c r="W49" i="3"/>
  <c r="V49" i="3"/>
  <c r="U49" i="3"/>
  <c r="T49" i="3"/>
  <c r="AJ9" i="3"/>
  <c r="AJ8" i="3" s="1"/>
  <c r="AI9" i="3"/>
  <c r="AH9" i="3"/>
  <c r="AG9" i="3"/>
  <c r="AF9" i="3"/>
  <c r="AE9" i="3"/>
  <c r="AE8" i="3" s="1"/>
  <c r="AD9" i="3"/>
  <c r="AD8" i="3" s="1"/>
  <c r="AC9" i="3"/>
  <c r="AC8" i="3" s="1"/>
  <c r="AA9" i="3"/>
  <c r="AA8" i="3" s="1"/>
  <c r="Z9" i="3"/>
  <c r="Z8" i="3" s="1"/>
  <c r="Y9" i="3"/>
  <c r="Y8" i="3" s="1"/>
  <c r="X9" i="3"/>
  <c r="W9" i="3"/>
  <c r="W8" i="3" s="1"/>
  <c r="V9" i="3"/>
  <c r="V8" i="3" s="1"/>
  <c r="U9" i="3"/>
  <c r="U8" i="3" s="1"/>
  <c r="T9" i="3"/>
  <c r="T8" i="3" s="1"/>
  <c r="AI8" i="3"/>
  <c r="AH8" i="3"/>
  <c r="AG8" i="3"/>
  <c r="AF8" i="3"/>
  <c r="P56" i="4"/>
  <c r="N56" i="4"/>
  <c r="M56" i="4"/>
  <c r="L56" i="4"/>
  <c r="P55" i="4"/>
  <c r="N55" i="4"/>
  <c r="M55" i="4"/>
  <c r="L55" i="4"/>
  <c r="P54" i="4"/>
  <c r="N54" i="4"/>
  <c r="M54" i="4"/>
  <c r="L54" i="4"/>
  <c r="P53" i="4"/>
  <c r="N53" i="4"/>
  <c r="M53" i="4"/>
  <c r="L53" i="4"/>
  <c r="P52" i="4"/>
  <c r="N52" i="4"/>
  <c r="M52" i="4"/>
  <c r="L52" i="4"/>
  <c r="P51" i="4"/>
  <c r="N51" i="4"/>
  <c r="M51" i="4"/>
  <c r="L51" i="4"/>
  <c r="P50" i="4"/>
  <c r="N50" i="4"/>
  <c r="M50" i="4"/>
  <c r="L50" i="4"/>
  <c r="P47" i="4"/>
  <c r="N47" i="4"/>
  <c r="M47" i="4"/>
  <c r="L47" i="4"/>
  <c r="P46" i="4"/>
  <c r="N46" i="4"/>
  <c r="M46" i="4"/>
  <c r="L46" i="4"/>
  <c r="P45" i="4"/>
  <c r="N45" i="4"/>
  <c r="M45" i="4"/>
  <c r="L45" i="4"/>
  <c r="P44" i="4"/>
  <c r="N44" i="4"/>
  <c r="M44" i="4"/>
  <c r="L44" i="4"/>
  <c r="P43" i="4"/>
  <c r="N43" i="4"/>
  <c r="M43" i="4"/>
  <c r="L43" i="4"/>
  <c r="P42" i="4"/>
  <c r="N42" i="4"/>
  <c r="M42" i="4"/>
  <c r="L42" i="4"/>
  <c r="P41" i="4"/>
  <c r="N41" i="4"/>
  <c r="M41" i="4"/>
  <c r="L41" i="4"/>
  <c r="P40" i="4"/>
  <c r="N40" i="4"/>
  <c r="M40" i="4"/>
  <c r="L40" i="4"/>
  <c r="P39" i="4"/>
  <c r="N39" i="4"/>
  <c r="M39" i="4"/>
  <c r="L39" i="4"/>
  <c r="P38" i="4"/>
  <c r="N38" i="4"/>
  <c r="M38" i="4"/>
  <c r="L38" i="4"/>
  <c r="P37" i="4"/>
  <c r="N37" i="4"/>
  <c r="M37" i="4"/>
  <c r="L37" i="4"/>
  <c r="P36" i="4"/>
  <c r="N36" i="4"/>
  <c r="M36" i="4"/>
  <c r="L36" i="4"/>
  <c r="P35" i="4"/>
  <c r="N35" i="4"/>
  <c r="M35" i="4"/>
  <c r="L35" i="4"/>
  <c r="P34" i="4"/>
  <c r="N34" i="4"/>
  <c r="M34" i="4"/>
  <c r="L34" i="4"/>
  <c r="P33" i="4"/>
  <c r="N33" i="4"/>
  <c r="M33" i="4"/>
  <c r="L33" i="4"/>
  <c r="P32" i="4"/>
  <c r="N32" i="4"/>
  <c r="M32" i="4"/>
  <c r="L32" i="4"/>
  <c r="P31" i="4"/>
  <c r="N31" i="4"/>
  <c r="M31" i="4"/>
  <c r="L31" i="4"/>
  <c r="P30" i="4"/>
  <c r="N30" i="4"/>
  <c r="M30" i="4"/>
  <c r="L30" i="4"/>
  <c r="P29" i="4"/>
  <c r="N29" i="4"/>
  <c r="M29" i="4"/>
  <c r="L29" i="4"/>
  <c r="P28" i="4"/>
  <c r="N28" i="4"/>
  <c r="M28" i="4"/>
  <c r="L28" i="4"/>
  <c r="P27" i="4"/>
  <c r="N27" i="4"/>
  <c r="M27" i="4"/>
  <c r="L27" i="4"/>
  <c r="P26" i="4"/>
  <c r="N26" i="4"/>
  <c r="M26" i="4"/>
  <c r="L26" i="4"/>
  <c r="P25" i="4"/>
  <c r="N25" i="4"/>
  <c r="M25" i="4"/>
  <c r="L25" i="4"/>
  <c r="P24" i="4"/>
  <c r="N24" i="4"/>
  <c r="M24" i="4"/>
  <c r="L24" i="4"/>
  <c r="P23" i="4"/>
  <c r="N23" i="4"/>
  <c r="M23" i="4"/>
  <c r="L23" i="4"/>
  <c r="P22" i="4"/>
  <c r="N22" i="4"/>
  <c r="M22" i="4"/>
  <c r="L22" i="4"/>
  <c r="P21" i="4"/>
  <c r="N21" i="4"/>
  <c r="M21" i="4"/>
  <c r="L21" i="4"/>
  <c r="P20" i="4"/>
  <c r="N20" i="4"/>
  <c r="M20" i="4"/>
  <c r="L20" i="4"/>
  <c r="P19" i="4"/>
  <c r="N19" i="4"/>
  <c r="M19" i="4"/>
  <c r="L19" i="4"/>
  <c r="P18" i="4"/>
  <c r="N18" i="4"/>
  <c r="M18" i="4"/>
  <c r="L18" i="4"/>
  <c r="P17" i="4"/>
  <c r="N17" i="4"/>
  <c r="M17" i="4"/>
  <c r="L17" i="4"/>
  <c r="P16" i="4"/>
  <c r="N16" i="4"/>
  <c r="M16" i="4"/>
  <c r="L16" i="4"/>
  <c r="P15" i="4"/>
  <c r="N15" i="4"/>
  <c r="M15" i="4"/>
  <c r="L15" i="4"/>
  <c r="P14" i="4"/>
  <c r="N14" i="4"/>
  <c r="M14" i="4"/>
  <c r="L14" i="4"/>
  <c r="P13" i="4"/>
  <c r="N13" i="4"/>
  <c r="M13" i="4"/>
  <c r="L13" i="4"/>
  <c r="P12" i="4"/>
  <c r="O12" i="4"/>
  <c r="N12" i="4"/>
  <c r="M12" i="4"/>
  <c r="L12" i="4"/>
  <c r="P11" i="4"/>
  <c r="O11" i="4"/>
  <c r="N11" i="4"/>
  <c r="M11" i="4"/>
  <c r="L11" i="4"/>
  <c r="P10" i="4"/>
  <c r="N10" i="4"/>
  <c r="M10" i="4"/>
  <c r="L10" i="4"/>
  <c r="X8" i="3" l="1"/>
  <c r="AP28" i="6"/>
  <c r="AP23" i="6"/>
  <c r="AP26" i="6"/>
  <c r="AP39" i="6"/>
  <c r="AP20" i="6"/>
  <c r="AP38" i="6"/>
  <c r="AP32" i="6"/>
  <c r="AP53" i="6"/>
  <c r="AP9" i="6"/>
  <c r="AP11" i="6"/>
  <c r="AP46" i="6"/>
  <c r="AP54" i="6"/>
  <c r="AP49" i="5"/>
  <c r="AP48" i="6"/>
  <c r="AP44" i="6"/>
  <c r="AP27" i="6"/>
  <c r="AP31" i="6"/>
  <c r="AP45" i="6"/>
  <c r="AP10" i="6"/>
  <c r="AP13" i="6"/>
  <c r="AP37" i="6"/>
  <c r="AP12" i="6"/>
  <c r="AP43" i="6"/>
  <c r="AP22" i="6"/>
  <c r="AP18" i="6"/>
  <c r="AP24" i="6"/>
  <c r="AP51" i="6"/>
  <c r="AP15" i="6"/>
  <c r="AP14" i="6"/>
  <c r="AP41" i="6"/>
  <c r="AP35" i="6"/>
  <c r="AP50" i="6"/>
  <c r="AP8" i="6"/>
  <c r="AS10" i="5"/>
  <c r="AP9" i="5"/>
  <c r="AR10" i="5"/>
  <c r="AP21" i="6"/>
  <c r="AP29" i="6"/>
  <c r="AP16" i="6"/>
  <c r="AP40" i="6"/>
  <c r="AP33" i="6"/>
  <c r="AP49" i="6"/>
  <c r="AP30" i="6"/>
  <c r="AP36" i="6"/>
  <c r="AP25" i="6"/>
  <c r="AP34" i="6"/>
  <c r="AP42" i="6"/>
  <c r="AP52" i="6"/>
  <c r="AP19" i="6"/>
  <c r="AP17" i="6"/>
  <c r="O13" i="4"/>
  <c r="O14" i="4"/>
  <c r="O15" i="4"/>
  <c r="O16" i="4"/>
  <c r="O17" i="4"/>
  <c r="O18" i="4"/>
  <c r="O19" i="4"/>
  <c r="O20" i="4"/>
  <c r="O21" i="4"/>
  <c r="O22" i="4"/>
  <c r="O23" i="4"/>
  <c r="O24" i="4"/>
  <c r="O25" i="4"/>
  <c r="O27" i="4"/>
  <c r="O28" i="4"/>
  <c r="O38" i="4"/>
  <c r="O39" i="4"/>
  <c r="O40" i="4"/>
  <c r="N49" i="4"/>
  <c r="M49" i="4"/>
  <c r="O29" i="4"/>
  <c r="O30" i="4"/>
  <c r="P49" i="4"/>
  <c r="L49" i="4"/>
  <c r="N48" i="4"/>
  <c r="L48" i="4"/>
  <c r="L9" i="4" s="1"/>
  <c r="M48" i="4"/>
  <c r="M9" i="4" s="1"/>
  <c r="P48" i="4"/>
  <c r="P9" i="4" s="1"/>
  <c r="P8" i="4" s="1"/>
  <c r="O10" i="4"/>
  <c r="O31" i="4"/>
  <c r="O32" i="4"/>
  <c r="O33" i="4"/>
  <c r="O34" i="4"/>
  <c r="O35" i="4"/>
  <c r="O36" i="4"/>
  <c r="O37" i="4"/>
  <c r="O41" i="4"/>
  <c r="O42" i="4"/>
  <c r="K10" i="4"/>
  <c r="K11" i="4"/>
  <c r="K12" i="4"/>
  <c r="K13" i="4"/>
  <c r="Q13" i="4" s="1"/>
  <c r="K14" i="4"/>
  <c r="K15" i="4"/>
  <c r="Q15" i="4" s="1"/>
  <c r="K16" i="4"/>
  <c r="K17" i="4"/>
  <c r="R17" i="4" s="1"/>
  <c r="K18" i="4"/>
  <c r="K19" i="4"/>
  <c r="K20" i="4"/>
  <c r="K21" i="4"/>
  <c r="R21" i="4" s="1"/>
  <c r="K22" i="4"/>
  <c r="K23" i="4"/>
  <c r="K24" i="4"/>
  <c r="K25" i="4"/>
  <c r="Q25" i="4" s="1"/>
  <c r="K26" i="4"/>
  <c r="K27" i="4"/>
  <c r="K28" i="4"/>
  <c r="K29" i="4"/>
  <c r="K30" i="4"/>
  <c r="K31" i="4"/>
  <c r="K32" i="4"/>
  <c r="K33" i="4"/>
  <c r="K34" i="4"/>
  <c r="K35" i="4"/>
  <c r="K36" i="4"/>
  <c r="K37" i="4"/>
  <c r="K38" i="4"/>
  <c r="K39" i="4"/>
  <c r="K40" i="4"/>
  <c r="K41" i="4"/>
  <c r="R41" i="4" s="1"/>
  <c r="K42" i="4"/>
  <c r="K43" i="4"/>
  <c r="K44" i="4"/>
  <c r="K45" i="4"/>
  <c r="Q45" i="4" s="1"/>
  <c r="K46" i="4"/>
  <c r="K47" i="4"/>
  <c r="K48" i="4"/>
  <c r="K50" i="4"/>
  <c r="R50" i="4" s="1"/>
  <c r="K51" i="4"/>
  <c r="K52" i="4"/>
  <c r="K53" i="4"/>
  <c r="K54" i="4"/>
  <c r="R54" i="4" s="1"/>
  <c r="K55" i="4"/>
  <c r="O26" i="4"/>
  <c r="O43" i="4"/>
  <c r="O44" i="4"/>
  <c r="O45" i="4"/>
  <c r="O46" i="4"/>
  <c r="O47" i="4"/>
  <c r="O48" i="4"/>
  <c r="O50" i="4"/>
  <c r="O51" i="4"/>
  <c r="O52" i="4"/>
  <c r="O53" i="4"/>
  <c r="O54" i="4"/>
  <c r="O55" i="4"/>
  <c r="O56" i="4"/>
  <c r="R13" i="4"/>
  <c r="Q19" i="4"/>
  <c r="Q23" i="4"/>
  <c r="R25" i="4"/>
  <c r="R45" i="4"/>
  <c r="K56" i="4"/>
  <c r="R49" i="3"/>
  <c r="Q49" i="3"/>
  <c r="P49" i="3"/>
  <c r="O49" i="3"/>
  <c r="N49" i="3"/>
  <c r="M49" i="3"/>
  <c r="L49" i="3"/>
  <c r="K49" i="3"/>
  <c r="P9" i="3"/>
  <c r="R9" i="3"/>
  <c r="Q9" i="3"/>
  <c r="O9" i="3"/>
  <c r="O8" i="3" s="1"/>
  <c r="N9" i="3"/>
  <c r="N8" i="3" s="1"/>
  <c r="M9" i="3"/>
  <c r="M8" i="3" s="1"/>
  <c r="L9" i="3"/>
  <c r="L8" i="3" s="1"/>
  <c r="K9" i="3"/>
  <c r="K8" i="3" s="1"/>
  <c r="G56" i="4"/>
  <c r="G55" i="4"/>
  <c r="G54" i="4"/>
  <c r="G53" i="4"/>
  <c r="G52" i="4"/>
  <c r="G51" i="4"/>
  <c r="G50"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F45" i="4"/>
  <c r="F56" i="4"/>
  <c r="F52" i="4"/>
  <c r="F47" i="4"/>
  <c r="F43" i="4"/>
  <c r="F39" i="4"/>
  <c r="F35" i="4"/>
  <c r="F31" i="4"/>
  <c r="F27" i="4"/>
  <c r="F23" i="4"/>
  <c r="F19" i="4"/>
  <c r="F15" i="4"/>
  <c r="F11" i="4"/>
  <c r="E56" i="4"/>
  <c r="E55" i="4"/>
  <c r="E54" i="4"/>
  <c r="E53" i="4"/>
  <c r="E52" i="4"/>
  <c r="E51" i="4"/>
  <c r="E50"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D56" i="4"/>
  <c r="D55" i="4"/>
  <c r="D54" i="4"/>
  <c r="D52" i="4"/>
  <c r="D51" i="4"/>
  <c r="D50"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C56" i="4"/>
  <c r="C55" i="4"/>
  <c r="C54" i="4"/>
  <c r="C53" i="4"/>
  <c r="C52" i="4"/>
  <c r="C51" i="4"/>
  <c r="C50"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Q52" i="4" l="1"/>
  <c r="M8" i="4"/>
  <c r="R37" i="4"/>
  <c r="Q27" i="4"/>
  <c r="Q31" i="4"/>
  <c r="AS8" i="6"/>
  <c r="AR8" i="6"/>
  <c r="AP47" i="6"/>
  <c r="AP8" i="5"/>
  <c r="AP7" i="6"/>
  <c r="R43" i="4"/>
  <c r="R35" i="4"/>
  <c r="R27" i="4"/>
  <c r="L8" i="4"/>
  <c r="Q50" i="4"/>
  <c r="R18" i="4"/>
  <c r="Q41" i="4"/>
  <c r="Q54" i="4"/>
  <c r="Q21" i="4"/>
  <c r="Q17" i="4"/>
  <c r="U17" i="4"/>
  <c r="AV17" i="4" s="1"/>
  <c r="U29" i="4"/>
  <c r="AV29" i="4" s="1"/>
  <c r="U50" i="4"/>
  <c r="AV50" i="4" s="1"/>
  <c r="V15" i="4"/>
  <c r="AW15" i="4" s="1"/>
  <c r="V27" i="4"/>
  <c r="AW27" i="4" s="1"/>
  <c r="V39" i="4"/>
  <c r="AW39" i="4" s="1"/>
  <c r="V47" i="4"/>
  <c r="AW47" i="4" s="1"/>
  <c r="W13" i="4"/>
  <c r="AX13" i="4" s="1"/>
  <c r="W33" i="4"/>
  <c r="AX33" i="4" s="1"/>
  <c r="W45" i="4"/>
  <c r="AX45" i="4" s="1"/>
  <c r="X15" i="4"/>
  <c r="AY15" i="4" s="1"/>
  <c r="X27" i="4"/>
  <c r="AY27" i="4" s="1"/>
  <c r="X43" i="4"/>
  <c r="AY43" i="4" s="1"/>
  <c r="Y23" i="4"/>
  <c r="AZ23" i="4" s="1"/>
  <c r="Y47" i="4"/>
  <c r="AZ47" i="4" s="1"/>
  <c r="R36" i="4"/>
  <c r="R24" i="4"/>
  <c r="R12" i="4"/>
  <c r="U26" i="4"/>
  <c r="AV26" i="4" s="1"/>
  <c r="U13" i="4"/>
  <c r="AV13" i="4" s="1"/>
  <c r="U25" i="4"/>
  <c r="AV25" i="4" s="1"/>
  <c r="U37" i="4"/>
  <c r="AV37" i="4" s="1"/>
  <c r="U45" i="4"/>
  <c r="AV45" i="4" s="1"/>
  <c r="U54" i="4"/>
  <c r="AV54" i="4" s="1"/>
  <c r="V19" i="4"/>
  <c r="AW19" i="4" s="1"/>
  <c r="V31" i="4"/>
  <c r="AW31" i="4" s="1"/>
  <c r="V43" i="4"/>
  <c r="AW43" i="4" s="1"/>
  <c r="V56" i="4"/>
  <c r="AW56" i="4" s="1"/>
  <c r="W21" i="4"/>
  <c r="AX21" i="4" s="1"/>
  <c r="W29" i="4"/>
  <c r="AX29" i="4" s="1"/>
  <c r="W37" i="4"/>
  <c r="AX37" i="4" s="1"/>
  <c r="W50" i="4"/>
  <c r="AX50" i="4" s="1"/>
  <c r="W54" i="4"/>
  <c r="AX54" i="4" s="1"/>
  <c r="X19" i="4"/>
  <c r="AY19" i="4" s="1"/>
  <c r="X31" i="4"/>
  <c r="AY31" i="4" s="1"/>
  <c r="X39" i="4"/>
  <c r="AY39" i="4" s="1"/>
  <c r="X45" i="4"/>
  <c r="AY45" i="4" s="1"/>
  <c r="Y11" i="4"/>
  <c r="AZ11" i="4" s="1"/>
  <c r="Y19" i="4"/>
  <c r="AZ19" i="4" s="1"/>
  <c r="Y27" i="4"/>
  <c r="AZ27" i="4" s="1"/>
  <c r="Y35" i="4"/>
  <c r="AZ35" i="4" s="1"/>
  <c r="Y39" i="4"/>
  <c r="AZ39" i="4" s="1"/>
  <c r="Y52" i="4"/>
  <c r="AZ52" i="4" s="1"/>
  <c r="R40" i="4"/>
  <c r="R32" i="4"/>
  <c r="R20" i="4"/>
  <c r="R16" i="4"/>
  <c r="U14" i="4"/>
  <c r="AV14" i="4" s="1"/>
  <c r="U18" i="4"/>
  <c r="AV18" i="4" s="1"/>
  <c r="U22" i="4"/>
  <c r="AV22" i="4" s="1"/>
  <c r="U30" i="4"/>
  <c r="AV30" i="4" s="1"/>
  <c r="U34" i="4"/>
  <c r="AV34" i="4" s="1"/>
  <c r="U38" i="4"/>
  <c r="AV38" i="4" s="1"/>
  <c r="U42" i="4"/>
  <c r="AV42" i="4" s="1"/>
  <c r="U46" i="4"/>
  <c r="AV46" i="4" s="1"/>
  <c r="U51" i="4"/>
  <c r="AV51" i="4" s="1"/>
  <c r="U55" i="4"/>
  <c r="AV55" i="4" s="1"/>
  <c r="V12" i="4"/>
  <c r="AW12" i="4" s="1"/>
  <c r="V16" i="4"/>
  <c r="AW16" i="4" s="1"/>
  <c r="V20" i="4"/>
  <c r="AW20" i="4" s="1"/>
  <c r="V24" i="4"/>
  <c r="AW24" i="4" s="1"/>
  <c r="V28" i="4"/>
  <c r="AW28" i="4" s="1"/>
  <c r="V32" i="4"/>
  <c r="AW32" i="4" s="1"/>
  <c r="V36" i="4"/>
  <c r="AW36" i="4" s="1"/>
  <c r="V40" i="4"/>
  <c r="AW40" i="4" s="1"/>
  <c r="V44" i="4"/>
  <c r="AW44" i="4" s="1"/>
  <c r="W22" i="4"/>
  <c r="AX22" i="4" s="1"/>
  <c r="W30" i="4"/>
  <c r="AX30" i="4" s="1"/>
  <c r="W38" i="4"/>
  <c r="AX38" i="4" s="1"/>
  <c r="W51" i="4"/>
  <c r="AX51" i="4" s="1"/>
  <c r="Y20" i="4"/>
  <c r="AZ20" i="4" s="1"/>
  <c r="Y28" i="4"/>
  <c r="AZ28" i="4" s="1"/>
  <c r="Y36" i="4"/>
  <c r="AZ36" i="4" s="1"/>
  <c r="Y44" i="4"/>
  <c r="AZ44" i="4" s="1"/>
  <c r="R52" i="4"/>
  <c r="R31" i="4"/>
  <c r="U11" i="4"/>
  <c r="AV11" i="4" s="1"/>
  <c r="U15" i="4"/>
  <c r="AV15" i="4" s="1"/>
  <c r="U19" i="4"/>
  <c r="AV19" i="4" s="1"/>
  <c r="U23" i="4"/>
  <c r="AV23" i="4" s="1"/>
  <c r="U27" i="4"/>
  <c r="AV27" i="4" s="1"/>
  <c r="U31" i="4"/>
  <c r="AV31" i="4" s="1"/>
  <c r="U35" i="4"/>
  <c r="AV35" i="4" s="1"/>
  <c r="U39" i="4"/>
  <c r="AV39" i="4" s="1"/>
  <c r="U43" i="4"/>
  <c r="AV43" i="4" s="1"/>
  <c r="U47" i="4"/>
  <c r="AV47" i="4" s="1"/>
  <c r="U52" i="4"/>
  <c r="AV52" i="4" s="1"/>
  <c r="U56" i="4"/>
  <c r="AV56" i="4" s="1"/>
  <c r="V13" i="4"/>
  <c r="AW13" i="4" s="1"/>
  <c r="V17" i="4"/>
  <c r="AW17" i="4" s="1"/>
  <c r="V21" i="4"/>
  <c r="AW21" i="4" s="1"/>
  <c r="V25" i="4"/>
  <c r="AW25" i="4" s="1"/>
  <c r="V29" i="4"/>
  <c r="AW29" i="4" s="1"/>
  <c r="V33" i="4"/>
  <c r="AW33" i="4" s="1"/>
  <c r="V37" i="4"/>
  <c r="AW37" i="4" s="1"/>
  <c r="V41" i="4"/>
  <c r="AW41" i="4" s="1"/>
  <c r="V45" i="4"/>
  <c r="AW45" i="4" s="1"/>
  <c r="V50" i="4"/>
  <c r="AW50" i="4" s="1"/>
  <c r="V54" i="4"/>
  <c r="AW54" i="4" s="1"/>
  <c r="W11" i="4"/>
  <c r="AX11" i="4" s="1"/>
  <c r="W15" i="4"/>
  <c r="AX15" i="4" s="1"/>
  <c r="W19" i="4"/>
  <c r="AX19" i="4" s="1"/>
  <c r="W23" i="4"/>
  <c r="AX23" i="4" s="1"/>
  <c r="W27" i="4"/>
  <c r="AX27" i="4" s="1"/>
  <c r="W31" i="4"/>
  <c r="AX31" i="4" s="1"/>
  <c r="W35" i="4"/>
  <c r="AX35" i="4" s="1"/>
  <c r="W39" i="4"/>
  <c r="AX39" i="4" s="1"/>
  <c r="W43" i="4"/>
  <c r="AX43" i="4" s="1"/>
  <c r="W47" i="4"/>
  <c r="AX47" i="4" s="1"/>
  <c r="W52" i="4"/>
  <c r="AX52" i="4" s="1"/>
  <c r="W56" i="4"/>
  <c r="AX56" i="4" s="1"/>
  <c r="Y13" i="4"/>
  <c r="AZ13" i="4" s="1"/>
  <c r="Y17" i="4"/>
  <c r="AZ17" i="4" s="1"/>
  <c r="Y21" i="4"/>
  <c r="AZ21" i="4" s="1"/>
  <c r="Y25" i="4"/>
  <c r="AZ25" i="4" s="1"/>
  <c r="Y29" i="4"/>
  <c r="AZ29" i="4" s="1"/>
  <c r="Y33" i="4"/>
  <c r="AZ33" i="4" s="1"/>
  <c r="Y37" i="4"/>
  <c r="AZ37" i="4" s="1"/>
  <c r="Y41" i="4"/>
  <c r="AZ41" i="4" s="1"/>
  <c r="Y45" i="4"/>
  <c r="AZ45" i="4" s="1"/>
  <c r="Y50" i="4"/>
  <c r="AZ50" i="4" s="1"/>
  <c r="Y54" i="4"/>
  <c r="AZ54" i="4" s="1"/>
  <c r="R51" i="4"/>
  <c r="R47" i="4"/>
  <c r="Q39" i="4"/>
  <c r="Q29" i="4"/>
  <c r="R26" i="4"/>
  <c r="R23" i="4"/>
  <c r="R19" i="4"/>
  <c r="Q11" i="4"/>
  <c r="R55" i="4"/>
  <c r="Q51" i="4"/>
  <c r="R46" i="4"/>
  <c r="Q42" i="4"/>
  <c r="R38" i="4"/>
  <c r="Q34" i="4"/>
  <c r="R30" i="4"/>
  <c r="Q26" i="4"/>
  <c r="R22" i="4"/>
  <c r="Q18" i="4"/>
  <c r="R14" i="4"/>
  <c r="Q37" i="4"/>
  <c r="R33" i="4"/>
  <c r="U21" i="4"/>
  <c r="AV21" i="4" s="1"/>
  <c r="U33" i="4"/>
  <c r="AV33" i="4" s="1"/>
  <c r="U41" i="4"/>
  <c r="AV41" i="4" s="1"/>
  <c r="V11" i="4"/>
  <c r="AW11" i="4" s="1"/>
  <c r="V23" i="4"/>
  <c r="AW23" i="4" s="1"/>
  <c r="V35" i="4"/>
  <c r="AW35" i="4" s="1"/>
  <c r="V52" i="4"/>
  <c r="AW52" i="4" s="1"/>
  <c r="W17" i="4"/>
  <c r="AX17" i="4" s="1"/>
  <c r="W25" i="4"/>
  <c r="AX25" i="4" s="1"/>
  <c r="W41" i="4"/>
  <c r="AX41" i="4" s="1"/>
  <c r="X11" i="4"/>
  <c r="AY11" i="4" s="1"/>
  <c r="X23" i="4"/>
  <c r="AY23" i="4" s="1"/>
  <c r="X35" i="4"/>
  <c r="AY35" i="4" s="1"/>
  <c r="Y15" i="4"/>
  <c r="AZ15" i="4" s="1"/>
  <c r="Y31" i="4"/>
  <c r="AZ31" i="4" s="1"/>
  <c r="Y43" i="4"/>
  <c r="AZ43" i="4" s="1"/>
  <c r="Y56" i="4"/>
  <c r="AZ56" i="4" s="1"/>
  <c r="R28" i="4"/>
  <c r="W14" i="4"/>
  <c r="AX14" i="4" s="1"/>
  <c r="W18" i="4"/>
  <c r="AX18" i="4" s="1"/>
  <c r="W26" i="4"/>
  <c r="AX26" i="4" s="1"/>
  <c r="W34" i="4"/>
  <c r="AX34" i="4" s="1"/>
  <c r="W42" i="4"/>
  <c r="AX42" i="4" s="1"/>
  <c r="W46" i="4"/>
  <c r="AX46" i="4" s="1"/>
  <c r="W55" i="4"/>
  <c r="AX55" i="4" s="1"/>
  <c r="H49" i="3"/>
  <c r="Y12" i="4"/>
  <c r="AZ12" i="4" s="1"/>
  <c r="Y16" i="4"/>
  <c r="AZ16" i="4" s="1"/>
  <c r="Y24" i="4"/>
  <c r="AZ24" i="4" s="1"/>
  <c r="Y32" i="4"/>
  <c r="AZ32" i="4" s="1"/>
  <c r="Y40" i="4"/>
  <c r="AZ40" i="4" s="1"/>
  <c r="Y53" i="4"/>
  <c r="AZ53" i="4" s="1"/>
  <c r="Q47" i="4"/>
  <c r="Q43" i="4"/>
  <c r="Q35" i="4"/>
  <c r="U12" i="4"/>
  <c r="AV12" i="4" s="1"/>
  <c r="U16" i="4"/>
  <c r="AV16" i="4" s="1"/>
  <c r="U20" i="4"/>
  <c r="AV20" i="4" s="1"/>
  <c r="U24" i="4"/>
  <c r="AV24" i="4" s="1"/>
  <c r="U28" i="4"/>
  <c r="AV28" i="4" s="1"/>
  <c r="U32" i="4"/>
  <c r="AV32" i="4" s="1"/>
  <c r="U36" i="4"/>
  <c r="AV36" i="4" s="1"/>
  <c r="U40" i="4"/>
  <c r="AV40" i="4" s="1"/>
  <c r="U44" i="4"/>
  <c r="AV44" i="4" s="1"/>
  <c r="U53" i="4"/>
  <c r="AV53" i="4" s="1"/>
  <c r="V14" i="4"/>
  <c r="AW14" i="4" s="1"/>
  <c r="V18" i="4"/>
  <c r="AW18" i="4" s="1"/>
  <c r="V22" i="4"/>
  <c r="AW22" i="4" s="1"/>
  <c r="V26" i="4"/>
  <c r="AW26" i="4" s="1"/>
  <c r="V30" i="4"/>
  <c r="AW30" i="4" s="1"/>
  <c r="V34" i="4"/>
  <c r="AW34" i="4" s="1"/>
  <c r="V38" i="4"/>
  <c r="AW38" i="4" s="1"/>
  <c r="V42" i="4"/>
  <c r="AW42" i="4" s="1"/>
  <c r="V46" i="4"/>
  <c r="AW46" i="4" s="1"/>
  <c r="V51" i="4"/>
  <c r="AW51" i="4" s="1"/>
  <c r="V55" i="4"/>
  <c r="AW55" i="4" s="1"/>
  <c r="W12" i="4"/>
  <c r="AX12" i="4" s="1"/>
  <c r="W16" i="4"/>
  <c r="AX16" i="4" s="1"/>
  <c r="W20" i="4"/>
  <c r="AX20" i="4" s="1"/>
  <c r="W24" i="4"/>
  <c r="AX24" i="4" s="1"/>
  <c r="W28" i="4"/>
  <c r="AX28" i="4" s="1"/>
  <c r="W32" i="4"/>
  <c r="AX32" i="4" s="1"/>
  <c r="W36" i="4"/>
  <c r="AX36" i="4" s="1"/>
  <c r="W40" i="4"/>
  <c r="AX40" i="4" s="1"/>
  <c r="W44" i="4"/>
  <c r="AX44" i="4" s="1"/>
  <c r="W53" i="4"/>
  <c r="AX53" i="4" s="1"/>
  <c r="X47" i="4"/>
  <c r="AY47" i="4" s="1"/>
  <c r="X52" i="4"/>
  <c r="AY52" i="4" s="1"/>
  <c r="X56" i="4"/>
  <c r="AY56" i="4" s="1"/>
  <c r="Y14" i="4"/>
  <c r="AZ14" i="4" s="1"/>
  <c r="Y18" i="4"/>
  <c r="AZ18" i="4" s="1"/>
  <c r="Y22" i="4"/>
  <c r="AZ22" i="4" s="1"/>
  <c r="Y26" i="4"/>
  <c r="AZ26" i="4" s="1"/>
  <c r="Y30" i="4"/>
  <c r="AZ30" i="4" s="1"/>
  <c r="Y34" i="4"/>
  <c r="AZ34" i="4" s="1"/>
  <c r="Y38" i="4"/>
  <c r="AZ38" i="4" s="1"/>
  <c r="Y42" i="4"/>
  <c r="AZ42" i="4" s="1"/>
  <c r="Y46" i="4"/>
  <c r="AZ46" i="4" s="1"/>
  <c r="Y51" i="4"/>
  <c r="AZ51" i="4" s="1"/>
  <c r="Y55" i="4"/>
  <c r="AZ55" i="4" s="1"/>
  <c r="R42" i="4"/>
  <c r="R39" i="4"/>
  <c r="R34" i="4"/>
  <c r="R29" i="4"/>
  <c r="R15" i="4"/>
  <c r="R11" i="4"/>
  <c r="N9" i="4"/>
  <c r="N8" i="4" s="1"/>
  <c r="W10" i="4"/>
  <c r="AX10" i="4" s="1"/>
  <c r="R10" i="4"/>
  <c r="U48" i="4"/>
  <c r="AV48" i="4" s="1"/>
  <c r="V10" i="4"/>
  <c r="AW10" i="4" s="1"/>
  <c r="W48" i="4"/>
  <c r="AX48" i="4" s="1"/>
  <c r="Y10" i="4"/>
  <c r="AZ10" i="4" s="1"/>
  <c r="U10" i="4"/>
  <c r="AV10" i="4" s="1"/>
  <c r="V48" i="4"/>
  <c r="AW48" i="4" s="1"/>
  <c r="Y48" i="4"/>
  <c r="AZ48" i="4" s="1"/>
  <c r="Q8" i="3"/>
  <c r="Q55" i="4"/>
  <c r="Q46" i="4"/>
  <c r="Q38" i="4"/>
  <c r="Q33" i="4"/>
  <c r="Q30" i="4"/>
  <c r="Q22" i="4"/>
  <c r="Q14" i="4"/>
  <c r="Q10" i="4"/>
  <c r="K9" i="4"/>
  <c r="R53" i="4"/>
  <c r="R48" i="4"/>
  <c r="R44" i="4"/>
  <c r="F50" i="4"/>
  <c r="F49" i="3"/>
  <c r="F13" i="4"/>
  <c r="F17" i="4"/>
  <c r="F21" i="4"/>
  <c r="F25" i="4"/>
  <c r="F29" i="4"/>
  <c r="F33" i="4"/>
  <c r="F37" i="4"/>
  <c r="F41" i="4"/>
  <c r="F46" i="4"/>
  <c r="F51" i="4"/>
  <c r="F55" i="4"/>
  <c r="Q53" i="4"/>
  <c r="Q48" i="4"/>
  <c r="Q44" i="4"/>
  <c r="Q40" i="4"/>
  <c r="Q36" i="4"/>
  <c r="Q32" i="4"/>
  <c r="Q28" i="4"/>
  <c r="Q24" i="4"/>
  <c r="Q20" i="4"/>
  <c r="Q16" i="4"/>
  <c r="Q12" i="4"/>
  <c r="O9" i="4"/>
  <c r="I49" i="3"/>
  <c r="F54" i="4"/>
  <c r="D49" i="3"/>
  <c r="C9" i="3"/>
  <c r="C49" i="3"/>
  <c r="D9" i="4"/>
  <c r="V9" i="4" s="1"/>
  <c r="AW9" i="4" s="1"/>
  <c r="F10" i="4"/>
  <c r="F14" i="4"/>
  <c r="F18" i="4"/>
  <c r="F22" i="4"/>
  <c r="F26" i="4"/>
  <c r="F30" i="4"/>
  <c r="F34" i="4"/>
  <c r="F38" i="4"/>
  <c r="F42" i="4"/>
  <c r="G9" i="4"/>
  <c r="Y9" i="4" s="1"/>
  <c r="AZ9" i="4" s="1"/>
  <c r="R8" i="3"/>
  <c r="G49" i="4"/>
  <c r="Y49" i="4" s="1"/>
  <c r="AZ49" i="4" s="1"/>
  <c r="R56" i="4"/>
  <c r="Q56" i="4"/>
  <c r="K49" i="4"/>
  <c r="O49" i="4"/>
  <c r="C49" i="4"/>
  <c r="U49" i="4" s="1"/>
  <c r="AV49" i="4" s="1"/>
  <c r="E49" i="4"/>
  <c r="W49" i="4" s="1"/>
  <c r="AX49" i="4" s="1"/>
  <c r="G49" i="3"/>
  <c r="F53" i="4"/>
  <c r="C9" i="4"/>
  <c r="U9" i="4" s="1"/>
  <c r="AV9" i="4" s="1"/>
  <c r="E49" i="3"/>
  <c r="D53" i="4"/>
  <c r="E9" i="4"/>
  <c r="F12" i="4"/>
  <c r="F16" i="4"/>
  <c r="F20" i="4"/>
  <c r="F24" i="4"/>
  <c r="F28" i="4"/>
  <c r="F32" i="4"/>
  <c r="F36" i="4"/>
  <c r="F40" i="4"/>
  <c r="F44" i="4"/>
  <c r="F48" i="4"/>
  <c r="P8" i="3"/>
  <c r="G9" i="3"/>
  <c r="D9" i="3"/>
  <c r="H9" i="3"/>
  <c r="E9" i="3"/>
  <c r="I9" i="3"/>
  <c r="F9" i="3"/>
  <c r="AP6" i="6" l="1"/>
  <c r="H8" i="3"/>
  <c r="F8" i="3"/>
  <c r="I8" i="3"/>
  <c r="G8" i="3"/>
  <c r="X16" i="4"/>
  <c r="AY16" i="4" s="1"/>
  <c r="X28" i="4"/>
  <c r="AY28" i="4" s="1"/>
  <c r="X24" i="4"/>
  <c r="AY24" i="4" s="1"/>
  <c r="X42" i="4"/>
  <c r="AY42" i="4" s="1"/>
  <c r="X33" i="4"/>
  <c r="AY33" i="4" s="1"/>
  <c r="X32" i="4"/>
  <c r="AY32" i="4" s="1"/>
  <c r="X30" i="4"/>
  <c r="AY30" i="4" s="1"/>
  <c r="X40" i="4"/>
  <c r="AY40" i="4" s="1"/>
  <c r="X53" i="4"/>
  <c r="AY53" i="4" s="1"/>
  <c r="X26" i="4"/>
  <c r="AY26" i="4" s="1"/>
  <c r="X51" i="4"/>
  <c r="AY51" i="4" s="1"/>
  <c r="X17" i="4"/>
  <c r="AY17" i="4" s="1"/>
  <c r="X36" i="4"/>
  <c r="AY36" i="4" s="1"/>
  <c r="X20" i="4"/>
  <c r="AY20" i="4" s="1"/>
  <c r="V53" i="4"/>
  <c r="AW53" i="4" s="1"/>
  <c r="D49" i="4"/>
  <c r="V49" i="4" s="1"/>
  <c r="AW49" i="4" s="1"/>
  <c r="X38" i="4"/>
  <c r="AY38" i="4" s="1"/>
  <c r="X22" i="4"/>
  <c r="AY22" i="4" s="1"/>
  <c r="X54" i="4"/>
  <c r="AY54" i="4" s="1"/>
  <c r="X46" i="4"/>
  <c r="AY46" i="4" s="1"/>
  <c r="X29" i="4"/>
  <c r="AY29" i="4" s="1"/>
  <c r="X13" i="4"/>
  <c r="AY13" i="4" s="1"/>
  <c r="X34" i="4"/>
  <c r="AY34" i="4" s="1"/>
  <c r="X18" i="4"/>
  <c r="AY18" i="4" s="1"/>
  <c r="X41" i="4"/>
  <c r="AY41" i="4" s="1"/>
  <c r="X25" i="4"/>
  <c r="AY25" i="4" s="1"/>
  <c r="X44" i="4"/>
  <c r="AY44" i="4" s="1"/>
  <c r="X12" i="4"/>
  <c r="AY12" i="4" s="1"/>
  <c r="X14" i="4"/>
  <c r="AY14" i="4" s="1"/>
  <c r="X55" i="4"/>
  <c r="AY55" i="4" s="1"/>
  <c r="X37" i="4"/>
  <c r="AY37" i="4" s="1"/>
  <c r="X21" i="4"/>
  <c r="AY21" i="4" s="1"/>
  <c r="X50" i="4"/>
  <c r="AY50" i="4" s="1"/>
  <c r="C8" i="3"/>
  <c r="Q9" i="4"/>
  <c r="R9" i="4"/>
  <c r="E8" i="4"/>
  <c r="W8" i="4" s="1"/>
  <c r="AX8" i="4" s="1"/>
  <c r="W9" i="4"/>
  <c r="AX9" i="4" s="1"/>
  <c r="X48" i="4"/>
  <c r="AY48" i="4" s="1"/>
  <c r="O8" i="4"/>
  <c r="G8" i="4"/>
  <c r="Y8" i="4" s="1"/>
  <c r="AZ8" i="4" s="1"/>
  <c r="X10" i="4"/>
  <c r="AY10" i="4" s="1"/>
  <c r="F49" i="4"/>
  <c r="X49" i="4" s="1"/>
  <c r="AY49" i="4" s="1"/>
  <c r="C8" i="4"/>
  <c r="U8" i="4" s="1"/>
  <c r="AV8" i="4" s="1"/>
  <c r="E8" i="3"/>
  <c r="D8" i="3"/>
  <c r="F9" i="4"/>
  <c r="X9" i="4" s="1"/>
  <c r="AY9" i="4" s="1"/>
  <c r="R49" i="4"/>
  <c r="Q49" i="4"/>
  <c r="K8" i="4"/>
  <c r="B56" i="4"/>
  <c r="B55" i="4"/>
  <c r="B54" i="4"/>
  <c r="B53" i="4"/>
  <c r="B52" i="4"/>
  <c r="B51" i="4"/>
  <c r="B50"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D8" i="4" l="1"/>
  <c r="V8" i="4" s="1"/>
  <c r="AW8" i="4" s="1"/>
  <c r="T17" i="4"/>
  <c r="T12" i="4"/>
  <c r="T16" i="4"/>
  <c r="T20" i="4"/>
  <c r="T24" i="4"/>
  <c r="T28" i="4"/>
  <c r="T32" i="4"/>
  <c r="T36" i="4"/>
  <c r="T40" i="4"/>
  <c r="T44" i="4"/>
  <c r="T53" i="4"/>
  <c r="T25" i="4"/>
  <c r="T29" i="4"/>
  <c r="T33" i="4"/>
  <c r="T37" i="4"/>
  <c r="T41" i="4"/>
  <c r="T45" i="4"/>
  <c r="T50" i="4"/>
  <c r="T54" i="4"/>
  <c r="T13" i="4"/>
  <c r="T14" i="4"/>
  <c r="T18" i="4"/>
  <c r="T22" i="4"/>
  <c r="T26" i="4"/>
  <c r="T30" i="4"/>
  <c r="T34" i="4"/>
  <c r="T38" i="4"/>
  <c r="T42" i="4"/>
  <c r="T46" i="4"/>
  <c r="T51" i="4"/>
  <c r="T55" i="4"/>
  <c r="T21" i="4"/>
  <c r="T11" i="4"/>
  <c r="T15" i="4"/>
  <c r="T19" i="4"/>
  <c r="T23" i="4"/>
  <c r="T27" i="4"/>
  <c r="T31" i="4"/>
  <c r="T35" i="4"/>
  <c r="T39" i="4"/>
  <c r="T43" i="4"/>
  <c r="T47" i="4"/>
  <c r="T52" i="4"/>
  <c r="T56" i="4"/>
  <c r="T48" i="4"/>
  <c r="T10" i="4"/>
  <c r="F8" i="4"/>
  <c r="X8" i="4" s="1"/>
  <c r="H14" i="4"/>
  <c r="I14" i="4"/>
  <c r="H12" i="4"/>
  <c r="I12" i="4"/>
  <c r="H16" i="4"/>
  <c r="I16" i="4"/>
  <c r="H20" i="4"/>
  <c r="I20" i="4"/>
  <c r="H24" i="4"/>
  <c r="I24" i="4"/>
  <c r="H28" i="4"/>
  <c r="I28" i="4"/>
  <c r="H32" i="4"/>
  <c r="I32" i="4"/>
  <c r="I36" i="4"/>
  <c r="H36" i="4"/>
  <c r="I40" i="4"/>
  <c r="H40" i="4"/>
  <c r="I44" i="4"/>
  <c r="H44" i="4"/>
  <c r="I48" i="4"/>
  <c r="H48" i="4"/>
  <c r="H53" i="4"/>
  <c r="I53" i="4"/>
  <c r="R8" i="4"/>
  <c r="Q8" i="4"/>
  <c r="H13" i="4"/>
  <c r="I13" i="4"/>
  <c r="H17" i="4"/>
  <c r="I17" i="4"/>
  <c r="H21" i="4"/>
  <c r="I21" i="4"/>
  <c r="H25" i="4"/>
  <c r="I25" i="4"/>
  <c r="H29" i="4"/>
  <c r="I29" i="4"/>
  <c r="H33" i="4"/>
  <c r="I33" i="4"/>
  <c r="H37" i="4"/>
  <c r="I37" i="4"/>
  <c r="H41" i="4"/>
  <c r="I41" i="4"/>
  <c r="H45" i="4"/>
  <c r="I45" i="4"/>
  <c r="I50" i="4"/>
  <c r="B49" i="4"/>
  <c r="T49" i="4" s="1"/>
  <c r="H50" i="4"/>
  <c r="I54" i="4"/>
  <c r="H54" i="4"/>
  <c r="H18" i="4"/>
  <c r="I18" i="4"/>
  <c r="H22" i="4"/>
  <c r="I22" i="4"/>
  <c r="H26" i="4"/>
  <c r="I26" i="4"/>
  <c r="H30" i="4"/>
  <c r="I30" i="4"/>
  <c r="I34" i="4"/>
  <c r="H34" i="4"/>
  <c r="I38" i="4"/>
  <c r="H38" i="4"/>
  <c r="I46" i="4"/>
  <c r="H46" i="4"/>
  <c r="H51" i="4"/>
  <c r="I51" i="4"/>
  <c r="H55" i="4"/>
  <c r="I55" i="4"/>
  <c r="H10" i="4"/>
  <c r="I10" i="4"/>
  <c r="B9" i="4"/>
  <c r="T9" i="4" s="1"/>
  <c r="I42" i="4"/>
  <c r="H42" i="4"/>
  <c r="H11" i="4"/>
  <c r="I11" i="4"/>
  <c r="H15" i="4"/>
  <c r="I15" i="4"/>
  <c r="H19" i="4"/>
  <c r="I19" i="4"/>
  <c r="H23" i="4"/>
  <c r="I23" i="4"/>
  <c r="H27" i="4"/>
  <c r="I27" i="4"/>
  <c r="H31" i="4"/>
  <c r="I31" i="4"/>
  <c r="H35" i="4"/>
  <c r="I35" i="4"/>
  <c r="H39" i="4"/>
  <c r="I39" i="4"/>
  <c r="H43" i="4"/>
  <c r="I43" i="4"/>
  <c r="H47" i="4"/>
  <c r="I47" i="4"/>
  <c r="I52" i="4"/>
  <c r="H52" i="4"/>
  <c r="I56" i="4"/>
  <c r="H56" i="4"/>
  <c r="B9" i="3"/>
  <c r="B49" i="3"/>
  <c r="Z56" i="4" l="1"/>
  <c r="AA56" i="4"/>
  <c r="AU56" i="4"/>
  <c r="BD56" i="4" s="1"/>
  <c r="Z23" i="4"/>
  <c r="AA23" i="4"/>
  <c r="AU23" i="4"/>
  <c r="BD23" i="4" s="1"/>
  <c r="Z21" i="4"/>
  <c r="AA21" i="4"/>
  <c r="AU21" i="4"/>
  <c r="BD21" i="4" s="1"/>
  <c r="AA26" i="4"/>
  <c r="Z26" i="4"/>
  <c r="AU26" i="4"/>
  <c r="BD26" i="4" s="1"/>
  <c r="AA36" i="4"/>
  <c r="Z36" i="4"/>
  <c r="AU36" i="4"/>
  <c r="BD36" i="4" s="1"/>
  <c r="Z52" i="4"/>
  <c r="AA52" i="4"/>
  <c r="AU52" i="4"/>
  <c r="BD52" i="4" s="1"/>
  <c r="Z35" i="4"/>
  <c r="AA35" i="4"/>
  <c r="AU35" i="4"/>
  <c r="BD35" i="4" s="1"/>
  <c r="Z19" i="4"/>
  <c r="AA19" i="4"/>
  <c r="AU19" i="4"/>
  <c r="BD19" i="4" s="1"/>
  <c r="AA55" i="4"/>
  <c r="Z55" i="4"/>
  <c r="AU55" i="4"/>
  <c r="BD55" i="4" s="1"/>
  <c r="AA38" i="4"/>
  <c r="Z38" i="4"/>
  <c r="AU38" i="4"/>
  <c r="BD38" i="4" s="1"/>
  <c r="AA22" i="4"/>
  <c r="Z22" i="4"/>
  <c r="AU22" i="4"/>
  <c r="BD22" i="4" s="1"/>
  <c r="Z45" i="4"/>
  <c r="AA45" i="4"/>
  <c r="AU45" i="4"/>
  <c r="BD45" i="4" s="1"/>
  <c r="Z29" i="4"/>
  <c r="AA29" i="4"/>
  <c r="AU29" i="4"/>
  <c r="BD29" i="4" s="1"/>
  <c r="AA53" i="4"/>
  <c r="Z53" i="4"/>
  <c r="AU53" i="4"/>
  <c r="BD53" i="4" s="1"/>
  <c r="AA32" i="4"/>
  <c r="Z32" i="4"/>
  <c r="AU32" i="4"/>
  <c r="BD32" i="4" s="1"/>
  <c r="AA16" i="4"/>
  <c r="Z16" i="4"/>
  <c r="AU16" i="4"/>
  <c r="BD16" i="4" s="1"/>
  <c r="AA49" i="4"/>
  <c r="Z49" i="4"/>
  <c r="AU49" i="4"/>
  <c r="BD49" i="4" s="1"/>
  <c r="Z47" i="4"/>
  <c r="AA47" i="4"/>
  <c r="AU47" i="4"/>
  <c r="BD47" i="4" s="1"/>
  <c r="Z31" i="4"/>
  <c r="AA31" i="4"/>
  <c r="AU31" i="4"/>
  <c r="BD31" i="4" s="1"/>
  <c r="Z15" i="4"/>
  <c r="AA15" i="4"/>
  <c r="AU15" i="4"/>
  <c r="BD15" i="4" s="1"/>
  <c r="AA51" i="4"/>
  <c r="Z51" i="4"/>
  <c r="AU51" i="4"/>
  <c r="BD51" i="4" s="1"/>
  <c r="AA34" i="4"/>
  <c r="Z34" i="4"/>
  <c r="AU34" i="4"/>
  <c r="BD34" i="4" s="1"/>
  <c r="AA18" i="4"/>
  <c r="Z18" i="4"/>
  <c r="AU18" i="4"/>
  <c r="BD18" i="4" s="1"/>
  <c r="Z41" i="4"/>
  <c r="AA41" i="4"/>
  <c r="AU41" i="4"/>
  <c r="BD41" i="4" s="1"/>
  <c r="Z25" i="4"/>
  <c r="AA25" i="4"/>
  <c r="AU25" i="4"/>
  <c r="BD25" i="4" s="1"/>
  <c r="AA44" i="4"/>
  <c r="Z44" i="4"/>
  <c r="AU44" i="4"/>
  <c r="BD44" i="4" s="1"/>
  <c r="AA28" i="4"/>
  <c r="Z28" i="4"/>
  <c r="AU28" i="4"/>
  <c r="BD28" i="4" s="1"/>
  <c r="AA12" i="4"/>
  <c r="Z12" i="4"/>
  <c r="AU12" i="4"/>
  <c r="BD12" i="4" s="1"/>
  <c r="Z43" i="4"/>
  <c r="AA43" i="4"/>
  <c r="AU43" i="4"/>
  <c r="BD43" i="4" s="1"/>
  <c r="Z27" i="4"/>
  <c r="AA27" i="4"/>
  <c r="AU27" i="4"/>
  <c r="BD27" i="4" s="1"/>
  <c r="Z11" i="4"/>
  <c r="AA11" i="4"/>
  <c r="AU11" i="4"/>
  <c r="BD11" i="4" s="1"/>
  <c r="AA46" i="4"/>
  <c r="Z46" i="4"/>
  <c r="AU46" i="4"/>
  <c r="BD46" i="4" s="1"/>
  <c r="AA30" i="4"/>
  <c r="Z30" i="4"/>
  <c r="AU30" i="4"/>
  <c r="BD30" i="4" s="1"/>
  <c r="AA14" i="4"/>
  <c r="Z14" i="4"/>
  <c r="AU14" i="4"/>
  <c r="BD14" i="4" s="1"/>
  <c r="Z54" i="4"/>
  <c r="AA54" i="4"/>
  <c r="AU54" i="4"/>
  <c r="BD54" i="4" s="1"/>
  <c r="Z37" i="4"/>
  <c r="AA37" i="4"/>
  <c r="AU37" i="4"/>
  <c r="BD37" i="4" s="1"/>
  <c r="AA40" i="4"/>
  <c r="Z40" i="4"/>
  <c r="AU40" i="4"/>
  <c r="BD40" i="4" s="1"/>
  <c r="AA24" i="4"/>
  <c r="Z24" i="4"/>
  <c r="AU24" i="4"/>
  <c r="BD24" i="4" s="1"/>
  <c r="Z17" i="4"/>
  <c r="AA17" i="4"/>
  <c r="AU17" i="4"/>
  <c r="BD17" i="4" s="1"/>
  <c r="Z39" i="4"/>
  <c r="AA39" i="4"/>
  <c r="AU39" i="4"/>
  <c r="BD39" i="4" s="1"/>
  <c r="AA42" i="4"/>
  <c r="Z42" i="4"/>
  <c r="AU42" i="4"/>
  <c r="BD42" i="4" s="1"/>
  <c r="Z13" i="4"/>
  <c r="AA13" i="4"/>
  <c r="AU13" i="4"/>
  <c r="BD13" i="4" s="1"/>
  <c r="Z50" i="4"/>
  <c r="AA50" i="4"/>
  <c r="AU50" i="4"/>
  <c r="BD50" i="4" s="1"/>
  <c r="Z33" i="4"/>
  <c r="AA33" i="4"/>
  <c r="AU33" i="4"/>
  <c r="BD33" i="4" s="1"/>
  <c r="AA20" i="4"/>
  <c r="Z20" i="4"/>
  <c r="AU20" i="4"/>
  <c r="BD20" i="4" s="1"/>
  <c r="Z10" i="4"/>
  <c r="AA10" i="4"/>
  <c r="AU10" i="4"/>
  <c r="BD10" i="4" s="1"/>
  <c r="AA9" i="4"/>
  <c r="Z9" i="4"/>
  <c r="AU9" i="4"/>
  <c r="BD9" i="4" s="1"/>
  <c r="AY8" i="4"/>
  <c r="Z48" i="4"/>
  <c r="AA48" i="4"/>
  <c r="AU48" i="4"/>
  <c r="BD48" i="4" s="1"/>
  <c r="H9" i="4"/>
  <c r="I9" i="4"/>
  <c r="B8" i="4"/>
  <c r="T8" i="4" s="1"/>
  <c r="H49" i="4"/>
  <c r="I49" i="4"/>
  <c r="B8" i="3"/>
  <c r="BA30" i="4" l="1"/>
  <c r="BB30" i="4"/>
  <c r="BB43" i="4"/>
  <c r="BA43" i="4"/>
  <c r="BA12" i="4"/>
  <c r="BB12" i="4"/>
  <c r="BB41" i="4"/>
  <c r="BA41" i="4"/>
  <c r="BA20" i="4"/>
  <c r="BB20" i="4"/>
  <c r="BA42" i="4"/>
  <c r="BB42" i="4"/>
  <c r="BA24" i="4"/>
  <c r="BB24" i="4"/>
  <c r="BA14" i="4"/>
  <c r="BB14" i="4"/>
  <c r="BB27" i="4"/>
  <c r="BA27" i="4"/>
  <c r="BB25" i="4"/>
  <c r="BA25" i="4"/>
  <c r="BA51" i="4"/>
  <c r="BB51" i="4"/>
  <c r="BA49" i="4"/>
  <c r="BB49" i="4"/>
  <c r="BA16" i="4"/>
  <c r="BB16" i="4"/>
  <c r="BB45" i="4"/>
  <c r="BA45" i="4"/>
  <c r="BB19" i="4"/>
  <c r="BA19" i="4"/>
  <c r="BA26" i="4"/>
  <c r="BB26" i="4"/>
  <c r="BB33" i="4"/>
  <c r="BA33" i="4"/>
  <c r="BA40" i="4"/>
  <c r="BB40" i="4"/>
  <c r="BB13" i="4"/>
  <c r="BA13" i="4"/>
  <c r="BB17" i="4"/>
  <c r="BA17" i="4"/>
  <c r="BB54" i="4"/>
  <c r="BA54" i="4"/>
  <c r="BB11" i="4"/>
  <c r="BA11" i="4"/>
  <c r="BA44" i="4"/>
  <c r="BB44" i="4"/>
  <c r="BA34" i="4"/>
  <c r="BB34" i="4"/>
  <c r="BB47" i="4"/>
  <c r="BA47" i="4"/>
  <c r="BB29" i="4"/>
  <c r="BA29" i="4"/>
  <c r="BA55" i="4"/>
  <c r="BB55" i="4"/>
  <c r="BA36" i="4"/>
  <c r="BB36" i="4"/>
  <c r="BB56" i="4"/>
  <c r="BA56" i="4"/>
  <c r="BB50" i="4"/>
  <c r="BA50" i="4"/>
  <c r="BB37" i="4"/>
  <c r="BA37" i="4"/>
  <c r="BA46" i="4"/>
  <c r="BB46" i="4"/>
  <c r="BA28" i="4"/>
  <c r="BB28" i="4"/>
  <c r="BA18" i="4"/>
  <c r="BB18" i="4"/>
  <c r="BB31" i="4"/>
  <c r="BA31" i="4"/>
  <c r="BA53" i="4"/>
  <c r="BB53" i="4"/>
  <c r="BA38" i="4"/>
  <c r="BB38" i="4"/>
  <c r="BB52" i="4"/>
  <c r="BA52" i="4"/>
  <c r="BB23" i="4"/>
  <c r="BA23" i="4"/>
  <c r="BB39" i="4"/>
  <c r="BA39" i="4"/>
  <c r="BB15" i="4"/>
  <c r="BA15" i="4"/>
  <c r="BA32" i="4"/>
  <c r="BB32" i="4"/>
  <c r="BA22" i="4"/>
  <c r="BB22" i="4"/>
  <c r="BB35" i="4"/>
  <c r="BA35" i="4"/>
  <c r="BB21" i="4"/>
  <c r="BA21" i="4"/>
  <c r="AA8" i="4"/>
  <c r="AU8" i="4"/>
  <c r="BD8" i="4" s="1"/>
  <c r="Z8" i="4"/>
  <c r="BB10" i="4"/>
  <c r="BA10" i="4"/>
  <c r="BB48" i="4"/>
  <c r="BA48" i="4"/>
  <c r="BA9" i="4"/>
  <c r="BB9" i="4"/>
  <c r="I8" i="4"/>
  <c r="H8" i="4"/>
  <c r="BB8" i="4" l="1"/>
  <c r="BA8" i="4"/>
  <c r="BF29" i="1" l="1"/>
  <c r="BF14" i="1"/>
  <c r="BF51" i="1"/>
  <c r="BF19" i="1"/>
  <c r="BF50" i="1"/>
  <c r="BF46" i="1"/>
  <c r="BF33" i="1"/>
  <c r="BF25" i="1"/>
  <c r="BF20" i="1"/>
  <c r="BF12" i="1"/>
  <c r="BF22" i="1"/>
  <c r="BF11" i="1"/>
  <c r="BF18" i="1"/>
  <c r="BF16" i="1"/>
  <c r="BF54" i="1"/>
  <c r="BF10" i="1"/>
  <c r="BF52" i="1"/>
  <c r="BF48" i="1"/>
  <c r="BF40" i="1"/>
  <c r="BF26" i="1"/>
  <c r="BF47" i="1"/>
  <c r="BF43" i="1"/>
  <c r="BF36" i="1"/>
  <c r="BF30" i="1"/>
  <c r="BF55" i="1"/>
  <c r="BF23" i="1"/>
  <c r="BF13" i="1"/>
  <c r="BF17" i="1"/>
  <c r="BF21" i="1"/>
  <c r="BF56" i="1"/>
  <c r="BF44" i="1"/>
  <c r="BF34" i="1"/>
  <c r="BF45" i="1"/>
  <c r="BF32" i="1"/>
  <c r="BF42" i="1"/>
  <c r="BF53" i="1"/>
  <c r="BF38" i="1"/>
  <c r="BF24" i="1"/>
  <c r="BF15" i="1"/>
  <c r="BF31" i="1"/>
  <c r="BF35" i="1" l="1"/>
  <c r="BF37" i="1"/>
  <c r="BF49" i="1"/>
  <c r="BF41" i="1"/>
  <c r="BF39" i="1"/>
  <c r="BF27" i="1"/>
  <c r="BF9" i="1" l="1"/>
  <c r="BF8" i="1" l="1"/>
  <c r="BF15" i="4" l="1"/>
  <c r="BF14" i="4"/>
  <c r="BF45" i="4" l="1"/>
  <c r="BF36" i="4"/>
  <c r="BF12" i="4"/>
  <c r="BF30" i="4"/>
  <c r="BF28" i="4"/>
  <c r="BF22" i="4"/>
  <c r="BF44" i="4"/>
  <c r="BF48" i="4"/>
  <c r="BF54" i="4"/>
  <c r="BF13" i="4"/>
  <c r="BF34" i="4"/>
  <c r="BF56" i="4"/>
  <c r="BF16" i="4"/>
  <c r="BF23" i="4"/>
  <c r="BF31" i="4"/>
  <c r="BF19" i="4"/>
  <c r="BF37" i="4"/>
  <c r="BF47" i="4"/>
  <c r="BF35" i="4"/>
  <c r="BF53" i="4"/>
  <c r="BF21" i="4"/>
  <c r="BF50" i="4"/>
  <c r="BF33" i="4"/>
  <c r="BF46" i="4"/>
  <c r="BF52" i="4"/>
  <c r="BF11" i="4"/>
  <c r="BF24" i="4"/>
  <c r="BF39" i="4"/>
  <c r="BF18" i="4"/>
  <c r="BF27" i="4"/>
  <c r="BF43" i="4"/>
  <c r="BF32" i="4"/>
  <c r="BF40" i="4"/>
  <c r="BF10" i="4"/>
  <c r="BF42" i="4"/>
  <c r="BF29" i="4"/>
  <c r="BF51" i="4"/>
  <c r="BF55" i="4"/>
  <c r="BF20" i="4"/>
  <c r="BF38" i="4"/>
  <c r="BF17" i="4"/>
  <c r="BF26" i="4"/>
  <c r="BF41" i="4"/>
  <c r="BF25" i="4"/>
  <c r="BF49" i="4" l="1"/>
  <c r="BF9" i="4"/>
  <c r="C47" i="5"/>
  <c r="AD40" i="5"/>
  <c r="AC39" i="5"/>
  <c r="AG34" i="5"/>
  <c r="B33" i="5"/>
  <c r="AD39" i="5"/>
  <c r="AQ27" i="5"/>
  <c r="F38" i="5"/>
  <c r="AO29" i="5"/>
  <c r="AC38" i="5"/>
  <c r="AG29" i="5"/>
  <c r="AM15" i="5"/>
  <c r="AF11" i="5"/>
  <c r="AQ37" i="5"/>
  <c r="AG22" i="5"/>
  <c r="N34" i="5"/>
  <c r="P44" i="5"/>
  <c r="AN39" i="5"/>
  <c r="M45" i="5"/>
  <c r="AM28" i="5"/>
  <c r="L27" i="5"/>
  <c r="P48" i="5"/>
  <c r="L28" i="5"/>
  <c r="AO11" i="5"/>
  <c r="E50" i="5"/>
  <c r="D38" i="5"/>
  <c r="M18" i="5"/>
  <c r="N24" i="5"/>
  <c r="N17" i="5"/>
  <c r="AG42" i="5"/>
  <c r="AF20" i="5"/>
  <c r="O23" i="5"/>
  <c r="G31" i="5"/>
  <c r="M53" i="5"/>
  <c r="O24" i="5"/>
  <c r="B39" i="5"/>
  <c r="E14" i="5"/>
  <c r="L25" i="5"/>
  <c r="C10" i="5"/>
  <c r="AE38" i="5"/>
  <c r="AM50" i="5"/>
  <c r="AN45" i="5"/>
  <c r="P22" i="5"/>
  <c r="AL18" i="5"/>
  <c r="G12" i="5"/>
  <c r="AL38" i="5"/>
  <c r="M11" i="5"/>
  <c r="AQ45" i="5"/>
  <c r="AC28" i="5"/>
  <c r="AN13" i="5"/>
  <c r="O40" i="5"/>
  <c r="AD43" i="5"/>
  <c r="AE22" i="5"/>
  <c r="O46" i="5"/>
  <c r="AO16" i="5"/>
  <c r="AC41" i="5"/>
  <c r="AC34" i="5"/>
  <c r="C33" i="5"/>
  <c r="AQ50" i="5"/>
  <c r="K44" i="5"/>
  <c r="F54" i="5"/>
  <c r="O35" i="5"/>
  <c r="AH56" i="5"/>
  <c r="AE56" i="5"/>
  <c r="P33" i="5"/>
  <c r="O10" i="5"/>
  <c r="AM56" i="5"/>
  <c r="N48" i="5"/>
  <c r="AL36" i="5"/>
  <c r="AL47" i="5"/>
  <c r="M17" i="5"/>
  <c r="D22" i="5"/>
  <c r="AC30" i="5"/>
  <c r="AN23" i="5"/>
  <c r="M38" i="5"/>
  <c r="AC55" i="5"/>
  <c r="N38" i="5"/>
  <c r="AH31" i="5"/>
  <c r="AE33" i="5"/>
  <c r="P41" i="5"/>
  <c r="AL50" i="5"/>
  <c r="AM38" i="5"/>
  <c r="AL20" i="5"/>
  <c r="O22" i="5"/>
  <c r="AL15" i="5"/>
  <c r="N20" i="5"/>
  <c r="AG18" i="5"/>
  <c r="G17" i="5"/>
  <c r="AC19" i="5"/>
  <c r="AG32" i="5"/>
  <c r="L18" i="5"/>
  <c r="AL51" i="5"/>
  <c r="G53" i="5"/>
  <c r="F50" i="5"/>
  <c r="F18" i="5"/>
  <c r="N30" i="5"/>
  <c r="AQ11" i="5"/>
  <c r="AN22" i="5"/>
  <c r="AO12" i="5"/>
  <c r="P13" i="5"/>
  <c r="AG25" i="5"/>
  <c r="AQ28" i="5"/>
  <c r="C19" i="5"/>
  <c r="AC14" i="5"/>
  <c r="AG10" i="5"/>
  <c r="AE52" i="5"/>
  <c r="O45" i="5"/>
  <c r="N54" i="5"/>
  <c r="D54" i="5"/>
  <c r="N22" i="5"/>
  <c r="AM52" i="5"/>
  <c r="AG37" i="5"/>
  <c r="AG48" i="5"/>
  <c r="M44" i="5"/>
  <c r="O41" i="5"/>
  <c r="AO38" i="5"/>
  <c r="AD35" i="5"/>
  <c r="C56" i="5"/>
  <c r="D32" i="5"/>
  <c r="P35" i="5"/>
  <c r="C27" i="5"/>
  <c r="F12" i="5"/>
  <c r="AQ18" i="5"/>
  <c r="AF18" i="5"/>
  <c r="L34" i="5"/>
  <c r="AF14" i="5"/>
  <c r="P16" i="5"/>
  <c r="M46" i="5"/>
  <c r="D25" i="5"/>
  <c r="AD37" i="5"/>
  <c r="AM12" i="5"/>
  <c r="B46" i="5"/>
  <c r="C44" i="5"/>
  <c r="AL16" i="5"/>
  <c r="O32" i="5"/>
  <c r="AG14" i="5"/>
  <c r="O28" i="5"/>
  <c r="AO25" i="5"/>
  <c r="L35" i="5"/>
  <c r="M13" i="5"/>
  <c r="G45" i="5"/>
  <c r="AD28" i="5"/>
  <c r="G18" i="5"/>
  <c r="F46" i="5"/>
  <c r="AE34" i="5"/>
  <c r="AD51" i="5"/>
  <c r="AN14" i="5"/>
  <c r="B30" i="5"/>
  <c r="AE17" i="5"/>
  <c r="M31" i="5"/>
  <c r="AL44" i="5"/>
  <c r="AN15" i="5"/>
  <c r="AN55" i="5"/>
  <c r="AE35" i="5"/>
  <c r="N29" i="5"/>
  <c r="AO30" i="5"/>
  <c r="F16" i="5"/>
  <c r="D40" i="5"/>
  <c r="E29" i="5"/>
  <c r="AM32" i="5"/>
  <c r="D30" i="5"/>
  <c r="K28" i="5"/>
  <c r="L50" i="5"/>
  <c r="G52" i="5"/>
  <c r="B47" i="5"/>
  <c r="E26" i="5"/>
  <c r="AG44" i="5"/>
  <c r="AM19" i="5"/>
  <c r="AE12" i="5"/>
  <c r="AE23" i="5"/>
  <c r="AF37" i="5"/>
  <c r="AF13" i="5"/>
  <c r="AN18" i="5"/>
  <c r="AO54" i="5"/>
  <c r="E15" i="5"/>
  <c r="AF29" i="5"/>
  <c r="AC33" i="5"/>
  <c r="N39" i="5"/>
  <c r="B36" i="5"/>
  <c r="F28" i="5"/>
  <c r="AQ41" i="5"/>
  <c r="F27" i="5"/>
  <c r="AC36" i="5"/>
  <c r="AC24" i="5"/>
  <c r="L46" i="5"/>
  <c r="AM41" i="5"/>
  <c r="O39" i="5"/>
  <c r="AC47" i="5"/>
  <c r="AL43" i="5"/>
  <c r="F29" i="5"/>
  <c r="F55" i="5"/>
  <c r="N16" i="5"/>
  <c r="N42" i="5"/>
  <c r="AC56" i="5"/>
  <c r="AQ32" i="5"/>
  <c r="G15" i="5"/>
  <c r="AO34" i="5"/>
  <c r="C40" i="5"/>
  <c r="AH23" i="5"/>
  <c r="L13" i="5"/>
  <c r="AO18" i="5"/>
  <c r="AO31" i="5"/>
  <c r="AE41" i="5"/>
  <c r="L24" i="5"/>
  <c r="AN54" i="5"/>
  <c r="K36" i="5"/>
  <c r="AG40" i="5"/>
  <c r="AM33" i="5"/>
  <c r="AD24" i="5"/>
  <c r="D39" i="5"/>
  <c r="AQ53" i="5"/>
  <c r="AH19" i="5"/>
  <c r="AN31" i="5"/>
  <c r="AF46" i="5"/>
  <c r="G11" i="5"/>
  <c r="AG15" i="5"/>
  <c r="D50" i="5"/>
  <c r="AH46" i="5"/>
  <c r="E45" i="5"/>
  <c r="B14" i="5"/>
  <c r="AE44" i="5"/>
  <c r="D13" i="5"/>
  <c r="D26" i="5"/>
  <c r="AM31" i="5"/>
  <c r="AG53" i="5"/>
  <c r="AN25" i="5"/>
  <c r="O55" i="5"/>
  <c r="E37" i="5"/>
  <c r="O53" i="5"/>
  <c r="L11" i="5"/>
  <c r="K20" i="5"/>
  <c r="AF24" i="5"/>
  <c r="P40" i="5"/>
  <c r="AE45" i="5"/>
  <c r="AQ44" i="5"/>
  <c r="AF39" i="5"/>
  <c r="AL11" i="5"/>
  <c r="M15" i="5"/>
  <c r="AC12" i="5"/>
  <c r="G27" i="5"/>
  <c r="AD14" i="5"/>
  <c r="AD38" i="5"/>
  <c r="D47" i="5"/>
  <c r="M20" i="5"/>
  <c r="N26" i="5"/>
  <c r="C46" i="5"/>
  <c r="D44" i="5"/>
  <c r="AL41" i="5"/>
  <c r="D28" i="5"/>
  <c r="C15" i="5"/>
  <c r="AN33" i="5"/>
  <c r="AQ52" i="5"/>
  <c r="AQ47" i="5"/>
  <c r="L33" i="5"/>
  <c r="AN16" i="5"/>
  <c r="AN47" i="5"/>
  <c r="E44" i="5"/>
  <c r="L29" i="5"/>
  <c r="P45" i="5"/>
  <c r="M14" i="5"/>
  <c r="AG45" i="5"/>
  <c r="B22" i="5"/>
  <c r="N12" i="5"/>
  <c r="AF52" i="5"/>
  <c r="AM39" i="5"/>
  <c r="AE27" i="5"/>
  <c r="AN11" i="5"/>
  <c r="AL39" i="5"/>
  <c r="AF34" i="5"/>
  <c r="N36" i="5"/>
  <c r="F15" i="5"/>
  <c r="P27" i="5"/>
  <c r="C35" i="5"/>
  <c r="B12" i="5"/>
  <c r="AQ39" i="5"/>
  <c r="AC43" i="5"/>
  <c r="L17" i="5"/>
  <c r="P11" i="5"/>
  <c r="L39" i="5"/>
  <c r="K51" i="5"/>
  <c r="O25" i="5"/>
  <c r="F19" i="5"/>
  <c r="AL34" i="5"/>
  <c r="C34" i="5"/>
  <c r="D37" i="5"/>
  <c r="N47" i="5"/>
  <c r="F21" i="5"/>
  <c r="O52" i="5"/>
  <c r="AN27" i="5"/>
  <c r="N27" i="5"/>
  <c r="N10" i="5"/>
  <c r="O17" i="5"/>
  <c r="AH35" i="5"/>
  <c r="AM27" i="5"/>
  <c r="AM43" i="5"/>
  <c r="AE26" i="5"/>
  <c r="AF36" i="5"/>
  <c r="AO28" i="5"/>
  <c r="O30" i="5"/>
  <c r="G25" i="5"/>
  <c r="AH32" i="5"/>
  <c r="M24" i="5"/>
  <c r="AH47" i="5"/>
  <c r="B26" i="5"/>
  <c r="AG47" i="5"/>
  <c r="AC11" i="5"/>
  <c r="AO44" i="5"/>
  <c r="AG21" i="5"/>
  <c r="AH40" i="5"/>
  <c r="B18" i="5"/>
  <c r="F22" i="5"/>
  <c r="AO17" i="5"/>
  <c r="B17" i="5"/>
  <c r="AC31" i="5"/>
  <c r="B55" i="5"/>
  <c r="AN42" i="5"/>
  <c r="M32" i="5"/>
  <c r="AD11" i="5"/>
  <c r="AQ29" i="5"/>
  <c r="AC45" i="5"/>
  <c r="E39" i="5"/>
  <c r="G13" i="5"/>
  <c r="N56" i="5"/>
  <c r="B50" i="5"/>
  <c r="D19" i="5"/>
  <c r="AQ56" i="5"/>
  <c r="AE46" i="5"/>
  <c r="K37" i="5"/>
  <c r="L23" i="5"/>
  <c r="G43" i="5"/>
  <c r="M36" i="5"/>
  <c r="K23" i="5"/>
  <c r="AE55" i="5"/>
  <c r="K50" i="5"/>
  <c r="F40" i="5"/>
  <c r="AH29" i="5"/>
  <c r="G29" i="5"/>
  <c r="M47" i="5"/>
  <c r="AF41" i="5"/>
  <c r="O26" i="5"/>
  <c r="C39" i="5"/>
  <c r="AF35" i="5"/>
  <c r="AD41" i="5"/>
  <c r="M22" i="5"/>
  <c r="AM14" i="5"/>
  <c r="M48" i="5"/>
  <c r="M16" i="5"/>
  <c r="N35" i="5"/>
  <c r="AN51" i="5"/>
  <c r="AG33" i="5"/>
  <c r="AM35" i="5"/>
  <c r="C24" i="5"/>
  <c r="AH26" i="5"/>
  <c r="O11" i="5"/>
  <c r="C25" i="5"/>
  <c r="E42" i="5"/>
  <c r="M23" i="5"/>
  <c r="AM11" i="5"/>
  <c r="K12" i="5"/>
  <c r="P47" i="5"/>
  <c r="AD31" i="5"/>
  <c r="E36" i="5"/>
  <c r="AL25" i="5"/>
  <c r="AQ25" i="5"/>
  <c r="G23" i="5"/>
  <c r="AG52" i="5"/>
  <c r="AO43" i="5"/>
  <c r="AL30" i="5"/>
  <c r="E53" i="5"/>
  <c r="M33" i="5"/>
  <c r="C16" i="5"/>
  <c r="D41" i="5"/>
  <c r="AQ15" i="5"/>
  <c r="E17" i="5"/>
  <c r="E40" i="5"/>
  <c r="N53" i="5"/>
  <c r="B40" i="5"/>
  <c r="E48" i="5"/>
  <c r="AE29" i="5"/>
  <c r="AE31" i="5"/>
  <c r="AG20" i="5"/>
  <c r="AN32" i="5"/>
  <c r="F13" i="5"/>
  <c r="AL19" i="5"/>
  <c r="AG11" i="5"/>
  <c r="C29" i="5"/>
  <c r="AH28" i="5"/>
  <c r="AC51" i="5"/>
  <c r="AD18" i="5"/>
  <c r="AF54" i="5"/>
  <c r="AH41" i="5"/>
  <c r="AL17" i="5"/>
  <c r="AC46" i="5"/>
  <c r="AN34" i="5"/>
  <c r="D11" i="5"/>
  <c r="AC23" i="5"/>
  <c r="O38" i="5"/>
  <c r="AQ33" i="5"/>
  <c r="F47" i="5"/>
  <c r="AH24" i="5"/>
  <c r="P14" i="5"/>
  <c r="AC20" i="5"/>
  <c r="AH55" i="5"/>
  <c r="G42" i="5"/>
  <c r="AE24" i="5"/>
  <c r="N51" i="5"/>
  <c r="O15" i="5"/>
  <c r="AQ22" i="5"/>
  <c r="AL33" i="5"/>
  <c r="C18" i="5"/>
  <c r="B31" i="5"/>
  <c r="P20" i="5"/>
  <c r="O16" i="5"/>
  <c r="B53" i="5"/>
  <c r="P15" i="5"/>
  <c r="AE40" i="5"/>
  <c r="M43" i="5"/>
  <c r="C37" i="5"/>
  <c r="P34" i="5"/>
  <c r="O37" i="5"/>
  <c r="E41" i="5"/>
  <c r="AD12" i="5"/>
  <c r="G26" i="5"/>
  <c r="AL55" i="5"/>
  <c r="AE19" i="5"/>
  <c r="K40" i="5"/>
  <c r="P31" i="5"/>
  <c r="K31" i="5"/>
  <c r="AG55" i="5"/>
  <c r="L40" i="5"/>
  <c r="K55" i="5"/>
  <c r="G44" i="5"/>
  <c r="D43" i="5"/>
  <c r="E31" i="5"/>
  <c r="F11" i="5"/>
  <c r="AN40" i="5"/>
  <c r="M56" i="5"/>
  <c r="O33" i="5"/>
  <c r="O19" i="5"/>
  <c r="AC16" i="5"/>
  <c r="B15" i="5"/>
  <c r="O18" i="5"/>
  <c r="M41" i="5"/>
  <c r="D45" i="5"/>
  <c r="AC25" i="5"/>
  <c r="B43" i="5"/>
  <c r="AC21" i="5"/>
  <c r="AO15" i="5"/>
  <c r="B54" i="5"/>
  <c r="AH36" i="5"/>
  <c r="AE43" i="5"/>
  <c r="D29" i="5"/>
  <c r="AC53" i="5"/>
  <c r="AH39" i="5"/>
  <c r="AL32" i="5"/>
  <c r="D35" i="5"/>
  <c r="F35" i="5"/>
  <c r="AD20" i="5"/>
  <c r="E46" i="5"/>
  <c r="AD54" i="5"/>
  <c r="AN43" i="5"/>
  <c r="AG16" i="5"/>
  <c r="AH25" i="5"/>
  <c r="N11" i="5"/>
  <c r="AD36" i="5"/>
  <c r="AE18" i="5"/>
  <c r="L51" i="5"/>
  <c r="AM42" i="5"/>
  <c r="B11" i="5"/>
  <c r="AM47" i="5"/>
  <c r="AO35" i="5"/>
  <c r="AL52" i="5"/>
  <c r="C20" i="5"/>
  <c r="AF40" i="5"/>
  <c r="AH20" i="5"/>
  <c r="B56" i="5"/>
  <c r="E52" i="5"/>
  <c r="AG39" i="5"/>
  <c r="AM25" i="5"/>
  <c r="K30" i="5"/>
  <c r="AH33" i="5"/>
  <c r="AH38" i="5"/>
  <c r="AG17" i="5"/>
  <c r="C55" i="5"/>
  <c r="AE42" i="5"/>
  <c r="AE37" i="5"/>
  <c r="K21" i="5"/>
  <c r="D20" i="5"/>
  <c r="P46" i="5"/>
  <c r="AD21" i="5"/>
  <c r="N32" i="5"/>
  <c r="AQ51" i="5"/>
  <c r="AD46" i="5"/>
  <c r="L21" i="5"/>
  <c r="AG13" i="5"/>
  <c r="AO51" i="5"/>
  <c r="F24" i="5"/>
  <c r="AF53" i="5"/>
  <c r="C51" i="5"/>
  <c r="AG46" i="5"/>
  <c r="N25" i="5"/>
  <c r="AQ34" i="5"/>
  <c r="O20" i="5"/>
  <c r="K35" i="5"/>
  <c r="AL42" i="5"/>
  <c r="N13" i="5"/>
  <c r="O34" i="5"/>
  <c r="AL37" i="5"/>
  <c r="G20" i="5"/>
  <c r="O42" i="5"/>
  <c r="E22" i="5"/>
  <c r="AO46" i="5"/>
  <c r="AD52" i="5"/>
  <c r="AO24" i="5"/>
  <c r="AC48" i="5"/>
  <c r="L41" i="5"/>
  <c r="AO19" i="5"/>
  <c r="G28" i="5"/>
  <c r="F30" i="5"/>
  <c r="O13" i="5"/>
  <c r="AF50" i="5"/>
  <c r="L30" i="5"/>
  <c r="L43" i="5"/>
  <c r="O44" i="5"/>
  <c r="L37" i="5"/>
  <c r="G30" i="5"/>
  <c r="B28" i="5"/>
  <c r="AM54" i="5"/>
  <c r="AO39" i="5"/>
  <c r="D53" i="5"/>
  <c r="AL13" i="5"/>
  <c r="AM29" i="5"/>
  <c r="P42" i="5"/>
  <c r="E20" i="5"/>
  <c r="L53" i="5"/>
  <c r="AD13" i="5"/>
  <c r="AL35" i="5"/>
  <c r="D46" i="5"/>
  <c r="AN12" i="5"/>
  <c r="O14" i="5"/>
  <c r="AF38" i="5"/>
  <c r="B32" i="5"/>
  <c r="AG23" i="5"/>
  <c r="C52" i="5"/>
  <c r="AN24" i="5"/>
  <c r="AQ13" i="5"/>
  <c r="C53" i="5"/>
  <c r="G35" i="5"/>
  <c r="E10" i="5"/>
  <c r="D23" i="5"/>
  <c r="C26" i="5"/>
  <c r="AD45" i="5"/>
  <c r="AQ20" i="5"/>
  <c r="D15" i="5"/>
  <c r="AF26" i="5"/>
  <c r="F25" i="5"/>
  <c r="B10" i="5"/>
  <c r="D24" i="5"/>
  <c r="B42" i="5"/>
  <c r="L15" i="5"/>
  <c r="L20" i="5"/>
  <c r="AF51" i="5"/>
  <c r="AF45" i="5"/>
  <c r="AG50" i="5"/>
  <c r="L54" i="5"/>
  <c r="G41" i="5"/>
  <c r="C31" i="5"/>
  <c r="AM40" i="5"/>
  <c r="AH54" i="5"/>
  <c r="N41" i="5"/>
  <c r="B21" i="5"/>
  <c r="AO47" i="5"/>
  <c r="D48" i="5"/>
  <c r="O47" i="5"/>
  <c r="AL27" i="5"/>
  <c r="AE51" i="5"/>
  <c r="F26" i="5"/>
  <c r="AC54" i="5"/>
  <c r="D42" i="5"/>
  <c r="K16" i="5"/>
  <c r="M34" i="5"/>
  <c r="AQ21" i="5"/>
  <c r="D17" i="5"/>
  <c r="AD53" i="5"/>
  <c r="AE16" i="5"/>
  <c r="AH15" i="5"/>
  <c r="M39" i="5"/>
  <c r="P39" i="5"/>
  <c r="E47" i="5"/>
  <c r="AO40" i="5"/>
  <c r="G34" i="5"/>
  <c r="AH30" i="5"/>
  <c r="AN20" i="5"/>
  <c r="D56" i="5"/>
  <c r="M29" i="5"/>
  <c r="AE30" i="5"/>
  <c r="AL56" i="5"/>
  <c r="AF33" i="5"/>
  <c r="F36" i="5"/>
  <c r="K19" i="5"/>
  <c r="N19" i="5"/>
  <c r="AQ38" i="5"/>
  <c r="G54" i="5"/>
  <c r="N50" i="5"/>
  <c r="B23" i="5"/>
  <c r="F10" i="5"/>
  <c r="AN30" i="5"/>
  <c r="O50" i="5"/>
  <c r="N33" i="5"/>
  <c r="G38" i="5"/>
  <c r="AO37" i="5"/>
  <c r="P36" i="5"/>
  <c r="AN46" i="5"/>
  <c r="F51" i="5"/>
  <c r="O21" i="5"/>
  <c r="O12" i="5"/>
  <c r="AE15" i="5"/>
  <c r="AD48" i="5"/>
  <c r="P38" i="5"/>
  <c r="AG30" i="5"/>
  <c r="B19" i="5"/>
  <c r="AC42" i="5"/>
  <c r="F42" i="5"/>
  <c r="B48" i="5"/>
  <c r="AN56" i="5"/>
  <c r="AQ19" i="5"/>
  <c r="AM55" i="5"/>
  <c r="P30" i="5"/>
  <c r="AQ40" i="5"/>
  <c r="G21" i="5"/>
  <c r="E33" i="5"/>
  <c r="AC27" i="5"/>
  <c r="M51" i="5"/>
  <c r="O56" i="5"/>
  <c r="AQ16" i="5"/>
  <c r="AE20" i="5"/>
  <c r="D51" i="5"/>
  <c r="K32" i="5"/>
  <c r="C54" i="5"/>
  <c r="M54" i="5"/>
  <c r="AL46" i="5"/>
  <c r="C21" i="5"/>
  <c r="G33" i="5"/>
  <c r="AM17" i="5"/>
  <c r="L36" i="5"/>
  <c r="G39" i="5"/>
  <c r="AM46" i="5"/>
  <c r="K39" i="5"/>
  <c r="D34" i="5"/>
  <c r="N46" i="5"/>
  <c r="C28" i="5"/>
  <c r="D21" i="5"/>
  <c r="E18" i="5"/>
  <c r="C17" i="5"/>
  <c r="K56" i="5"/>
  <c r="AG43" i="5"/>
  <c r="N15" i="5"/>
  <c r="D33" i="5"/>
  <c r="P28" i="5"/>
  <c r="C32" i="5"/>
  <c r="G48" i="5"/>
  <c r="AF56" i="5"/>
  <c r="F32" i="5"/>
  <c r="G14" i="5"/>
  <c r="AH51" i="5"/>
  <c r="AM20" i="5"/>
  <c r="E23" i="5"/>
  <c r="AM53" i="5"/>
  <c r="M37" i="5"/>
  <c r="AC13" i="5"/>
  <c r="AN53" i="5"/>
  <c r="AC37" i="5"/>
  <c r="O36" i="5"/>
  <c r="L32" i="5"/>
  <c r="K17" i="5"/>
  <c r="AD44" i="5"/>
  <c r="AN44" i="5"/>
  <c r="AM23" i="5"/>
  <c r="AD42" i="5"/>
  <c r="G50" i="5"/>
  <c r="N28" i="5"/>
  <c r="P21" i="5"/>
  <c r="G40" i="5"/>
  <c r="AO41" i="5"/>
  <c r="N43" i="5"/>
  <c r="AH22" i="5"/>
  <c r="AM21" i="5"/>
  <c r="F34" i="5"/>
  <c r="B13" i="5"/>
  <c r="B45" i="5"/>
  <c r="AF28" i="5"/>
  <c r="AH18" i="5"/>
  <c r="AO27" i="5"/>
  <c r="AN17" i="5"/>
  <c r="K46" i="5"/>
  <c r="AF32" i="5"/>
  <c r="AD47" i="5"/>
  <c r="L44" i="5"/>
  <c r="AL53" i="5"/>
  <c r="AE36" i="5"/>
  <c r="AD32" i="5"/>
  <c r="B24" i="5"/>
  <c r="G24" i="5"/>
  <c r="AQ26" i="5"/>
  <c r="B25" i="5"/>
  <c r="F14" i="5"/>
  <c r="D10" i="5"/>
  <c r="AO53" i="5"/>
  <c r="E28" i="5"/>
  <c r="AM44" i="5"/>
  <c r="AL22" i="5"/>
  <c r="AE11" i="5"/>
  <c r="AL48" i="5"/>
  <c r="D12" i="5"/>
  <c r="AQ23" i="5"/>
  <c r="AC32" i="5"/>
  <c r="AG31" i="5"/>
  <c r="AF19" i="5"/>
  <c r="L55" i="5"/>
  <c r="O29" i="5"/>
  <c r="AH37" i="5"/>
  <c r="AD19" i="5"/>
  <c r="AE39" i="5"/>
  <c r="AC44" i="5"/>
  <c r="AC50" i="5"/>
  <c r="C42" i="5"/>
  <c r="G56" i="5"/>
  <c r="P23" i="5"/>
  <c r="M12" i="5"/>
  <c r="AQ46" i="5"/>
  <c r="N21" i="5"/>
  <c r="E11" i="5"/>
  <c r="AE50" i="5"/>
  <c r="L45" i="5"/>
  <c r="AE28" i="5"/>
  <c r="M42" i="5"/>
  <c r="B37" i="5"/>
  <c r="B51" i="5"/>
  <c r="B16" i="5"/>
  <c r="AF48" i="5"/>
  <c r="F48" i="5"/>
  <c r="K38" i="5"/>
  <c r="AQ42" i="5"/>
  <c r="AQ24" i="5"/>
  <c r="AG27" i="5"/>
  <c r="AN52" i="5"/>
  <c r="K15" i="5"/>
  <c r="P55" i="5"/>
  <c r="AH11" i="5"/>
  <c r="B41" i="5"/>
  <c r="AD55" i="5"/>
  <c r="AF12" i="5"/>
  <c r="AM13" i="5"/>
  <c r="E54" i="5"/>
  <c r="AL29" i="5"/>
  <c r="E21" i="5"/>
  <c r="AF43" i="5"/>
  <c r="D31" i="5"/>
  <c r="L12" i="5"/>
  <c r="B44" i="5"/>
  <c r="AG24" i="5"/>
  <c r="AF23" i="5"/>
  <c r="K22" i="5"/>
  <c r="L31" i="5"/>
  <c r="AD56" i="5"/>
  <c r="AO52" i="5"/>
  <c r="AO55" i="5"/>
  <c r="F52" i="5"/>
  <c r="M40" i="5"/>
  <c r="AC26" i="5"/>
  <c r="AN26" i="5"/>
  <c r="D16" i="5"/>
  <c r="AD33" i="5"/>
  <c r="P29" i="5"/>
  <c r="L26" i="5"/>
  <c r="AH21" i="5"/>
  <c r="AL40" i="5"/>
  <c r="N37" i="5"/>
  <c r="AQ36" i="5"/>
  <c r="K24" i="5"/>
  <c r="AQ17" i="5"/>
  <c r="L10" i="5"/>
  <c r="AC40" i="5"/>
  <c r="K43" i="5"/>
  <c r="AQ55" i="5"/>
  <c r="P53" i="5"/>
  <c r="N55" i="5"/>
  <c r="K13" i="5"/>
  <c r="P24" i="5"/>
  <c r="O48" i="5"/>
  <c r="C12" i="5"/>
  <c r="AF30" i="5"/>
  <c r="L38" i="5"/>
  <c r="G55" i="5"/>
  <c r="AH27" i="5"/>
  <c r="AF16" i="5"/>
  <c r="M26" i="5"/>
  <c r="M28" i="5"/>
  <c r="N23" i="5"/>
  <c r="G16" i="5"/>
  <c r="F56" i="5"/>
  <c r="M25" i="5"/>
  <c r="AH48" i="5"/>
  <c r="AF15" i="5"/>
  <c r="L14" i="5"/>
  <c r="L47" i="5"/>
  <c r="E38" i="5"/>
  <c r="AF31" i="5"/>
  <c r="M21" i="5"/>
  <c r="AO32" i="5"/>
  <c r="P56" i="5"/>
  <c r="K10" i="5"/>
  <c r="AH53" i="5"/>
  <c r="P50" i="5"/>
  <c r="M27" i="5"/>
  <c r="L22" i="5"/>
  <c r="AL26" i="5"/>
  <c r="M52" i="5"/>
  <c r="AD34" i="5"/>
  <c r="AN35" i="5"/>
  <c r="K14" i="5"/>
  <c r="AH14" i="5"/>
  <c r="M55" i="5"/>
  <c r="G36" i="5"/>
  <c r="F37" i="5"/>
  <c r="AO20" i="5"/>
  <c r="AL21" i="5"/>
  <c r="AM22" i="5"/>
  <c r="AN29" i="5"/>
  <c r="C14" i="5"/>
  <c r="P26" i="5"/>
  <c r="AO14" i="5"/>
  <c r="AQ48" i="5"/>
  <c r="AN19" i="5"/>
  <c r="G51" i="5"/>
  <c r="P32" i="5"/>
  <c r="G37" i="5"/>
  <c r="AE21" i="5"/>
  <c r="K45" i="5"/>
  <c r="AN50" i="5"/>
  <c r="P17" i="5"/>
  <c r="AL54" i="5"/>
  <c r="K33" i="5"/>
  <c r="L52" i="5"/>
  <c r="AG56" i="5"/>
  <c r="K26" i="5"/>
  <c r="B29" i="5"/>
  <c r="AH17" i="5"/>
  <c r="F33" i="5"/>
  <c r="AG26" i="5"/>
  <c r="AF17" i="5"/>
  <c r="N18" i="5"/>
  <c r="P54" i="5"/>
  <c r="L48" i="5"/>
  <c r="G32" i="5"/>
  <c r="N44" i="5"/>
  <c r="E55" i="5"/>
  <c r="G10" i="5"/>
  <c r="E19" i="5"/>
  <c r="AG19" i="5"/>
  <c r="AG54" i="5"/>
  <c r="AE47" i="5"/>
  <c r="AM16" i="5"/>
  <c r="AL45" i="5"/>
  <c r="N45" i="5"/>
  <c r="K29" i="5"/>
  <c r="AM45" i="5"/>
  <c r="E16" i="5"/>
  <c r="AN48" i="5"/>
  <c r="B38" i="5"/>
  <c r="G22" i="5"/>
  <c r="AD16" i="5"/>
  <c r="P18" i="5"/>
  <c r="AQ35" i="5"/>
  <c r="P12" i="5"/>
  <c r="K11" i="5"/>
  <c r="C38" i="5"/>
  <c r="AL31" i="5"/>
  <c r="AM36" i="5"/>
  <c r="AM24" i="5"/>
  <c r="AO48" i="5"/>
  <c r="AM30" i="5"/>
  <c r="AM26" i="5"/>
  <c r="AF21" i="5"/>
  <c r="AL14" i="5"/>
  <c r="P51" i="5"/>
  <c r="F44" i="5"/>
  <c r="AQ43" i="5"/>
  <c r="E30" i="5"/>
  <c r="AQ14" i="5"/>
  <c r="K41" i="5"/>
  <c r="AG35" i="5"/>
  <c r="AM18" i="5"/>
  <c r="AO42" i="5"/>
  <c r="AD23" i="5"/>
  <c r="O31" i="5"/>
  <c r="AD50" i="5"/>
  <c r="AG51" i="5"/>
  <c r="K34" i="5"/>
  <c r="AC15" i="5"/>
  <c r="F39" i="5"/>
  <c r="AC18" i="5"/>
  <c r="AM37" i="5"/>
  <c r="K18" i="5"/>
  <c r="AN41" i="5"/>
  <c r="O54" i="5"/>
  <c r="E32" i="5"/>
  <c r="AE14" i="5"/>
  <c r="AO13" i="5"/>
  <c r="AO45" i="5"/>
  <c r="B35" i="5"/>
  <c r="P19" i="5"/>
  <c r="AC52" i="5"/>
  <c r="F23" i="5"/>
  <c r="K47" i="5"/>
  <c r="AL24" i="5"/>
  <c r="AO21" i="5"/>
  <c r="L16" i="5"/>
  <c r="AM34" i="5"/>
  <c r="AQ12" i="5"/>
  <c r="AE48" i="5"/>
  <c r="G19" i="5"/>
  <c r="AE53" i="5"/>
  <c r="AD26" i="5"/>
  <c r="K27" i="5"/>
  <c r="AQ31" i="5"/>
  <c r="K48" i="5"/>
  <c r="M10" i="5"/>
  <c r="K42" i="5"/>
  <c r="D36" i="5"/>
  <c r="AO26" i="5"/>
  <c r="AD27" i="5"/>
  <c r="AO33" i="5"/>
  <c r="AG41" i="5"/>
  <c r="G47" i="5"/>
  <c r="AF27" i="5"/>
  <c r="C43" i="5"/>
  <c r="AO22" i="5"/>
  <c r="N40" i="5"/>
  <c r="E56" i="5"/>
  <c r="K52" i="5"/>
  <c r="N14" i="5"/>
  <c r="P25" i="5"/>
  <c r="C23" i="5"/>
  <c r="C36" i="5"/>
  <c r="AE54" i="5"/>
  <c r="AO56" i="5"/>
  <c r="AL12" i="5"/>
  <c r="AE13" i="5"/>
  <c r="AC29" i="5"/>
  <c r="AE32" i="5"/>
  <c r="AH42" i="5"/>
  <c r="L42" i="5"/>
  <c r="D55" i="5"/>
  <c r="M35" i="5"/>
  <c r="AH43" i="5"/>
  <c r="AH52" i="5"/>
  <c r="AL23" i="5"/>
  <c r="M30" i="5"/>
  <c r="B52" i="5"/>
  <c r="O27" i="5"/>
  <c r="E24" i="5"/>
  <c r="K25" i="5"/>
  <c r="C22" i="5"/>
  <c r="AC17" i="5"/>
  <c r="C50" i="5"/>
  <c r="AF47" i="5"/>
  <c r="AG28" i="5"/>
  <c r="AF55" i="5"/>
  <c r="E51" i="5"/>
  <c r="AO36" i="5"/>
  <c r="O51" i="5"/>
  <c r="AD15" i="5"/>
  <c r="C13" i="5"/>
  <c r="K53" i="5"/>
  <c r="AN37" i="5"/>
  <c r="AD17" i="5"/>
  <c r="P43" i="5"/>
  <c r="C48" i="5"/>
  <c r="AH45" i="5"/>
  <c r="F41" i="5"/>
  <c r="P37" i="5"/>
  <c r="AG12" i="5"/>
  <c r="AL28" i="5"/>
  <c r="F53" i="5"/>
  <c r="AH34" i="5"/>
  <c r="AH44" i="5"/>
  <c r="D27" i="5"/>
  <c r="D18" i="5"/>
  <c r="AF25" i="5"/>
  <c r="AF44" i="5"/>
  <c r="AF42" i="5"/>
  <c r="K54" i="5"/>
  <c r="AD25" i="5"/>
  <c r="P10" i="5"/>
  <c r="F31" i="5"/>
  <c r="AN21" i="5"/>
  <c r="C30" i="5"/>
  <c r="AM51" i="5"/>
  <c r="C11" i="5"/>
  <c r="P52" i="5"/>
  <c r="D14" i="5"/>
  <c r="E34" i="5"/>
  <c r="E13" i="5"/>
  <c r="AO23" i="5"/>
  <c r="N52" i="5"/>
  <c r="O43" i="5"/>
  <c r="F43" i="5"/>
  <c r="F17" i="5"/>
  <c r="E43" i="5"/>
  <c r="B20" i="5"/>
  <c r="E35" i="5"/>
  <c r="C41" i="5"/>
  <c r="AF22" i="5"/>
  <c r="AN36" i="5"/>
  <c r="AD30" i="5"/>
  <c r="G46" i="5"/>
  <c r="AG38" i="5"/>
  <c r="AD29" i="5"/>
  <c r="B27" i="5"/>
  <c r="F45" i="5"/>
  <c r="AO50" i="5"/>
  <c r="AQ30" i="5"/>
  <c r="M50" i="5"/>
  <c r="AH12" i="5"/>
  <c r="E12" i="5"/>
  <c r="AM48" i="5"/>
  <c r="N31" i="5"/>
  <c r="L56" i="5"/>
  <c r="AD22" i="5"/>
  <c r="AN38" i="5"/>
  <c r="AH13" i="5"/>
  <c r="AN28" i="5"/>
  <c r="AE25" i="5"/>
  <c r="D52" i="5"/>
  <c r="E27" i="5"/>
  <c r="F20" i="5"/>
  <c r="AC35" i="5"/>
  <c r="AC22" i="5"/>
  <c r="AH50" i="5"/>
  <c r="AG36" i="5"/>
  <c r="C45" i="5"/>
  <c r="AQ54" i="5"/>
  <c r="B34" i="5"/>
  <c r="AH16" i="5"/>
  <c r="E25" i="5"/>
  <c r="M19" i="5"/>
  <c r="L19" i="5"/>
  <c r="L17" i="6" l="1"/>
  <c r="M17" i="6"/>
  <c r="W25" i="5"/>
  <c r="AX25" i="5" s="1"/>
  <c r="E23" i="6"/>
  <c r="AH14" i="6"/>
  <c r="B32" i="6"/>
  <c r="H34" i="5"/>
  <c r="I34" i="5"/>
  <c r="T34" i="5"/>
  <c r="AU34" i="5" s="1"/>
  <c r="AQ52" i="6"/>
  <c r="U45" i="5"/>
  <c r="AV45" i="5" s="1"/>
  <c r="C43" i="6"/>
  <c r="AG34" i="6"/>
  <c r="AH49" i="5"/>
  <c r="AH48" i="6"/>
  <c r="AI22" i="5"/>
  <c r="AC20" i="6"/>
  <c r="AJ22" i="5"/>
  <c r="AI35" i="5"/>
  <c r="AJ35" i="5"/>
  <c r="AC33" i="6"/>
  <c r="F18" i="6"/>
  <c r="X20" i="5"/>
  <c r="AY20" i="5" s="1"/>
  <c r="E25" i="6"/>
  <c r="W27" i="5"/>
  <c r="AX27" i="5" s="1"/>
  <c r="D50" i="6"/>
  <c r="V52" i="5"/>
  <c r="AW52" i="5" s="1"/>
  <c r="AE23" i="6"/>
  <c r="AN26" i="6"/>
  <c r="AH11" i="6"/>
  <c r="AN36" i="6"/>
  <c r="AD20" i="6"/>
  <c r="L54" i="6"/>
  <c r="N29" i="6"/>
  <c r="AM46" i="6"/>
  <c r="E10" i="6"/>
  <c r="W12" i="5"/>
  <c r="AX12" i="5" s="1"/>
  <c r="AH10" i="6"/>
  <c r="M48" i="6"/>
  <c r="M49" i="5"/>
  <c r="AQ28" i="6"/>
  <c r="AO48" i="6"/>
  <c r="AO49" i="5"/>
  <c r="X45" i="5"/>
  <c r="AY45" i="5" s="1"/>
  <c r="F43" i="6"/>
  <c r="I27" i="5"/>
  <c r="B25" i="6"/>
  <c r="T27" i="5"/>
  <c r="AU27" i="5" s="1"/>
  <c r="H27" i="5"/>
  <c r="AD27" i="6"/>
  <c r="AG36" i="6"/>
  <c r="Y46" i="5"/>
  <c r="AZ46" i="5" s="1"/>
  <c r="G44" i="6"/>
  <c r="AD28" i="6"/>
  <c r="AN34" i="6"/>
  <c r="AF20" i="6"/>
  <c r="U41" i="5"/>
  <c r="AV41" i="5" s="1"/>
  <c r="C39" i="6"/>
  <c r="E33" i="6"/>
  <c r="W35" i="5"/>
  <c r="AX35" i="5" s="1"/>
  <c r="H20" i="5"/>
  <c r="B18" i="6"/>
  <c r="I20" i="5"/>
  <c r="T20" i="5"/>
  <c r="AU20" i="5" s="1"/>
  <c r="W43" i="5"/>
  <c r="AX43" i="5" s="1"/>
  <c r="E41" i="6"/>
  <c r="X17" i="5"/>
  <c r="AY17" i="5" s="1"/>
  <c r="F15" i="6"/>
  <c r="X43" i="5"/>
  <c r="AY43" i="5" s="1"/>
  <c r="F41" i="6"/>
  <c r="O41" i="6"/>
  <c r="N50" i="6"/>
  <c r="AO21" i="6"/>
  <c r="W13" i="5"/>
  <c r="AX13" i="5" s="1"/>
  <c r="E11" i="6"/>
  <c r="W34" i="5"/>
  <c r="AX34" i="5" s="1"/>
  <c r="E32" i="6"/>
  <c r="V14" i="5"/>
  <c r="AW14" i="5" s="1"/>
  <c r="D12" i="6"/>
  <c r="P50" i="6"/>
  <c r="U11" i="5"/>
  <c r="AV11" i="5" s="1"/>
  <c r="C9" i="6"/>
  <c r="AM49" i="6"/>
  <c r="U30" i="5"/>
  <c r="AV30" i="5" s="1"/>
  <c r="C28" i="6"/>
  <c r="AN19" i="6"/>
  <c r="F29" i="6"/>
  <c r="X31" i="5"/>
  <c r="AY31" i="5" s="1"/>
  <c r="P8" i="6"/>
  <c r="P9" i="5"/>
  <c r="AD23" i="6"/>
  <c r="Q54" i="5"/>
  <c r="R54" i="5"/>
  <c r="K52" i="6"/>
  <c r="AF40" i="6"/>
  <c r="AF42" i="6"/>
  <c r="AF23" i="6"/>
  <c r="V18" i="5"/>
  <c r="AW18" i="5" s="1"/>
  <c r="D16" i="6"/>
  <c r="D25" i="6"/>
  <c r="V27" i="5"/>
  <c r="AW27" i="5" s="1"/>
  <c r="AH42" i="6"/>
  <c r="AH32" i="6"/>
  <c r="X53" i="5"/>
  <c r="AY53" i="5" s="1"/>
  <c r="F51" i="6"/>
  <c r="AR28" i="5"/>
  <c r="AL26" i="6"/>
  <c r="AS28" i="5"/>
  <c r="AG10" i="6"/>
  <c r="P35" i="6"/>
  <c r="F39" i="6"/>
  <c r="X41" i="5"/>
  <c r="AY41" i="5" s="1"/>
  <c r="AH43" i="6"/>
  <c r="U48" i="5"/>
  <c r="AV48" i="5" s="1"/>
  <c r="C46" i="6"/>
  <c r="P41" i="6"/>
  <c r="AD15" i="6"/>
  <c r="AN35" i="6"/>
  <c r="Q53" i="5"/>
  <c r="R53" i="5"/>
  <c r="K51" i="6"/>
  <c r="U13" i="5"/>
  <c r="AV13" i="5" s="1"/>
  <c r="C11" i="6"/>
  <c r="AD13" i="6"/>
  <c r="O49" i="6"/>
  <c r="AO34" i="6"/>
  <c r="W51" i="5"/>
  <c r="AX51" i="5" s="1"/>
  <c r="E49" i="6"/>
  <c r="AF53" i="6"/>
  <c r="AG26" i="6"/>
  <c r="AF45" i="6"/>
  <c r="C49" i="5"/>
  <c r="C48" i="6"/>
  <c r="U50" i="5"/>
  <c r="AV50" i="5" s="1"/>
  <c r="AC15" i="6"/>
  <c r="AI17" i="5"/>
  <c r="AJ17" i="5"/>
  <c r="C20" i="6"/>
  <c r="U22" i="5"/>
  <c r="AV22" i="5" s="1"/>
  <c r="K23" i="6"/>
  <c r="R25" i="5"/>
  <c r="Q25" i="5"/>
  <c r="E22" i="6"/>
  <c r="W24" i="5"/>
  <c r="AX24" i="5" s="1"/>
  <c r="O25" i="6"/>
  <c r="I52" i="5"/>
  <c r="T52" i="5"/>
  <c r="AU52" i="5" s="1"/>
  <c r="H52" i="5"/>
  <c r="B50" i="6"/>
  <c r="M28" i="6"/>
  <c r="AR23" i="5"/>
  <c r="AL21" i="6"/>
  <c r="AS23" i="5"/>
  <c r="AH50" i="6"/>
  <c r="AH41" i="6"/>
  <c r="M33" i="6"/>
  <c r="V55" i="5"/>
  <c r="AW55" i="5" s="1"/>
  <c r="D53" i="6"/>
  <c r="L40" i="6"/>
  <c r="AH40" i="6"/>
  <c r="AE30" i="6"/>
  <c r="AC27" i="6"/>
  <c r="AJ29" i="5"/>
  <c r="AI29" i="5"/>
  <c r="AE11" i="6"/>
  <c r="AR12" i="5"/>
  <c r="AL10" i="6"/>
  <c r="AS12" i="5"/>
  <c r="AO54" i="6"/>
  <c r="AE52" i="6"/>
  <c r="C34" i="6"/>
  <c r="U36" i="5"/>
  <c r="AV36" i="5" s="1"/>
  <c r="U23" i="5"/>
  <c r="AV23" i="5" s="1"/>
  <c r="C21" i="6"/>
  <c r="P23" i="6"/>
  <c r="N12" i="6"/>
  <c r="K50" i="6"/>
  <c r="Q52" i="5"/>
  <c r="R52" i="5"/>
  <c r="E54" i="6"/>
  <c r="W56" i="5"/>
  <c r="AX56" i="5" s="1"/>
  <c r="N38" i="6"/>
  <c r="AO20" i="6"/>
  <c r="U43" i="5"/>
  <c r="AV43" i="5" s="1"/>
  <c r="C41" i="6"/>
  <c r="AF25" i="6"/>
  <c r="G45" i="6"/>
  <c r="Y47" i="5"/>
  <c r="AZ47" i="5" s="1"/>
  <c r="AG39" i="6"/>
  <c r="AO31" i="6"/>
  <c r="AD25" i="6"/>
  <c r="AO24" i="6"/>
  <c r="V36" i="5"/>
  <c r="AW36" i="5" s="1"/>
  <c r="D34" i="6"/>
  <c r="K40" i="6"/>
  <c r="Q42" i="5"/>
  <c r="R42" i="5"/>
  <c r="M9" i="5"/>
  <c r="M8" i="6"/>
  <c r="Q48" i="5"/>
  <c r="R48" i="5"/>
  <c r="K46" i="6"/>
  <c r="AQ29" i="6"/>
  <c r="Q27" i="5"/>
  <c r="K25" i="6"/>
  <c r="T25" i="6" s="1"/>
  <c r="R27" i="5"/>
  <c r="AD24" i="6"/>
  <c r="AE51" i="6"/>
  <c r="Y19" i="5"/>
  <c r="AZ19" i="5" s="1"/>
  <c r="G17" i="6"/>
  <c r="Y17" i="6" s="1"/>
  <c r="AE46" i="6"/>
  <c r="AQ10" i="6"/>
  <c r="AM32" i="6"/>
  <c r="L14" i="6"/>
  <c r="AO19" i="6"/>
  <c r="AS24" i="5"/>
  <c r="AR24" i="5"/>
  <c r="AL22" i="6"/>
  <c r="K45" i="6"/>
  <c r="Q47" i="5"/>
  <c r="R47" i="5"/>
  <c r="F21" i="6"/>
  <c r="X23" i="5"/>
  <c r="AY23" i="5" s="1"/>
  <c r="AJ52" i="5"/>
  <c r="AC50" i="6"/>
  <c r="AI52" i="5"/>
  <c r="P17" i="6"/>
  <c r="T35" i="5"/>
  <c r="B33" i="6"/>
  <c r="I35" i="5"/>
  <c r="H35" i="5"/>
  <c r="AO43" i="6"/>
  <c r="AO11" i="6"/>
  <c r="AE12" i="6"/>
  <c r="W32" i="5"/>
  <c r="AX32" i="5" s="1"/>
  <c r="E30" i="6"/>
  <c r="O52" i="6"/>
  <c r="AN39" i="6"/>
  <c r="R18" i="5"/>
  <c r="Q18" i="5"/>
  <c r="K16" i="6"/>
  <c r="AM35" i="6"/>
  <c r="AI18" i="5"/>
  <c r="AJ18" i="5"/>
  <c r="AC16" i="6"/>
  <c r="F37" i="6"/>
  <c r="X39" i="5"/>
  <c r="AY39" i="5" s="1"/>
  <c r="AC13" i="6"/>
  <c r="AJ15" i="5"/>
  <c r="AI15" i="5"/>
  <c r="R34" i="5"/>
  <c r="K32" i="6"/>
  <c r="Q34" i="5"/>
  <c r="AG49" i="6"/>
  <c r="AD48" i="6"/>
  <c r="AD49" i="5"/>
  <c r="O29" i="6"/>
  <c r="AD21" i="6"/>
  <c r="AO40" i="6"/>
  <c r="AM16" i="6"/>
  <c r="AG33" i="6"/>
  <c r="R41" i="5"/>
  <c r="Q41" i="5"/>
  <c r="K39" i="6"/>
  <c r="AQ12" i="6"/>
  <c r="W30" i="5"/>
  <c r="AX30" i="5" s="1"/>
  <c r="E28" i="6"/>
  <c r="AQ41" i="6"/>
  <c r="X44" i="5"/>
  <c r="AY44" i="5" s="1"/>
  <c r="F42" i="6"/>
  <c r="P49" i="6"/>
  <c r="AL12" i="6"/>
  <c r="AS14" i="5"/>
  <c r="AR14" i="5"/>
  <c r="AF19" i="6"/>
  <c r="AM24" i="6"/>
  <c r="AM28" i="6"/>
  <c r="AO46" i="6"/>
  <c r="AM22" i="6"/>
  <c r="AM34" i="6"/>
  <c r="AS31" i="5"/>
  <c r="AL29" i="6"/>
  <c r="AR31" i="5"/>
  <c r="C36" i="6"/>
  <c r="U38" i="5"/>
  <c r="AV38" i="5" s="1"/>
  <c r="Q11" i="5"/>
  <c r="K9" i="6"/>
  <c r="R11" i="5"/>
  <c r="P10" i="6"/>
  <c r="AQ33" i="6"/>
  <c r="P16" i="6"/>
  <c r="AD14" i="6"/>
  <c r="G20" i="6"/>
  <c r="Y22" i="5"/>
  <c r="AZ22" i="5" s="1"/>
  <c r="I38" i="5"/>
  <c r="B36" i="6"/>
  <c r="T38" i="5"/>
  <c r="AU38" i="5" s="1"/>
  <c r="H38" i="5"/>
  <c r="AN46" i="6"/>
  <c r="W16" i="5"/>
  <c r="AX16" i="5" s="1"/>
  <c r="E14" i="6"/>
  <c r="AM43" i="6"/>
  <c r="Q29" i="5"/>
  <c r="K27" i="6"/>
  <c r="R29" i="5"/>
  <c r="N43" i="6"/>
  <c r="AL43" i="6"/>
  <c r="AR45" i="5"/>
  <c r="AS45" i="5"/>
  <c r="AM14" i="6"/>
  <c r="AE45" i="6"/>
  <c r="AG52" i="6"/>
  <c r="AG17" i="6"/>
  <c r="E17" i="6"/>
  <c r="W19" i="5"/>
  <c r="AX19" i="5" s="1"/>
  <c r="G8" i="6"/>
  <c r="Y10" i="5"/>
  <c r="AZ10" i="5" s="1"/>
  <c r="G9" i="5"/>
  <c r="Y9" i="5" s="1"/>
  <c r="E53" i="6"/>
  <c r="W55" i="5"/>
  <c r="AX55" i="5" s="1"/>
  <c r="N42" i="6"/>
  <c r="G30" i="6"/>
  <c r="Y30" i="6" s="1"/>
  <c r="Y32" i="5"/>
  <c r="AZ32" i="5" s="1"/>
  <c r="L46" i="6"/>
  <c r="P52" i="6"/>
  <c r="N16" i="6"/>
  <c r="AF15" i="6"/>
  <c r="AG24" i="6"/>
  <c r="X33" i="5"/>
  <c r="AY33" i="5" s="1"/>
  <c r="F31" i="6"/>
  <c r="AH15" i="6"/>
  <c r="B27" i="6"/>
  <c r="T27" i="6" s="1"/>
  <c r="I29" i="5"/>
  <c r="T29" i="5"/>
  <c r="AU29" i="5" s="1"/>
  <c r="H29" i="5"/>
  <c r="Q26" i="5"/>
  <c r="K24" i="6"/>
  <c r="R26" i="5"/>
  <c r="AG54" i="6"/>
  <c r="L50" i="6"/>
  <c r="K31" i="6"/>
  <c r="R33" i="5"/>
  <c r="Q33" i="5"/>
  <c r="AR54" i="5"/>
  <c r="AL52" i="6"/>
  <c r="AS54" i="5"/>
  <c r="P15" i="6"/>
  <c r="AN48" i="6"/>
  <c r="AN49" i="5"/>
  <c r="R45" i="5"/>
  <c r="K43" i="6"/>
  <c r="Q45" i="5"/>
  <c r="AE19" i="6"/>
  <c r="G35" i="6"/>
  <c r="Y35" i="6" s="1"/>
  <c r="Y37" i="5"/>
  <c r="AZ37" i="5" s="1"/>
  <c r="P30" i="6"/>
  <c r="Y51" i="5"/>
  <c r="AZ51" i="5" s="1"/>
  <c r="G49" i="6"/>
  <c r="AN17" i="6"/>
  <c r="AQ46" i="6"/>
  <c r="AO12" i="6"/>
  <c r="P24" i="6"/>
  <c r="C12" i="6"/>
  <c r="U14" i="5"/>
  <c r="AV14" i="5" s="1"/>
  <c r="AN27" i="6"/>
  <c r="AM20" i="6"/>
  <c r="AR21" i="5"/>
  <c r="AS21" i="5"/>
  <c r="AL19" i="6"/>
  <c r="AO18" i="6"/>
  <c r="F35" i="6"/>
  <c r="X37" i="5"/>
  <c r="AY37" i="5" s="1"/>
  <c r="G34" i="6"/>
  <c r="Y36" i="5"/>
  <c r="AZ36" i="5" s="1"/>
  <c r="M53" i="6"/>
  <c r="AH12" i="6"/>
  <c r="K12" i="6"/>
  <c r="R14" i="5"/>
  <c r="Q14" i="5"/>
  <c r="AN33" i="6"/>
  <c r="AD32" i="6"/>
  <c r="M50" i="6"/>
  <c r="AL24" i="6"/>
  <c r="AR26" i="5"/>
  <c r="AS26" i="5"/>
  <c r="L20" i="6"/>
  <c r="M25" i="6"/>
  <c r="P48" i="6"/>
  <c r="P49" i="5"/>
  <c r="AH51" i="6"/>
  <c r="Q10" i="5"/>
  <c r="K8" i="6"/>
  <c r="K9" i="5"/>
  <c r="R10" i="5"/>
  <c r="P54" i="6"/>
  <c r="AO30" i="6"/>
  <c r="M19" i="6"/>
  <c r="AF29" i="6"/>
  <c r="E36" i="6"/>
  <c r="W38" i="5"/>
  <c r="AX38" i="5" s="1"/>
  <c r="L45" i="6"/>
  <c r="L12" i="6"/>
  <c r="AF13" i="6"/>
  <c r="AH46" i="6"/>
  <c r="M23" i="6"/>
  <c r="X56" i="5"/>
  <c r="AY56" i="5" s="1"/>
  <c r="F54" i="6"/>
  <c r="G14" i="6"/>
  <c r="Y16" i="5"/>
  <c r="AZ16" i="5" s="1"/>
  <c r="N21" i="6"/>
  <c r="M26" i="6"/>
  <c r="M24" i="6"/>
  <c r="AF14" i="6"/>
  <c r="AH25" i="6"/>
  <c r="Y55" i="5"/>
  <c r="AZ55" i="5" s="1"/>
  <c r="G53" i="6"/>
  <c r="L36" i="6"/>
  <c r="U36" i="6" s="1"/>
  <c r="AF28" i="6"/>
  <c r="C10" i="6"/>
  <c r="U12" i="5"/>
  <c r="AV12" i="5" s="1"/>
  <c r="O46" i="6"/>
  <c r="P22" i="6"/>
  <c r="Y22" i="6" s="1"/>
  <c r="K11" i="6"/>
  <c r="R13" i="5"/>
  <c r="Q13" i="5"/>
  <c r="N53" i="6"/>
  <c r="P51" i="6"/>
  <c r="AQ53" i="6"/>
  <c r="K41" i="6"/>
  <c r="R43" i="5"/>
  <c r="Q43" i="5"/>
  <c r="AI40" i="5"/>
  <c r="AC38" i="6"/>
  <c r="AJ40" i="5"/>
  <c r="L9" i="5"/>
  <c r="L8" i="6"/>
  <c r="AQ15" i="6"/>
  <c r="Q24" i="5"/>
  <c r="R24" i="5"/>
  <c r="K22" i="6"/>
  <c r="AQ34" i="6"/>
  <c r="N35" i="6"/>
  <c r="AS40" i="5"/>
  <c r="AL38" i="6"/>
  <c r="AR40" i="5"/>
  <c r="AH19" i="6"/>
  <c r="L24" i="6"/>
  <c r="P27" i="6"/>
  <c r="AD31" i="6"/>
  <c r="D14" i="6"/>
  <c r="V16" i="5"/>
  <c r="AW16" i="5" s="1"/>
  <c r="AN24" i="6"/>
  <c r="AJ26" i="5"/>
  <c r="AI26" i="5"/>
  <c r="AC24" i="6"/>
  <c r="M38" i="6"/>
  <c r="F50" i="6"/>
  <c r="X52" i="5"/>
  <c r="AY52" i="5" s="1"/>
  <c r="AO53" i="6"/>
  <c r="AO50" i="6"/>
  <c r="AD54" i="6"/>
  <c r="L29" i="6"/>
  <c r="K20" i="6"/>
  <c r="Q22" i="5"/>
  <c r="R22" i="5"/>
  <c r="AF21" i="6"/>
  <c r="AG22" i="6"/>
  <c r="B42" i="6"/>
  <c r="H44" i="5"/>
  <c r="I44" i="5"/>
  <c r="T44" i="5"/>
  <c r="AU44" i="5" s="1"/>
  <c r="L10" i="6"/>
  <c r="D29" i="6"/>
  <c r="V31" i="5"/>
  <c r="AW31" i="5" s="1"/>
  <c r="AF41" i="6"/>
  <c r="E19" i="6"/>
  <c r="W21" i="5"/>
  <c r="AX21" i="5" s="1"/>
  <c r="AS29" i="5"/>
  <c r="AL27" i="6"/>
  <c r="AR29" i="5"/>
  <c r="W54" i="5"/>
  <c r="AX54" i="5" s="1"/>
  <c r="E52" i="6"/>
  <c r="AM11" i="6"/>
  <c r="AF10" i="6"/>
  <c r="AD53" i="6"/>
  <c r="H41" i="5"/>
  <c r="T41" i="5"/>
  <c r="B39" i="6"/>
  <c r="I41" i="5"/>
  <c r="AH9" i="6"/>
  <c r="AH9" i="5"/>
  <c r="P53" i="6"/>
  <c r="K13" i="6"/>
  <c r="Q15" i="5"/>
  <c r="R15" i="5"/>
  <c r="AN50" i="6"/>
  <c r="AG25" i="6"/>
  <c r="AQ22" i="6"/>
  <c r="AQ40" i="6"/>
  <c r="K36" i="6"/>
  <c r="Q38" i="5"/>
  <c r="R38" i="5"/>
  <c r="X48" i="5"/>
  <c r="AY48" i="5" s="1"/>
  <c r="F46" i="6"/>
  <c r="AF46" i="6"/>
  <c r="T16" i="5"/>
  <c r="H16" i="5"/>
  <c r="B14" i="6"/>
  <c r="I16" i="5"/>
  <c r="T51" i="5"/>
  <c r="AU51" i="5" s="1"/>
  <c r="B49" i="6"/>
  <c r="I51" i="5"/>
  <c r="H51" i="5"/>
  <c r="H37" i="5"/>
  <c r="T37" i="5"/>
  <c r="B35" i="6"/>
  <c r="I37" i="5"/>
  <c r="M40" i="6"/>
  <c r="AE26" i="6"/>
  <c r="L43" i="6"/>
  <c r="AE48" i="6"/>
  <c r="AE49" i="5"/>
  <c r="E9" i="6"/>
  <c r="W11" i="5"/>
  <c r="AX11" i="5" s="1"/>
  <c r="N19" i="6"/>
  <c r="AQ44" i="6"/>
  <c r="M10" i="6"/>
  <c r="P21" i="6"/>
  <c r="Y56" i="5"/>
  <c r="AZ56" i="5" s="1"/>
  <c r="G54" i="6"/>
  <c r="Y54" i="6" s="1"/>
  <c r="C40" i="6"/>
  <c r="U42" i="5"/>
  <c r="AV42" i="5" s="1"/>
  <c r="AC49" i="5"/>
  <c r="AI50" i="5"/>
  <c r="AJ50" i="5"/>
  <c r="AC48" i="6"/>
  <c r="AC42" i="6"/>
  <c r="AJ44" i="5"/>
  <c r="AI44" i="5"/>
  <c r="AE37" i="6"/>
  <c r="AD17" i="6"/>
  <c r="AH35" i="6"/>
  <c r="O27" i="6"/>
  <c r="L53" i="6"/>
  <c r="AF17" i="6"/>
  <c r="AG29" i="6"/>
  <c r="AI32" i="5"/>
  <c r="AC30" i="6"/>
  <c r="AJ32" i="5"/>
  <c r="AQ21" i="6"/>
  <c r="D10" i="6"/>
  <c r="V10" i="6" s="1"/>
  <c r="V12" i="5"/>
  <c r="AW12" i="5" s="1"/>
  <c r="AL46" i="6"/>
  <c r="AS48" i="5"/>
  <c r="AR48" i="5"/>
  <c r="AE9" i="5"/>
  <c r="AE9" i="6"/>
  <c r="AS22" i="5"/>
  <c r="AR22" i="5"/>
  <c r="AL20" i="6"/>
  <c r="AM42" i="6"/>
  <c r="W28" i="5"/>
  <c r="AX28" i="5" s="1"/>
  <c r="E26" i="6"/>
  <c r="AO51" i="6"/>
  <c r="V10" i="5"/>
  <c r="AW10" i="5" s="1"/>
  <c r="D8" i="6"/>
  <c r="D9" i="5"/>
  <c r="X14" i="5"/>
  <c r="AY14" i="5" s="1"/>
  <c r="F12" i="6"/>
  <c r="T25" i="5"/>
  <c r="AU25" i="5" s="1"/>
  <c r="B23" i="6"/>
  <c r="T23" i="6" s="1"/>
  <c r="I25" i="5"/>
  <c r="H25" i="5"/>
  <c r="AQ24" i="6"/>
  <c r="AS24" i="6" s="1"/>
  <c r="G22" i="6"/>
  <c r="Y24" i="5"/>
  <c r="AZ24" i="5" s="1"/>
  <c r="H24" i="5"/>
  <c r="B22" i="6"/>
  <c r="I24" i="5"/>
  <c r="T24" i="5"/>
  <c r="AU24" i="5" s="1"/>
  <c r="AD30" i="6"/>
  <c r="AE34" i="6"/>
  <c r="AL51" i="6"/>
  <c r="AS53" i="5"/>
  <c r="AR53" i="5"/>
  <c r="L42" i="6"/>
  <c r="AD45" i="6"/>
  <c r="AF30" i="6"/>
  <c r="K44" i="6"/>
  <c r="Q46" i="5"/>
  <c r="R46" i="5"/>
  <c r="AN15" i="6"/>
  <c r="AO25" i="6"/>
  <c r="AH16" i="6"/>
  <c r="AF26" i="6"/>
  <c r="B43" i="6"/>
  <c r="T43" i="6" s="1"/>
  <c r="I45" i="5"/>
  <c r="T45" i="5"/>
  <c r="AU45" i="5" s="1"/>
  <c r="H45" i="5"/>
  <c r="I13" i="5"/>
  <c r="T13" i="5"/>
  <c r="AU13" i="5" s="1"/>
  <c r="B11" i="6"/>
  <c r="T11" i="6" s="1"/>
  <c r="AU11" i="6" s="1"/>
  <c r="H13" i="5"/>
  <c r="X34" i="5"/>
  <c r="AY34" i="5" s="1"/>
  <c r="F32" i="6"/>
  <c r="AM19" i="6"/>
  <c r="AR19" i="6" s="1"/>
  <c r="AH20" i="6"/>
  <c r="N41" i="6"/>
  <c r="AO39" i="6"/>
  <c r="Y40" i="5"/>
  <c r="AZ40" i="5" s="1"/>
  <c r="G38" i="6"/>
  <c r="P19" i="6"/>
  <c r="N26" i="6"/>
  <c r="Y50" i="5"/>
  <c r="AZ50" i="5" s="1"/>
  <c r="G48" i="6"/>
  <c r="G49" i="5"/>
  <c r="AD40" i="6"/>
  <c r="AM21" i="6"/>
  <c r="AN42" i="6"/>
  <c r="AD42" i="6"/>
  <c r="K15" i="6"/>
  <c r="R17" i="5"/>
  <c r="Q17" i="5"/>
  <c r="L30" i="6"/>
  <c r="O34" i="6"/>
  <c r="AI37" i="5"/>
  <c r="AC35" i="6"/>
  <c r="AJ37" i="5"/>
  <c r="AN51" i="6"/>
  <c r="AI13" i="5"/>
  <c r="AC11" i="6"/>
  <c r="AJ13" i="5"/>
  <c r="M35" i="6"/>
  <c r="AM51" i="6"/>
  <c r="W23" i="5"/>
  <c r="AX23" i="5" s="1"/>
  <c r="E21" i="6"/>
  <c r="AM18" i="6"/>
  <c r="AH49" i="6"/>
  <c r="Y14" i="5"/>
  <c r="AZ14" i="5" s="1"/>
  <c r="G12" i="6"/>
  <c r="X32" i="5"/>
  <c r="AY32" i="5" s="1"/>
  <c r="F30" i="6"/>
  <c r="AF54" i="6"/>
  <c r="G46" i="6"/>
  <c r="Y48" i="5"/>
  <c r="AZ48" i="5" s="1"/>
  <c r="U32" i="5"/>
  <c r="AV32" i="5" s="1"/>
  <c r="C30" i="6"/>
  <c r="P26" i="6"/>
  <c r="V33" i="5"/>
  <c r="AW33" i="5" s="1"/>
  <c r="D31" i="6"/>
  <c r="N13" i="6"/>
  <c r="AG41" i="6"/>
  <c r="K54" i="6"/>
  <c r="Q56" i="5"/>
  <c r="R56" i="5"/>
  <c r="C15" i="6"/>
  <c r="U17" i="5"/>
  <c r="AV17" i="5" s="1"/>
  <c r="W18" i="5"/>
  <c r="AX18" i="5" s="1"/>
  <c r="E16" i="6"/>
  <c r="V21" i="5"/>
  <c r="AW21" i="5" s="1"/>
  <c r="D19" i="6"/>
  <c r="V19" i="6" s="1"/>
  <c r="AW19" i="6" s="1"/>
  <c r="U28" i="5"/>
  <c r="AV28" i="5" s="1"/>
  <c r="C26" i="6"/>
  <c r="N44" i="6"/>
  <c r="D32" i="6"/>
  <c r="V34" i="5"/>
  <c r="AW34" i="5" s="1"/>
  <c r="Q39" i="5"/>
  <c r="R39" i="5"/>
  <c r="K37" i="6"/>
  <c r="AM44" i="6"/>
  <c r="Y39" i="5"/>
  <c r="AZ39" i="5" s="1"/>
  <c r="G37" i="6"/>
  <c r="L34" i="6"/>
  <c r="AM15" i="6"/>
  <c r="Y33" i="5"/>
  <c r="AZ33" i="5" s="1"/>
  <c r="G31" i="6"/>
  <c r="U21" i="5"/>
  <c r="AV21" i="5" s="1"/>
  <c r="C19" i="6"/>
  <c r="U19" i="6" s="1"/>
  <c r="AV19" i="6" s="1"/>
  <c r="AL44" i="6"/>
  <c r="AR46" i="5"/>
  <c r="AS46" i="5"/>
  <c r="M52" i="6"/>
  <c r="C52" i="6"/>
  <c r="U54" i="5"/>
  <c r="AV54" i="5" s="1"/>
  <c r="K30" i="6"/>
  <c r="R32" i="5"/>
  <c r="Q32" i="5"/>
  <c r="D49" i="6"/>
  <c r="V51" i="5"/>
  <c r="AW51" i="5" s="1"/>
  <c r="AE18" i="6"/>
  <c r="AQ14" i="6"/>
  <c r="O54" i="6"/>
  <c r="M49" i="6"/>
  <c r="AC25" i="6"/>
  <c r="AJ27" i="5"/>
  <c r="AI27" i="5"/>
  <c r="E31" i="6"/>
  <c r="W33" i="5"/>
  <c r="AX33" i="5" s="1"/>
  <c r="G19" i="6"/>
  <c r="Y19" i="6" s="1"/>
  <c r="Y21" i="5"/>
  <c r="AZ21" i="5" s="1"/>
  <c r="AQ38" i="6"/>
  <c r="P28" i="6"/>
  <c r="AM53" i="6"/>
  <c r="AQ17" i="6"/>
  <c r="AN54" i="6"/>
  <c r="B46" i="6"/>
  <c r="T46" i="6" s="1"/>
  <c r="T48" i="5"/>
  <c r="AU48" i="5" s="1"/>
  <c r="I48" i="5"/>
  <c r="H48" i="5"/>
  <c r="X42" i="5"/>
  <c r="AY42" i="5" s="1"/>
  <c r="F40" i="6"/>
  <c r="AC40" i="6"/>
  <c r="AI42" i="5"/>
  <c r="AJ42" i="5"/>
  <c r="I19" i="5"/>
  <c r="H19" i="5"/>
  <c r="T19" i="5"/>
  <c r="AU19" i="5" s="1"/>
  <c r="B17" i="6"/>
  <c r="AG28" i="6"/>
  <c r="P36" i="6"/>
  <c r="AD46" i="6"/>
  <c r="AE13" i="6"/>
  <c r="O10" i="6"/>
  <c r="O19" i="6"/>
  <c r="X51" i="5"/>
  <c r="AY51" i="5" s="1"/>
  <c r="F49" i="6"/>
  <c r="X49" i="6" s="1"/>
  <c r="AN44" i="6"/>
  <c r="P34" i="6"/>
  <c r="AO35" i="6"/>
  <c r="Y38" i="5"/>
  <c r="AZ38" i="5" s="1"/>
  <c r="G36" i="6"/>
  <c r="Y36" i="6" s="1"/>
  <c r="N31" i="6"/>
  <c r="O48" i="6"/>
  <c r="O49" i="5"/>
  <c r="AN28" i="6"/>
  <c r="F8" i="6"/>
  <c r="F9" i="5"/>
  <c r="X10" i="5"/>
  <c r="AY10" i="5" s="1"/>
  <c r="B21" i="6"/>
  <c r="H23" i="5"/>
  <c r="T23" i="5"/>
  <c r="AU23" i="5" s="1"/>
  <c r="I23" i="5"/>
  <c r="N49" i="5"/>
  <c r="N48" i="6"/>
  <c r="Y54" i="5"/>
  <c r="AZ54" i="5" s="1"/>
  <c r="G52" i="6"/>
  <c r="Y52" i="6" s="1"/>
  <c r="AZ52" i="6" s="1"/>
  <c r="AQ36" i="6"/>
  <c r="N17" i="6"/>
  <c r="Q19" i="5"/>
  <c r="K17" i="6"/>
  <c r="R19" i="5"/>
  <c r="F34" i="6"/>
  <c r="X36" i="5"/>
  <c r="AY36" i="5" s="1"/>
  <c r="AF31" i="6"/>
  <c r="AL54" i="6"/>
  <c r="AR56" i="5"/>
  <c r="AS56" i="5"/>
  <c r="AE28" i="6"/>
  <c r="M27" i="6"/>
  <c r="V56" i="5"/>
  <c r="AW56" i="5" s="1"/>
  <c r="D54" i="6"/>
  <c r="AN18" i="6"/>
  <c r="AH28" i="6"/>
  <c r="Y34" i="5"/>
  <c r="AZ34" i="5" s="1"/>
  <c r="G32" i="6"/>
  <c r="AO38" i="6"/>
  <c r="W47" i="5"/>
  <c r="AX47" i="5" s="1"/>
  <c r="E45" i="6"/>
  <c r="P37" i="6"/>
  <c r="M37" i="6"/>
  <c r="AH13" i="6"/>
  <c r="AE14" i="6"/>
  <c r="AD51" i="6"/>
  <c r="D15" i="6"/>
  <c r="V17" i="5"/>
  <c r="AW17" i="5" s="1"/>
  <c r="AQ19" i="6"/>
  <c r="M32" i="6"/>
  <c r="K14" i="6"/>
  <c r="R16" i="5"/>
  <c r="Q16" i="5"/>
  <c r="D40" i="6"/>
  <c r="V42" i="5"/>
  <c r="AW42" i="5" s="1"/>
  <c r="AC52" i="6"/>
  <c r="AI54" i="5"/>
  <c r="AJ54" i="5"/>
  <c r="F24" i="6"/>
  <c r="X26" i="5"/>
  <c r="AY26" i="5" s="1"/>
  <c r="AE49" i="6"/>
  <c r="AS27" i="5"/>
  <c r="AL25" i="6"/>
  <c r="AR27" i="5"/>
  <c r="O45" i="6"/>
  <c r="V48" i="5"/>
  <c r="AW48" i="5" s="1"/>
  <c r="D46" i="6"/>
  <c r="AO45" i="6"/>
  <c r="H21" i="5"/>
  <c r="T21" i="5"/>
  <c r="AU21" i="5" s="1"/>
  <c r="B19" i="6"/>
  <c r="I21" i="5"/>
  <c r="N39" i="6"/>
  <c r="AH52" i="6"/>
  <c r="AM38" i="6"/>
  <c r="U31" i="5"/>
  <c r="AV31" i="5" s="1"/>
  <c r="C29" i="6"/>
  <c r="Y41" i="5"/>
  <c r="AZ41" i="5" s="1"/>
  <c r="G39" i="6"/>
  <c r="L52" i="6"/>
  <c r="AG48" i="6"/>
  <c r="AG49" i="5"/>
  <c r="AF43" i="6"/>
  <c r="AF49" i="6"/>
  <c r="L18" i="6"/>
  <c r="L13" i="6"/>
  <c r="H42" i="5"/>
  <c r="T42" i="5"/>
  <c r="AU42" i="5" s="1"/>
  <c r="B40" i="6"/>
  <c r="T40" i="6" s="1"/>
  <c r="I42" i="5"/>
  <c r="D22" i="6"/>
  <c r="V24" i="5"/>
  <c r="AW24" i="5" s="1"/>
  <c r="I10" i="5"/>
  <c r="T10" i="5"/>
  <c r="AU10" i="5" s="1"/>
  <c r="B8" i="6"/>
  <c r="T8" i="6" s="1"/>
  <c r="AU8" i="6" s="1"/>
  <c r="B9" i="5"/>
  <c r="H10" i="5"/>
  <c r="X25" i="5"/>
  <c r="AY25" i="5" s="1"/>
  <c r="F23" i="6"/>
  <c r="AF24" i="6"/>
  <c r="V15" i="5"/>
  <c r="AW15" i="5" s="1"/>
  <c r="D13" i="6"/>
  <c r="AQ18" i="6"/>
  <c r="AD43" i="6"/>
  <c r="C24" i="6"/>
  <c r="U26" i="5"/>
  <c r="AV26" i="5" s="1"/>
  <c r="D21" i="6"/>
  <c r="V23" i="5"/>
  <c r="AW23" i="5" s="1"/>
  <c r="W10" i="5"/>
  <c r="AX10" i="5" s="1"/>
  <c r="E9" i="5"/>
  <c r="E8" i="6"/>
  <c r="Y35" i="5"/>
  <c r="AZ35" i="5" s="1"/>
  <c r="G33" i="6"/>
  <c r="U53" i="5"/>
  <c r="AV53" i="5" s="1"/>
  <c r="C51" i="6"/>
  <c r="AQ11" i="6"/>
  <c r="AN22" i="6"/>
  <c r="U52" i="5"/>
  <c r="AV52" i="5" s="1"/>
  <c r="C50" i="6"/>
  <c r="U50" i="6" s="1"/>
  <c r="AG21" i="6"/>
  <c r="T32" i="5"/>
  <c r="AU32" i="5" s="1"/>
  <c r="B30" i="6"/>
  <c r="T30" i="6" s="1"/>
  <c r="H32" i="5"/>
  <c r="I32" i="5"/>
  <c r="AF36" i="6"/>
  <c r="O12" i="6"/>
  <c r="AN10" i="6"/>
  <c r="V46" i="5"/>
  <c r="AW46" i="5" s="1"/>
  <c r="D44" i="6"/>
  <c r="AR35" i="5"/>
  <c r="AS35" i="5"/>
  <c r="AL33" i="6"/>
  <c r="AU35" i="5"/>
  <c r="AD11" i="6"/>
  <c r="L51" i="6"/>
  <c r="E18" i="6"/>
  <c r="W20" i="5"/>
  <c r="AX20" i="5" s="1"/>
  <c r="P40" i="6"/>
  <c r="AM27" i="6"/>
  <c r="AL11" i="6"/>
  <c r="AR13" i="5"/>
  <c r="AS13" i="5"/>
  <c r="D51" i="6"/>
  <c r="V53" i="5"/>
  <c r="AW53" i="5" s="1"/>
  <c r="AO37" i="6"/>
  <c r="AM52" i="6"/>
  <c r="H28" i="5"/>
  <c r="T28" i="5"/>
  <c r="B26" i="6"/>
  <c r="I28" i="5"/>
  <c r="Y30" i="5"/>
  <c r="AZ30" i="5" s="1"/>
  <c r="G28" i="6"/>
  <c r="L35" i="6"/>
  <c r="O42" i="6"/>
  <c r="L41" i="6"/>
  <c r="Q41" i="6" s="1"/>
  <c r="L28" i="6"/>
  <c r="AF48" i="6"/>
  <c r="AF49" i="5"/>
  <c r="O11" i="6"/>
  <c r="X11" i="6" s="1"/>
  <c r="F28" i="6"/>
  <c r="X30" i="5"/>
  <c r="AY30" i="5" s="1"/>
  <c r="Y28" i="5"/>
  <c r="AZ28" i="5" s="1"/>
  <c r="G26" i="6"/>
  <c r="Y26" i="6" s="1"/>
  <c r="AO17" i="6"/>
  <c r="L39" i="6"/>
  <c r="AC46" i="6"/>
  <c r="AJ48" i="5"/>
  <c r="AI48" i="5"/>
  <c r="AO22" i="6"/>
  <c r="AD50" i="6"/>
  <c r="AO44" i="6"/>
  <c r="W22" i="5"/>
  <c r="AX22" i="5" s="1"/>
  <c r="E20" i="6"/>
  <c r="O40" i="6"/>
  <c r="G18" i="6"/>
  <c r="Y18" i="6" s="1"/>
  <c r="Y20" i="5"/>
  <c r="AZ20" i="5" s="1"/>
  <c r="AS37" i="5"/>
  <c r="AL35" i="6"/>
  <c r="AR37" i="5"/>
  <c r="AU37" i="5"/>
  <c r="O32" i="6"/>
  <c r="N11" i="6"/>
  <c r="W11" i="6" s="1"/>
  <c r="AR42" i="5"/>
  <c r="AS42" i="5"/>
  <c r="AL40" i="6"/>
  <c r="Q35" i="5"/>
  <c r="K33" i="6"/>
  <c r="R35" i="5"/>
  <c r="O18" i="6"/>
  <c r="X18" i="6" s="1"/>
  <c r="AQ32" i="6"/>
  <c r="N23" i="6"/>
  <c r="AG44" i="6"/>
  <c r="C49" i="6"/>
  <c r="U51" i="5"/>
  <c r="AV51" i="5" s="1"/>
  <c r="AF51" i="6"/>
  <c r="X24" i="5"/>
  <c r="AY24" i="5" s="1"/>
  <c r="F22" i="6"/>
  <c r="AO49" i="6"/>
  <c r="AG11" i="6"/>
  <c r="L19" i="6"/>
  <c r="AD44" i="6"/>
  <c r="AQ49" i="6"/>
  <c r="N30" i="6"/>
  <c r="AD19" i="6"/>
  <c r="P44" i="6"/>
  <c r="D18" i="6"/>
  <c r="V20" i="5"/>
  <c r="AW20" i="5" s="1"/>
  <c r="Q21" i="5"/>
  <c r="K19" i="6"/>
  <c r="R21" i="5"/>
  <c r="AE35" i="6"/>
  <c r="AW35" i="6" s="1"/>
  <c r="AE40" i="6"/>
  <c r="U55" i="5"/>
  <c r="AV55" i="5" s="1"/>
  <c r="C53" i="6"/>
  <c r="U53" i="6" s="1"/>
  <c r="AV53" i="6" s="1"/>
  <c r="AG15" i="6"/>
  <c r="AH36" i="6"/>
  <c r="AH31" i="6"/>
  <c r="R30" i="5"/>
  <c r="Q30" i="5"/>
  <c r="K28" i="6"/>
  <c r="AM23" i="6"/>
  <c r="AG37" i="6"/>
  <c r="E50" i="6"/>
  <c r="W50" i="6" s="1"/>
  <c r="AX50" i="6" s="1"/>
  <c r="W52" i="5"/>
  <c r="AX52" i="5" s="1"/>
  <c r="I56" i="5"/>
  <c r="B54" i="6"/>
  <c r="T54" i="6" s="1"/>
  <c r="H56" i="5"/>
  <c r="T56" i="5"/>
  <c r="AU56" i="5" s="1"/>
  <c r="AH18" i="6"/>
  <c r="AF38" i="6"/>
  <c r="U20" i="5"/>
  <c r="AV20" i="5" s="1"/>
  <c r="C18" i="6"/>
  <c r="AL50" i="6"/>
  <c r="AR52" i="5"/>
  <c r="AS52" i="5"/>
  <c r="AO33" i="6"/>
  <c r="AM45" i="6"/>
  <c r="B9" i="6"/>
  <c r="H11" i="5"/>
  <c r="T11" i="5"/>
  <c r="AU11" i="5" s="1"/>
  <c r="I11" i="5"/>
  <c r="AM40" i="6"/>
  <c r="L49" i="6"/>
  <c r="R49" i="6" s="1"/>
  <c r="AE16" i="6"/>
  <c r="AD34" i="6"/>
  <c r="N9" i="6"/>
  <c r="AH23" i="6"/>
  <c r="AG14" i="6"/>
  <c r="AN41" i="6"/>
  <c r="AD52" i="6"/>
  <c r="E44" i="6"/>
  <c r="W44" i="6" s="1"/>
  <c r="W46" i="5"/>
  <c r="AX46" i="5" s="1"/>
  <c r="AD18" i="6"/>
  <c r="F33" i="6"/>
  <c r="X35" i="5"/>
  <c r="AY35" i="5" s="1"/>
  <c r="D33" i="6"/>
  <c r="V33" i="6" s="1"/>
  <c r="V35" i="5"/>
  <c r="AW35" i="5" s="1"/>
  <c r="AS32" i="5"/>
  <c r="AL30" i="6"/>
  <c r="AU30" i="6" s="1"/>
  <c r="AR32" i="5"/>
  <c r="AH37" i="6"/>
  <c r="AJ53" i="5"/>
  <c r="AI53" i="5"/>
  <c r="AC51" i="6"/>
  <c r="V29" i="5"/>
  <c r="AW29" i="5" s="1"/>
  <c r="D27" i="6"/>
  <c r="AE41" i="6"/>
  <c r="AH34" i="6"/>
  <c r="T54" i="5"/>
  <c r="AU54" i="5" s="1"/>
  <c r="I54" i="5"/>
  <c r="H54" i="5"/>
  <c r="B52" i="6"/>
  <c r="AO13" i="6"/>
  <c r="AI21" i="5"/>
  <c r="AC19" i="6"/>
  <c r="AI19" i="6" s="1"/>
  <c r="AJ21" i="5"/>
  <c r="B41" i="6"/>
  <c r="T41" i="6" s="1"/>
  <c r="I43" i="5"/>
  <c r="T43" i="5"/>
  <c r="AU43" i="5" s="1"/>
  <c r="H43" i="5"/>
  <c r="AC23" i="6"/>
  <c r="AI25" i="5"/>
  <c r="AJ25" i="5"/>
  <c r="V45" i="5"/>
  <c r="AW45" i="5" s="1"/>
  <c r="D43" i="6"/>
  <c r="M39" i="6"/>
  <c r="O16" i="6"/>
  <c r="B13" i="6"/>
  <c r="T13" i="6" s="1"/>
  <c r="T15" i="5"/>
  <c r="I15" i="5"/>
  <c r="H15" i="5"/>
  <c r="AC14" i="6"/>
  <c r="AJ16" i="5"/>
  <c r="AI16" i="5"/>
  <c r="O17" i="6"/>
  <c r="O31" i="6"/>
  <c r="M54" i="6"/>
  <c r="AN38" i="6"/>
  <c r="X11" i="5"/>
  <c r="AY11" i="5" s="1"/>
  <c r="BB11" i="5" s="1"/>
  <c r="F9" i="6"/>
  <c r="W31" i="5"/>
  <c r="AX31" i="5" s="1"/>
  <c r="E29" i="6"/>
  <c r="W29" i="6" s="1"/>
  <c r="D41" i="6"/>
  <c r="V41" i="6" s="1"/>
  <c r="AW41" i="6" s="1"/>
  <c r="V43" i="5"/>
  <c r="AW43" i="5" s="1"/>
  <c r="G42" i="6"/>
  <c r="Y44" i="5"/>
  <c r="AZ44" i="5" s="1"/>
  <c r="R55" i="5"/>
  <c r="Q55" i="5"/>
  <c r="K53" i="6"/>
  <c r="L38" i="6"/>
  <c r="AG53" i="6"/>
  <c r="Q31" i="5"/>
  <c r="K29" i="6"/>
  <c r="R31" i="5"/>
  <c r="P29" i="6"/>
  <c r="Q40" i="5"/>
  <c r="K38" i="6"/>
  <c r="R40" i="5"/>
  <c r="AE17" i="6"/>
  <c r="AR55" i="5"/>
  <c r="AL53" i="6"/>
  <c r="AS55" i="5"/>
  <c r="G24" i="6"/>
  <c r="Y24" i="6" s="1"/>
  <c r="AZ24" i="6" s="1"/>
  <c r="Y26" i="5"/>
  <c r="AZ26" i="5" s="1"/>
  <c r="AD10" i="6"/>
  <c r="E39" i="6"/>
  <c r="W41" i="5"/>
  <c r="AX41" i="5" s="1"/>
  <c r="O35" i="6"/>
  <c r="P32" i="6"/>
  <c r="C35" i="6"/>
  <c r="U37" i="5"/>
  <c r="AV37" i="5" s="1"/>
  <c r="M41" i="6"/>
  <c r="AE38" i="6"/>
  <c r="P13" i="6"/>
  <c r="I53" i="5"/>
  <c r="T53" i="5"/>
  <c r="AU53" i="5" s="1"/>
  <c r="H53" i="5"/>
  <c r="B51" i="6"/>
  <c r="O14" i="6"/>
  <c r="P18" i="6"/>
  <c r="I31" i="5"/>
  <c r="H31" i="5"/>
  <c r="T31" i="5"/>
  <c r="AU31" i="5" s="1"/>
  <c r="BA31" i="5" s="1"/>
  <c r="B29" i="6"/>
  <c r="T29" i="6" s="1"/>
  <c r="C16" i="6"/>
  <c r="U18" i="5"/>
  <c r="AV18" i="5" s="1"/>
  <c r="AL31" i="6"/>
  <c r="AR33" i="5"/>
  <c r="AS33" i="5"/>
  <c r="AQ20" i="6"/>
  <c r="O13" i="6"/>
  <c r="Q13" i="6" s="1"/>
  <c r="N49" i="6"/>
  <c r="AE22" i="6"/>
  <c r="Y42" i="5"/>
  <c r="AZ42" i="5" s="1"/>
  <c r="G40" i="6"/>
  <c r="I40" i="6" s="1"/>
  <c r="AH53" i="6"/>
  <c r="AC18" i="6"/>
  <c r="AJ20" i="5"/>
  <c r="AI20" i="5"/>
  <c r="P12" i="6"/>
  <c r="AH22" i="6"/>
  <c r="F45" i="6"/>
  <c r="X45" i="6" s="1"/>
  <c r="X47" i="5"/>
  <c r="AY47" i="5" s="1"/>
  <c r="AQ31" i="6"/>
  <c r="O36" i="6"/>
  <c r="AC21" i="6"/>
  <c r="AJ23" i="5"/>
  <c r="AI23" i="5"/>
  <c r="V11" i="5"/>
  <c r="AW11" i="5" s="1"/>
  <c r="D9" i="6"/>
  <c r="AN32" i="6"/>
  <c r="AR32" i="6" s="1"/>
  <c r="AJ46" i="5"/>
  <c r="AC44" i="6"/>
  <c r="AI46" i="5"/>
  <c r="AL15" i="6"/>
  <c r="AR15" i="6" s="1"/>
  <c r="AR17" i="5"/>
  <c r="AS17" i="5"/>
  <c r="AH39" i="6"/>
  <c r="AF52" i="6"/>
  <c r="AD16" i="6"/>
  <c r="AJ51" i="5"/>
  <c r="AI51" i="5"/>
  <c r="AC49" i="6"/>
  <c r="AH26" i="6"/>
  <c r="U29" i="5"/>
  <c r="AV29" i="5" s="1"/>
  <c r="C27" i="6"/>
  <c r="AG9" i="6"/>
  <c r="AL17" i="6"/>
  <c r="AR19" i="5"/>
  <c r="AS19" i="5"/>
  <c r="X13" i="5"/>
  <c r="AY13" i="5" s="1"/>
  <c r="F11" i="6"/>
  <c r="AN30" i="6"/>
  <c r="AG18" i="6"/>
  <c r="AE29" i="6"/>
  <c r="AI29" i="6" s="1"/>
  <c r="AE27" i="6"/>
  <c r="W48" i="5"/>
  <c r="AX48" i="5" s="1"/>
  <c r="E46" i="6"/>
  <c r="I40" i="5"/>
  <c r="H40" i="5"/>
  <c r="B38" i="6"/>
  <c r="T38" i="6" s="1"/>
  <c r="AU38" i="6" s="1"/>
  <c r="T40" i="5"/>
  <c r="AU40" i="5" s="1"/>
  <c r="N51" i="6"/>
  <c r="W40" i="5"/>
  <c r="AX40" i="5" s="1"/>
  <c r="E38" i="6"/>
  <c r="E15" i="6"/>
  <c r="W17" i="5"/>
  <c r="AX17" i="5" s="1"/>
  <c r="BA17" i="5" s="1"/>
  <c r="AQ13" i="6"/>
  <c r="V41" i="5"/>
  <c r="AW41" i="5" s="1"/>
  <c r="D39" i="6"/>
  <c r="V39" i="6" s="1"/>
  <c r="U16" i="5"/>
  <c r="AV16" i="5" s="1"/>
  <c r="C14" i="6"/>
  <c r="M31" i="6"/>
  <c r="W53" i="5"/>
  <c r="AX53" i="5" s="1"/>
  <c r="E51" i="6"/>
  <c r="W51" i="6" s="1"/>
  <c r="AX51" i="6" s="1"/>
  <c r="AS30" i="5"/>
  <c r="AL28" i="6"/>
  <c r="AR30" i="5"/>
  <c r="AO41" i="6"/>
  <c r="AG50" i="6"/>
  <c r="Y23" i="5"/>
  <c r="AZ23" i="5" s="1"/>
  <c r="G21" i="6"/>
  <c r="Y21" i="6" s="1"/>
  <c r="AQ23" i="6"/>
  <c r="AS25" i="5"/>
  <c r="AR25" i="5"/>
  <c r="AL23" i="6"/>
  <c r="W36" i="5"/>
  <c r="AX36" i="5" s="1"/>
  <c r="E34" i="6"/>
  <c r="AD29" i="6"/>
  <c r="P45" i="6"/>
  <c r="Q12" i="5"/>
  <c r="K10" i="6"/>
  <c r="R12" i="5"/>
  <c r="AM9" i="6"/>
  <c r="AM9" i="5"/>
  <c r="M21" i="6"/>
  <c r="E40" i="6"/>
  <c r="W42" i="5"/>
  <c r="AX42" i="5" s="1"/>
  <c r="U25" i="5"/>
  <c r="AV25" i="5" s="1"/>
  <c r="C23" i="6"/>
  <c r="O9" i="6"/>
  <c r="AH24" i="6"/>
  <c r="U24" i="5"/>
  <c r="AV24" i="5" s="1"/>
  <c r="BA24" i="5" s="1"/>
  <c r="C22" i="6"/>
  <c r="AM33" i="6"/>
  <c r="AG31" i="6"/>
  <c r="AN49" i="6"/>
  <c r="N33" i="6"/>
  <c r="W33" i="6" s="1"/>
  <c r="M14" i="6"/>
  <c r="M46" i="6"/>
  <c r="AM12" i="6"/>
  <c r="M20" i="6"/>
  <c r="AD39" i="6"/>
  <c r="AF33" i="6"/>
  <c r="C37" i="6"/>
  <c r="U39" i="5"/>
  <c r="AV39" i="5" s="1"/>
  <c r="O24" i="6"/>
  <c r="AF39" i="6"/>
  <c r="M45" i="6"/>
  <c r="Q45" i="6" s="1"/>
  <c r="G27" i="6"/>
  <c r="Y29" i="5"/>
  <c r="AZ29" i="5" s="1"/>
  <c r="AH27" i="6"/>
  <c r="F38" i="6"/>
  <c r="X40" i="5"/>
  <c r="AY40" i="5" s="1"/>
  <c r="K48" i="6"/>
  <c r="Q50" i="5"/>
  <c r="K49" i="5"/>
  <c r="Q49" i="5" s="1"/>
  <c r="R50" i="5"/>
  <c r="AE53" i="6"/>
  <c r="K21" i="6"/>
  <c r="Q23" i="5"/>
  <c r="R23" i="5"/>
  <c r="M34" i="6"/>
  <c r="G41" i="6"/>
  <c r="Y43" i="5"/>
  <c r="AZ43" i="5" s="1"/>
  <c r="L21" i="6"/>
  <c r="K35" i="6"/>
  <c r="R37" i="5"/>
  <c r="Q37" i="5"/>
  <c r="AE44" i="6"/>
  <c r="AQ54" i="6"/>
  <c r="V19" i="5"/>
  <c r="AW19" i="5" s="1"/>
  <c r="D17" i="6"/>
  <c r="V17" i="6" s="1"/>
  <c r="AW17" i="6" s="1"/>
  <c r="B48" i="6"/>
  <c r="T48" i="6" s="1"/>
  <c r="T50" i="5"/>
  <c r="AU50" i="5" s="1"/>
  <c r="H50" i="5"/>
  <c r="B49" i="5"/>
  <c r="I50" i="5"/>
  <c r="N54" i="6"/>
  <c r="W54" i="6" s="1"/>
  <c r="Y13" i="5"/>
  <c r="AZ13" i="5" s="1"/>
  <c r="G11" i="6"/>
  <c r="Y11" i="6" s="1"/>
  <c r="AZ11" i="6" s="1"/>
  <c r="E37" i="6"/>
  <c r="W39" i="5"/>
  <c r="AX39" i="5" s="1"/>
  <c r="AJ45" i="5"/>
  <c r="AC43" i="6"/>
  <c r="AI45" i="5"/>
  <c r="AQ27" i="6"/>
  <c r="AD9" i="5"/>
  <c r="AD8" i="5" s="1"/>
  <c r="AD9" i="6"/>
  <c r="M30" i="6"/>
  <c r="AN40" i="6"/>
  <c r="H55" i="5"/>
  <c r="I55" i="5"/>
  <c r="T55" i="5"/>
  <c r="AU55" i="5" s="1"/>
  <c r="B53" i="6"/>
  <c r="AC29" i="6"/>
  <c r="AI31" i="5"/>
  <c r="AJ31" i="5"/>
  <c r="B15" i="6"/>
  <c r="T15" i="6" s="1"/>
  <c r="T17" i="5"/>
  <c r="AU17" i="5" s="1"/>
  <c r="I17" i="5"/>
  <c r="H17" i="5"/>
  <c r="AO15" i="6"/>
  <c r="X22" i="5"/>
  <c r="AY22" i="5" s="1"/>
  <c r="F20" i="6"/>
  <c r="B16" i="6"/>
  <c r="T18" i="5"/>
  <c r="H18" i="5"/>
  <c r="I18" i="5"/>
  <c r="AH38" i="6"/>
  <c r="AG19" i="6"/>
  <c r="AO42" i="6"/>
  <c r="AC9" i="6"/>
  <c r="AC9" i="5"/>
  <c r="AJ11" i="5"/>
  <c r="AI11" i="5"/>
  <c r="AG45" i="6"/>
  <c r="B24" i="6"/>
  <c r="T24" i="6" s="1"/>
  <c r="I26" i="5"/>
  <c r="H26" i="5"/>
  <c r="T26" i="5"/>
  <c r="AU26" i="5" s="1"/>
  <c r="AH45" i="6"/>
  <c r="M22" i="6"/>
  <c r="AH30" i="6"/>
  <c r="G23" i="6"/>
  <c r="Y23" i="6" s="1"/>
  <c r="Y25" i="5"/>
  <c r="AZ25" i="5" s="1"/>
  <c r="O28" i="6"/>
  <c r="AO26" i="6"/>
  <c r="AF34" i="6"/>
  <c r="AE24" i="6"/>
  <c r="AM41" i="6"/>
  <c r="AM25" i="6"/>
  <c r="AH33" i="6"/>
  <c r="AJ33" i="6" s="1"/>
  <c r="O15" i="6"/>
  <c r="N8" i="6"/>
  <c r="N9" i="5"/>
  <c r="N25" i="6"/>
  <c r="W25" i="6" s="1"/>
  <c r="AN25" i="6"/>
  <c r="O50" i="6"/>
  <c r="F19" i="6"/>
  <c r="X21" i="5"/>
  <c r="AY21" i="5" s="1"/>
  <c r="BB21" i="5" s="1"/>
  <c r="N45" i="6"/>
  <c r="D35" i="6"/>
  <c r="V35" i="6" s="1"/>
  <c r="V37" i="5"/>
  <c r="AW37" i="5" s="1"/>
  <c r="C32" i="6"/>
  <c r="U32" i="6" s="1"/>
  <c r="U34" i="5"/>
  <c r="AV34" i="5" s="1"/>
  <c r="AS34" i="5"/>
  <c r="AL32" i="6"/>
  <c r="AR34" i="5"/>
  <c r="F17" i="6"/>
  <c r="X19" i="5"/>
  <c r="AY19" i="5" s="1"/>
  <c r="O23" i="6"/>
  <c r="Q51" i="5"/>
  <c r="K49" i="6"/>
  <c r="R51" i="5"/>
  <c r="L37" i="6"/>
  <c r="P9" i="6"/>
  <c r="L15" i="6"/>
  <c r="AJ43" i="5"/>
  <c r="AI43" i="5"/>
  <c r="AC41" i="6"/>
  <c r="AU41" i="6" s="1"/>
  <c r="AQ37" i="6"/>
  <c r="I12" i="5"/>
  <c r="B10" i="6"/>
  <c r="H12" i="5"/>
  <c r="T12" i="5"/>
  <c r="AU12" i="5" s="1"/>
  <c r="U35" i="5"/>
  <c r="AV35" i="5" s="1"/>
  <c r="C33" i="6"/>
  <c r="P25" i="6"/>
  <c r="X15" i="5"/>
  <c r="AY15" i="5" s="1"/>
  <c r="F13" i="6"/>
  <c r="N34" i="6"/>
  <c r="AF32" i="6"/>
  <c r="AS39" i="5"/>
  <c r="AR39" i="5"/>
  <c r="AL37" i="6"/>
  <c r="AN9" i="5"/>
  <c r="AN9" i="6"/>
  <c r="AE25" i="6"/>
  <c r="AM37" i="6"/>
  <c r="AF50" i="6"/>
  <c r="N10" i="6"/>
  <c r="T22" i="5"/>
  <c r="AU22" i="5" s="1"/>
  <c r="I22" i="5"/>
  <c r="H22" i="5"/>
  <c r="B20" i="6"/>
  <c r="AG43" i="6"/>
  <c r="M12" i="6"/>
  <c r="V12" i="6" s="1"/>
  <c r="AW12" i="6" s="1"/>
  <c r="P43" i="6"/>
  <c r="L27" i="6"/>
  <c r="E42" i="6"/>
  <c r="W42" i="6" s="1"/>
  <c r="W44" i="5"/>
  <c r="AX44" i="5" s="1"/>
  <c r="AN45" i="6"/>
  <c r="AN14" i="6"/>
  <c r="L31" i="6"/>
  <c r="AQ45" i="6"/>
  <c r="AQ50" i="6"/>
  <c r="AN31" i="6"/>
  <c r="C13" i="6"/>
  <c r="U15" i="5"/>
  <c r="AV15" i="5" s="1"/>
  <c r="D26" i="6"/>
  <c r="V26" i="6" s="1"/>
  <c r="V28" i="5"/>
  <c r="AW28" i="5" s="1"/>
  <c r="AS41" i="5"/>
  <c r="AR41" i="5"/>
  <c r="AL39" i="6"/>
  <c r="D42" i="6"/>
  <c r="V44" i="5"/>
  <c r="AW44" i="5" s="1"/>
  <c r="C44" i="6"/>
  <c r="U46" i="5"/>
  <c r="AV46" i="5" s="1"/>
  <c r="N24" i="6"/>
  <c r="M18" i="6"/>
  <c r="V47" i="5"/>
  <c r="AW47" i="5" s="1"/>
  <c r="D45" i="6"/>
  <c r="AD36" i="6"/>
  <c r="AD12" i="6"/>
  <c r="G25" i="6"/>
  <c r="Y25" i="6" s="1"/>
  <c r="Y27" i="5"/>
  <c r="AZ27" i="5" s="1"/>
  <c r="AI12" i="5"/>
  <c r="AJ12" i="5"/>
  <c r="AC10" i="6"/>
  <c r="AI10" i="6" s="1"/>
  <c r="M13" i="6"/>
  <c r="V13" i="6" s="1"/>
  <c r="AL9" i="5"/>
  <c r="AS11" i="5"/>
  <c r="AL9" i="6"/>
  <c r="AU9" i="6" s="1"/>
  <c r="AR11" i="5"/>
  <c r="AF37" i="6"/>
  <c r="AQ42" i="6"/>
  <c r="AE43" i="6"/>
  <c r="P38" i="6"/>
  <c r="Y38" i="6" s="1"/>
  <c r="AF22" i="6"/>
  <c r="K18" i="6"/>
  <c r="Q20" i="5"/>
  <c r="R20" i="5"/>
  <c r="L9" i="6"/>
  <c r="O51" i="6"/>
  <c r="E35" i="6"/>
  <c r="W35" i="6" s="1"/>
  <c r="W37" i="5"/>
  <c r="AX37" i="5" s="1"/>
  <c r="O53" i="6"/>
  <c r="AN23" i="6"/>
  <c r="AG51" i="6"/>
  <c r="AJ51" i="6" s="1"/>
  <c r="AM29" i="6"/>
  <c r="V26" i="5"/>
  <c r="AW26" i="5" s="1"/>
  <c r="D24" i="6"/>
  <c r="V13" i="5"/>
  <c r="AW13" i="5" s="1"/>
  <c r="BA13" i="5" s="1"/>
  <c r="D11" i="6"/>
  <c r="AE42" i="6"/>
  <c r="B12" i="6"/>
  <c r="T12" i="6" s="1"/>
  <c r="AU12" i="6" s="1"/>
  <c r="I14" i="5"/>
  <c r="H14" i="5"/>
  <c r="T14" i="5"/>
  <c r="W45" i="5"/>
  <c r="AX45" i="5" s="1"/>
  <c r="E43" i="6"/>
  <c r="W43" i="6" s="1"/>
  <c r="AH44" i="6"/>
  <c r="V50" i="5"/>
  <c r="AW50" i="5" s="1"/>
  <c r="D48" i="6"/>
  <c r="V48" i="6" s="1"/>
  <c r="AW48" i="6" s="1"/>
  <c r="D49" i="5"/>
  <c r="D8" i="5" s="1"/>
  <c r="AG13" i="6"/>
  <c r="Y11" i="5"/>
  <c r="AZ11" i="5" s="1"/>
  <c r="G9" i="6"/>
  <c r="AF44" i="6"/>
  <c r="AI44" i="6" s="1"/>
  <c r="AN29" i="6"/>
  <c r="AH17" i="6"/>
  <c r="AQ51" i="6"/>
  <c r="D37" i="6"/>
  <c r="V37" i="6" s="1"/>
  <c r="AW37" i="6" s="1"/>
  <c r="V39" i="5"/>
  <c r="AW39" i="5" s="1"/>
  <c r="AD22" i="6"/>
  <c r="AM31" i="6"/>
  <c r="AG38" i="6"/>
  <c r="K34" i="6"/>
  <c r="Q36" i="5"/>
  <c r="R36" i="5"/>
  <c r="AN52" i="6"/>
  <c r="AR52" i="6" s="1"/>
  <c r="L22" i="6"/>
  <c r="AE39" i="6"/>
  <c r="AO29" i="6"/>
  <c r="AO16" i="6"/>
  <c r="AS16" i="6" s="1"/>
  <c r="L11" i="6"/>
  <c r="AH21" i="6"/>
  <c r="C38" i="6"/>
  <c r="U38" i="6" s="1"/>
  <c r="U40" i="5"/>
  <c r="AV40" i="5" s="1"/>
  <c r="AO32" i="6"/>
  <c r="G13" i="6"/>
  <c r="Y13" i="6" s="1"/>
  <c r="Y15" i="5"/>
  <c r="AZ15" i="5" s="1"/>
  <c r="AQ30" i="6"/>
  <c r="AZ30" i="6" s="1"/>
  <c r="AC54" i="6"/>
  <c r="AJ56" i="5"/>
  <c r="AI56" i="5"/>
  <c r="N40" i="6"/>
  <c r="Q40" i="6" s="1"/>
  <c r="N14" i="6"/>
  <c r="F53" i="6"/>
  <c r="X55" i="5"/>
  <c r="AY55" i="5" s="1"/>
  <c r="F27" i="6"/>
  <c r="X27" i="6" s="1"/>
  <c r="AY27" i="6" s="1"/>
  <c r="X29" i="5"/>
  <c r="AY29" i="5" s="1"/>
  <c r="AS43" i="5"/>
  <c r="AL41" i="6"/>
  <c r="AR43" i="5"/>
  <c r="AI47" i="5"/>
  <c r="AJ47" i="5"/>
  <c r="AC45" i="6"/>
  <c r="O37" i="6"/>
  <c r="AM39" i="6"/>
  <c r="L44" i="6"/>
  <c r="AI24" i="5"/>
  <c r="AC22" i="6"/>
  <c r="AI22" i="6" s="1"/>
  <c r="AJ24" i="5"/>
  <c r="AC34" i="6"/>
  <c r="AJ36" i="5"/>
  <c r="AI36" i="5"/>
  <c r="X27" i="5"/>
  <c r="AY27" i="5" s="1"/>
  <c r="F25" i="6"/>
  <c r="X25" i="6" s="1"/>
  <c r="AY25" i="6" s="1"/>
  <c r="AQ39" i="6"/>
  <c r="F26" i="6"/>
  <c r="H26" i="6" s="1"/>
  <c r="X28" i="5"/>
  <c r="AY28" i="5" s="1"/>
  <c r="B34" i="6"/>
  <c r="T34" i="6" s="1"/>
  <c r="H36" i="5"/>
  <c r="T36" i="5"/>
  <c r="AU36" i="5" s="1"/>
  <c r="BA36" i="5" s="1"/>
  <c r="I36" i="5"/>
  <c r="N37" i="6"/>
  <c r="AJ33" i="5"/>
  <c r="AC31" i="6"/>
  <c r="AI31" i="6" s="1"/>
  <c r="AI33" i="5"/>
  <c r="AF27" i="6"/>
  <c r="W15" i="5"/>
  <c r="AX15" i="5" s="1"/>
  <c r="E13" i="6"/>
  <c r="W13" i="6" s="1"/>
  <c r="AX13" i="6" s="1"/>
  <c r="AO52" i="6"/>
  <c r="AN16" i="6"/>
  <c r="AF11" i="6"/>
  <c r="AX11" i="6" s="1"/>
  <c r="AF35" i="6"/>
  <c r="AX35" i="6" s="1"/>
  <c r="AE21" i="6"/>
  <c r="AE10" i="6"/>
  <c r="AM17" i="6"/>
  <c r="AR17" i="6" s="1"/>
  <c r="AG42" i="6"/>
  <c r="AI42" i="6" s="1"/>
  <c r="E24" i="6"/>
  <c r="W26" i="5"/>
  <c r="AX26" i="5" s="1"/>
  <c r="H47" i="5"/>
  <c r="B45" i="6"/>
  <c r="H45" i="6" s="1"/>
  <c r="T47" i="5"/>
  <c r="AU47" i="5" s="1"/>
  <c r="I47" i="5"/>
  <c r="G50" i="6"/>
  <c r="Y52" i="5"/>
  <c r="AZ52" i="5" s="1"/>
  <c r="L49" i="5"/>
  <c r="L8" i="5" s="1"/>
  <c r="L48" i="6"/>
  <c r="R28" i="5"/>
  <c r="K26" i="6"/>
  <c r="T26" i="6" s="1"/>
  <c r="AU26" i="6" s="1"/>
  <c r="Q28" i="5"/>
  <c r="V30" i="5"/>
  <c r="AW30" i="5" s="1"/>
  <c r="D28" i="6"/>
  <c r="AM30" i="6"/>
  <c r="AS30" i="6" s="1"/>
  <c r="W29" i="5"/>
  <c r="AX29" i="5" s="1"/>
  <c r="E27" i="6"/>
  <c r="D38" i="6"/>
  <c r="V38" i="6" s="1"/>
  <c r="AW38" i="6" s="1"/>
  <c r="V40" i="5"/>
  <c r="AW40" i="5" s="1"/>
  <c r="F14" i="6"/>
  <c r="X16" i="5"/>
  <c r="AY16" i="5" s="1"/>
  <c r="AO28" i="6"/>
  <c r="N27" i="6"/>
  <c r="R27" i="6" s="1"/>
  <c r="AE33" i="6"/>
  <c r="AN53" i="6"/>
  <c r="AN13" i="6"/>
  <c r="AL42" i="6"/>
  <c r="AR42" i="6" s="1"/>
  <c r="AR44" i="5"/>
  <c r="AS44" i="5"/>
  <c r="M29" i="6"/>
  <c r="V29" i="6" s="1"/>
  <c r="AE15" i="6"/>
  <c r="AJ15" i="6" s="1"/>
  <c r="T30" i="5"/>
  <c r="I30" i="5"/>
  <c r="H30" i="5"/>
  <c r="B28" i="6"/>
  <c r="T28" i="6" s="1"/>
  <c r="AN12" i="6"/>
  <c r="AD49" i="6"/>
  <c r="AE32" i="6"/>
  <c r="AI32" i="6" s="1"/>
  <c r="X46" i="5"/>
  <c r="AY46" i="5" s="1"/>
  <c r="BB46" i="5" s="1"/>
  <c r="F44" i="6"/>
  <c r="G16" i="6"/>
  <c r="Y16" i="6" s="1"/>
  <c r="Y18" i="5"/>
  <c r="AZ18" i="5" s="1"/>
  <c r="AD26" i="6"/>
  <c r="AJ26" i="6" s="1"/>
  <c r="Y45" i="5"/>
  <c r="AZ45" i="5" s="1"/>
  <c r="G43" i="6"/>
  <c r="M11" i="6"/>
  <c r="L33" i="6"/>
  <c r="U33" i="6" s="1"/>
  <c r="AV33" i="6" s="1"/>
  <c r="AO23" i="6"/>
  <c r="O26" i="6"/>
  <c r="AG12" i="6"/>
  <c r="O30" i="6"/>
  <c r="X30" i="6" s="1"/>
  <c r="AY30" i="6" s="1"/>
  <c r="AR16" i="5"/>
  <c r="AL14" i="6"/>
  <c r="AS16" i="5"/>
  <c r="U44" i="5"/>
  <c r="AV44" i="5" s="1"/>
  <c r="BA44" i="5" s="1"/>
  <c r="C42" i="6"/>
  <c r="T46" i="5"/>
  <c r="AU46" i="5" s="1"/>
  <c r="H46" i="5"/>
  <c r="B44" i="6"/>
  <c r="T44" i="6" s="1"/>
  <c r="AU44" i="6" s="1"/>
  <c r="I46" i="5"/>
  <c r="AM10" i="6"/>
  <c r="AD35" i="6"/>
  <c r="D23" i="6"/>
  <c r="I23" i="6" s="1"/>
  <c r="V25" i="5"/>
  <c r="AW25" i="5" s="1"/>
  <c r="M44" i="6"/>
  <c r="P14" i="6"/>
  <c r="AF12" i="6"/>
  <c r="AJ12" i="6" s="1"/>
  <c r="L32" i="6"/>
  <c r="AF16" i="6"/>
  <c r="AQ16" i="6"/>
  <c r="X12" i="5"/>
  <c r="AY12" i="5" s="1"/>
  <c r="F10" i="6"/>
  <c r="X10" i="6" s="1"/>
  <c r="AY10" i="6" s="1"/>
  <c r="U27" i="5"/>
  <c r="AV27" i="5" s="1"/>
  <c r="C25" i="6"/>
  <c r="P33" i="6"/>
  <c r="Y33" i="6" s="1"/>
  <c r="AZ33" i="6" s="1"/>
  <c r="D30" i="6"/>
  <c r="V32" i="5"/>
  <c r="AW32" i="5" s="1"/>
  <c r="C54" i="6"/>
  <c r="U54" i="6" s="1"/>
  <c r="U56" i="5"/>
  <c r="AV56" i="5" s="1"/>
  <c r="AD33" i="6"/>
  <c r="AO36" i="6"/>
  <c r="O39" i="6"/>
  <c r="M42" i="6"/>
  <c r="AG46" i="6"/>
  <c r="AG35" i="6"/>
  <c r="AM50" i="6"/>
  <c r="N20" i="6"/>
  <c r="W20" i="6" s="1"/>
  <c r="AX20" i="6" s="1"/>
  <c r="V54" i="5"/>
  <c r="AW54" i="5" s="1"/>
  <c r="D52" i="6"/>
  <c r="N52" i="6"/>
  <c r="O43" i="6"/>
  <c r="X43" i="6" s="1"/>
  <c r="AY43" i="6" s="1"/>
  <c r="AE50" i="6"/>
  <c r="AJ10" i="5"/>
  <c r="AG8" i="6"/>
  <c r="AI10" i="5"/>
  <c r="AG9" i="5"/>
  <c r="AC12" i="6"/>
  <c r="AI14" i="5"/>
  <c r="AJ14" i="5"/>
  <c r="U19" i="5"/>
  <c r="AV19" i="5" s="1"/>
  <c r="C17" i="6"/>
  <c r="AQ26" i="6"/>
  <c r="AZ26" i="6" s="1"/>
  <c r="AG23" i="6"/>
  <c r="AJ23" i="6" s="1"/>
  <c r="P11" i="6"/>
  <c r="AO10" i="6"/>
  <c r="AN20" i="6"/>
  <c r="AQ9" i="6"/>
  <c r="AQ7" i="6" s="1"/>
  <c r="AQ9" i="5"/>
  <c r="N28" i="6"/>
  <c r="X18" i="5"/>
  <c r="AY18" i="5" s="1"/>
  <c r="F16" i="6"/>
  <c r="X16" i="6" s="1"/>
  <c r="F49" i="5"/>
  <c r="X50" i="5"/>
  <c r="AY50" i="5" s="1"/>
  <c r="F48" i="6"/>
  <c r="H48" i="6" s="1"/>
  <c r="G51" i="6"/>
  <c r="Y51" i="6" s="1"/>
  <c r="Y53" i="5"/>
  <c r="AZ53" i="5" s="1"/>
  <c r="AS51" i="5"/>
  <c r="AR51" i="5"/>
  <c r="AL49" i="6"/>
  <c r="AR49" i="6" s="1"/>
  <c r="L16" i="6"/>
  <c r="AG30" i="6"/>
  <c r="AC17" i="6"/>
  <c r="AI19" i="5"/>
  <c r="AJ19" i="5"/>
  <c r="G15" i="6"/>
  <c r="Y17" i="5"/>
  <c r="AZ17" i="5" s="1"/>
  <c r="AG16" i="6"/>
  <c r="AI16" i="6" s="1"/>
  <c r="N18" i="6"/>
  <c r="AR15" i="5"/>
  <c r="AL13" i="6"/>
  <c r="AR13" i="6" s="1"/>
  <c r="AS15" i="5"/>
  <c r="O20" i="6"/>
  <c r="AR20" i="5"/>
  <c r="AS20" i="5"/>
  <c r="AL18" i="6"/>
  <c r="AR18" i="6" s="1"/>
  <c r="AM36" i="6"/>
  <c r="AS50" i="5"/>
  <c r="AL48" i="6"/>
  <c r="AL49" i="5"/>
  <c r="AR50" i="5"/>
  <c r="P39" i="6"/>
  <c r="AE31" i="6"/>
  <c r="AH29" i="6"/>
  <c r="AJ29" i="6" s="1"/>
  <c r="N36" i="6"/>
  <c r="AJ55" i="5"/>
  <c r="AI55" i="5"/>
  <c r="AC53" i="6"/>
  <c r="AI53" i="6" s="1"/>
  <c r="M36" i="6"/>
  <c r="AN21" i="6"/>
  <c r="AC28" i="6"/>
  <c r="AJ28" i="6" s="1"/>
  <c r="AI30" i="5"/>
  <c r="AJ30" i="5"/>
  <c r="V22" i="5"/>
  <c r="AW22" i="5" s="1"/>
  <c r="D20" i="6"/>
  <c r="V20" i="6" s="1"/>
  <c r="M15" i="6"/>
  <c r="V15" i="6" s="1"/>
  <c r="AR47" i="5"/>
  <c r="AL45" i="6"/>
  <c r="AR45" i="6" s="1"/>
  <c r="AS47" i="5"/>
  <c r="AL34" i="6"/>
  <c r="AS34" i="6" s="1"/>
  <c r="AS36" i="5"/>
  <c r="AR36" i="5"/>
  <c r="N46" i="6"/>
  <c r="Q46" i="6" s="1"/>
  <c r="AM54" i="6"/>
  <c r="AR54" i="6" s="1"/>
  <c r="O9" i="5"/>
  <c r="O8" i="6"/>
  <c r="P31" i="6"/>
  <c r="R31" i="6" s="1"/>
  <c r="AE54" i="6"/>
  <c r="AJ54" i="6" s="1"/>
  <c r="AH54" i="6"/>
  <c r="O33" i="6"/>
  <c r="X33" i="6" s="1"/>
  <c r="AY33" i="6" s="1"/>
  <c r="X54" i="5"/>
  <c r="AY54" i="5" s="1"/>
  <c r="BA54" i="5" s="1"/>
  <c r="F52" i="6"/>
  <c r="X52" i="6" s="1"/>
  <c r="AY52" i="6" s="1"/>
  <c r="R44" i="5"/>
  <c r="Q44" i="5"/>
  <c r="K42" i="6"/>
  <c r="AQ49" i="5"/>
  <c r="AQ8" i="5" s="1"/>
  <c r="AQ48" i="6"/>
  <c r="C31" i="6"/>
  <c r="U33" i="5"/>
  <c r="AV33" i="5" s="1"/>
  <c r="AI34" i="5"/>
  <c r="AJ34" i="5"/>
  <c r="AC32" i="6"/>
  <c r="AJ41" i="5"/>
  <c r="AC39" i="6"/>
  <c r="AI39" i="6" s="1"/>
  <c r="AI41" i="5"/>
  <c r="AO14" i="6"/>
  <c r="O44" i="6"/>
  <c r="X44" i="6" s="1"/>
  <c r="AY44" i="6" s="1"/>
  <c r="AE20" i="6"/>
  <c r="AD41" i="6"/>
  <c r="O38" i="6"/>
  <c r="AN11" i="6"/>
  <c r="AI28" i="5"/>
  <c r="AC26" i="6"/>
  <c r="AJ28" i="5"/>
  <c r="AQ43" i="6"/>
  <c r="AS43" i="6" s="1"/>
  <c r="M9" i="6"/>
  <c r="R9" i="6" s="1"/>
  <c r="AL36" i="6"/>
  <c r="AR38" i="5"/>
  <c r="AS38" i="5"/>
  <c r="G10" i="6"/>
  <c r="Y10" i="6" s="1"/>
  <c r="AZ10" i="6" s="1"/>
  <c r="Y12" i="5"/>
  <c r="AZ12" i="5" s="1"/>
  <c r="AS18" i="5"/>
  <c r="AL16" i="6"/>
  <c r="AR18" i="5"/>
  <c r="P20" i="6"/>
  <c r="Y20" i="6" s="1"/>
  <c r="AN43" i="6"/>
  <c r="AM48" i="6"/>
  <c r="AM49" i="5"/>
  <c r="AE36" i="6"/>
  <c r="U10" i="5"/>
  <c r="AV10" i="5" s="1"/>
  <c r="C9" i="5"/>
  <c r="C8" i="6"/>
  <c r="U8" i="6" s="1"/>
  <c r="AV8" i="6" s="1"/>
  <c r="L23" i="6"/>
  <c r="E12" i="6"/>
  <c r="W14" i="5"/>
  <c r="AX14" i="5" s="1"/>
  <c r="I39" i="5"/>
  <c r="B37" i="6"/>
  <c r="H39" i="5"/>
  <c r="T39" i="5"/>
  <c r="AU39" i="5" s="1"/>
  <c r="BA39" i="5" s="1"/>
  <c r="O22" i="6"/>
  <c r="X22" i="6" s="1"/>
  <c r="AY22" i="6" s="1"/>
  <c r="M51" i="6"/>
  <c r="Y31" i="5"/>
  <c r="AZ31" i="5" s="1"/>
  <c r="G29" i="6"/>
  <c r="O21" i="6"/>
  <c r="AF18" i="6"/>
  <c r="AG40" i="6"/>
  <c r="N15" i="6"/>
  <c r="N22" i="6"/>
  <c r="Q22" i="6" s="1"/>
  <c r="M16" i="6"/>
  <c r="V38" i="5"/>
  <c r="AW38" i="5" s="1"/>
  <c r="D36" i="6"/>
  <c r="V36" i="6" s="1"/>
  <c r="AW36" i="6" s="1"/>
  <c r="E49" i="5"/>
  <c r="W49" i="5" s="1"/>
  <c r="AX49" i="5" s="1"/>
  <c r="W50" i="5"/>
  <c r="AX50" i="5" s="1"/>
  <c r="E48" i="6"/>
  <c r="AO9" i="5"/>
  <c r="AO8" i="5" s="1"/>
  <c r="AO9" i="6"/>
  <c r="AO7" i="6" s="1"/>
  <c r="L26" i="6"/>
  <c r="P46" i="6"/>
  <c r="L25" i="6"/>
  <c r="U25" i="6" s="1"/>
  <c r="AV25" i="6" s="1"/>
  <c r="AM26" i="6"/>
  <c r="AR26" i="6" s="1"/>
  <c r="M43" i="6"/>
  <c r="AN37" i="6"/>
  <c r="P42" i="6"/>
  <c r="Y42" i="6" s="1"/>
  <c r="AZ42" i="6" s="1"/>
  <c r="N32" i="6"/>
  <c r="R32" i="6" s="1"/>
  <c r="AG20" i="6"/>
  <c r="AQ35" i="6"/>
  <c r="AF9" i="6"/>
  <c r="AF9" i="5"/>
  <c r="AJ9" i="5" s="1"/>
  <c r="AM13" i="6"/>
  <c r="AG27" i="6"/>
  <c r="AJ38" i="5"/>
  <c r="AI38" i="5"/>
  <c r="AC36" i="6"/>
  <c r="AJ36" i="6" s="1"/>
  <c r="AO27" i="6"/>
  <c r="X38" i="5"/>
  <c r="AY38" i="5" s="1"/>
  <c r="BB38" i="5" s="1"/>
  <c r="F36" i="6"/>
  <c r="H36" i="6" s="1"/>
  <c r="AQ25" i="6"/>
  <c r="AD37" i="6"/>
  <c r="B31" i="6"/>
  <c r="T31" i="6" s="1"/>
  <c r="T33" i="5"/>
  <c r="AU33" i="5" s="1"/>
  <c r="BB33" i="5" s="1"/>
  <c r="I33" i="5"/>
  <c r="H33" i="5"/>
  <c r="AG32" i="6"/>
  <c r="AI39" i="5"/>
  <c r="AJ39" i="5"/>
  <c r="AC37" i="6"/>
  <c r="AD38" i="6"/>
  <c r="U47" i="5"/>
  <c r="AV47" i="5" s="1"/>
  <c r="BB47" i="5" s="1"/>
  <c r="C45" i="6"/>
  <c r="U45" i="6" s="1"/>
  <c r="AR23" i="6"/>
  <c r="AR14" i="6"/>
  <c r="X41" i="6"/>
  <c r="W24" i="6"/>
  <c r="AX24" i="6" s="1"/>
  <c r="Q34" i="6"/>
  <c r="AU34" i="6"/>
  <c r="BA48" i="5"/>
  <c r="AY18" i="6"/>
  <c r="W31" i="6"/>
  <c r="X54" i="6"/>
  <c r="AY54" i="6" s="1"/>
  <c r="V30" i="6"/>
  <c r="Y14" i="6"/>
  <c r="AZ14" i="6" s="1"/>
  <c r="R35" i="6"/>
  <c r="Y46" i="6"/>
  <c r="AZ46" i="6" s="1"/>
  <c r="AR38" i="6"/>
  <c r="V27" i="6"/>
  <c r="AH8" i="5"/>
  <c r="T9" i="6"/>
  <c r="P8" i="5"/>
  <c r="AR33" i="6"/>
  <c r="I41" i="6"/>
  <c r="W12" i="6"/>
  <c r="R48" i="6"/>
  <c r="U24" i="6"/>
  <c r="AV24" i="6" s="1"/>
  <c r="Z10" i="5"/>
  <c r="AI36" i="6"/>
  <c r="I33" i="6"/>
  <c r="AU30" i="5"/>
  <c r="K47" i="6"/>
  <c r="U17" i="6"/>
  <c r="AV17" i="6" s="1"/>
  <c r="Y39" i="6"/>
  <c r="AZ39" i="6" s="1"/>
  <c r="H40" i="6"/>
  <c r="I34" i="6"/>
  <c r="T32" i="6"/>
  <c r="U48" i="6"/>
  <c r="AV48" i="6" s="1"/>
  <c r="AW26" i="6"/>
  <c r="U13" i="6"/>
  <c r="AV13" i="6" s="1"/>
  <c r="I13" i="6"/>
  <c r="AU14" i="5"/>
  <c r="R41" i="6"/>
  <c r="AJ32" i="6"/>
  <c r="T49" i="6"/>
  <c r="T37" i="6"/>
  <c r="Z48" i="5"/>
  <c r="I39" i="6"/>
  <c r="AS45" i="6"/>
  <c r="V9" i="5"/>
  <c r="AW9" i="5" s="1"/>
  <c r="H15" i="6"/>
  <c r="AU18" i="5"/>
  <c r="AA18" i="5"/>
  <c r="U41" i="6"/>
  <c r="AV41" i="6" s="1"/>
  <c r="AI46" i="6"/>
  <c r="BB36" i="5"/>
  <c r="R20" i="6"/>
  <c r="AV45" i="6"/>
  <c r="BA25" i="5"/>
  <c r="AW13" i="6"/>
  <c r="AJ40" i="6"/>
  <c r="AZ36" i="6"/>
  <c r="Y43" i="6"/>
  <c r="AZ43" i="6" s="1"/>
  <c r="X19" i="6"/>
  <c r="AY19" i="6" s="1"/>
  <c r="AS23" i="6"/>
  <c r="AI40" i="6"/>
  <c r="X20" i="6"/>
  <c r="AY20" i="6" s="1"/>
  <c r="AU24" i="6"/>
  <c r="Y15" i="6"/>
  <c r="AX44" i="6"/>
  <c r="T14" i="6"/>
  <c r="AU14" i="6" s="1"/>
  <c r="U31" i="6"/>
  <c r="AV31" i="6" s="1"/>
  <c r="AI27" i="6"/>
  <c r="Q19" i="6"/>
  <c r="R45" i="6"/>
  <c r="Q36" i="6"/>
  <c r="AI11" i="6"/>
  <c r="AS28" i="6"/>
  <c r="BB51" i="5"/>
  <c r="W37" i="6"/>
  <c r="AX37" i="6" s="1"/>
  <c r="AX54" i="6"/>
  <c r="AU37" i="6"/>
  <c r="AA25" i="5"/>
  <c r="AJ42" i="6"/>
  <c r="H27" i="6"/>
  <c r="V9" i="6"/>
  <c r="AW9" i="6" s="1"/>
  <c r="U26" i="6"/>
  <c r="BA53" i="5"/>
  <c r="BB48" i="5"/>
  <c r="R13" i="6"/>
  <c r="Y12" i="6"/>
  <c r="AZ12" i="6" s="1"/>
  <c r="V44" i="6"/>
  <c r="AW44" i="6" s="1"/>
  <c r="AU29" i="6"/>
  <c r="AJ21" i="6"/>
  <c r="W28" i="6"/>
  <c r="Y48" i="6"/>
  <c r="AZ48" i="6" s="1"/>
  <c r="Y44" i="6"/>
  <c r="Y49" i="5"/>
  <c r="W39" i="6"/>
  <c r="AX39" i="6" s="1"/>
  <c r="V46" i="6"/>
  <c r="AW46" i="6" s="1"/>
  <c r="AI48" i="6"/>
  <c r="AI30" i="6"/>
  <c r="AW27" i="6"/>
  <c r="AN8" i="5"/>
  <c r="T16" i="6"/>
  <c r="P47" i="6"/>
  <c r="U10" i="6"/>
  <c r="AV10" i="6" s="1"/>
  <c r="BB55" i="5"/>
  <c r="X51" i="6"/>
  <c r="U29" i="6"/>
  <c r="AV29" i="6" s="1"/>
  <c r="Q52" i="6"/>
  <c r="Y27" i="6"/>
  <c r="AZ27" i="6" s="1"/>
  <c r="AQ47" i="6"/>
  <c r="U28" i="6"/>
  <c r="AV28" i="6" s="1"/>
  <c r="AR22" i="6"/>
  <c r="I9" i="6"/>
  <c r="BA38" i="5"/>
  <c r="W23" i="6"/>
  <c r="AX23" i="6" s="1"/>
  <c r="Y41" i="6"/>
  <c r="AE8" i="5"/>
  <c r="BA19" i="5"/>
  <c r="BB45" i="5"/>
  <c r="I53" i="6"/>
  <c r="R8" i="6"/>
  <c r="BB23" i="5"/>
  <c r="Q38" i="6"/>
  <c r="H54" i="6"/>
  <c r="B47" i="6"/>
  <c r="AI33" i="6"/>
  <c r="V16" i="6"/>
  <c r="AW16" i="6" s="1"/>
  <c r="AI14" i="6"/>
  <c r="BB53" i="5"/>
  <c r="H19" i="6"/>
  <c r="I46" i="6"/>
  <c r="T51" i="6"/>
  <c r="AU51" i="6" s="1"/>
  <c r="AJ30" i="6"/>
  <c r="AX43" i="6"/>
  <c r="BB24" i="5"/>
  <c r="V53" i="6"/>
  <c r="AW53" i="6" s="1"/>
  <c r="BA50" i="5"/>
  <c r="N47" i="6"/>
  <c r="H9" i="6"/>
  <c r="I12" i="6"/>
  <c r="AA55" i="5"/>
  <c r="T22" i="6"/>
  <c r="AU40" i="6"/>
  <c r="AJ27" i="6"/>
  <c r="H37" i="6"/>
  <c r="T45" i="6"/>
  <c r="AU45" i="6" s="1"/>
  <c r="V24" i="6"/>
  <c r="AW24" i="6" s="1"/>
  <c r="AY41" i="6"/>
  <c r="AJ14" i="6"/>
  <c r="X40" i="6"/>
  <c r="AY40" i="6" s="1"/>
  <c r="Y34" i="6"/>
  <c r="AZ34" i="6" s="1"/>
  <c r="N7" i="6"/>
  <c r="N6" i="6" s="1"/>
  <c r="R54" i="6"/>
  <c r="BA22" i="5"/>
  <c r="AJ24" i="6"/>
  <c r="Z29" i="5"/>
  <c r="Z46" i="5"/>
  <c r="Q16" i="6"/>
  <c r="M8" i="5"/>
  <c r="X53" i="6"/>
  <c r="BB37" i="5"/>
  <c r="V54" i="6"/>
  <c r="AV50" i="6"/>
  <c r="AR50" i="6"/>
  <c r="Z44" i="5"/>
  <c r="AS13" i="6"/>
  <c r="BA55" i="5"/>
  <c r="BA23" i="5"/>
  <c r="AA54" i="5"/>
  <c r="W36" i="6"/>
  <c r="AX36" i="6" s="1"/>
  <c r="AA23" i="5"/>
  <c r="BB19" i="5"/>
  <c r="AS50" i="6"/>
  <c r="I22" i="6"/>
  <c r="Q28" i="6"/>
  <c r="Z50" i="5"/>
  <c r="Q54" i="6"/>
  <c r="X9" i="5"/>
  <c r="AY9" i="5" s="1"/>
  <c r="AR49" i="5"/>
  <c r="T42" i="6"/>
  <c r="I48" i="6"/>
  <c r="I29" i="6"/>
  <c r="R10" i="6"/>
  <c r="Q18" i="6"/>
  <c r="E7" i="6"/>
  <c r="U21" i="6"/>
  <c r="AV21" i="6" s="1"/>
  <c r="H53" i="6"/>
  <c r="BB29" i="5"/>
  <c r="Q10" i="6"/>
  <c r="Q44" i="6"/>
  <c r="AI15" i="6"/>
  <c r="AL8" i="5"/>
  <c r="Z39" i="5"/>
  <c r="O47" i="6"/>
  <c r="AS53" i="6"/>
  <c r="BA26" i="5"/>
  <c r="T21" i="6"/>
  <c r="AU21" i="6" s="1"/>
  <c r="V25" i="6"/>
  <c r="AW25" i="6" s="1"/>
  <c r="AU32" i="6"/>
  <c r="H33" i="6"/>
  <c r="V28" i="6"/>
  <c r="R19" i="6"/>
  <c r="Y45" i="6"/>
  <c r="AZ20" i="6"/>
  <c r="AS39" i="6"/>
  <c r="X14" i="6"/>
  <c r="AY14" i="6" s="1"/>
  <c r="AU48" i="6"/>
  <c r="U9" i="6"/>
  <c r="AZ38" i="6"/>
  <c r="AG8" i="5"/>
  <c r="U30" i="6"/>
  <c r="U35" i="6"/>
  <c r="W9" i="5"/>
  <c r="F47" i="6"/>
  <c r="X47" i="6" s="1"/>
  <c r="Z19" i="5"/>
  <c r="AA19" i="5"/>
  <c r="AO47" i="6"/>
  <c r="AI24" i="6"/>
  <c r="Z22" i="5"/>
  <c r="AR40" i="6"/>
  <c r="BA40" i="5"/>
  <c r="BB54" i="5"/>
  <c r="AA39" i="5"/>
  <c r="T33" i="6"/>
  <c r="AU33" i="6" s="1"/>
  <c r="I17" i="6"/>
  <c r="AA35" i="5"/>
  <c r="T18" i="6"/>
  <c r="H8" i="6"/>
  <c r="X9" i="6"/>
  <c r="H21" i="6"/>
  <c r="AJ48" i="6"/>
  <c r="T53" i="6"/>
  <c r="R36" i="6"/>
  <c r="AA48" i="5"/>
  <c r="R44" i="6"/>
  <c r="Q24" i="6"/>
  <c r="AJ25" i="6"/>
  <c r="Q8" i="6"/>
  <c r="AA53" i="5"/>
  <c r="T19" i="6"/>
  <c r="AU19" i="6" s="1"/>
  <c r="AA21" i="5"/>
  <c r="H12" i="6"/>
  <c r="AW30" i="6"/>
  <c r="M47" i="6"/>
  <c r="T10" i="6"/>
  <c r="Z35" i="5"/>
  <c r="AZ15" i="6"/>
  <c r="T52" i="6"/>
  <c r="AU52" i="6" s="1"/>
  <c r="U27" i="6"/>
  <c r="T50" i="6"/>
  <c r="AU50" i="6" s="1"/>
  <c r="AR28" i="6"/>
  <c r="Y31" i="6"/>
  <c r="AZ31" i="6" s="1"/>
  <c r="W45" i="6"/>
  <c r="W38" i="6"/>
  <c r="AX38" i="6" s="1"/>
  <c r="X12" i="6"/>
  <c r="AY12" i="6" s="1"/>
  <c r="U15" i="6"/>
  <c r="V32" i="6"/>
  <c r="X35" i="6"/>
  <c r="AY35" i="6" s="1"/>
  <c r="W49" i="6"/>
  <c r="AX49" i="6" s="1"/>
  <c r="Y8" i="6"/>
  <c r="AZ8" i="6" s="1"/>
  <c r="Z38" i="5"/>
  <c r="Q31" i="6"/>
  <c r="Z20" i="5"/>
  <c r="AZ13" i="6"/>
  <c r="Z17" i="5"/>
  <c r="Z54" i="5"/>
  <c r="AA42" i="5"/>
  <c r="H38" i="6"/>
  <c r="Z23" i="5"/>
  <c r="R39" i="6"/>
  <c r="Z55" i="5"/>
  <c r="Z13" i="5"/>
  <c r="AU13" i="6"/>
  <c r="H29" i="6"/>
  <c r="AZ25" i="6"/>
  <c r="Q39" i="6"/>
  <c r="V11" i="6"/>
  <c r="AW11" i="6" s="1"/>
  <c r="W15" i="6"/>
  <c r="AX15" i="6" s="1"/>
  <c r="V49" i="6"/>
  <c r="W18" i="6"/>
  <c r="T9" i="5"/>
  <c r="AU9" i="5" s="1"/>
  <c r="AC8" i="5"/>
  <c r="BA52" i="5"/>
  <c r="BA35" i="5"/>
  <c r="BF8" i="4"/>
  <c r="AJ53" i="6" l="1"/>
  <c r="Q20" i="6"/>
  <c r="AA52" i="5"/>
  <c r="AI51" i="6"/>
  <c r="AA46" i="5"/>
  <c r="H44" i="6"/>
  <c r="V8" i="5"/>
  <c r="AA13" i="5"/>
  <c r="AU22" i="6"/>
  <c r="AJ31" i="6"/>
  <c r="T47" i="6"/>
  <c r="AU16" i="6"/>
  <c r="I35" i="6"/>
  <c r="AU18" i="6"/>
  <c r="H52" i="6"/>
  <c r="I51" i="6"/>
  <c r="G47" i="6"/>
  <c r="H23" i="6"/>
  <c r="AZ49" i="5"/>
  <c r="H31" i="6"/>
  <c r="AS54" i="6"/>
  <c r="BB14" i="5"/>
  <c r="BB40" i="5"/>
  <c r="P7" i="6"/>
  <c r="AI9" i="6"/>
  <c r="AD7" i="6"/>
  <c r="AJ43" i="6"/>
  <c r="H49" i="5"/>
  <c r="I38" i="6"/>
  <c r="AN47" i="6"/>
  <c r="AZ23" i="6"/>
  <c r="AS41" i="6"/>
  <c r="AG7" i="6"/>
  <c r="AC47" i="6"/>
  <c r="AS31" i="6"/>
  <c r="BA37" i="5"/>
  <c r="AJ17" i="6"/>
  <c r="BB43" i="5"/>
  <c r="Q30" i="6"/>
  <c r="AJ11" i="6"/>
  <c r="AF47" i="6"/>
  <c r="AU49" i="6"/>
  <c r="AX9" i="5"/>
  <c r="G7" i="6"/>
  <c r="AI9" i="5"/>
  <c r="AF7" i="6"/>
  <c r="AW20" i="6"/>
  <c r="R18" i="6"/>
  <c r="X34" i="6"/>
  <c r="AY34" i="6" s="1"/>
  <c r="I25" i="6"/>
  <c r="AX42" i="6"/>
  <c r="X15" i="6"/>
  <c r="AY15" i="6" s="1"/>
  <c r="BA20" i="5"/>
  <c r="BB35" i="5"/>
  <c r="BA27" i="5"/>
  <c r="W10" i="6"/>
  <c r="AX10" i="6" s="1"/>
  <c r="AI20" i="6"/>
  <c r="AI23" i="6"/>
  <c r="U43" i="6"/>
  <c r="AS10" i="6"/>
  <c r="R40" i="6"/>
  <c r="BB52" i="5"/>
  <c r="W22" i="6"/>
  <c r="AX22" i="6" s="1"/>
  <c r="BB22" i="5"/>
  <c r="U11" i="6"/>
  <c r="AV11" i="6" s="1"/>
  <c r="U46" i="6"/>
  <c r="AV46" i="6" s="1"/>
  <c r="H39" i="6"/>
  <c r="R23" i="6"/>
  <c r="Q33" i="6"/>
  <c r="AY11" i="6"/>
  <c r="D47" i="6"/>
  <c r="AS27" i="6"/>
  <c r="Q51" i="6"/>
  <c r="AN7" i="6"/>
  <c r="U51" i="6"/>
  <c r="AV51" i="6" s="1"/>
  <c r="W8" i="6"/>
  <c r="AX8" i="6" s="1"/>
  <c r="AZ18" i="6"/>
  <c r="X23" i="6"/>
  <c r="AY23" i="6" s="1"/>
  <c r="V22" i="6"/>
  <c r="AW22" i="6" s="1"/>
  <c r="I19" i="6"/>
  <c r="AS25" i="6"/>
  <c r="H24" i="6"/>
  <c r="BB42" i="5"/>
  <c r="Q14" i="6"/>
  <c r="I15" i="6"/>
  <c r="Q37" i="6"/>
  <c r="Q17" i="6"/>
  <c r="BB10" i="5"/>
  <c r="X49" i="5"/>
  <c r="AY49" i="5" s="1"/>
  <c r="AI13" i="6"/>
  <c r="AU46" i="6"/>
  <c r="R28" i="6"/>
  <c r="AI25" i="6"/>
  <c r="AI18" i="6"/>
  <c r="R52" i="6"/>
  <c r="AS44" i="6"/>
  <c r="BB34" i="5"/>
  <c r="V31" i="6"/>
  <c r="AW31" i="6" s="1"/>
  <c r="BB32" i="5"/>
  <c r="H30" i="6"/>
  <c r="AS51" i="6"/>
  <c r="AR21" i="6"/>
  <c r="BB50" i="5"/>
  <c r="BA45" i="5"/>
  <c r="U42" i="6"/>
  <c r="AV42" i="6" s="1"/>
  <c r="AI34" i="6"/>
  <c r="H22" i="6"/>
  <c r="BB25" i="5"/>
  <c r="D7" i="6"/>
  <c r="AZ21" i="6"/>
  <c r="AZ54" i="6"/>
  <c r="AI49" i="5"/>
  <c r="V40" i="6"/>
  <c r="AW40" i="6" s="1"/>
  <c r="BA51" i="5"/>
  <c r="AZ22" i="6"/>
  <c r="AH7" i="6"/>
  <c r="W52" i="6"/>
  <c r="AX52" i="6" s="1"/>
  <c r="Q29" i="6"/>
  <c r="V14" i="6"/>
  <c r="AW14" i="6" s="1"/>
  <c r="AZ19" i="6"/>
  <c r="Q35" i="6"/>
  <c r="Q53" i="6"/>
  <c r="R21" i="6"/>
  <c r="L7" i="6"/>
  <c r="AX29" i="6"/>
  <c r="AZ51" i="6"/>
  <c r="R50" i="6"/>
  <c r="AR20" i="6"/>
  <c r="X31" i="6"/>
  <c r="AY31" i="6" s="1"/>
  <c r="W16" i="6"/>
  <c r="AX16" i="6" s="1"/>
  <c r="W17" i="6"/>
  <c r="AX17" i="6" s="1"/>
  <c r="AS14" i="6"/>
  <c r="Q43" i="6"/>
  <c r="AV43" i="6"/>
  <c r="AS33" i="6"/>
  <c r="AS29" i="6"/>
  <c r="X42" i="6"/>
  <c r="AY42" i="6" s="1"/>
  <c r="AI21" i="6"/>
  <c r="AY49" i="6"/>
  <c r="AR35" i="6"/>
  <c r="AR39" i="6"/>
  <c r="AI12" i="6"/>
  <c r="X21" i="6"/>
  <c r="AY21" i="6" s="1"/>
  <c r="AS22" i="6"/>
  <c r="U14" i="6"/>
  <c r="AV14" i="6" s="1"/>
  <c r="AZ17" i="6"/>
  <c r="R46" i="6"/>
  <c r="Q9" i="5"/>
  <c r="V34" i="6"/>
  <c r="AX25" i="6"/>
  <c r="R38" i="6"/>
  <c r="AE47" i="6"/>
  <c r="BA12" i="5"/>
  <c r="BB12" i="5"/>
  <c r="AF6" i="6"/>
  <c r="X37" i="6"/>
  <c r="AY37" i="6" s="1"/>
  <c r="BB13" i="5"/>
  <c r="AA51" i="5"/>
  <c r="AF8" i="5"/>
  <c r="AJ8" i="5" s="1"/>
  <c r="AJ52" i="6"/>
  <c r="AU53" i="6"/>
  <c r="I50" i="6"/>
  <c r="H11" i="6"/>
  <c r="AA11" i="5"/>
  <c r="AW28" i="6"/>
  <c r="AW39" i="6"/>
  <c r="M7" i="6"/>
  <c r="V7" i="6" s="1"/>
  <c r="AA29" i="5"/>
  <c r="BA47" i="5"/>
  <c r="Z45" i="5"/>
  <c r="R42" i="6"/>
  <c r="AR29" i="6"/>
  <c r="H51" i="6"/>
  <c r="AI41" i="6"/>
  <c r="I24" i="6"/>
  <c r="AA15" i="5"/>
  <c r="AR10" i="6"/>
  <c r="Y28" i="6"/>
  <c r="AZ28" i="6" s="1"/>
  <c r="AJ35" i="6"/>
  <c r="I45" i="6"/>
  <c r="U49" i="6"/>
  <c r="AV49" i="6" s="1"/>
  <c r="BB39" i="5"/>
  <c r="AW34" i="6"/>
  <c r="AI54" i="6"/>
  <c r="I18" i="6"/>
  <c r="V45" i="6"/>
  <c r="AW45" i="6" s="1"/>
  <c r="AA56" i="5"/>
  <c r="Z28" i="5"/>
  <c r="H41" i="6"/>
  <c r="BA18" i="5"/>
  <c r="I10" i="6"/>
  <c r="E8" i="5"/>
  <c r="T49" i="5"/>
  <c r="AU49" i="5" s="1"/>
  <c r="AR41" i="6"/>
  <c r="BA21" i="5"/>
  <c r="L47" i="6"/>
  <c r="R47" i="6" s="1"/>
  <c r="BA10" i="5"/>
  <c r="Q50" i="6"/>
  <c r="Z30" i="5"/>
  <c r="AJ20" i="6"/>
  <c r="AX12" i="6"/>
  <c r="W21" i="6"/>
  <c r="AX21" i="6" s="1"/>
  <c r="H32" i="6"/>
  <c r="Z18" i="5"/>
  <c r="Y9" i="6"/>
  <c r="AZ9" i="6" s="1"/>
  <c r="AV38" i="6"/>
  <c r="AU31" i="6"/>
  <c r="Y29" i="6"/>
  <c r="AZ29" i="6" s="1"/>
  <c r="U9" i="5"/>
  <c r="C8" i="5"/>
  <c r="U8" i="5" s="1"/>
  <c r="Q42" i="6"/>
  <c r="AR48" i="6"/>
  <c r="AS48" i="6"/>
  <c r="AJ8" i="6"/>
  <c r="AI8" i="6"/>
  <c r="X39" i="6"/>
  <c r="AY39" i="6" s="1"/>
  <c r="AW29" i="6"/>
  <c r="Y50" i="6"/>
  <c r="AZ50" i="6" s="1"/>
  <c r="AI45" i="6"/>
  <c r="H10" i="6"/>
  <c r="U37" i="6"/>
  <c r="AV37" i="6" s="1"/>
  <c r="BA42" i="5"/>
  <c r="W46" i="6"/>
  <c r="AX46" i="6" s="1"/>
  <c r="BA46" i="6" s="1"/>
  <c r="AY45" i="6"/>
  <c r="AU54" i="6"/>
  <c r="V18" i="6"/>
  <c r="Y32" i="6"/>
  <c r="AZ32" i="6" s="1"/>
  <c r="F8" i="5"/>
  <c r="AS35" i="6"/>
  <c r="AS38" i="6"/>
  <c r="R37" i="6"/>
  <c r="X32" i="6"/>
  <c r="AY32" i="6" s="1"/>
  <c r="AS46" i="6"/>
  <c r="AR46" i="6"/>
  <c r="X50" i="6"/>
  <c r="AY50" i="6" s="1"/>
  <c r="AV36" i="6"/>
  <c r="W14" i="6"/>
  <c r="AX14" i="6" s="1"/>
  <c r="AJ50" i="6"/>
  <c r="AI50" i="6"/>
  <c r="AV32" i="6"/>
  <c r="U20" i="6"/>
  <c r="AV20" i="6" s="1"/>
  <c r="X29" i="6"/>
  <c r="AY29" i="6" s="1"/>
  <c r="BB29" i="6" s="1"/>
  <c r="AV9" i="5"/>
  <c r="AM8" i="5"/>
  <c r="AU16" i="5"/>
  <c r="AA16" i="5"/>
  <c r="Z16" i="5"/>
  <c r="BA14" i="5"/>
  <c r="I49" i="5"/>
  <c r="H25" i="6"/>
  <c r="AA43" i="5"/>
  <c r="I31" i="6"/>
  <c r="AW32" i="6"/>
  <c r="V23" i="6"/>
  <c r="AW23" i="6" s="1"/>
  <c r="R29" i="6"/>
  <c r="AA34" i="5"/>
  <c r="Q12" i="6"/>
  <c r="Q23" i="6"/>
  <c r="AA32" i="5"/>
  <c r="AI26" i="6"/>
  <c r="BA33" i="5"/>
  <c r="AA24" i="5"/>
  <c r="F7" i="6"/>
  <c r="I42" i="6"/>
  <c r="H16" i="6"/>
  <c r="AS20" i="6"/>
  <c r="AJ49" i="5"/>
  <c r="AH47" i="6"/>
  <c r="AS9" i="6"/>
  <c r="Q27" i="6"/>
  <c r="R30" i="6"/>
  <c r="H50" i="6"/>
  <c r="AR34" i="6"/>
  <c r="I11" i="6"/>
  <c r="AR30" i="6"/>
  <c r="AI49" i="6"/>
  <c r="AA44" i="5"/>
  <c r="AA33" i="6"/>
  <c r="BB27" i="5"/>
  <c r="AA25" i="6"/>
  <c r="Z25" i="6"/>
  <c r="AX18" i="6"/>
  <c r="X13" i="6"/>
  <c r="AY13" i="6" s="1"/>
  <c r="H42" i="6"/>
  <c r="AA27" i="5"/>
  <c r="I43" i="6"/>
  <c r="AA26" i="5"/>
  <c r="AA36" i="5"/>
  <c r="AV15" i="6"/>
  <c r="W30" i="6"/>
  <c r="AX30" i="6" s="1"/>
  <c r="X36" i="6"/>
  <c r="AY36" i="6" s="1"/>
  <c r="AR37" i="6"/>
  <c r="Z52" i="5"/>
  <c r="AI17" i="6"/>
  <c r="R26" i="6"/>
  <c r="C47" i="6"/>
  <c r="U47" i="6" s="1"/>
  <c r="AJ16" i="6"/>
  <c r="R33" i="6"/>
  <c r="V8" i="6"/>
  <c r="AW8" i="6" s="1"/>
  <c r="Z47" i="5"/>
  <c r="AA37" i="5"/>
  <c r="Z27" i="5"/>
  <c r="AA40" i="5"/>
  <c r="AA17" i="5"/>
  <c r="AA20" i="5"/>
  <c r="I26" i="6"/>
  <c r="Z33" i="5"/>
  <c r="AV30" i="6"/>
  <c r="AV9" i="6"/>
  <c r="AR43" i="6"/>
  <c r="AZ45" i="6"/>
  <c r="R43" i="6"/>
  <c r="I14" i="6"/>
  <c r="R16" i="6"/>
  <c r="AA22" i="5"/>
  <c r="AJ49" i="6"/>
  <c r="AM7" i="6"/>
  <c r="AS32" i="6"/>
  <c r="AW54" i="6"/>
  <c r="H28" i="6"/>
  <c r="AJ9" i="6"/>
  <c r="AA33" i="5"/>
  <c r="BB44" i="5"/>
  <c r="AM47" i="6"/>
  <c r="Q26" i="6"/>
  <c r="R14" i="6"/>
  <c r="AS42" i="6"/>
  <c r="H46" i="6"/>
  <c r="Q21" i="6"/>
  <c r="BA34" i="5"/>
  <c r="AI52" i="6"/>
  <c r="AS49" i="5"/>
  <c r="AI35" i="6"/>
  <c r="Z21" i="5"/>
  <c r="R53" i="6"/>
  <c r="Q25" i="6"/>
  <c r="R22" i="6"/>
  <c r="AS19" i="6"/>
  <c r="AE7" i="6"/>
  <c r="AJ44" i="6"/>
  <c r="AW15" i="6"/>
  <c r="AZ41" i="6"/>
  <c r="AG47" i="6"/>
  <c r="I30" i="6"/>
  <c r="AJ18" i="6"/>
  <c r="AS15" i="6"/>
  <c r="AZ44" i="6"/>
  <c r="AL47" i="6"/>
  <c r="AU47" i="6" s="1"/>
  <c r="AR51" i="6"/>
  <c r="R12" i="6"/>
  <c r="Y40" i="6"/>
  <c r="AZ40" i="6" s="1"/>
  <c r="AJ39" i="6"/>
  <c r="BB20" i="5"/>
  <c r="H35" i="6"/>
  <c r="I32" i="6"/>
  <c r="AS49" i="6"/>
  <c r="Q15" i="6"/>
  <c r="AJ34" i="6"/>
  <c r="AR31" i="6"/>
  <c r="AJ13" i="6"/>
  <c r="AR9" i="5"/>
  <c r="X48" i="6"/>
  <c r="AY48" i="6" s="1"/>
  <c r="AU28" i="6"/>
  <c r="BB31" i="5"/>
  <c r="B8" i="5"/>
  <c r="H13" i="6"/>
  <c r="AU25" i="6"/>
  <c r="I36" i="6"/>
  <c r="AJ37" i="6"/>
  <c r="AI37" i="6"/>
  <c r="AZ35" i="6"/>
  <c r="AS37" i="6"/>
  <c r="X38" i="6"/>
  <c r="AY38" i="6" s="1"/>
  <c r="V52" i="6"/>
  <c r="AW52" i="6" s="1"/>
  <c r="BA46" i="5"/>
  <c r="X26" i="6"/>
  <c r="AY26" i="6" s="1"/>
  <c r="AZ16" i="6"/>
  <c r="BB26" i="5"/>
  <c r="AR16" i="6"/>
  <c r="U44" i="6"/>
  <c r="Z44" i="6" s="1"/>
  <c r="AJ22" i="6"/>
  <c r="V42" i="6"/>
  <c r="AW42" i="6" s="1"/>
  <c r="T20" i="6"/>
  <c r="AU20" i="6" s="1"/>
  <c r="H20" i="6"/>
  <c r="AU15" i="6"/>
  <c r="Q48" i="6"/>
  <c r="Q9" i="6"/>
  <c r="W40" i="6"/>
  <c r="AX40" i="6" s="1"/>
  <c r="U16" i="6"/>
  <c r="AV16" i="6" s="1"/>
  <c r="AR53" i="6"/>
  <c r="AU15" i="5"/>
  <c r="BB15" i="5" s="1"/>
  <c r="Z15" i="5"/>
  <c r="V43" i="6"/>
  <c r="AW43" i="6" s="1"/>
  <c r="AS40" i="6"/>
  <c r="U18" i="6"/>
  <c r="AV18" i="6" s="1"/>
  <c r="W48" i="6"/>
  <c r="X8" i="6"/>
  <c r="AY8" i="6" s="1"/>
  <c r="R34" i="6"/>
  <c r="Y37" i="6"/>
  <c r="AZ37" i="6" s="1"/>
  <c r="AU43" i="6"/>
  <c r="BA11" i="5"/>
  <c r="T35" i="6"/>
  <c r="X46" i="6"/>
  <c r="AY46" i="6" s="1"/>
  <c r="W19" i="6"/>
  <c r="AX19" i="6" s="1"/>
  <c r="BA19" i="6" s="1"/>
  <c r="Y53" i="6"/>
  <c r="AZ53" i="6" s="1"/>
  <c r="R24" i="6"/>
  <c r="AU27" i="6"/>
  <c r="T36" i="6"/>
  <c r="AU36" i="6" s="1"/>
  <c r="AR12" i="6"/>
  <c r="T39" i="6"/>
  <c r="Q32" i="6"/>
  <c r="R51" i="6"/>
  <c r="W41" i="6"/>
  <c r="H18" i="6"/>
  <c r="U39" i="6"/>
  <c r="AV39" i="6" s="1"/>
  <c r="V50" i="6"/>
  <c r="AW50" i="6" s="1"/>
  <c r="G6" i="6"/>
  <c r="AY16" i="6"/>
  <c r="BA15" i="5"/>
  <c r="AX41" i="6"/>
  <c r="BA41" i="6" s="1"/>
  <c r="T17" i="6"/>
  <c r="K8" i="5"/>
  <c r="T8" i="5" s="1"/>
  <c r="Z37" i="5"/>
  <c r="AX45" i="6"/>
  <c r="AV27" i="6"/>
  <c r="I9" i="5"/>
  <c r="AY9" i="6"/>
  <c r="R17" i="6"/>
  <c r="Z24" i="5"/>
  <c r="R9" i="5"/>
  <c r="AA50" i="5"/>
  <c r="AV35" i="6"/>
  <c r="W53" i="6"/>
  <c r="AX53" i="6" s="1"/>
  <c r="AA47" i="5"/>
  <c r="I27" i="6"/>
  <c r="H43" i="6"/>
  <c r="V49" i="5"/>
  <c r="AW49" i="5" s="1"/>
  <c r="E47" i="6"/>
  <c r="AR27" i="6"/>
  <c r="AI43" i="6"/>
  <c r="R11" i="6"/>
  <c r="I44" i="6"/>
  <c r="Z43" i="5"/>
  <c r="AA38" i="5"/>
  <c r="K7" i="6"/>
  <c r="K6" i="6" s="1"/>
  <c r="Z34" i="5"/>
  <c r="AY51" i="6"/>
  <c r="AJ10" i="6"/>
  <c r="AX28" i="6"/>
  <c r="Z46" i="6"/>
  <c r="X24" i="6"/>
  <c r="AY24" i="6" s="1"/>
  <c r="AW49" i="6"/>
  <c r="BA49" i="6" s="1"/>
  <c r="W27" i="6"/>
  <c r="AX27" i="6" s="1"/>
  <c r="I8" i="6"/>
  <c r="AS18" i="6"/>
  <c r="Z42" i="5"/>
  <c r="Z51" i="5"/>
  <c r="Z40" i="5"/>
  <c r="Z36" i="5"/>
  <c r="AU10" i="6"/>
  <c r="AC7" i="6"/>
  <c r="Z12" i="5"/>
  <c r="BA32" i="5"/>
  <c r="C7" i="6"/>
  <c r="U7" i="6" s="1"/>
  <c r="AV7" i="6" s="1"/>
  <c r="AL7" i="6"/>
  <c r="B7" i="6"/>
  <c r="AA45" i="5"/>
  <c r="Z32" i="5"/>
  <c r="Z53" i="5"/>
  <c r="AS21" i="6"/>
  <c r="AJ41" i="6"/>
  <c r="AV54" i="6"/>
  <c r="I54" i="6"/>
  <c r="O7" i="6"/>
  <c r="O6" i="6" s="1"/>
  <c r="BB17" i="5"/>
  <c r="AR44" i="6"/>
  <c r="AS26" i="6"/>
  <c r="AA42" i="6"/>
  <c r="Z26" i="5"/>
  <c r="R49" i="5"/>
  <c r="AY53" i="6"/>
  <c r="AJ38" i="6"/>
  <c r="G8" i="5"/>
  <c r="Y8" i="5" s="1"/>
  <c r="AZ8" i="5" s="1"/>
  <c r="I28" i="6"/>
  <c r="Z11" i="5"/>
  <c r="Q11" i="6"/>
  <c r="AI38" i="6"/>
  <c r="AS9" i="5"/>
  <c r="I52" i="6"/>
  <c r="R25" i="6"/>
  <c r="Z56" i="5"/>
  <c r="Z25" i="5"/>
  <c r="Z14" i="5"/>
  <c r="I16" i="6"/>
  <c r="AR9" i="6"/>
  <c r="AI28" i="6"/>
  <c r="AJ19" i="6"/>
  <c r="AA10" i="5"/>
  <c r="H9" i="5"/>
  <c r="Z31" i="5"/>
  <c r="AA14" i="5"/>
  <c r="I20" i="6"/>
  <c r="H34" i="6"/>
  <c r="H17" i="6"/>
  <c r="AA31" i="5"/>
  <c r="AA12" i="5"/>
  <c r="AX31" i="6"/>
  <c r="AA30" i="5"/>
  <c r="V51" i="6"/>
  <c r="AW51" i="6" s="1"/>
  <c r="I37" i="6"/>
  <c r="AR36" i="6"/>
  <c r="AS36" i="6"/>
  <c r="O8" i="5"/>
  <c r="AZ9" i="5"/>
  <c r="BB9" i="5" s="1"/>
  <c r="AS12" i="6"/>
  <c r="H14" i="6"/>
  <c r="BA29" i="5"/>
  <c r="AS52" i="6"/>
  <c r="R15" i="6"/>
  <c r="Q49" i="6"/>
  <c r="X17" i="6"/>
  <c r="AY17" i="6" s="1"/>
  <c r="AR25" i="6"/>
  <c r="AJ45" i="6"/>
  <c r="AX33" i="6"/>
  <c r="BA33" i="6" s="1"/>
  <c r="U22" i="6"/>
  <c r="AV22" i="6" s="1"/>
  <c r="BA22" i="6" s="1"/>
  <c r="U23" i="6"/>
  <c r="AV23" i="6" s="1"/>
  <c r="V21" i="6"/>
  <c r="AW21" i="6" s="1"/>
  <c r="W34" i="6"/>
  <c r="AX34" i="6" s="1"/>
  <c r="AS17" i="6"/>
  <c r="AW33" i="6"/>
  <c r="BB56" i="5"/>
  <c r="BA56" i="5"/>
  <c r="X28" i="6"/>
  <c r="AY28" i="6" s="1"/>
  <c r="AA28" i="5"/>
  <c r="AS11" i="6"/>
  <c r="AR11" i="6"/>
  <c r="N8" i="5"/>
  <c r="Q8" i="5" s="1"/>
  <c r="I21" i="6"/>
  <c r="U52" i="6"/>
  <c r="AV52" i="6" s="1"/>
  <c r="AU23" i="6"/>
  <c r="BB23" i="6" s="1"/>
  <c r="W26" i="6"/>
  <c r="AX26" i="6" s="1"/>
  <c r="AW10" i="6"/>
  <c r="U40" i="6"/>
  <c r="AV40" i="6" s="1"/>
  <c r="BB40" i="6" s="1"/>
  <c r="W9" i="6"/>
  <c r="AX9" i="6" s="1"/>
  <c r="BB9" i="6" s="1"/>
  <c r="I49" i="6"/>
  <c r="H49" i="6"/>
  <c r="AU41" i="5"/>
  <c r="BA41" i="5" s="1"/>
  <c r="Z41" i="5"/>
  <c r="AA41" i="5"/>
  <c r="AR24" i="6"/>
  <c r="U12" i="6"/>
  <c r="AV12" i="6" s="1"/>
  <c r="Y49" i="6"/>
  <c r="AZ49" i="6" s="1"/>
  <c r="BB49" i="6" s="1"/>
  <c r="AD47" i="6"/>
  <c r="AD6" i="6" s="1"/>
  <c r="AJ46" i="6"/>
  <c r="U34" i="6"/>
  <c r="U49" i="5"/>
  <c r="AV49" i="5" s="1"/>
  <c r="AU28" i="5"/>
  <c r="W32" i="6"/>
  <c r="AX32" i="6" s="1"/>
  <c r="BA43" i="5"/>
  <c r="AA48" i="6"/>
  <c r="AA46" i="6"/>
  <c r="AS7" i="6"/>
  <c r="Z41" i="6"/>
  <c r="BA31" i="6"/>
  <c r="BA45" i="6"/>
  <c r="AA32" i="6"/>
  <c r="BA13" i="6"/>
  <c r="BA8" i="6"/>
  <c r="Y7" i="6"/>
  <c r="AV26" i="6"/>
  <c r="BA26" i="6" s="1"/>
  <c r="AQ6" i="6"/>
  <c r="AG6" i="6"/>
  <c r="BB31" i="6"/>
  <c r="AI7" i="6"/>
  <c r="BB32" i="6"/>
  <c r="Y47" i="6"/>
  <c r="AZ47" i="6" s="1"/>
  <c r="Z11" i="6"/>
  <c r="Z32" i="6"/>
  <c r="Z45" i="6"/>
  <c r="AH6" i="6"/>
  <c r="BA54" i="6"/>
  <c r="BB41" i="6"/>
  <c r="BA30" i="5"/>
  <c r="BB30" i="5"/>
  <c r="W7" i="6"/>
  <c r="AX7" i="6" s="1"/>
  <c r="AA20" i="6"/>
  <c r="Z30" i="6"/>
  <c r="BA9" i="5"/>
  <c r="BB11" i="6"/>
  <c r="BB25" i="6"/>
  <c r="BA50" i="6"/>
  <c r="M6" i="6"/>
  <c r="BB19" i="6"/>
  <c r="AY47" i="6"/>
  <c r="AR8" i="5"/>
  <c r="BB18" i="5"/>
  <c r="AA40" i="6"/>
  <c r="P6" i="6"/>
  <c r="AA54" i="6"/>
  <c r="Z42" i="6"/>
  <c r="Z9" i="6"/>
  <c r="BA30" i="6"/>
  <c r="BA51" i="6"/>
  <c r="BA16" i="6"/>
  <c r="AA37" i="6"/>
  <c r="AU42" i="6"/>
  <c r="Q47" i="6"/>
  <c r="BA32" i="6"/>
  <c r="I47" i="6"/>
  <c r="Z50" i="6"/>
  <c r="Z40" i="6"/>
  <c r="BA11" i="6"/>
  <c r="AA31" i="6"/>
  <c r="Z14" i="6"/>
  <c r="AA51" i="6"/>
  <c r="Z33" i="6"/>
  <c r="Z51" i="6"/>
  <c r="AA9" i="6"/>
  <c r="AS8" i="5"/>
  <c r="AC6" i="6"/>
  <c r="BB51" i="6"/>
  <c r="Z37" i="6"/>
  <c r="Z19" i="6"/>
  <c r="Z52" i="6"/>
  <c r="Z22" i="6"/>
  <c r="Z16" i="6"/>
  <c r="AA19" i="6"/>
  <c r="Z31" i="6"/>
  <c r="Z38" i="6"/>
  <c r="BB36" i="6"/>
  <c r="D6" i="6"/>
  <c r="AW8" i="5"/>
  <c r="BA40" i="6"/>
  <c r="AN6" i="6"/>
  <c r="BB43" i="6"/>
  <c r="Z9" i="5"/>
  <c r="AA9" i="5"/>
  <c r="AA11" i="6"/>
  <c r="AA41" i="6"/>
  <c r="AA38" i="6"/>
  <c r="BA14" i="6"/>
  <c r="BB45" i="6"/>
  <c r="AZ7" i="6"/>
  <c r="BB54" i="6"/>
  <c r="BA24" i="6"/>
  <c r="BB24" i="6"/>
  <c r="Z10" i="6"/>
  <c r="BB16" i="6"/>
  <c r="BB14" i="6"/>
  <c r="Z21" i="6"/>
  <c r="BA43" i="6"/>
  <c r="AA49" i="6"/>
  <c r="Z43" i="6"/>
  <c r="AA43" i="6"/>
  <c r="Z27" i="6"/>
  <c r="Z24" i="6"/>
  <c r="AA24" i="6"/>
  <c r="AA27" i="6"/>
  <c r="AJ7" i="6"/>
  <c r="B6" i="6"/>
  <c r="Z54" i="6"/>
  <c r="AA10" i="6"/>
  <c r="AR7" i="6"/>
  <c r="AA52" i="6"/>
  <c r="AA14" i="6"/>
  <c r="BB13" i="6"/>
  <c r="BB30" i="6"/>
  <c r="AJ47" i="6"/>
  <c r="BA25" i="6"/>
  <c r="I7" i="6"/>
  <c r="AA13" i="6"/>
  <c r="BA36" i="6"/>
  <c r="Z15" i="6"/>
  <c r="Z8" i="6"/>
  <c r="X7" i="6"/>
  <c r="AY7" i="6" s="1"/>
  <c r="AA15" i="6"/>
  <c r="Z12" i="6"/>
  <c r="AO6" i="6"/>
  <c r="AE6" i="6"/>
  <c r="F6" i="6"/>
  <c r="X6" i="6" s="1"/>
  <c r="AS47" i="6"/>
  <c r="Z13" i="6"/>
  <c r="AI47" i="6"/>
  <c r="AA8" i="6"/>
  <c r="AU8" i="5"/>
  <c r="AA36" i="6"/>
  <c r="H7" i="6"/>
  <c r="Z36" i="6"/>
  <c r="BA29" i="6"/>
  <c r="AA12" i="6"/>
  <c r="AA30" i="6"/>
  <c r="Z49" i="6"/>
  <c r="V47" i="6"/>
  <c r="AW47" i="6" s="1"/>
  <c r="BA15" i="6" l="1"/>
  <c r="BB15" i="6"/>
  <c r="BA52" i="6"/>
  <c r="BB52" i="6"/>
  <c r="V6" i="6"/>
  <c r="BB28" i="6"/>
  <c r="BB53" i="6"/>
  <c r="BA27" i="6"/>
  <c r="AA18" i="6"/>
  <c r="BB50" i="6"/>
  <c r="AV8" i="5"/>
  <c r="BB21" i="6"/>
  <c r="BB10" i="6"/>
  <c r="AM6" i="6"/>
  <c r="AV47" i="6"/>
  <c r="AA16" i="6"/>
  <c r="BB33" i="6"/>
  <c r="BA42" i="6"/>
  <c r="AW7" i="6"/>
  <c r="BA12" i="6"/>
  <c r="BB12" i="6"/>
  <c r="BB20" i="6"/>
  <c r="BA20" i="6"/>
  <c r="BA37" i="6"/>
  <c r="BB37" i="6"/>
  <c r="BA49" i="5"/>
  <c r="BB49" i="5"/>
  <c r="AU17" i="6"/>
  <c r="BA17" i="6" s="1"/>
  <c r="AA17" i="6"/>
  <c r="AU39" i="6"/>
  <c r="BA39" i="6" s="1"/>
  <c r="AA39" i="6"/>
  <c r="Z39" i="6"/>
  <c r="AA35" i="6"/>
  <c r="AU35" i="6"/>
  <c r="AW18" i="6"/>
  <c r="AI8" i="5"/>
  <c r="AA44" i="6"/>
  <c r="Z20" i="6"/>
  <c r="C6" i="6"/>
  <c r="Z28" i="6"/>
  <c r="BB46" i="6"/>
  <c r="BB22" i="6"/>
  <c r="AA29" i="6"/>
  <c r="BB8" i="6"/>
  <c r="BB16" i="5"/>
  <c r="BA16" i="5"/>
  <c r="BB39" i="6"/>
  <c r="L6" i="6"/>
  <c r="BB28" i="5"/>
  <c r="BA28" i="5"/>
  <c r="BB17" i="6"/>
  <c r="BA38" i="6"/>
  <c r="AV44" i="6"/>
  <c r="AA53" i="6"/>
  <c r="R7" i="6"/>
  <c r="Q7" i="6"/>
  <c r="AR47" i="6"/>
  <c r="AA21" i="6"/>
  <c r="AA23" i="6"/>
  <c r="Z53" i="6"/>
  <c r="AA49" i="5"/>
  <c r="AJ6" i="6"/>
  <c r="BB27" i="6"/>
  <c r="BA53" i="6"/>
  <c r="H47" i="6"/>
  <c r="R8" i="5"/>
  <c r="AL6" i="6"/>
  <c r="AA50" i="6"/>
  <c r="Y6" i="6"/>
  <c r="AZ6" i="6" s="1"/>
  <c r="BB38" i="6"/>
  <c r="AA22" i="6"/>
  <c r="Z23" i="6"/>
  <c r="Z29" i="6"/>
  <c r="AV34" i="6"/>
  <c r="AA34" i="6"/>
  <c r="Z34" i="6"/>
  <c r="BA21" i="6"/>
  <c r="T7" i="6"/>
  <c r="AU7" i="6" s="1"/>
  <c r="Z26" i="6"/>
  <c r="AX48" i="6"/>
  <c r="Z48" i="6"/>
  <c r="BB41" i="5"/>
  <c r="X8" i="5"/>
  <c r="AY8" i="5" s="1"/>
  <c r="W8" i="5"/>
  <c r="AA26" i="6"/>
  <c r="Z49" i="5"/>
  <c r="BA28" i="6"/>
  <c r="T6" i="6"/>
  <c r="AU6" i="6" s="1"/>
  <c r="Z35" i="6"/>
  <c r="BA9" i="6"/>
  <c r="AA28" i="6"/>
  <c r="Z18" i="6"/>
  <c r="AA45" i="6"/>
  <c r="Z17" i="6"/>
  <c r="BB42" i="6"/>
  <c r="BA10" i="6"/>
  <c r="BA23" i="6"/>
  <c r="E6" i="6"/>
  <c r="W6" i="6" s="1"/>
  <c r="W47" i="6"/>
  <c r="AX47" i="6" s="1"/>
  <c r="BA47" i="6" s="1"/>
  <c r="H8" i="5"/>
  <c r="I8" i="5"/>
  <c r="Q6" i="6"/>
  <c r="BB7" i="6"/>
  <c r="AI6" i="6"/>
  <c r="AY6" i="6"/>
  <c r="BB26" i="6"/>
  <c r="AW6" i="6"/>
  <c r="R6" i="6"/>
  <c r="AS6" i="6"/>
  <c r="AR6" i="6"/>
  <c r="AX6" i="6"/>
  <c r="BB47" i="6"/>
  <c r="BA7" i="6"/>
  <c r="AA47" i="6"/>
  <c r="Z7" i="6"/>
  <c r="AA7" i="6"/>
  <c r="AA8" i="5" l="1"/>
  <c r="U6" i="6"/>
  <c r="AX8" i="5"/>
  <c r="BA18" i="6"/>
  <c r="BB18" i="6"/>
  <c r="Z8" i="5"/>
  <c r="BB35" i="6"/>
  <c r="BA35" i="6"/>
  <c r="BB48" i="6"/>
  <c r="BA48" i="6"/>
  <c r="BB34" i="6"/>
  <c r="BA34" i="6"/>
  <c r="BA44" i="6"/>
  <c r="BB44" i="6"/>
  <c r="Z6" i="6"/>
  <c r="H6" i="6"/>
  <c r="Z47" i="6"/>
  <c r="I6" i="6"/>
  <c r="AV6" i="6" l="1"/>
  <c r="AA6" i="6"/>
  <c r="BA8" i="5"/>
  <c r="BB8" i="5"/>
  <c r="BA6" i="6" l="1"/>
  <c r="BB6" i="6"/>
</calcChain>
</file>

<file path=xl/sharedStrings.xml><?xml version="1.0" encoding="utf-8"?>
<sst xmlns="http://schemas.openxmlformats.org/spreadsheetml/2006/main" count="16418" uniqueCount="246">
  <si>
    <r>
      <t>FIRE STATISTICS TABLE 1121: Staff joining fire authorities (headcount</t>
    </r>
    <r>
      <rPr>
        <b/>
        <vertAlign val="superscript"/>
        <sz val="11"/>
        <color rgb="FFFFFFFF"/>
        <rFont val="Arial Black"/>
        <family val="2"/>
      </rPr>
      <t>1</t>
    </r>
    <r>
      <rPr>
        <b/>
        <sz val="11"/>
        <color rgb="FFFFFFFF"/>
        <rFont val="Arial Black"/>
        <family val="2"/>
      </rPr>
      <t>), by fire and rescue authority, ethnicity and role in 2016/17</t>
    </r>
  </si>
  <si>
    <t>Wholetime</t>
  </si>
  <si>
    <t>Total Firefighters</t>
  </si>
  <si>
    <t>Fire Control</t>
  </si>
  <si>
    <t>Support Staff</t>
  </si>
  <si>
    <t>Total Staff</t>
  </si>
  <si>
    <t>FRA</t>
  </si>
  <si>
    <t>White</t>
  </si>
  <si>
    <t>Mixed</t>
  </si>
  <si>
    <t>Asian or Asian British</t>
  </si>
  <si>
    <t>Black or Black British</t>
  </si>
  <si>
    <t>Chinese or Other Ethnicity</t>
  </si>
  <si>
    <t>Ethnic origin Not Stated</t>
  </si>
  <si>
    <t>% from an ethnic minority</t>
  </si>
  <si>
    <t>% not stated</t>
  </si>
  <si>
    <t>England</t>
  </si>
  <si>
    <t>Non Metropolitan fire and rescue authorities</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</si>
  <si>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</si>
  <si>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</si>
  <si>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</si>
  <si>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</si>
  <si>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</si>
  <si>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</si>
  <si>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</si>
  <si>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</si>
  <si>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</si>
  <si>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</si>
  <si>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</si>
  <si>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</si>
  <si>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</si>
  <si>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</si>
  <si>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</si>
  <si>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</si>
  <si>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Hampshire</t>
  </si>
  <si>
    <t>Hereford and Worcester</t>
  </si>
  <si>
    <t>Hertfordshire</t>
  </si>
  <si>
    <t>Humberside</t>
  </si>
  <si>
    <t>Isle Of Wight</t>
  </si>
  <si>
    <t>Kent</t>
  </si>
  <si>
    <t>Lancashire</t>
  </si>
  <si>
    <t>Leicestershire</t>
  </si>
  <si>
    <t>Lincolnshire</t>
  </si>
  <si>
    <t>Norfolk</t>
  </si>
  <si>
    <t>North West Fire Control</t>
  </si>
  <si>
    <t>North Yorkshire</t>
  </si>
  <si>
    <t>Northamptonshire</t>
  </si>
  <si>
    <t>Northumberland</t>
  </si>
  <si>
    <t>Nottinghamshire</t>
  </si>
  <si>
    <t>Oxfordshire</t>
  </si>
  <si>
    <t>Shropshire</t>
  </si>
  <si>
    <t>Staffordshire</t>
  </si>
  <si>
    <t>Suffolk</t>
  </si>
  <si>
    <t>Surrey</t>
  </si>
  <si>
    <t>Warwickshire</t>
  </si>
  <si>
    <t>West Sussex</t>
  </si>
  <si>
    <t>Isles of Scilly</t>
  </si>
  <si>
    <t>Metropolitan fire and rescue authorities</t>
  </si>
  <si>
    <t>Greater Manchester</t>
  </si>
  <si>
    <t>Merseyside</t>
  </si>
  <si>
    <t>South Yorkshire</t>
  </si>
  <si>
    <t>Tyne and Wear</t>
  </si>
  <si>
    <t>West Midlands</t>
  </si>
  <si>
    <t>West Yorkshire</t>
  </si>
  <si>
    <t>Greater London</t>
  </si>
  <si>
    <t>1 The total number of employees</t>
  </si>
  <si>
    <t>Notes</t>
  </si>
  <si>
    <t>The figures for 2016/17 were collected on a voluntary basis. Those eight FRSs with 0 new staff could be due to 0 new staff being recruited or due to the data being unavailable.</t>
  </si>
  <si>
    <t>The full set of fire statistics releases, tables and guidance can be found on our landing page, here-</t>
  </si>
  <si>
    <t>https://www.gov.uk/government/collections/fire-statistics</t>
  </si>
  <si>
    <t>The statistics in this table are Official Statistics.</t>
  </si>
  <si>
    <t>Source: Home Office Operational Statistics Data Collection, figures supplied by Fire Authorities.</t>
  </si>
  <si>
    <t>Updated alongside Fire and rescue workforce and pensions statistics</t>
  </si>
  <si>
    <t>Contact: FireStatistics@homeoffice.gsi.gov.uk</t>
  </si>
  <si>
    <t>Next Update: Autumn 2018</t>
  </si>
  <si>
    <t>-</t>
  </si>
  <si>
    <r>
      <t xml:space="preserve">Retained Duty System </t>
    </r>
    <r>
      <rPr>
        <vertAlign val="superscript"/>
        <sz val="11"/>
        <color theme="1"/>
        <rFont val="Calibri"/>
        <family val="2"/>
        <scheme val="minor"/>
      </rPr>
      <t>2</t>
    </r>
  </si>
  <si>
    <t>2 Also known as "On-call firefighters"</t>
  </si>
  <si>
    <r>
      <t>FIRE STATISTICS TABLE 1121: Staff joining fire authorities (headcount</t>
    </r>
    <r>
      <rPr>
        <b/>
        <vertAlign val="superscript"/>
        <sz val="11"/>
        <color rgb="FFFFFFFF"/>
        <rFont val="Arial Black"/>
        <family val="2"/>
      </rPr>
      <t>1</t>
    </r>
    <r>
      <rPr>
        <b/>
        <sz val="11"/>
        <color rgb="FFFFFFFF"/>
        <rFont val="Arial Black"/>
        <family val="2"/>
      </rPr>
      <t>), by fire and rescue authority, ethnicity and role in 2017/18</t>
    </r>
  </si>
  <si>
    <t xml:space="preserve">White British or Irish </t>
  </si>
  <si>
    <t>Any other white background</t>
  </si>
  <si>
    <t>Chinese</t>
  </si>
  <si>
    <t>Any other Minority Ethnic Background</t>
  </si>
  <si>
    <t>Ethnic origin
Not Stated</t>
  </si>
  <si>
    <t>On call</t>
  </si>
  <si>
    <t>Retained Duty System 2</t>
  </si>
  <si>
    <t>FIRE STATISTICS TABLE 1121: Staff joining fire authorities (headcount1), by fire and rescue authority, ethnicity and role in 2017/18</t>
  </si>
  <si>
    <r>
      <t>FIRE STATISTICS TABLE 1121: Staff joining fire authorities (headcount</t>
    </r>
    <r>
      <rPr>
        <b/>
        <vertAlign val="superscript"/>
        <sz val="11"/>
        <color rgb="FFFFFFFF"/>
        <rFont val="Arial Black"/>
        <family val="2"/>
      </rPr>
      <t>1</t>
    </r>
    <r>
      <rPr>
        <b/>
        <sz val="11"/>
        <color rgb="FFFFFFFF"/>
        <rFont val="Arial Black"/>
        <family val="2"/>
      </rPr>
      <t>), by fire and rescue authority, ethnicity and role</t>
    </r>
  </si>
  <si>
    <t>Select a year from the drop-down list in the orange box below:</t>
  </si>
  <si>
    <t>2017-18</t>
  </si>
  <si>
    <t>2016-17</t>
  </si>
  <si>
    <t>2 Also known as "Retained Duty System firefighters"</t>
  </si>
  <si>
    <t>Wholetime firefighters</t>
  </si>
  <si>
    <t>Fire Control Staff</t>
  </si>
  <si>
    <t>Contact: FireStatistics@homeoffice.gov.uk</t>
  </si>
  <si>
    <t>Pink cells</t>
  </si>
  <si>
    <t>are the ones picked up in the macro</t>
  </si>
  <si>
    <t>red font</t>
  </si>
  <si>
    <t>are the cells you need to check are still correct</t>
  </si>
  <si>
    <t>Link_Start</t>
  </si>
  <si>
    <t>Year</t>
  </si>
  <si>
    <t>Return_Name</t>
  </si>
  <si>
    <t>FRS_Loop</t>
  </si>
  <si>
    <t>Link_End</t>
  </si>
  <si>
    <t>Sheet_Name_HR6</t>
  </si>
  <si>
    <t>Cell_Loop_HR6</t>
  </si>
  <si>
    <t>Cell_Loop_Desc_HR6</t>
  </si>
  <si>
    <t>Cell_Loop_Desc2_HR6</t>
  </si>
  <si>
    <t>HR6</t>
  </si>
  <si>
    <t>On-call firefighters</t>
  </si>
  <si>
    <t>Support staff</t>
  </si>
  <si>
    <t>Fire control</t>
  </si>
  <si>
    <t>Cell_Loop2_HR6</t>
  </si>
  <si>
    <t>Cell_Loop2_Desc_HR6</t>
  </si>
  <si>
    <t>Cell_Loop2_Desc2_HR6</t>
  </si>
  <si>
    <t>Any other white</t>
  </si>
  <si>
    <t>Asian</t>
  </si>
  <si>
    <t>Black</t>
  </si>
  <si>
    <t>Any other ethnic minority</t>
  </si>
  <si>
    <t>Not stated</t>
  </si>
  <si>
    <t>Cell_Loop3_HR6</t>
  </si>
  <si>
    <t>Cell_Loop3_Desc_HR6</t>
  </si>
  <si>
    <t>Cell_Loop3_Desc2_HR6</t>
  </si>
  <si>
    <t>Cell_Loop4_HR6</t>
  </si>
  <si>
    <t>Cell_Loop4_Desc_HR6</t>
  </si>
  <si>
    <t>Cell_Loop4_Desc2_HR6</t>
  </si>
  <si>
    <t>Cell_Loop5_HR6</t>
  </si>
  <si>
    <t>Cell_Loop5_Desc_HR6</t>
  </si>
  <si>
    <t>Cell_Loop5_Desc2_HR6</t>
  </si>
  <si>
    <t>Cell_Loop6_HR6</t>
  </si>
  <si>
    <t>Cell_Loop6_Desc_HR6</t>
  </si>
  <si>
    <t>Cell_Loop6_Desc2_HR6</t>
  </si>
  <si>
    <t>Cell_Loop7_HR6</t>
  </si>
  <si>
    <t>Cell_Loop7_Desc_HR6</t>
  </si>
  <si>
    <t>Cell_Loop7_Desc2_HR6</t>
  </si>
  <si>
    <t>Cell_Loop8_HR6</t>
  </si>
  <si>
    <t>Cell_Loop8_Desc_HR6</t>
  </si>
  <si>
    <t>Cell_Loop8_Desc2_HR6</t>
  </si>
  <si>
    <t>B20</t>
  </si>
  <si>
    <t>B21</t>
  </si>
  <si>
    <t>B22</t>
  </si>
  <si>
    <t>B23</t>
  </si>
  <si>
    <t>C20</t>
  </si>
  <si>
    <t>C21</t>
  </si>
  <si>
    <t>C22</t>
  </si>
  <si>
    <t>C23</t>
  </si>
  <si>
    <t>D20</t>
  </si>
  <si>
    <t>D21</t>
  </si>
  <si>
    <t>D22</t>
  </si>
  <si>
    <t>D23</t>
  </si>
  <si>
    <t>E20</t>
  </si>
  <si>
    <t>E21</t>
  </si>
  <si>
    <t>E22</t>
  </si>
  <si>
    <t>E23</t>
  </si>
  <si>
    <t>F20</t>
  </si>
  <si>
    <t>F21</t>
  </si>
  <si>
    <t>F22</t>
  </si>
  <si>
    <t>F23</t>
  </si>
  <si>
    <t>G20</t>
  </si>
  <si>
    <t>G21</t>
  </si>
  <si>
    <t>G22</t>
  </si>
  <si>
    <t>G23</t>
  </si>
  <si>
    <t>H20</t>
  </si>
  <si>
    <t>H21</t>
  </si>
  <si>
    <t>H22</t>
  </si>
  <si>
    <t>H23</t>
  </si>
  <si>
    <t>I20</t>
  </si>
  <si>
    <t>I21</t>
  </si>
  <si>
    <t>I22</t>
  </si>
  <si>
    <t>I23</t>
  </si>
  <si>
    <t>FRS_name</t>
  </si>
  <si>
    <t>FRS_type</t>
  </si>
  <si>
    <t>FRS_code</t>
  </si>
  <si>
    <t>Role</t>
  </si>
  <si>
    <t>Ethnicity</t>
  </si>
  <si>
    <t>Count</t>
  </si>
  <si>
    <t>FIRE STATISTICS TABLE 1121: Staff joining fire authorities (headcount1), by fire and rescue authority, ethnicity and role in 2018/19</t>
  </si>
  <si>
    <t>Not Stated</t>
  </si>
  <si>
    <t>2018-19</t>
  </si>
  <si>
    <t>No</t>
  </si>
  <si>
    <t>Yes</t>
  </si>
  <si>
    <t>Checklist</t>
  </si>
  <si>
    <t>Checker</t>
  </si>
  <si>
    <t>Error?</t>
  </si>
  <si>
    <t>Comments</t>
  </si>
  <si>
    <t>Victoria</t>
  </si>
  <si>
    <t>Deborah</t>
  </si>
  <si>
    <t>drop down menu works</t>
  </si>
  <si>
    <t>spot check some figures from the raw sheet</t>
  </si>
  <si>
    <t>Total firefighters is sum of on call and wholetime</t>
  </si>
  <si>
    <t>Total staff is sum of total firefighters, fire control and support staff</t>
  </si>
  <si>
    <t>Mets = Sum of Mets</t>
  </si>
  <si>
    <t>Paul</t>
  </si>
  <si>
    <t>Non Mets = Sum of Non Mets</t>
  </si>
  <si>
    <t>Total = Mets + Non Mets</t>
  </si>
  <si>
    <t>London is one of the biggest</t>
  </si>
  <si>
    <t>Isles of Scilly and Isle of Wight one of smallest</t>
  </si>
  <si>
    <t>Newest year has been included</t>
  </si>
  <si>
    <t>Footnotes are relevant</t>
  </si>
  <si>
    <t>Notes are correct</t>
  </si>
  <si>
    <t>Links work</t>
  </si>
  <si>
    <t>Last updated date is correct</t>
  </si>
  <si>
    <t>Next update date is planned next release period</t>
  </si>
  <si>
    <t>Checks left to do or resolve</t>
  </si>
  <si>
    <t>Checks for 1121</t>
  </si>
  <si>
    <t>Check totals match 1120 (except for dorset and wiltshire for whole time due to having one member of staff identifying as 'other' gender and isle of scilly for on call and support staff, hoping to get updated figures which will match)</t>
  </si>
  <si>
    <t>spot check some of the formula for the % ethnic minority and % not stated in the raw sheet</t>
  </si>
  <si>
    <r>
      <t>On call firefighters</t>
    </r>
    <r>
      <rPr>
        <vertAlign val="superscript"/>
        <sz val="11"/>
        <color theme="1"/>
        <rFont val="Calibri"/>
        <family val="2"/>
        <scheme val="minor"/>
      </rPr>
      <t>2</t>
    </r>
  </si>
  <si>
    <t>\\Poise.Homeoffice.Local\Home\TMS7\Users\NicholD4\My Documents\Workforce2020\</t>
  </si>
  <si>
    <t>2019_20</t>
  </si>
  <si>
    <t>\HR\HR_</t>
  </si>
  <si>
    <t>2019-20</t>
  </si>
  <si>
    <t>Next Update: Autumn 2021</t>
  </si>
  <si>
    <t>Last Updated: 22 October 2020</t>
  </si>
  <si>
    <t>Ben</t>
  </si>
  <si>
    <t>Phoebe</t>
  </si>
  <si>
    <t>Lucy</t>
  </si>
  <si>
    <t>David</t>
  </si>
  <si>
    <t>Mr Tumble</t>
  </si>
  <si>
    <t>Source: Home Office Operational Statistics Data Collection, figures supplied by Fire and Rescue Authorities.</t>
  </si>
  <si>
    <t>no</t>
  </si>
  <si>
    <t>Fire and rescue workforce and pensions statistics</t>
  </si>
  <si>
    <t>England,  April 2019 to March 2020: data tables</t>
  </si>
  <si>
    <t>Responsible Statistician: Deborah Lader</t>
  </si>
  <si>
    <t>Email: Firestatistics@homeoffice.gov.uk</t>
  </si>
  <si>
    <r>
      <t xml:space="preserve">Press enquiries: </t>
    </r>
    <r>
      <rPr>
        <b/>
        <sz val="12"/>
        <color rgb="FF000000"/>
        <rFont val="Arial"/>
        <family val="2"/>
      </rPr>
      <t>0300 123 3535</t>
    </r>
  </si>
  <si>
    <t>Published: 22 October 2020</t>
  </si>
  <si>
    <t xml:space="preserve">Next update: Autumn 2021 </t>
  </si>
  <si>
    <t>Crown copyright © 2020</t>
  </si>
  <si>
    <t>Contents</t>
  </si>
  <si>
    <t>We’re always looking to improve the accessibility of our documents.</t>
  </si>
  <si>
    <t>Publication Date: 22 October 2020</t>
  </si>
  <si>
    <t xml:space="preserve">To access data tables, select the table number or tabs. </t>
  </si>
  <si>
    <t>Cover sheet</t>
  </si>
  <si>
    <t>Sheet</t>
  </si>
  <si>
    <t>Title</t>
  </si>
  <si>
    <t>Period covered</t>
  </si>
  <si>
    <t>National Statistics?</t>
  </si>
  <si>
    <t>2016/17 to 2019/20</t>
  </si>
  <si>
    <t>Table 1121</t>
  </si>
  <si>
    <t>Staff joining fire authorities (headcount), by fire and rescue authority, ethnicity and role</t>
  </si>
  <si>
    <t>FIRE1121</t>
  </si>
  <si>
    <t>Accessibility</t>
  </si>
  <si>
    <t xml:space="preserve">If you find any problems, or have any feedback, relating to accessibility </t>
  </si>
  <si>
    <t xml:space="preserve"> please email us at firestatistics@homeoffice.gov.uk</t>
  </si>
  <si>
    <t>blank</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</si>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</sst>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1"/>
      <color rgb="FFFFFFFF"/>
      <name val="Arial Black"/>
      <family val="2"/>
    </font>
    <font>
      <b/>
      <vertAlign val="superscript"/>
      <sz val="11"/>
      <color rgb="FFFFFFFF"/>
      <name val="Arial Black"/>
      <family val="2"/>
    </font>
    <font>
      <i/>
      <sz val="11"/>
      <color theme="1"/>
      <name val="Calibri"/>
      <family val="2"/>
      <scheme val="minor"/>
    </font>
    <font>
      <b/>
      <i/>
      <sz val="11"/>
      <color theme="1"/>
      <name val="Calibri"/>
      <family val="2"/>
      <scheme val="minor"/>
    </font>
    <font>
      <b/>
      <sz val="11"/>
      <color rgb="FF000000"/>
      <name val="Calibri"/>
      <family val="2"/>
    </font>
    <font>
      <u/>
      <sz val="11"/>
      <color rgb="FF0563C1"/>
      <name val="Calibri"/>
      <family val="2"/>
    </font>
    <font>
      <vertAlign val="superscript"/>
      <sz val="11"/>
      <color theme="1"/>
      <name val="Calibri"/>
      <family val="2"/>
      <scheme val="minor"/>
    </font>
    <font>
      <b/>
      <sz val="11"/>
      <name val="Arial Black"/>
      <family val="2"/>
    </font>
    <font>
      <sz val="11"/>
      <color rgb="FFFF0000"/>
      <name val="Calibri"/>
      <family val="2"/>
      <scheme val="minor"/>
    </font>
    <font>
      <sz val="10"/>
      <name val="MS Sans Serif"/>
    </font>
    <font>
      <sz val="10"/>
      <color rgb="FFFF0000"/>
      <name val="Calibri"/>
      <family val="2"/>
      <scheme val="minor"/>
    </font>
    <font>
      <sz val="11"/>
      <color theme="0"/>
      <name val="Arial Black"/>
      <family val="2"/>
    </font>
    <font>
      <sz val="11"/>
      <color theme="8" tint="0.59999389629810485"/>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1"/>
      <color theme="10"/>
      <name val="Calibri"/>
      <family val="2"/>
      <scheme val="minor"/>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sz val="11"/>
      <color theme="0"/>
      <name val="Calibri"/>
      <family val="2"/>
      <scheme val="minor"/>
    </font>
  </fonts>
  <fills count="13">
    <fill>
      <patternFill patternType="none"/>
    </fill>
    <fill>
      <patternFill patternType="gray125"/>
    </fill>
    <fill>
      <patternFill patternType="solid">
        <fgColor rgb="FFFF0000"/>
        <bgColor rgb="FFFF0000"/>
      </patternFill>
    </fill>
    <fill>
      <patternFill patternType="solid">
        <fgColor theme="0"/>
        <bgColor indexed="64"/>
      </patternFill>
    </fill>
    <fill>
      <patternFill patternType="solid">
        <fgColor theme="0"/>
        <bgColor rgb="FFFFFFFF"/>
      </patternFill>
    </fill>
    <fill>
      <patternFill patternType="solid">
        <fgColor theme="0"/>
        <bgColor rgb="FFFF0000"/>
      </patternFill>
    </fill>
    <fill>
      <patternFill patternType="solid">
        <fgColor rgb="FFFFC000"/>
        <bgColor rgb="FFFFFFFF"/>
      </patternFill>
    </fill>
    <fill>
      <patternFill patternType="solid">
        <fgColor rgb="FFFFC000"/>
        <bgColor rgb="FFFF0000"/>
      </patternFill>
    </fill>
    <fill>
      <patternFill patternType="solid">
        <fgColor rgb="FFFFC000"/>
        <bgColor indexed="64"/>
      </patternFill>
    </fill>
    <fill>
      <patternFill patternType="solid">
        <fgColor rgb="FFFFCCFF"/>
        <bgColor indexed="64"/>
      </patternFill>
    </fill>
    <fill>
      <patternFill patternType="solid">
        <fgColor rgb="FF99CCFF"/>
        <bgColor indexed="64"/>
      </patternFill>
    </fill>
    <fill>
      <patternFill patternType="solid">
        <fgColor rgb="FFFF0000"/>
        <bgColor indexed="64"/>
      </patternFill>
    </fill>
    <fill>
      <patternFill patternType="solid">
        <fgColor rgb="FFFFFFFF"/>
        <bgColor rgb="FFFFFFFF"/>
      </patternFill>
    </fill>
  </fills>
  <borders count="4">
    <border>
      <left/>
      <right/>
      <top/>
      <bottom/>
      <diagonal/>
    </border>
    <border>
      <left/>
      <right/>
      <top/>
      <bottom style="medium">
        <color rgb="FFFF0000"/>
      </bottom>
      <diagonal/>
    </border>
    <border>
      <left/>
      <right/>
      <top style="medium">
        <color rgb="FFFF0000"/>
      </top>
      <bottom style="medium">
        <color rgb="FFFF0000"/>
      </bottom>
      <diagonal/>
    </border>
    <border>
      <left/>
      <right/>
      <top style="medium">
        <color rgb="FFFF0000"/>
      </top>
      <bottom/>
      <diagonal/>
    </border>
  </borders>
  <cellStyleXfs count="1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2" fillId="0" borderId="0"/>
    <xf numFmtId="0" fontId="16" fillId="0" borderId="0" applyNumberFormat="0" applyBorder="0" applyProtection="0"/>
    <xf numFmtId="0" fontId="17" fillId="0" borderId="0" applyNumberFormat="0" applyBorder="0" applyProtection="0"/>
    <xf numFmtId="0" fontId="22" fillId="0" borderId="0" applyNumberFormat="0" applyFill="0" applyBorder="0" applyAlignment="0" applyProtection="0"/>
    <xf numFmtId="0" fontId="24" fillId="0" borderId="0" applyNumberFormat="0" applyFont="0" applyBorder="0" applyProtection="0"/>
    <xf numFmtId="0" fontId="26" fillId="0" borderId="0" applyNumberFormat="0" applyFill="0" applyBorder="0" applyAlignment="0" applyProtection="0"/>
    <xf numFmtId="0" fontId="8" fillId="0" borderId="0" applyNumberFormat="0" applyFill="0" applyBorder="0" applyAlignment="0" applyProtection="0"/>
    <xf numFmtId="0" fontId="17" fillId="0" borderId="0" applyNumberFormat="0" applyBorder="0" applyProtection="0"/>
    <xf numFmtId="0" fontId="24" fillId="0" borderId="0"/>
    <xf numFmtId="0" fontId="24" fillId="0" borderId="0" applyNumberFormat="0" applyFont="0" applyBorder="0" applyProtection="0"/>
    <xf numFmtId="0" fontId="26" fillId="0" borderId="0" applyNumberFormat="0" applyFill="0" applyBorder="0" applyAlignment="0" applyProtection="0"/>
  </cellStyleXfs>
  <cellXfs count="157">
    <xf numFmtId="0" fontId="0" fillId="0" borderId="0" xfId="0"/>
    <xf numFmtId="0" fontId="0" fillId="3" borderId="0" xfId="0" applyFill="1" applyAlignment="1">
      <alignment wrapText="1"/>
    </xf>
    <xf numFmtId="0" fontId="0" fillId="4" borderId="0" xfId="0" applyFill="1" applyBorder="1"/>
    <xf numFmtId="0" fontId="0" fillId="3" borderId="0" xfId="0" applyFill="1" applyBorder="1"/>
    <xf numFmtId="0" fontId="0" fillId="4" borderId="0" xfId="0" applyFill="1"/>
    <xf numFmtId="0" fontId="0" fillId="4" borderId="0" xfId="0" applyFill="1" applyBorder="1" applyAlignment="1">
      <alignment horizontal="center" vertical="center" wrapText="1"/>
    </xf>
    <xf numFmtId="0" fontId="0" fillId="4" borderId="0" xfId="0" applyFill="1" applyBorder="1" applyAlignment="1">
      <alignment horizontal="center"/>
    </xf>
    <xf numFmtId="0" fontId="2" fillId="4" borderId="0" xfId="0" applyFont="1" applyFill="1" applyBorder="1" applyAlignment="1">
      <alignment horizontal="center" vertical="center" wrapText="1"/>
    </xf>
    <xf numFmtId="0" fontId="0" fillId="3" borderId="0" xfId="0" applyFill="1"/>
    <xf numFmtId="0" fontId="0" fillId="4" borderId="1" xfId="0" applyFill="1" applyBorder="1" applyAlignment="1">
      <alignment horizontal="left" vertical="center" wrapText="1"/>
    </xf>
    <xf numFmtId="0" fontId="0" fillId="4" borderId="2" xfId="0" applyFill="1" applyBorder="1" applyAlignment="1">
      <alignment horizontal="center" vertical="center" wrapText="1"/>
    </xf>
    <xf numFmtId="0" fontId="5" fillId="4" borderId="2"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0" fillId="4" borderId="0" xfId="0" applyFill="1" applyAlignment="1">
      <alignment horizontal="right" vertical="center" wrapText="1"/>
    </xf>
    <xf numFmtId="0" fontId="2" fillId="4" borderId="3" xfId="0" applyFont="1" applyFill="1" applyBorder="1"/>
    <xf numFmtId="3" fontId="2" fillId="3" borderId="3" xfId="0" applyNumberFormat="1" applyFont="1" applyFill="1" applyBorder="1" applyAlignment="1">
      <alignment horizontal="right"/>
    </xf>
    <xf numFmtId="9" fontId="2" fillId="3" borderId="3" xfId="1" applyFont="1" applyFill="1" applyBorder="1" applyAlignment="1">
      <alignment horizontal="right"/>
    </xf>
    <xf numFmtId="164" fontId="0" fillId="3" borderId="0" xfId="0" applyNumberFormat="1" applyFill="1"/>
    <xf numFmtId="1" fontId="0" fillId="3" borderId="0" xfId="0" applyNumberFormat="1" applyFill="1"/>
    <xf numFmtId="0" fontId="2" fillId="4" borderId="0" xfId="0" applyFont="1" applyFill="1" applyBorder="1"/>
    <xf numFmtId="3" fontId="2" fillId="3" borderId="0" xfId="0" applyNumberFormat="1" applyFont="1" applyFill="1" applyBorder="1" applyAlignment="1">
      <alignment horizontal="right"/>
    </xf>
    <xf numFmtId="9" fontId="2" fillId="3" borderId="0" xfId="1" applyFont="1" applyFill="1" applyBorder="1" applyAlignment="1">
      <alignment horizontal="right"/>
    </xf>
    <xf numFmtId="3" fontId="0" fillId="3" borderId="0" xfId="0" applyNumberFormat="1" applyFont="1" applyFill="1" applyBorder="1" applyAlignment="1">
      <alignment horizontal="right"/>
    </xf>
    <xf numFmtId="9" fontId="1" fillId="3" borderId="0" xfId="1" applyFont="1" applyFill="1" applyBorder="1" applyAlignment="1">
      <alignment horizontal="right"/>
    </xf>
    <xf numFmtId="3" fontId="0" fillId="4" borderId="0" xfId="0" applyNumberFormat="1" applyFill="1" applyBorder="1"/>
    <xf numFmtId="0" fontId="0" fillId="4" borderId="1" xfId="0" applyFill="1" applyBorder="1"/>
    <xf numFmtId="3" fontId="0" fillId="3" borderId="1" xfId="0" applyNumberFormat="1" applyFont="1" applyFill="1" applyBorder="1" applyAlignment="1">
      <alignment horizontal="right"/>
    </xf>
    <xf numFmtId="9" fontId="1" fillId="3" borderId="1" xfId="1" applyFont="1" applyFill="1" applyBorder="1" applyAlignment="1">
      <alignment horizontal="right"/>
    </xf>
    <xf numFmtId="3" fontId="2" fillId="3" borderId="1" xfId="0" applyNumberFormat="1" applyFont="1" applyFill="1" applyBorder="1" applyAlignment="1">
      <alignment horizontal="right"/>
    </xf>
    <xf numFmtId="9" fontId="2" fillId="3" borderId="1" xfId="1" applyFont="1" applyFill="1" applyBorder="1" applyAlignment="1">
      <alignment horizontal="right"/>
    </xf>
    <xf numFmtId="0" fontId="0" fillId="4" borderId="0" xfId="0" applyFill="1" applyAlignment="1">
      <alignment horizontal="left" wrapText="1"/>
    </xf>
    <xf numFmtId="0" fontId="7" fillId="4" borderId="0" xfId="0" applyFont="1" applyFill="1"/>
    <xf numFmtId="0" fontId="0" fillId="4" borderId="0" xfId="0" applyFill="1" applyAlignment="1">
      <alignment wrapText="1"/>
    </xf>
    <xf numFmtId="0" fontId="8" fillId="4" borderId="0" xfId="2" applyFont="1" applyFill="1"/>
    <xf numFmtId="0" fontId="0" fillId="4" borderId="0" xfId="0" applyFill="1" applyAlignment="1">
      <alignment horizontal="right"/>
    </xf>
    <xf numFmtId="0" fontId="8" fillId="4" borderId="0" xfId="2" applyFill="1" applyAlignment="1">
      <alignment horizontal="right"/>
    </xf>
    <xf numFmtId="0" fontId="0" fillId="4" borderId="0" xfId="0" applyFill="1" applyAlignment="1">
      <alignment horizontal="left" wrapText="1"/>
    </xf>
    <xf numFmtId="0" fontId="0" fillId="4" borderId="0" xfId="0" applyFill="1" applyBorder="1" applyAlignment="1">
      <alignment horizontal="center"/>
    </xf>
    <xf numFmtId="0" fontId="0" fillId="4" borderId="0" xfId="0" applyFill="1" applyBorder="1" applyAlignment="1">
      <alignment horizontal="center" vertical="center" wrapText="1"/>
    </xf>
    <xf numFmtId="0" fontId="0" fillId="4" borderId="1" xfId="0" applyFill="1" applyBorder="1" applyAlignment="1">
      <alignment horizontal="center" vertical="center" wrapText="1"/>
    </xf>
    <xf numFmtId="3" fontId="0" fillId="4" borderId="0" xfId="0" applyNumberFormat="1" applyFill="1"/>
    <xf numFmtId="0" fontId="2" fillId="4" borderId="0" xfId="0" applyFont="1" applyFill="1"/>
    <xf numFmtId="0" fontId="3" fillId="5" borderId="0" xfId="0" applyFont="1" applyFill="1" applyAlignment="1">
      <alignment horizontal="left" wrapText="1"/>
    </xf>
    <xf numFmtId="0" fontId="5" fillId="4" borderId="3" xfId="0" applyFont="1" applyFill="1" applyBorder="1" applyAlignment="1">
      <alignment horizontal="center" vertical="center" wrapText="1"/>
    </xf>
    <xf numFmtId="9" fontId="5" fillId="3" borderId="0" xfId="1" applyFont="1" applyFill="1" applyBorder="1" applyAlignment="1">
      <alignment horizontal="right"/>
    </xf>
    <xf numFmtId="0" fontId="0" fillId="4" borderId="3" xfId="0" applyFill="1" applyBorder="1"/>
    <xf numFmtId="0" fontId="0" fillId="4" borderId="0" xfId="0" applyFill="1" applyBorder="1" applyAlignment="1">
      <alignment horizontal="left" wrapText="1"/>
    </xf>
    <xf numFmtId="0" fontId="7" fillId="4" borderId="0" xfId="0" applyFont="1" applyFill="1" applyBorder="1"/>
    <xf numFmtId="0" fontId="0" fillId="4" borderId="0" xfId="0" applyFill="1" applyBorder="1" applyAlignment="1">
      <alignment wrapText="1"/>
    </xf>
    <xf numFmtId="0" fontId="8" fillId="4" borderId="0" xfId="2" applyFont="1" applyFill="1" applyBorder="1"/>
    <xf numFmtId="0" fontId="0" fillId="4" borderId="0" xfId="0" applyFill="1" applyBorder="1" applyAlignment="1">
      <alignment horizontal="right"/>
    </xf>
    <xf numFmtId="1" fontId="11" fillId="3" borderId="0" xfId="0" applyNumberFormat="1" applyFont="1" applyFill="1"/>
    <xf numFmtId="0" fontId="0" fillId="8" borderId="0" xfId="0" applyFill="1" applyBorder="1"/>
    <xf numFmtId="3" fontId="0" fillId="8" borderId="0" xfId="0" applyNumberFormat="1" applyFont="1" applyFill="1" applyBorder="1" applyAlignment="1">
      <alignment horizontal="right"/>
    </xf>
    <xf numFmtId="9" fontId="1" fillId="8" borderId="0" xfId="1" applyFont="1" applyFill="1" applyBorder="1" applyAlignment="1">
      <alignment horizontal="right"/>
    </xf>
    <xf numFmtId="3" fontId="2" fillId="8" borderId="3" xfId="0" applyNumberFormat="1" applyFont="1" applyFill="1" applyBorder="1" applyAlignment="1">
      <alignment horizontal="right"/>
    </xf>
    <xf numFmtId="9" fontId="2" fillId="8" borderId="0" xfId="1" applyFont="1" applyFill="1" applyBorder="1" applyAlignment="1">
      <alignment horizontal="right"/>
    </xf>
    <xf numFmtId="164" fontId="0" fillId="8" borderId="0" xfId="0" applyNumberFormat="1" applyFill="1"/>
    <xf numFmtId="1" fontId="0" fillId="8" borderId="0" xfId="0" applyNumberFormat="1" applyFill="1"/>
    <xf numFmtId="1" fontId="11" fillId="8" borderId="0" xfId="0" applyNumberFormat="1" applyFont="1" applyFill="1"/>
    <xf numFmtId="0" fontId="0" fillId="8" borderId="0" xfId="0" applyFill="1"/>
    <xf numFmtId="0" fontId="0" fillId="3" borderId="0" xfId="0" applyFill="1" applyBorder="1"/>
    <xf numFmtId="164" fontId="0" fillId="3" borderId="0" xfId="0" applyNumberFormat="1" applyFill="1"/>
    <xf numFmtId="3" fontId="2" fillId="3" borderId="0" xfId="0" applyNumberFormat="1" applyFont="1" applyFill="1" applyBorder="1" applyAlignment="1">
      <alignment horizontal="right"/>
    </xf>
    <xf numFmtId="9" fontId="2" fillId="3" borderId="0" xfId="1" applyFont="1" applyFill="1" applyBorder="1" applyAlignment="1">
      <alignment horizontal="right"/>
    </xf>
    <xf numFmtId="3" fontId="0" fillId="3" borderId="0" xfId="0" applyNumberFormat="1" applyFont="1" applyFill="1" applyBorder="1" applyAlignment="1">
      <alignment horizontal="right"/>
    </xf>
    <xf numFmtId="9" fontId="1" fillId="3" borderId="0" xfId="1" applyFont="1" applyFill="1" applyBorder="1" applyAlignment="1">
      <alignment horizontal="right"/>
    </xf>
    <xf numFmtId="3" fontId="0" fillId="3" borderId="0" xfId="0" applyNumberFormat="1" applyFont="1" applyFill="1" applyBorder="1" applyAlignment="1">
      <alignment horizontal="right"/>
    </xf>
    <xf numFmtId="3" fontId="2" fillId="3" borderId="3" xfId="0" applyNumberFormat="1" applyFont="1" applyFill="1" applyBorder="1" applyAlignment="1">
      <alignment horizontal="right"/>
    </xf>
    <xf numFmtId="3" fontId="2" fillId="3" borderId="0" xfId="0" applyNumberFormat="1" applyFont="1" applyFill="1" applyBorder="1" applyAlignment="1">
      <alignment horizontal="right"/>
    </xf>
    <xf numFmtId="3" fontId="0" fillId="3" borderId="0" xfId="0" applyNumberFormat="1" applyFont="1" applyFill="1" applyBorder="1" applyAlignment="1">
      <alignment horizontal="right"/>
    </xf>
    <xf numFmtId="0" fontId="8" fillId="4" borderId="0" xfId="2" applyFill="1"/>
    <xf numFmtId="0" fontId="12" fillId="9" borderId="0" xfId="3" applyFill="1"/>
    <xf numFmtId="0" fontId="12" fillId="0" borderId="0" xfId="3"/>
    <xf numFmtId="0" fontId="11" fillId="0" borderId="0" xfId="3" applyFont="1"/>
    <xf numFmtId="0" fontId="12" fillId="10" borderId="0" xfId="3" applyFill="1"/>
    <xf numFmtId="0" fontId="2" fillId="10" borderId="0" xfId="3" applyFont="1" applyFill="1"/>
    <xf numFmtId="0" fontId="0" fillId="0" borderId="0" xfId="0" applyFill="1"/>
    <xf numFmtId="0" fontId="12" fillId="0" borderId="0" xfId="3" applyFill="1"/>
    <xf numFmtId="0" fontId="2" fillId="0" borderId="0" xfId="3" applyFont="1" applyFill="1"/>
    <xf numFmtId="0" fontId="11" fillId="9" borderId="0" xfId="3" quotePrefix="1" applyFont="1" applyFill="1"/>
    <xf numFmtId="0" fontId="11" fillId="9" borderId="0" xfId="3" applyFont="1" applyFill="1"/>
    <xf numFmtId="0" fontId="11" fillId="0" borderId="0" xfId="0" applyFont="1" applyFill="1"/>
    <xf numFmtId="0" fontId="12" fillId="9" borderId="0" xfId="3" applyFont="1" applyFill="1"/>
    <xf numFmtId="0" fontId="11" fillId="0" borderId="0" xfId="0" applyFont="1"/>
    <xf numFmtId="0" fontId="11" fillId="0" borderId="0" xfId="3" applyFont="1" applyFill="1"/>
    <xf numFmtId="0" fontId="13" fillId="0" borderId="0" xfId="3" applyFont="1" applyFill="1"/>
    <xf numFmtId="0" fontId="13" fillId="0" borderId="0" xfId="3" applyFont="1"/>
    <xf numFmtId="0" fontId="0" fillId="10" borderId="0" xfId="0" applyFill="1"/>
    <xf numFmtId="0" fontId="11" fillId="9" borderId="0" xfId="0" applyFont="1" applyFill="1"/>
    <xf numFmtId="0" fontId="0" fillId="3" borderId="1" xfId="0" applyFill="1" applyBorder="1"/>
    <xf numFmtId="0" fontId="0" fillId="3" borderId="1" xfId="0" applyFill="1" applyBorder="1" applyAlignment="1">
      <alignment wrapText="1"/>
    </xf>
    <xf numFmtId="3" fontId="0" fillId="3" borderId="0" xfId="0" applyNumberFormat="1" applyFill="1"/>
    <xf numFmtId="3" fontId="5" fillId="3" borderId="0" xfId="1" applyNumberFormat="1" applyFont="1" applyFill="1" applyBorder="1" applyAlignment="1">
      <alignment horizontal="right"/>
    </xf>
    <xf numFmtId="0" fontId="15" fillId="0" borderId="0" xfId="0" applyFont="1"/>
    <xf numFmtId="0" fontId="2" fillId="0" borderId="0" xfId="0" applyFont="1"/>
    <xf numFmtId="0" fontId="0" fillId="0" borderId="0" xfId="0" applyAlignment="1">
      <alignment wrapText="1"/>
    </xf>
    <xf numFmtId="0" fontId="2" fillId="0" borderId="0" xfId="0" applyFont="1" applyAlignment="1">
      <alignment horizontal="center"/>
    </xf>
    <xf numFmtId="9" fontId="6" fillId="3" borderId="0" xfId="1" applyFont="1" applyFill="1" applyBorder="1" applyAlignment="1">
      <alignment horizontal="right"/>
    </xf>
    <xf numFmtId="165" fontId="6" fillId="3" borderId="0" xfId="1" applyNumberFormat="1" applyFont="1" applyFill="1" applyBorder="1" applyAlignment="1">
      <alignment horizontal="right"/>
    </xf>
    <xf numFmtId="0" fontId="0" fillId="4" borderId="0" xfId="0" applyFill="1" applyBorder="1" applyAlignment="1">
      <alignment horizontal="center"/>
    </xf>
    <xf numFmtId="0" fontId="8" fillId="3" borderId="0" xfId="2" applyFill="1" applyAlignment="1">
      <alignment horizontal="right"/>
    </xf>
    <xf numFmtId="0" fontId="17" fillId="12" borderId="0" xfId="4" applyFont="1" applyFill="1" applyAlignment="1"/>
    <xf numFmtId="0" fontId="18" fillId="12" borderId="0" xfId="5" applyFont="1" applyFill="1" applyAlignment="1">
      <alignment vertical="center"/>
    </xf>
    <xf numFmtId="0" fontId="19" fillId="12" borderId="0" xfId="4" applyFont="1" applyFill="1" applyAlignment="1"/>
    <xf numFmtId="0" fontId="20" fillId="0" borderId="0" xfId="5" applyFont="1" applyFill="1" applyAlignment="1">
      <alignment vertical="center"/>
    </xf>
    <xf numFmtId="0" fontId="21" fillId="0" borderId="0" xfId="4" applyFont="1" applyFill="1" applyAlignment="1"/>
    <xf numFmtId="0" fontId="16" fillId="12" borderId="0" xfId="4" applyFont="1" applyFill="1" applyAlignment="1"/>
    <xf numFmtId="0" fontId="23" fillId="12" borderId="0" xfId="6" applyFont="1" applyFill="1" applyAlignment="1"/>
    <xf numFmtId="0" fontId="16" fillId="12" borderId="0" xfId="7" applyFont="1" applyFill="1" applyAlignment="1"/>
    <xf numFmtId="0" fontId="27" fillId="12" borderId="0" xfId="8" applyFont="1" applyFill="1" applyAlignment="1"/>
    <xf numFmtId="0" fontId="28" fillId="12" borderId="0" xfId="9" applyFont="1" applyFill="1" applyAlignment="1"/>
    <xf numFmtId="0" fontId="29" fillId="12" borderId="0" xfId="5" applyFont="1" applyFill="1" applyAlignment="1"/>
    <xf numFmtId="0" fontId="30" fillId="12" borderId="0" xfId="10" applyFont="1" applyFill="1" applyAlignment="1"/>
    <xf numFmtId="0" fontId="30" fillId="12" borderId="0" xfId="10" applyFont="1" applyFill="1" applyAlignment="1">
      <alignment horizontal="left"/>
    </xf>
    <xf numFmtId="0" fontId="30" fillId="12" borderId="0" xfId="5" applyFont="1" applyFill="1" applyAlignment="1"/>
    <xf numFmtId="0" fontId="30" fillId="12" borderId="0" xfId="5" applyFont="1" applyFill="1" applyAlignment="1">
      <alignment horizontal="left"/>
    </xf>
    <xf numFmtId="0" fontId="31" fillId="12" borderId="0" xfId="8" applyFont="1" applyFill="1" applyAlignment="1"/>
    <xf numFmtId="0" fontId="29" fillId="12" borderId="0" xfId="10" applyFont="1" applyFill="1" applyAlignment="1">
      <alignment wrapText="1"/>
    </xf>
    <xf numFmtId="0" fontId="29" fillId="12" borderId="0" xfId="10" applyFont="1" applyFill="1" applyAlignment="1">
      <alignment horizontal="left" wrapText="1"/>
    </xf>
    <xf numFmtId="0" fontId="24" fillId="12" borderId="0" xfId="11" applyFill="1"/>
    <xf numFmtId="0" fontId="30" fillId="12" borderId="0" xfId="12" applyFont="1" applyFill="1" applyAlignment="1">
      <alignment horizontal="left" vertical="center" wrapText="1"/>
    </xf>
    <xf numFmtId="0" fontId="32" fillId="3" borderId="0" xfId="0" applyFont="1" applyFill="1"/>
    <xf numFmtId="1" fontId="30" fillId="12" borderId="0" xfId="12" applyNumberFormat="1" applyFont="1" applyFill="1" applyAlignment="1">
      <alignment horizontal="left" vertical="center"/>
    </xf>
    <xf numFmtId="0" fontId="30" fillId="12" borderId="0" xfId="11" applyFont="1" applyFill="1"/>
    <xf numFmtId="0" fontId="31" fillId="12" borderId="0" xfId="13" applyFont="1" applyFill="1" applyAlignment="1"/>
    <xf numFmtId="0" fontId="33" fillId="12" borderId="0" xfId="11" applyFont="1" applyFill="1"/>
    <xf numFmtId="0" fontId="33" fillId="12" borderId="0" xfId="11" applyFont="1" applyFill="1" applyAlignment="1">
      <alignment wrapText="1"/>
    </xf>
    <xf numFmtId="0" fontId="33" fillId="12" borderId="0" xfId="11" applyFont="1" applyFill="1" applyAlignment="1">
      <alignment horizontal="left"/>
    </xf>
    <xf numFmtId="0" fontId="3" fillId="2" borderId="0" xfId="0" applyFont="1" applyFill="1" applyAlignment="1"/>
    <xf numFmtId="0" fontId="2" fillId="6" borderId="0" xfId="0" applyFont="1" applyFill="1" applyBorder="1" applyAlignment="1"/>
    <xf numFmtId="0" fontId="0" fillId="4" borderId="0" xfId="0" applyFill="1" applyBorder="1" applyAlignment="1">
      <alignment vertical="center"/>
    </xf>
    <xf numFmtId="0" fontId="0" fillId="4" borderId="1" xfId="0" applyFill="1" applyBorder="1" applyAlignment="1">
      <alignment vertical="center"/>
    </xf>
    <xf numFmtId="0" fontId="2" fillId="4" borderId="1" xfId="0" applyFont="1" applyFill="1" applyBorder="1" applyAlignment="1">
      <alignment vertical="center"/>
    </xf>
    <xf numFmtId="0" fontId="0" fillId="4" borderId="0" xfId="0" applyFill="1" applyBorder="1" applyAlignment="1">
      <alignment vertical="top"/>
    </xf>
    <xf numFmtId="0" fontId="0" fillId="4" borderId="0" xfId="0" applyFill="1" applyBorder="1" applyAlignment="1"/>
    <xf numFmtId="0" fontId="8" fillId="3" borderId="0" xfId="2" applyFill="1" applyAlignment="1"/>
    <xf numFmtId="9" fontId="0" fillId="4" borderId="0" xfId="1" applyFont="1" applyFill="1" applyBorder="1" applyAlignment="1">
      <alignment horizontal="center"/>
    </xf>
    <xf numFmtId="0" fontId="34" fillId="4" borderId="0" xfId="0" applyFont="1" applyFill="1" applyBorder="1" applyAlignment="1">
      <alignment horizontal="center"/>
    </xf>
    <xf numFmtId="0" fontId="0" fillId="3" borderId="0" xfId="0" applyFill="1" applyAlignment="1">
      <alignment horizontal="left"/>
    </xf>
    <xf numFmtId="0" fontId="0" fillId="4" borderId="0" xfId="0" applyFill="1" applyAlignment="1"/>
    <xf numFmtId="0" fontId="0" fillId="3" borderId="0" xfId="0" applyFill="1" applyAlignment="1">
      <alignment horizontal="left" vertical="top" wrapText="1"/>
    </xf>
    <xf numFmtId="3" fontId="34" fillId="3" borderId="0" xfId="0" applyNumberFormat="1" applyFont="1" applyFill="1" applyBorder="1" applyAlignment="1">
      <alignment horizontal="right"/>
    </xf>
    <xf numFmtId="0" fontId="34" fillId="4" borderId="0" xfId="0" applyFont="1" applyFill="1"/>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alignment horizontal="left" vertical="top" wrapText="1"/>
    </xf>
    <xf numFmtId="0" fontId="3" fillId="2" borderId="0" xfId="0" applyFont="1" applyFill="1" applyAlignment="1">
      <alignment horizontal="left" wrapText="1"/>
    </xf>
    <xf numFmtId="0" fontId="0" fillId="4" borderId="0" xfId="0" applyFill="1" applyBorder="1" applyAlignment="1">
      <alignment horizontal="center"/>
    </xf>
    <xf numFmtId="0" fontId="0" fillId="4" borderId="0" xfId="0"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4" fillId="11" borderId="0" xfId="0" applyFont="1" applyFill="1" applyAlignment="1">
      <alignment horizontal="left"/>
    </xf>
    <xf numFmtId="0" fontId="0" fillId="3" borderId="0" xfId="0" applyFill="1" applyAlignment="1">
      <alignment horizontal="center"/>
    </xf>
    <xf numFmtId="0" fontId="10" fillId="7" borderId="0" xfId="0" applyFont="1" applyFill="1" applyAlignment="1">
      <alignment horizontal="center" wrapText="1"/>
    </xf>
  </cellXfs>
  <cellStyles count="14">
    <cellStyle name="Hyperlink" xfId="2" xr:uid="{00000000-0005-0000-0000-000000000000}"/>
    <cellStyle name="Hyperlink 2" xfId="6" xr:uid="{D32B35DD-D113-475A-BC2B-F86759F54E57}"/>
    <cellStyle name="Hyperlink 2 2" xfId="8" xr:uid="{E2C4E214-BE0D-4AD5-B8A2-C4D6081C4324}"/>
    <cellStyle name="Hyperlink 2 2 2" xfId="13" xr:uid="{D93315E0-FD83-4B06-8452-A70A0FA2D83A}"/>
    <cellStyle name="Hyperlink 3" xfId="9" xr:uid="{D41FEA51-6868-4998-B97D-23FFF0441907}"/>
    <cellStyle name="Normal" xfId="0" builtinId="0"/>
    <cellStyle name="Normal 2 2 2 2" xfId="5" xr:uid="{CDB93DF7-7D8F-41B1-93BD-632632547626}"/>
    <cellStyle name="Normal 2 3" xfId="10" xr:uid="{422F0BE3-9E0F-4D9C-B687-7FEA5F0EEF31}"/>
    <cellStyle name="Normal 2 4" xfId="12" xr:uid="{E4096412-7B70-4050-A67C-40BDFA37F27A}"/>
    <cellStyle name="Normal 3" xfId="3" xr:uid="{45A087D3-AEEE-436D-982B-DC9C05F6BAC4}"/>
    <cellStyle name="Normal 5 2" xfId="11" xr:uid="{198F46DE-BCC3-4D95-B56A-4381C2CD5543}"/>
    <cellStyle name="Normal 6 2" xfId="4" xr:uid="{4A3A0780-EA9A-4130-BA91-19230B00B036}"/>
    <cellStyle name="Normal 7 2" xfId="7" xr:uid="{C034CE92-4AAB-496B-AC1E-56AC9C7B4504}"/>
    <cellStyle name="Percent" xfId="1" builtinId="5"/>
  </cellStyles>
  <dxfs count="30">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0]!HR_1121" textlink="">
      <xdr:nvSpPr>
        <xdr:cNvPr id="2" name="Star: 5 Points 1">
          <a:extLst>
            <a:ext uri="{FF2B5EF4-FFF2-40B4-BE49-F238E27FC236}">
              <a16:creationId xmlns:a16="http://schemas.microsoft.com/office/drawing/2014/main" id="{BDC0D684-ED7A-4FEF-85C5-75573D668480}"/>
            </a:ext>
          </a:extLst>
        </xdr:cNvPr>
        <xdr:cNvSpPr/>
      </xdr:nvSpPr>
      <xdr:spPr>
        <a:xfrm>
          <a:off x="291737" y="2277564"/>
          <a:ext cx="3752306" cy="63398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4ABF8512-67EB-42A9-BF05-F34F90317C0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6881BC9A-25FB-44A6-919B-36A4722F678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039394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3.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gov.uk/government/statistics/fire-and-rescue-workforce-and-pensions-statistics-england-april-2016-to-march-2017"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L70"/>
  <sheetViews>
    <sheetView topLeftCell="AJ1" workbookViewId="0">
      <pane ySplit="8" topLeftCell="A51" activePane="bottomLeft" state="frozen"/>
      <selection sqref="A1:XFD1048576"/>
      <selection pane="bottomLeft" activeCell="AU8" sqref="AU8"/>
    </sheetView>
  </sheetViews>
  <sheetFormatPr defaultColWidth="9.21875" defaultRowHeight="14.4" x14ac:dyDescent="0.3"/>
  <cols>
    <col min="1" max="1" width="50.77734375" style="4" customWidth="1"/>
    <col min="2" max="9" width="8.77734375" style="4" customWidth="1"/>
    <col min="10" max="10" width="2.77734375" style="4" customWidth="1"/>
    <col min="11" max="18" width="8.77734375" style="4" customWidth="1"/>
    <col min="19" max="19" width="2.77734375" style="4" customWidth="1"/>
    <col min="20" max="27" width="8.77734375" style="4" customWidth="1"/>
    <col min="28" max="28" width="2.77734375" style="4" customWidth="1"/>
    <col min="29" max="36" width="8.77734375" style="4" customWidth="1"/>
    <col min="37" max="37" width="2.77734375" style="4" customWidth="1"/>
    <col min="38" max="45" width="8.77734375" style="4" customWidth="1"/>
    <col min="46" max="46" width="2.77734375" style="4" customWidth="1"/>
    <col min="47" max="54" width="8.77734375" style="4" customWidth="1"/>
    <col min="55" max="16384" width="9.21875" style="4"/>
  </cols>
  <sheetData>
    <row r="1" spans="1:64" s="1" customFormat="1" ht="23.25" customHeight="1" x14ac:dyDescent="0.45">
      <c r="A1" s="149" t="s">
        <v>0</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row>
    <row r="2" spans="1:64" s="1" customFormat="1" ht="23.25" customHeight="1" x14ac:dyDescent="0.4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row>
    <row r="3" spans="1:64" s="1" customFormat="1" ht="23.25" customHeight="1" x14ac:dyDescent="0.4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row>
    <row r="4" spans="1:64" s="1" customFormat="1" ht="23.25" customHeight="1" x14ac:dyDescent="0.4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row>
    <row r="5" spans="1:64" s="3" customFormat="1" x14ac:dyDescent="0.3">
      <c r="A5" s="2"/>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row>
    <row r="6" spans="1:64" s="8" customFormat="1" ht="15.75" customHeight="1" thickBot="1" x14ac:dyDescent="0.35">
      <c r="A6" s="4"/>
      <c r="B6" s="151" t="s">
        <v>1</v>
      </c>
      <c r="C6" s="151"/>
      <c r="D6" s="151"/>
      <c r="E6" s="151"/>
      <c r="F6" s="151"/>
      <c r="G6" s="151"/>
      <c r="H6" s="151"/>
      <c r="I6" s="5"/>
      <c r="J6" s="6"/>
      <c r="K6" s="153" t="s">
        <v>75</v>
      </c>
      <c r="L6" s="153"/>
      <c r="M6" s="153"/>
      <c r="N6" s="153"/>
      <c r="O6" s="153"/>
      <c r="P6" s="153"/>
      <c r="Q6" s="153"/>
      <c r="R6" s="153"/>
      <c r="S6" s="6"/>
      <c r="T6" s="152" t="s">
        <v>2</v>
      </c>
      <c r="U6" s="152"/>
      <c r="V6" s="152"/>
      <c r="W6" s="152"/>
      <c r="X6" s="152"/>
      <c r="Y6" s="152"/>
      <c r="Z6" s="152"/>
      <c r="AA6" s="7"/>
      <c r="AB6" s="6"/>
      <c r="AC6" s="153" t="s">
        <v>3</v>
      </c>
      <c r="AD6" s="153"/>
      <c r="AE6" s="153"/>
      <c r="AF6" s="153"/>
      <c r="AG6" s="153"/>
      <c r="AH6" s="153"/>
      <c r="AI6" s="153"/>
      <c r="AJ6" s="5"/>
      <c r="AK6" s="6"/>
      <c r="AL6" s="153" t="s">
        <v>4</v>
      </c>
      <c r="AM6" s="153"/>
      <c r="AN6" s="153"/>
      <c r="AO6" s="153"/>
      <c r="AP6" s="153"/>
      <c r="AQ6" s="153"/>
      <c r="AR6" s="153"/>
      <c r="AS6" s="5"/>
      <c r="AT6" s="6"/>
      <c r="AU6" s="152" t="s">
        <v>5</v>
      </c>
      <c r="AV6" s="152"/>
      <c r="AW6" s="152"/>
      <c r="AX6" s="152"/>
      <c r="AY6" s="152"/>
      <c r="AZ6" s="152"/>
      <c r="BA6" s="152"/>
      <c r="BB6" s="152"/>
    </row>
    <row r="7" spans="1:64" s="15" customFormat="1" ht="58.2" thickBot="1" x14ac:dyDescent="0.35">
      <c r="A7" s="9" t="s">
        <v>6</v>
      </c>
      <c r="B7" s="10" t="s">
        <v>7</v>
      </c>
      <c r="C7" s="10" t="s">
        <v>8</v>
      </c>
      <c r="D7" s="10" t="s">
        <v>9</v>
      </c>
      <c r="E7" s="10" t="s">
        <v>10</v>
      </c>
      <c r="F7" s="10" t="s">
        <v>11</v>
      </c>
      <c r="G7" s="10" t="s">
        <v>12</v>
      </c>
      <c r="H7" s="11" t="s">
        <v>13</v>
      </c>
      <c r="I7" s="11" t="s">
        <v>14</v>
      </c>
      <c r="J7" s="12"/>
      <c r="K7" s="10" t="s">
        <v>7</v>
      </c>
      <c r="L7" s="10" t="s">
        <v>8</v>
      </c>
      <c r="M7" s="10" t="s">
        <v>9</v>
      </c>
      <c r="N7" s="10" t="s">
        <v>10</v>
      </c>
      <c r="O7" s="10" t="s">
        <v>11</v>
      </c>
      <c r="P7" s="10" t="s">
        <v>12</v>
      </c>
      <c r="Q7" s="11" t="s">
        <v>13</v>
      </c>
      <c r="R7" s="11" t="s">
        <v>14</v>
      </c>
      <c r="S7" s="12"/>
      <c r="T7" s="13" t="s">
        <v>7</v>
      </c>
      <c r="U7" s="13" t="s">
        <v>8</v>
      </c>
      <c r="V7" s="13" t="s">
        <v>9</v>
      </c>
      <c r="W7" s="13" t="s">
        <v>10</v>
      </c>
      <c r="X7" s="13" t="s">
        <v>11</v>
      </c>
      <c r="Y7" s="13" t="s">
        <v>12</v>
      </c>
      <c r="Z7" s="14" t="s">
        <v>13</v>
      </c>
      <c r="AA7" s="14" t="s">
        <v>14</v>
      </c>
      <c r="AB7" s="12"/>
      <c r="AC7" s="10" t="s">
        <v>7</v>
      </c>
      <c r="AD7" s="10" t="s">
        <v>8</v>
      </c>
      <c r="AE7" s="10" t="s">
        <v>9</v>
      </c>
      <c r="AF7" s="10" t="s">
        <v>10</v>
      </c>
      <c r="AG7" s="10" t="s">
        <v>11</v>
      </c>
      <c r="AH7" s="10" t="s">
        <v>12</v>
      </c>
      <c r="AI7" s="11" t="s">
        <v>13</v>
      </c>
      <c r="AJ7" s="11" t="s">
        <v>14</v>
      </c>
      <c r="AK7" s="12"/>
      <c r="AL7" s="10" t="s">
        <v>7</v>
      </c>
      <c r="AM7" s="10" t="s">
        <v>8</v>
      </c>
      <c r="AN7" s="10" t="s">
        <v>9</v>
      </c>
      <c r="AO7" s="10" t="s">
        <v>10</v>
      </c>
      <c r="AP7" s="10" t="s">
        <v>11</v>
      </c>
      <c r="AQ7" s="10" t="s">
        <v>12</v>
      </c>
      <c r="AR7" s="11" t="s">
        <v>13</v>
      </c>
      <c r="AS7" s="11" t="s">
        <v>14</v>
      </c>
      <c r="AT7" s="12"/>
      <c r="AU7" s="13" t="s">
        <v>7</v>
      </c>
      <c r="AV7" s="13" t="s">
        <v>8</v>
      </c>
      <c r="AW7" s="13" t="s">
        <v>9</v>
      </c>
      <c r="AX7" s="13" t="s">
        <v>10</v>
      </c>
      <c r="AY7" s="13" t="s">
        <v>11</v>
      </c>
      <c r="AZ7" s="13" t="s">
        <v>12</v>
      </c>
      <c r="BA7" s="14" t="s">
        <v>13</v>
      </c>
      <c r="BB7" s="14" t="s">
        <v>14</v>
      </c>
    </row>
    <row r="8" spans="1:64" s="8" customFormat="1" ht="15" customHeight="1" thickBot="1" x14ac:dyDescent="0.35">
      <c r="A8" s="16" t="s">
        <v>15</v>
      </c>
      <c r="B8" s="17">
        <f t="shared" ref="B8:G8" si="0">B9+B49</f>
        <v>345</v>
      </c>
      <c r="C8" s="70">
        <f t="shared" si="0"/>
        <v>17</v>
      </c>
      <c r="D8" s="70">
        <f t="shared" si="0"/>
        <v>2</v>
      </c>
      <c r="E8" s="70">
        <f t="shared" si="0"/>
        <v>11</v>
      </c>
      <c r="F8" s="70">
        <f t="shared" si="0"/>
        <v>2</v>
      </c>
      <c r="G8" s="70">
        <f t="shared" si="0"/>
        <v>99</v>
      </c>
      <c r="H8" s="18">
        <v>8.5106382978723402E-2</v>
      </c>
      <c r="I8" s="18">
        <v>0.20338983050847459</v>
      </c>
      <c r="J8" s="17"/>
      <c r="K8" s="70">
        <f t="shared" ref="K8:P8" si="1">K9+K49</f>
        <v>706</v>
      </c>
      <c r="L8" s="70">
        <f t="shared" si="1"/>
        <v>7</v>
      </c>
      <c r="M8" s="70">
        <f t="shared" si="1"/>
        <v>2</v>
      </c>
      <c r="N8" s="70">
        <f t="shared" si="1"/>
        <v>9</v>
      </c>
      <c r="O8" s="70">
        <f t="shared" si="1"/>
        <v>6</v>
      </c>
      <c r="P8" s="70">
        <f t="shared" si="1"/>
        <v>278</v>
      </c>
      <c r="Q8" s="18">
        <v>3.292181069958848E-2</v>
      </c>
      <c r="R8" s="18">
        <v>0.2767857142857143</v>
      </c>
      <c r="S8" s="17"/>
      <c r="T8" s="70">
        <f t="shared" ref="T8:Y8" si="2">T9+T49</f>
        <v>1051</v>
      </c>
      <c r="U8" s="70">
        <f t="shared" si="2"/>
        <v>24</v>
      </c>
      <c r="V8" s="70">
        <f t="shared" si="2"/>
        <v>4</v>
      </c>
      <c r="W8" s="70">
        <f t="shared" si="2"/>
        <v>20</v>
      </c>
      <c r="X8" s="70">
        <f t="shared" si="2"/>
        <v>8</v>
      </c>
      <c r="Y8" s="70">
        <f t="shared" si="2"/>
        <v>377</v>
      </c>
      <c r="Z8" s="18">
        <v>5.0678733031674202E-2</v>
      </c>
      <c r="AA8" s="18">
        <v>0.2533783783783784</v>
      </c>
      <c r="AB8" s="17"/>
      <c r="AC8" s="70">
        <f t="shared" ref="AC8:AH8" si="3">AC9+AC49</f>
        <v>46</v>
      </c>
      <c r="AD8" s="70">
        <f t="shared" si="3"/>
        <v>1</v>
      </c>
      <c r="AE8" s="70">
        <f t="shared" si="3"/>
        <v>0</v>
      </c>
      <c r="AF8" s="70">
        <f t="shared" si="3"/>
        <v>2</v>
      </c>
      <c r="AG8" s="70">
        <f t="shared" si="3"/>
        <v>1</v>
      </c>
      <c r="AH8" s="70">
        <f t="shared" si="3"/>
        <v>11</v>
      </c>
      <c r="AI8" s="18">
        <v>8.1632653061224483E-2</v>
      </c>
      <c r="AJ8" s="18">
        <v>0.19672131147540983</v>
      </c>
      <c r="AK8" s="17"/>
      <c r="AL8" s="70">
        <f t="shared" ref="AL8:AQ8" si="4">AL9+AL49</f>
        <v>546</v>
      </c>
      <c r="AM8" s="70">
        <f t="shared" si="4"/>
        <v>8</v>
      </c>
      <c r="AN8" s="70">
        <f t="shared" si="4"/>
        <v>13</v>
      </c>
      <c r="AO8" s="70">
        <f t="shared" si="4"/>
        <v>13</v>
      </c>
      <c r="AP8" s="70">
        <f t="shared" si="4"/>
        <v>14</v>
      </c>
      <c r="AQ8" s="70">
        <f t="shared" si="4"/>
        <v>123</v>
      </c>
      <c r="AR8" s="18">
        <v>8.2630691399662726E-2</v>
      </c>
      <c r="AS8" s="18">
        <v>0.17524339360222532</v>
      </c>
      <c r="AT8" s="17"/>
      <c r="AU8" s="17">
        <f t="shared" ref="AU8:AZ8" si="5">AL8+AC8+T8</f>
        <v>1643</v>
      </c>
      <c r="AV8" s="17">
        <f t="shared" si="5"/>
        <v>33</v>
      </c>
      <c r="AW8" s="17">
        <f t="shared" si="5"/>
        <v>17</v>
      </c>
      <c r="AX8" s="17">
        <f t="shared" si="5"/>
        <v>35</v>
      </c>
      <c r="AY8" s="17">
        <f t="shared" si="5"/>
        <v>23</v>
      </c>
      <c r="AZ8" s="17">
        <f t="shared" si="5"/>
        <v>511</v>
      </c>
      <c r="BA8" s="18">
        <v>6.2392673153978249E-2</v>
      </c>
      <c r="BB8" s="18">
        <v>0.22699115044247786</v>
      </c>
      <c r="BC8" s="19"/>
      <c r="BD8" s="20">
        <f>SUM(AU8:AZ8)</f>
        <v>2262</v>
      </c>
      <c r="BE8" s="20">
        <v>2262</v>
      </c>
      <c r="BF8" s="53">
        <f>BD8-BE8</f>
        <v>0</v>
      </c>
      <c r="BG8" s="19"/>
      <c r="BH8" s="19"/>
      <c r="BI8" s="19"/>
      <c r="BJ8" s="19"/>
      <c r="BK8" s="19"/>
      <c r="BL8" s="20"/>
    </row>
    <row r="9" spans="1:64" s="8" customFormat="1" ht="15" customHeight="1" thickBot="1" x14ac:dyDescent="0.35">
      <c r="A9" s="21" t="s">
        <v>16</v>
      </c>
      <c r="B9" s="22">
        <f t="shared" ref="B9:G9" si="6">SUM(B10:B48)</f>
        <v>226</v>
      </c>
      <c r="C9" s="71">
        <f t="shared" si="6"/>
        <v>1</v>
      </c>
      <c r="D9" s="71">
        <f t="shared" si="6"/>
        <v>1</v>
      </c>
      <c r="E9" s="71">
        <f t="shared" si="6"/>
        <v>4</v>
      </c>
      <c r="F9" s="71">
        <f t="shared" si="6"/>
        <v>0</v>
      </c>
      <c r="G9" s="71">
        <f t="shared" si="6"/>
        <v>85</v>
      </c>
      <c r="H9" s="23">
        <v>2.5974025974025976E-2</v>
      </c>
      <c r="I9" s="23">
        <v>0.26198083067092653</v>
      </c>
      <c r="J9" s="22"/>
      <c r="K9" s="71">
        <f t="shared" ref="K9:P9" si="7">SUM(K10:K48)</f>
        <v>691</v>
      </c>
      <c r="L9" s="71">
        <f t="shared" si="7"/>
        <v>7</v>
      </c>
      <c r="M9" s="71">
        <f t="shared" si="7"/>
        <v>1</v>
      </c>
      <c r="N9" s="71">
        <f t="shared" si="7"/>
        <v>9</v>
      </c>
      <c r="O9" s="71">
        <f t="shared" si="7"/>
        <v>6</v>
      </c>
      <c r="P9" s="71">
        <f t="shared" si="7"/>
        <v>278</v>
      </c>
      <c r="Q9" s="23">
        <v>3.2258064516129031E-2</v>
      </c>
      <c r="R9" s="23">
        <v>0.28125</v>
      </c>
      <c r="S9" s="22"/>
      <c r="T9" s="71">
        <f t="shared" ref="T9:Y9" si="8">SUM(T10:T48)</f>
        <v>917</v>
      </c>
      <c r="U9" s="71">
        <f t="shared" si="8"/>
        <v>8</v>
      </c>
      <c r="V9" s="71">
        <f t="shared" si="8"/>
        <v>2</v>
      </c>
      <c r="W9" s="71">
        <f t="shared" si="8"/>
        <v>13</v>
      </c>
      <c r="X9" s="71">
        <f t="shared" si="8"/>
        <v>6</v>
      </c>
      <c r="Y9" s="71">
        <f t="shared" si="8"/>
        <v>363</v>
      </c>
      <c r="Z9" s="23">
        <v>3.0720338983050849E-2</v>
      </c>
      <c r="AA9" s="23">
        <v>0.27662835249042145</v>
      </c>
      <c r="AB9" s="22"/>
      <c r="AC9" s="71">
        <f t="shared" ref="AC9:AH9" si="9">SUM(AC10:AC48)</f>
        <v>25</v>
      </c>
      <c r="AD9" s="71">
        <f t="shared" si="9"/>
        <v>0</v>
      </c>
      <c r="AE9" s="71">
        <f t="shared" si="9"/>
        <v>0</v>
      </c>
      <c r="AF9" s="71">
        <f t="shared" si="9"/>
        <v>0</v>
      </c>
      <c r="AG9" s="71">
        <f t="shared" si="9"/>
        <v>1</v>
      </c>
      <c r="AH9" s="71">
        <f t="shared" si="9"/>
        <v>10</v>
      </c>
      <c r="AI9" s="23">
        <v>0.04</v>
      </c>
      <c r="AJ9" s="23">
        <v>0.30555555555555558</v>
      </c>
      <c r="AK9" s="22"/>
      <c r="AL9" s="71">
        <f t="shared" ref="AL9:AQ9" si="10">SUM(AL10:AL48)</f>
        <v>391</v>
      </c>
      <c r="AM9" s="71">
        <f t="shared" si="10"/>
        <v>2</v>
      </c>
      <c r="AN9" s="71">
        <f t="shared" si="10"/>
        <v>6</v>
      </c>
      <c r="AO9" s="71">
        <f t="shared" si="10"/>
        <v>2</v>
      </c>
      <c r="AP9" s="71">
        <f t="shared" si="10"/>
        <v>11</v>
      </c>
      <c r="AQ9" s="71">
        <f t="shared" si="10"/>
        <v>108</v>
      </c>
      <c r="AR9" s="23">
        <v>5.3527980535279802E-2</v>
      </c>
      <c r="AS9" s="23">
        <v>0.21264367816091953</v>
      </c>
      <c r="AT9" s="22"/>
      <c r="AU9" s="17">
        <f t="shared" ref="AU9:AU56" si="11">AL9+AC9+T9</f>
        <v>1333</v>
      </c>
      <c r="AV9" s="17">
        <f t="shared" ref="AV9:AV56" si="12">AM9+AD9+U9</f>
        <v>10</v>
      </c>
      <c r="AW9" s="17">
        <f t="shared" ref="AW9:AW56" si="13">AN9+AE9+V9</f>
        <v>8</v>
      </c>
      <c r="AX9" s="17">
        <f t="shared" ref="AX9:AX56" si="14">AO9+AF9+W9</f>
        <v>15</v>
      </c>
      <c r="AY9" s="17">
        <f t="shared" ref="AY9:AY56" si="15">AP9+AG9+X9</f>
        <v>18</v>
      </c>
      <c r="AZ9" s="17">
        <f t="shared" ref="AZ9:AZ56" si="16">AQ9+AH9+Y9</f>
        <v>481</v>
      </c>
      <c r="BA9" s="23">
        <v>3.7681159420289857E-2</v>
      </c>
      <c r="BB9" s="23">
        <v>0.25925925925925924</v>
      </c>
      <c r="BC9" s="19"/>
      <c r="BD9" s="20">
        <f t="shared" ref="BD9:BD56" si="17">SUM(AU9:AZ9)</f>
        <v>1865</v>
      </c>
      <c r="BE9" s="20">
        <v>1865</v>
      </c>
      <c r="BF9" s="53">
        <f t="shared" ref="BF9:BF56" si="18">BD9-BE9</f>
        <v>0</v>
      </c>
      <c r="BG9" s="19"/>
      <c r="BH9" s="19"/>
      <c r="BI9" s="19"/>
      <c r="BJ9" s="19"/>
      <c r="BK9" s="19"/>
    </row>
    <row r="10" spans="1:64" s="8" customFormat="1" ht="15" customHeight="1" thickBot="1" x14ac:dyDescent="0.35">
      <c r="A10" s="2" t="s">
        <v>17</v>
      </c>
      <c r="B10" s="24">
        <v>0</v>
      </c>
      <c r="C10" s="24">
        <v>0</v>
      </c>
      <c r="D10" s="24">
        <v>0</v>
      </c>
      <c r="E10" s="24">
        <v>0</v>
      </c>
      <c r="F10" s="24">
        <v>0</v>
      </c>
      <c r="G10" s="24">
        <v>0</v>
      </c>
      <c r="H10" s="25" t="s">
        <v>74</v>
      </c>
      <c r="I10" s="25" t="s">
        <v>74</v>
      </c>
      <c r="J10" s="24"/>
      <c r="K10" s="24">
        <v>0</v>
      </c>
      <c r="L10" s="24">
        <v>0</v>
      </c>
      <c r="M10" s="24">
        <v>0</v>
      </c>
      <c r="N10" s="24">
        <v>0</v>
      </c>
      <c r="O10" s="24">
        <v>0</v>
      </c>
      <c r="P10" s="24">
        <v>0</v>
      </c>
      <c r="Q10" s="25" t="s">
        <v>74</v>
      </c>
      <c r="R10" s="25" t="s">
        <v>74</v>
      </c>
      <c r="S10" s="24"/>
      <c r="T10" s="17">
        <f t="shared" ref="T10:T56" si="19">B10+K10</f>
        <v>0</v>
      </c>
      <c r="U10" s="17">
        <f t="shared" ref="U10:U56" si="20">C10+L10</f>
        <v>0</v>
      </c>
      <c r="V10" s="17">
        <f t="shared" ref="V10:V56" si="21">D10+M10</f>
        <v>0</v>
      </c>
      <c r="W10" s="17">
        <f t="shared" ref="W10:W56" si="22">E10+N10</f>
        <v>0</v>
      </c>
      <c r="X10" s="17">
        <f t="shared" ref="X10:X56" si="23">F10+O10</f>
        <v>0</v>
      </c>
      <c r="Y10" s="17">
        <f t="shared" ref="Y10:Y56" si="24">G10+P10</f>
        <v>0</v>
      </c>
      <c r="Z10" s="23" t="s">
        <v>74</v>
      </c>
      <c r="AA10" s="23" t="s">
        <v>74</v>
      </c>
      <c r="AB10" s="24"/>
      <c r="AC10" s="24">
        <v>0</v>
      </c>
      <c r="AD10" s="24">
        <v>0</v>
      </c>
      <c r="AE10" s="24">
        <v>0</v>
      </c>
      <c r="AF10" s="24">
        <v>0</v>
      </c>
      <c r="AG10" s="24">
        <v>0</v>
      </c>
      <c r="AH10" s="24">
        <v>0</v>
      </c>
      <c r="AI10" s="25" t="s">
        <v>74</v>
      </c>
      <c r="AJ10" s="25" t="s">
        <v>74</v>
      </c>
      <c r="AK10" s="24"/>
      <c r="AL10" s="24">
        <v>0</v>
      </c>
      <c r="AM10" s="24">
        <v>0</v>
      </c>
      <c r="AN10" s="24">
        <v>0</v>
      </c>
      <c r="AO10" s="24">
        <v>0</v>
      </c>
      <c r="AP10" s="24">
        <v>0</v>
      </c>
      <c r="AQ10" s="24">
        <v>0</v>
      </c>
      <c r="AR10" s="25" t="s">
        <v>74</v>
      </c>
      <c r="AS10" s="25" t="s">
        <v>74</v>
      </c>
      <c r="AT10" s="24"/>
      <c r="AU10" s="17">
        <f t="shared" si="11"/>
        <v>0</v>
      </c>
      <c r="AV10" s="17">
        <f t="shared" si="12"/>
        <v>0</v>
      </c>
      <c r="AW10" s="17">
        <f t="shared" si="13"/>
        <v>0</v>
      </c>
      <c r="AX10" s="17">
        <f t="shared" si="14"/>
        <v>0</v>
      </c>
      <c r="AY10" s="17">
        <f t="shared" si="15"/>
        <v>0</v>
      </c>
      <c r="AZ10" s="17">
        <f t="shared" si="16"/>
        <v>0</v>
      </c>
      <c r="BA10" s="23" t="s">
        <v>74</v>
      </c>
      <c r="BB10" s="23" t="s">
        <v>74</v>
      </c>
      <c r="BC10" s="19"/>
      <c r="BD10" s="20">
        <f t="shared" si="17"/>
        <v>0</v>
      </c>
      <c r="BE10" s="20">
        <v>0</v>
      </c>
      <c r="BF10" s="53">
        <f t="shared" si="18"/>
        <v>0</v>
      </c>
      <c r="BG10" s="19"/>
      <c r="BH10" s="19"/>
      <c r="BI10" s="19"/>
      <c r="BJ10" s="19"/>
      <c r="BK10" s="19"/>
    </row>
    <row r="11" spans="1:64" s="8" customFormat="1" ht="15" customHeight="1" thickBot="1" x14ac:dyDescent="0.35">
      <c r="A11" s="2" t="s">
        <v>18</v>
      </c>
      <c r="B11" s="24">
        <v>18</v>
      </c>
      <c r="C11" s="24">
        <v>1</v>
      </c>
      <c r="D11" s="24">
        <v>0</v>
      </c>
      <c r="E11" s="24">
        <v>4</v>
      </c>
      <c r="F11" s="24">
        <v>0</v>
      </c>
      <c r="G11" s="24">
        <v>0</v>
      </c>
      <c r="H11" s="25">
        <v>0.21739130434782608</v>
      </c>
      <c r="I11" s="25">
        <v>0</v>
      </c>
      <c r="J11" s="24"/>
      <c r="K11" s="24">
        <v>18</v>
      </c>
      <c r="L11" s="24">
        <v>0</v>
      </c>
      <c r="M11" s="24">
        <v>0</v>
      </c>
      <c r="N11" s="24">
        <v>4</v>
      </c>
      <c r="O11" s="24">
        <v>0</v>
      </c>
      <c r="P11" s="24">
        <v>0</v>
      </c>
      <c r="Q11" s="25">
        <v>0.18181818181818182</v>
      </c>
      <c r="R11" s="25">
        <v>0</v>
      </c>
      <c r="S11" s="24"/>
      <c r="T11" s="17">
        <f t="shared" si="19"/>
        <v>36</v>
      </c>
      <c r="U11" s="17">
        <f t="shared" si="20"/>
        <v>1</v>
      </c>
      <c r="V11" s="17">
        <f t="shared" si="21"/>
        <v>0</v>
      </c>
      <c r="W11" s="17">
        <f t="shared" si="22"/>
        <v>8</v>
      </c>
      <c r="X11" s="17">
        <f t="shared" si="23"/>
        <v>0</v>
      </c>
      <c r="Y11" s="17">
        <f t="shared" si="24"/>
        <v>0</v>
      </c>
      <c r="Z11" s="23">
        <v>0.2</v>
      </c>
      <c r="AA11" s="23">
        <v>0</v>
      </c>
      <c r="AB11" s="24"/>
      <c r="AC11" s="24">
        <v>0</v>
      </c>
      <c r="AD11" s="24">
        <v>0</v>
      </c>
      <c r="AE11" s="24">
        <v>0</v>
      </c>
      <c r="AF11" s="24">
        <v>0</v>
      </c>
      <c r="AG11" s="24">
        <v>0</v>
      </c>
      <c r="AH11" s="24">
        <v>0</v>
      </c>
      <c r="AI11" s="25" t="s">
        <v>74</v>
      </c>
      <c r="AJ11" s="25" t="s">
        <v>74</v>
      </c>
      <c r="AK11" s="24"/>
      <c r="AL11" s="24">
        <v>10</v>
      </c>
      <c r="AM11" s="24">
        <v>0</v>
      </c>
      <c r="AN11" s="24">
        <v>1</v>
      </c>
      <c r="AO11" s="24">
        <v>1</v>
      </c>
      <c r="AP11" s="24">
        <v>0</v>
      </c>
      <c r="AQ11" s="24">
        <v>0</v>
      </c>
      <c r="AR11" s="25">
        <v>0.16666666666666666</v>
      </c>
      <c r="AS11" s="25">
        <v>0</v>
      </c>
      <c r="AT11" s="24"/>
      <c r="AU11" s="17">
        <f t="shared" si="11"/>
        <v>46</v>
      </c>
      <c r="AV11" s="17">
        <f t="shared" si="12"/>
        <v>1</v>
      </c>
      <c r="AW11" s="17">
        <f t="shared" si="13"/>
        <v>1</v>
      </c>
      <c r="AX11" s="17">
        <f t="shared" si="14"/>
        <v>9</v>
      </c>
      <c r="AY11" s="17">
        <f t="shared" si="15"/>
        <v>0</v>
      </c>
      <c r="AZ11" s="17">
        <f t="shared" si="16"/>
        <v>0</v>
      </c>
      <c r="BA11" s="23">
        <v>0.19298245614035087</v>
      </c>
      <c r="BB11" s="23">
        <v>0</v>
      </c>
      <c r="BC11" s="19"/>
      <c r="BD11" s="20">
        <f t="shared" si="17"/>
        <v>57</v>
      </c>
      <c r="BE11" s="20">
        <v>57</v>
      </c>
      <c r="BF11" s="53">
        <f t="shared" si="18"/>
        <v>0</v>
      </c>
      <c r="BG11" s="19"/>
      <c r="BH11" s="19"/>
      <c r="BI11" s="19"/>
      <c r="BJ11" s="19"/>
      <c r="BK11" s="19"/>
    </row>
    <row r="12" spans="1:64" s="8" customFormat="1" ht="15" customHeight="1" thickBot="1" x14ac:dyDescent="0.35">
      <c r="A12" s="2" t="s">
        <v>19</v>
      </c>
      <c r="B12" s="24">
        <v>7</v>
      </c>
      <c r="C12" s="24">
        <v>0</v>
      </c>
      <c r="D12" s="24">
        <v>0</v>
      </c>
      <c r="E12" s="24">
        <v>0</v>
      </c>
      <c r="F12" s="24">
        <v>0</v>
      </c>
      <c r="G12" s="24">
        <v>0</v>
      </c>
      <c r="H12" s="25">
        <v>0</v>
      </c>
      <c r="I12" s="25">
        <v>0</v>
      </c>
      <c r="J12" s="24"/>
      <c r="K12" s="24">
        <v>8</v>
      </c>
      <c r="L12" s="24">
        <v>0</v>
      </c>
      <c r="M12" s="24">
        <v>0</v>
      </c>
      <c r="N12" s="24">
        <v>0</v>
      </c>
      <c r="O12" s="24">
        <v>0</v>
      </c>
      <c r="P12" s="24">
        <v>0</v>
      </c>
      <c r="Q12" s="25">
        <v>0</v>
      </c>
      <c r="R12" s="25">
        <v>0</v>
      </c>
      <c r="S12" s="24"/>
      <c r="T12" s="17">
        <f t="shared" si="19"/>
        <v>15</v>
      </c>
      <c r="U12" s="17">
        <f t="shared" si="20"/>
        <v>0</v>
      </c>
      <c r="V12" s="17">
        <f t="shared" si="21"/>
        <v>0</v>
      </c>
      <c r="W12" s="17">
        <f t="shared" si="22"/>
        <v>0</v>
      </c>
      <c r="X12" s="17">
        <f t="shared" si="23"/>
        <v>0</v>
      </c>
      <c r="Y12" s="17">
        <f t="shared" si="24"/>
        <v>0</v>
      </c>
      <c r="Z12" s="23">
        <v>0</v>
      </c>
      <c r="AA12" s="23">
        <v>0</v>
      </c>
      <c r="AB12" s="24"/>
      <c r="AC12" s="24">
        <v>3</v>
      </c>
      <c r="AD12" s="24">
        <v>0</v>
      </c>
      <c r="AE12" s="24">
        <v>0</v>
      </c>
      <c r="AF12" s="24">
        <v>0</v>
      </c>
      <c r="AG12" s="24">
        <v>0</v>
      </c>
      <c r="AH12" s="24">
        <v>0</v>
      </c>
      <c r="AI12" s="25">
        <v>0</v>
      </c>
      <c r="AJ12" s="25">
        <v>0</v>
      </c>
      <c r="AK12" s="24"/>
      <c r="AL12" s="24">
        <v>19</v>
      </c>
      <c r="AM12" s="24">
        <v>0</v>
      </c>
      <c r="AN12" s="24">
        <v>1</v>
      </c>
      <c r="AO12" s="24">
        <v>1</v>
      </c>
      <c r="AP12" s="24">
        <v>0</v>
      </c>
      <c r="AQ12" s="24">
        <v>1</v>
      </c>
      <c r="AR12" s="25">
        <v>9.5238095238095233E-2</v>
      </c>
      <c r="AS12" s="25">
        <v>4.5454545454545456E-2</v>
      </c>
      <c r="AT12" s="24"/>
      <c r="AU12" s="17">
        <f t="shared" si="11"/>
        <v>37</v>
      </c>
      <c r="AV12" s="17">
        <f t="shared" si="12"/>
        <v>0</v>
      </c>
      <c r="AW12" s="17">
        <f t="shared" si="13"/>
        <v>1</v>
      </c>
      <c r="AX12" s="17">
        <f t="shared" si="14"/>
        <v>1</v>
      </c>
      <c r="AY12" s="17">
        <f t="shared" si="15"/>
        <v>0</v>
      </c>
      <c r="AZ12" s="17">
        <f t="shared" si="16"/>
        <v>1</v>
      </c>
      <c r="BA12" s="23">
        <v>5.128205128205128E-2</v>
      </c>
      <c r="BB12" s="23">
        <v>2.5000000000000001E-2</v>
      </c>
      <c r="BC12" s="19"/>
      <c r="BD12" s="20">
        <f t="shared" si="17"/>
        <v>40</v>
      </c>
      <c r="BE12" s="20">
        <v>40</v>
      </c>
      <c r="BF12" s="53">
        <f t="shared" si="18"/>
        <v>0</v>
      </c>
      <c r="BG12" s="19"/>
      <c r="BH12" s="19"/>
      <c r="BI12" s="19"/>
      <c r="BJ12" s="19"/>
      <c r="BK12" s="19"/>
    </row>
    <row r="13" spans="1:64" s="8" customFormat="1" ht="15" customHeight="1" thickBot="1" x14ac:dyDescent="0.35">
      <c r="A13" s="2" t="s">
        <v>20</v>
      </c>
      <c r="B13" s="24">
        <v>11</v>
      </c>
      <c r="C13" s="24">
        <v>0</v>
      </c>
      <c r="D13" s="24">
        <v>0</v>
      </c>
      <c r="E13" s="24">
        <v>0</v>
      </c>
      <c r="F13" s="24">
        <v>0</v>
      </c>
      <c r="G13" s="24">
        <v>0</v>
      </c>
      <c r="H13" s="25">
        <v>0</v>
      </c>
      <c r="I13" s="25">
        <v>0</v>
      </c>
      <c r="J13" s="24"/>
      <c r="K13" s="24">
        <v>20</v>
      </c>
      <c r="L13" s="24">
        <v>0</v>
      </c>
      <c r="M13" s="24">
        <v>1</v>
      </c>
      <c r="N13" s="24">
        <v>0</v>
      </c>
      <c r="O13" s="24">
        <v>0</v>
      </c>
      <c r="P13" s="24">
        <v>0</v>
      </c>
      <c r="Q13" s="25">
        <v>4.7619047619047616E-2</v>
      </c>
      <c r="R13" s="25">
        <v>0</v>
      </c>
      <c r="S13" s="24"/>
      <c r="T13" s="17">
        <f t="shared" si="19"/>
        <v>31</v>
      </c>
      <c r="U13" s="17">
        <f t="shared" si="20"/>
        <v>0</v>
      </c>
      <c r="V13" s="17">
        <f t="shared" si="21"/>
        <v>1</v>
      </c>
      <c r="W13" s="17">
        <f t="shared" si="22"/>
        <v>0</v>
      </c>
      <c r="X13" s="17">
        <f t="shared" si="23"/>
        <v>0</v>
      </c>
      <c r="Y13" s="17">
        <f t="shared" si="24"/>
        <v>0</v>
      </c>
      <c r="Z13" s="23">
        <v>3.125E-2</v>
      </c>
      <c r="AA13" s="23">
        <v>0</v>
      </c>
      <c r="AB13" s="24"/>
      <c r="AC13" s="24">
        <v>0</v>
      </c>
      <c r="AD13" s="24">
        <v>0</v>
      </c>
      <c r="AE13" s="24">
        <v>0</v>
      </c>
      <c r="AF13" s="24">
        <v>0</v>
      </c>
      <c r="AG13" s="24">
        <v>0</v>
      </c>
      <c r="AH13" s="24">
        <v>0</v>
      </c>
      <c r="AI13" s="25" t="s">
        <v>74</v>
      </c>
      <c r="AJ13" s="25" t="s">
        <v>74</v>
      </c>
      <c r="AK13" s="24"/>
      <c r="AL13" s="24">
        <v>8</v>
      </c>
      <c r="AM13" s="24">
        <v>0</v>
      </c>
      <c r="AN13" s="24">
        <v>0</v>
      </c>
      <c r="AO13" s="24">
        <v>0</v>
      </c>
      <c r="AP13" s="24">
        <v>0</v>
      </c>
      <c r="AQ13" s="24">
        <v>1</v>
      </c>
      <c r="AR13" s="25">
        <v>0</v>
      </c>
      <c r="AS13" s="25">
        <v>0.1111111111111111</v>
      </c>
      <c r="AT13" s="24"/>
      <c r="AU13" s="17">
        <f t="shared" si="11"/>
        <v>39</v>
      </c>
      <c r="AV13" s="17">
        <f t="shared" si="12"/>
        <v>0</v>
      </c>
      <c r="AW13" s="17">
        <f t="shared" si="13"/>
        <v>1</v>
      </c>
      <c r="AX13" s="17">
        <f t="shared" si="14"/>
        <v>0</v>
      </c>
      <c r="AY13" s="17">
        <f t="shared" si="15"/>
        <v>0</v>
      </c>
      <c r="AZ13" s="17">
        <f t="shared" si="16"/>
        <v>1</v>
      </c>
      <c r="BA13" s="23">
        <v>2.5000000000000001E-2</v>
      </c>
      <c r="BB13" s="23">
        <v>2.4390243902439025E-2</v>
      </c>
      <c r="BC13" s="19"/>
      <c r="BD13" s="20">
        <f t="shared" si="17"/>
        <v>41</v>
      </c>
      <c r="BE13" s="20">
        <v>41</v>
      </c>
      <c r="BF13" s="53">
        <f t="shared" si="18"/>
        <v>0</v>
      </c>
      <c r="BG13" s="19"/>
      <c r="BH13" s="19"/>
      <c r="BI13" s="19"/>
      <c r="BJ13" s="19"/>
      <c r="BK13" s="19"/>
    </row>
    <row r="14" spans="1:64" s="8" customFormat="1" ht="15" customHeight="1" thickBot="1" x14ac:dyDescent="0.35">
      <c r="A14" s="2" t="s">
        <v>21</v>
      </c>
      <c r="B14" s="24">
        <v>0</v>
      </c>
      <c r="C14" s="24">
        <v>0</v>
      </c>
      <c r="D14" s="24">
        <v>0</v>
      </c>
      <c r="E14" s="24">
        <v>0</v>
      </c>
      <c r="F14" s="24">
        <v>0</v>
      </c>
      <c r="G14" s="24">
        <v>0</v>
      </c>
      <c r="H14" s="25" t="s">
        <v>74</v>
      </c>
      <c r="I14" s="25" t="s">
        <v>74</v>
      </c>
      <c r="J14" s="24"/>
      <c r="K14" s="24">
        <v>0</v>
      </c>
      <c r="L14" s="24">
        <v>0</v>
      </c>
      <c r="M14" s="24">
        <v>0</v>
      </c>
      <c r="N14" s="24">
        <v>0</v>
      </c>
      <c r="O14" s="24">
        <v>0</v>
      </c>
      <c r="P14" s="24">
        <v>0</v>
      </c>
      <c r="Q14" s="25" t="s">
        <v>74</v>
      </c>
      <c r="R14" s="25" t="s">
        <v>74</v>
      </c>
      <c r="S14" s="24"/>
      <c r="T14" s="17">
        <f t="shared" si="19"/>
        <v>0</v>
      </c>
      <c r="U14" s="17">
        <f t="shared" si="20"/>
        <v>0</v>
      </c>
      <c r="V14" s="17">
        <f t="shared" si="21"/>
        <v>0</v>
      </c>
      <c r="W14" s="17">
        <f t="shared" si="22"/>
        <v>0</v>
      </c>
      <c r="X14" s="17">
        <f t="shared" si="23"/>
        <v>0</v>
      </c>
      <c r="Y14" s="17">
        <f t="shared" si="24"/>
        <v>0</v>
      </c>
      <c r="Z14" s="23" t="s">
        <v>74</v>
      </c>
      <c r="AA14" s="23" t="s">
        <v>74</v>
      </c>
      <c r="AB14" s="24"/>
      <c r="AC14" s="24">
        <v>0</v>
      </c>
      <c r="AD14" s="24">
        <v>0</v>
      </c>
      <c r="AE14" s="24">
        <v>0</v>
      </c>
      <c r="AF14" s="24">
        <v>0</v>
      </c>
      <c r="AG14" s="24">
        <v>0</v>
      </c>
      <c r="AH14" s="24">
        <v>0</v>
      </c>
      <c r="AI14" s="25" t="s">
        <v>74</v>
      </c>
      <c r="AJ14" s="25" t="s">
        <v>74</v>
      </c>
      <c r="AK14" s="24"/>
      <c r="AL14" s="24">
        <v>0</v>
      </c>
      <c r="AM14" s="24">
        <v>0</v>
      </c>
      <c r="AN14" s="24">
        <v>0</v>
      </c>
      <c r="AO14" s="24">
        <v>0</v>
      </c>
      <c r="AP14" s="24">
        <v>0</v>
      </c>
      <c r="AQ14" s="24">
        <v>0</v>
      </c>
      <c r="AR14" s="25" t="s">
        <v>74</v>
      </c>
      <c r="AS14" s="25" t="s">
        <v>74</v>
      </c>
      <c r="AT14" s="24"/>
      <c r="AU14" s="17">
        <f t="shared" si="11"/>
        <v>0</v>
      </c>
      <c r="AV14" s="17">
        <f t="shared" si="12"/>
        <v>0</v>
      </c>
      <c r="AW14" s="17">
        <f t="shared" si="13"/>
        <v>0</v>
      </c>
      <c r="AX14" s="17">
        <f t="shared" si="14"/>
        <v>0</v>
      </c>
      <c r="AY14" s="17">
        <f t="shared" si="15"/>
        <v>0</v>
      </c>
      <c r="AZ14" s="17">
        <f t="shared" si="16"/>
        <v>0</v>
      </c>
      <c r="BA14" s="23" t="s">
        <v>74</v>
      </c>
      <c r="BB14" s="23" t="s">
        <v>74</v>
      </c>
      <c r="BC14" s="19"/>
      <c r="BD14" s="20">
        <f t="shared" si="17"/>
        <v>0</v>
      </c>
      <c r="BE14" s="20">
        <v>0</v>
      </c>
      <c r="BF14" s="53">
        <f t="shared" si="18"/>
        <v>0</v>
      </c>
      <c r="BG14" s="19"/>
      <c r="BH14" s="19"/>
      <c r="BI14" s="19"/>
      <c r="BJ14" s="19"/>
      <c r="BK14" s="19"/>
    </row>
    <row r="15" spans="1:64" s="8" customFormat="1" ht="15" customHeight="1" thickBot="1" x14ac:dyDescent="0.35">
      <c r="A15" s="2" t="s">
        <v>22</v>
      </c>
      <c r="B15" s="24">
        <v>28</v>
      </c>
      <c r="C15" s="24">
        <v>0</v>
      </c>
      <c r="D15" s="24">
        <v>1</v>
      </c>
      <c r="E15" s="24">
        <v>0</v>
      </c>
      <c r="F15" s="24">
        <v>0</v>
      </c>
      <c r="G15" s="24">
        <v>1</v>
      </c>
      <c r="H15" s="25">
        <v>3.4482758620689655E-2</v>
      </c>
      <c r="I15" s="25">
        <v>3.3333333333333333E-2</v>
      </c>
      <c r="J15" s="24"/>
      <c r="K15" s="24">
        <v>58</v>
      </c>
      <c r="L15" s="24">
        <v>0</v>
      </c>
      <c r="M15" s="24">
        <v>0</v>
      </c>
      <c r="N15" s="24">
        <v>1</v>
      </c>
      <c r="O15" s="24">
        <v>0</v>
      </c>
      <c r="P15" s="24">
        <v>1</v>
      </c>
      <c r="Q15" s="25">
        <v>1.6949152542372881E-2</v>
      </c>
      <c r="R15" s="25">
        <v>1.6666666666666666E-2</v>
      </c>
      <c r="S15" s="24"/>
      <c r="T15" s="17">
        <f t="shared" si="19"/>
        <v>86</v>
      </c>
      <c r="U15" s="17">
        <f t="shared" si="20"/>
        <v>0</v>
      </c>
      <c r="V15" s="17">
        <f t="shared" si="21"/>
        <v>1</v>
      </c>
      <c r="W15" s="17">
        <f t="shared" si="22"/>
        <v>1</v>
      </c>
      <c r="X15" s="17">
        <f t="shared" si="23"/>
        <v>0</v>
      </c>
      <c r="Y15" s="17">
        <f t="shared" si="24"/>
        <v>2</v>
      </c>
      <c r="Z15" s="23">
        <v>2.2727272727272728E-2</v>
      </c>
      <c r="AA15" s="23">
        <v>2.2222222222222223E-2</v>
      </c>
      <c r="AB15" s="24"/>
      <c r="AC15" s="24">
        <v>0</v>
      </c>
      <c r="AD15" s="24">
        <v>0</v>
      </c>
      <c r="AE15" s="24">
        <v>0</v>
      </c>
      <c r="AF15" s="24">
        <v>0</v>
      </c>
      <c r="AG15" s="24">
        <v>0</v>
      </c>
      <c r="AH15" s="24">
        <v>0</v>
      </c>
      <c r="AI15" s="25" t="s">
        <v>74</v>
      </c>
      <c r="AJ15" s="25" t="s">
        <v>74</v>
      </c>
      <c r="AK15" s="24"/>
      <c r="AL15" s="24">
        <v>47</v>
      </c>
      <c r="AM15" s="24">
        <v>0</v>
      </c>
      <c r="AN15" s="24">
        <v>0</v>
      </c>
      <c r="AO15" s="24">
        <v>0</v>
      </c>
      <c r="AP15" s="24">
        <v>0</v>
      </c>
      <c r="AQ15" s="24">
        <v>6</v>
      </c>
      <c r="AR15" s="25">
        <v>0</v>
      </c>
      <c r="AS15" s="25">
        <v>0.11320754716981132</v>
      </c>
      <c r="AT15" s="24"/>
      <c r="AU15" s="17">
        <f t="shared" si="11"/>
        <v>133</v>
      </c>
      <c r="AV15" s="17">
        <f t="shared" si="12"/>
        <v>0</v>
      </c>
      <c r="AW15" s="17">
        <f t="shared" si="13"/>
        <v>1</v>
      </c>
      <c r="AX15" s="17">
        <f t="shared" si="14"/>
        <v>1</v>
      </c>
      <c r="AY15" s="17">
        <f t="shared" si="15"/>
        <v>0</v>
      </c>
      <c r="AZ15" s="17">
        <f t="shared" si="16"/>
        <v>8</v>
      </c>
      <c r="BA15" s="23">
        <v>1.4814814814814815E-2</v>
      </c>
      <c r="BB15" s="23">
        <v>5.5944055944055944E-2</v>
      </c>
      <c r="BC15" s="19"/>
      <c r="BD15" s="20">
        <f t="shared" si="17"/>
        <v>143</v>
      </c>
      <c r="BE15" s="20">
        <v>143</v>
      </c>
      <c r="BF15" s="53">
        <f t="shared" si="18"/>
        <v>0</v>
      </c>
      <c r="BG15" s="19"/>
      <c r="BH15" s="19"/>
      <c r="BI15" s="19"/>
      <c r="BJ15" s="19"/>
      <c r="BK15" s="19"/>
    </row>
    <row r="16" spans="1:64" s="8" customFormat="1" ht="15" customHeight="1" thickBot="1" x14ac:dyDescent="0.35">
      <c r="A16" s="2" t="s">
        <v>23</v>
      </c>
      <c r="B16" s="24">
        <v>0</v>
      </c>
      <c r="C16" s="24">
        <v>0</v>
      </c>
      <c r="D16" s="24">
        <v>0</v>
      </c>
      <c r="E16" s="24">
        <v>0</v>
      </c>
      <c r="F16" s="24">
        <v>0</v>
      </c>
      <c r="G16" s="24">
        <v>0</v>
      </c>
      <c r="H16" s="25" t="s">
        <v>74</v>
      </c>
      <c r="I16" s="25" t="s">
        <v>74</v>
      </c>
      <c r="J16" s="24"/>
      <c r="K16" s="24">
        <v>0</v>
      </c>
      <c r="L16" s="24">
        <v>0</v>
      </c>
      <c r="M16" s="24">
        <v>0</v>
      </c>
      <c r="N16" s="24">
        <v>0</v>
      </c>
      <c r="O16" s="24">
        <v>0</v>
      </c>
      <c r="P16" s="24">
        <v>0</v>
      </c>
      <c r="Q16" s="25" t="s">
        <v>74</v>
      </c>
      <c r="R16" s="25" t="s">
        <v>74</v>
      </c>
      <c r="S16" s="24"/>
      <c r="T16" s="17">
        <f t="shared" si="19"/>
        <v>0</v>
      </c>
      <c r="U16" s="17">
        <f t="shared" si="20"/>
        <v>0</v>
      </c>
      <c r="V16" s="17">
        <f t="shared" si="21"/>
        <v>0</v>
      </c>
      <c r="W16" s="17">
        <f t="shared" si="22"/>
        <v>0</v>
      </c>
      <c r="X16" s="17">
        <f t="shared" si="23"/>
        <v>0</v>
      </c>
      <c r="Y16" s="17">
        <f t="shared" si="24"/>
        <v>0</v>
      </c>
      <c r="Z16" s="23" t="s">
        <v>74</v>
      </c>
      <c r="AA16" s="23" t="s">
        <v>74</v>
      </c>
      <c r="AB16" s="24"/>
      <c r="AC16" s="24">
        <v>0</v>
      </c>
      <c r="AD16" s="24">
        <v>0</v>
      </c>
      <c r="AE16" s="24">
        <v>0</v>
      </c>
      <c r="AF16" s="24">
        <v>0</v>
      </c>
      <c r="AG16" s="24">
        <v>0</v>
      </c>
      <c r="AH16" s="24">
        <v>0</v>
      </c>
      <c r="AI16" s="25" t="s">
        <v>74</v>
      </c>
      <c r="AJ16" s="25" t="s">
        <v>74</v>
      </c>
      <c r="AK16" s="24"/>
      <c r="AL16" s="24">
        <v>0</v>
      </c>
      <c r="AM16" s="24">
        <v>0</v>
      </c>
      <c r="AN16" s="24">
        <v>0</v>
      </c>
      <c r="AO16" s="24">
        <v>0</v>
      </c>
      <c r="AP16" s="24">
        <v>0</v>
      </c>
      <c r="AQ16" s="24">
        <v>0</v>
      </c>
      <c r="AR16" s="25" t="s">
        <v>74</v>
      </c>
      <c r="AS16" s="25" t="s">
        <v>74</v>
      </c>
      <c r="AT16" s="24"/>
      <c r="AU16" s="17">
        <f t="shared" si="11"/>
        <v>0</v>
      </c>
      <c r="AV16" s="17">
        <f t="shared" si="12"/>
        <v>0</v>
      </c>
      <c r="AW16" s="17">
        <f t="shared" si="13"/>
        <v>0</v>
      </c>
      <c r="AX16" s="17">
        <f t="shared" si="14"/>
        <v>0</v>
      </c>
      <c r="AY16" s="17">
        <f t="shared" si="15"/>
        <v>0</v>
      </c>
      <c r="AZ16" s="17">
        <f t="shared" si="16"/>
        <v>0</v>
      </c>
      <c r="BA16" s="23" t="s">
        <v>74</v>
      </c>
      <c r="BB16" s="23" t="s">
        <v>74</v>
      </c>
      <c r="BC16" s="19"/>
      <c r="BD16" s="20">
        <f t="shared" si="17"/>
        <v>0</v>
      </c>
      <c r="BE16" s="20">
        <v>0</v>
      </c>
      <c r="BF16" s="53">
        <f t="shared" si="18"/>
        <v>0</v>
      </c>
      <c r="BG16" s="19"/>
      <c r="BH16" s="19"/>
      <c r="BI16" s="19"/>
      <c r="BJ16" s="19"/>
      <c r="BK16" s="19"/>
    </row>
    <row r="17" spans="1:63" s="8" customFormat="1" ht="15" customHeight="1" thickBot="1" x14ac:dyDescent="0.35">
      <c r="A17" s="2" t="s">
        <v>24</v>
      </c>
      <c r="B17" s="24">
        <v>0</v>
      </c>
      <c r="C17" s="24">
        <v>0</v>
      </c>
      <c r="D17" s="24">
        <v>0</v>
      </c>
      <c r="E17" s="24">
        <v>0</v>
      </c>
      <c r="F17" s="24">
        <v>0</v>
      </c>
      <c r="G17" s="24">
        <v>0</v>
      </c>
      <c r="H17" s="25" t="s">
        <v>74</v>
      </c>
      <c r="I17" s="25" t="s">
        <v>74</v>
      </c>
      <c r="J17" s="24"/>
      <c r="K17" s="24">
        <v>5</v>
      </c>
      <c r="L17" s="24">
        <v>0</v>
      </c>
      <c r="M17" s="24">
        <v>0</v>
      </c>
      <c r="N17" s="24">
        <v>0</v>
      </c>
      <c r="O17" s="24">
        <v>0</v>
      </c>
      <c r="P17" s="24">
        <v>22</v>
      </c>
      <c r="Q17" s="25">
        <v>0</v>
      </c>
      <c r="R17" s="25">
        <v>0.81481481481481477</v>
      </c>
      <c r="S17" s="24"/>
      <c r="T17" s="17">
        <f t="shared" si="19"/>
        <v>5</v>
      </c>
      <c r="U17" s="17">
        <f t="shared" si="20"/>
        <v>0</v>
      </c>
      <c r="V17" s="17">
        <f t="shared" si="21"/>
        <v>0</v>
      </c>
      <c r="W17" s="17">
        <f t="shared" si="22"/>
        <v>0</v>
      </c>
      <c r="X17" s="17">
        <f t="shared" si="23"/>
        <v>0</v>
      </c>
      <c r="Y17" s="17">
        <f t="shared" si="24"/>
        <v>22</v>
      </c>
      <c r="Z17" s="23">
        <v>0</v>
      </c>
      <c r="AA17" s="23">
        <v>0.81481481481481477</v>
      </c>
      <c r="AB17" s="24"/>
      <c r="AC17" s="24">
        <v>0</v>
      </c>
      <c r="AD17" s="24">
        <v>0</v>
      </c>
      <c r="AE17" s="24">
        <v>0</v>
      </c>
      <c r="AF17" s="24">
        <v>0</v>
      </c>
      <c r="AG17" s="24">
        <v>0</v>
      </c>
      <c r="AH17" s="24">
        <v>2</v>
      </c>
      <c r="AI17" s="25" t="s">
        <v>74</v>
      </c>
      <c r="AJ17" s="25">
        <v>1</v>
      </c>
      <c r="AK17" s="24"/>
      <c r="AL17" s="24">
        <v>2</v>
      </c>
      <c r="AM17" s="24">
        <v>0</v>
      </c>
      <c r="AN17" s="24">
        <v>0</v>
      </c>
      <c r="AO17" s="24">
        <v>0</v>
      </c>
      <c r="AP17" s="24">
        <v>0</v>
      </c>
      <c r="AQ17" s="24">
        <v>3</v>
      </c>
      <c r="AR17" s="25">
        <v>0</v>
      </c>
      <c r="AS17" s="25">
        <v>0.6</v>
      </c>
      <c r="AT17" s="24"/>
      <c r="AU17" s="17">
        <f t="shared" si="11"/>
        <v>7</v>
      </c>
      <c r="AV17" s="17">
        <f t="shared" si="12"/>
        <v>0</v>
      </c>
      <c r="AW17" s="17">
        <f t="shared" si="13"/>
        <v>0</v>
      </c>
      <c r="AX17" s="17">
        <f t="shared" si="14"/>
        <v>0</v>
      </c>
      <c r="AY17" s="17">
        <f t="shared" si="15"/>
        <v>0</v>
      </c>
      <c r="AZ17" s="17">
        <f t="shared" si="16"/>
        <v>27</v>
      </c>
      <c r="BA17" s="23">
        <v>0</v>
      </c>
      <c r="BB17" s="23">
        <v>0.79411764705882348</v>
      </c>
      <c r="BC17" s="19"/>
      <c r="BD17" s="20">
        <f t="shared" si="17"/>
        <v>34</v>
      </c>
      <c r="BE17" s="20">
        <v>34</v>
      </c>
      <c r="BF17" s="53">
        <f t="shared" si="18"/>
        <v>0</v>
      </c>
      <c r="BG17" s="19"/>
      <c r="BH17" s="19"/>
      <c r="BI17" s="19"/>
      <c r="BJ17" s="19"/>
      <c r="BK17" s="19"/>
    </row>
    <row r="18" spans="1:63" s="8" customFormat="1" ht="15" customHeight="1" thickBot="1" x14ac:dyDescent="0.35">
      <c r="A18" s="2" t="s">
        <v>25</v>
      </c>
      <c r="B18" s="24">
        <v>12</v>
      </c>
      <c r="C18" s="24">
        <v>0</v>
      </c>
      <c r="D18" s="24">
        <v>0</v>
      </c>
      <c r="E18" s="24">
        <v>0</v>
      </c>
      <c r="F18" s="24">
        <v>0</v>
      </c>
      <c r="G18" s="24">
        <v>0</v>
      </c>
      <c r="H18" s="25">
        <v>0</v>
      </c>
      <c r="I18" s="25">
        <v>0</v>
      </c>
      <c r="J18" s="24"/>
      <c r="K18" s="24">
        <v>0</v>
      </c>
      <c r="L18" s="24">
        <v>0</v>
      </c>
      <c r="M18" s="24">
        <v>0</v>
      </c>
      <c r="N18" s="24">
        <v>0</v>
      </c>
      <c r="O18" s="24">
        <v>0</v>
      </c>
      <c r="P18" s="24">
        <v>0</v>
      </c>
      <c r="Q18" s="25" t="s">
        <v>74</v>
      </c>
      <c r="R18" s="25" t="s">
        <v>74</v>
      </c>
      <c r="S18" s="24"/>
      <c r="T18" s="17">
        <f t="shared" si="19"/>
        <v>12</v>
      </c>
      <c r="U18" s="17">
        <f t="shared" si="20"/>
        <v>0</v>
      </c>
      <c r="V18" s="17">
        <f t="shared" si="21"/>
        <v>0</v>
      </c>
      <c r="W18" s="17">
        <f t="shared" si="22"/>
        <v>0</v>
      </c>
      <c r="X18" s="17">
        <f t="shared" si="23"/>
        <v>0</v>
      </c>
      <c r="Y18" s="17">
        <f t="shared" si="24"/>
        <v>0</v>
      </c>
      <c r="Z18" s="23">
        <v>0</v>
      </c>
      <c r="AA18" s="23">
        <v>0</v>
      </c>
      <c r="AB18" s="24"/>
      <c r="AC18" s="24">
        <v>0</v>
      </c>
      <c r="AD18" s="24">
        <v>0</v>
      </c>
      <c r="AE18" s="24">
        <v>0</v>
      </c>
      <c r="AF18" s="24">
        <v>0</v>
      </c>
      <c r="AG18" s="24">
        <v>0</v>
      </c>
      <c r="AH18" s="24">
        <v>0</v>
      </c>
      <c r="AI18" s="25" t="s">
        <v>74</v>
      </c>
      <c r="AJ18" s="25" t="s">
        <v>74</v>
      </c>
      <c r="AK18" s="24"/>
      <c r="AL18" s="24">
        <v>2</v>
      </c>
      <c r="AM18" s="24">
        <v>0</v>
      </c>
      <c r="AN18" s="24">
        <v>0</v>
      </c>
      <c r="AO18" s="24">
        <v>0</v>
      </c>
      <c r="AP18" s="24">
        <v>0</v>
      </c>
      <c r="AQ18" s="24">
        <v>0</v>
      </c>
      <c r="AR18" s="25">
        <v>0</v>
      </c>
      <c r="AS18" s="25">
        <v>0</v>
      </c>
      <c r="AT18" s="24"/>
      <c r="AU18" s="17">
        <f t="shared" si="11"/>
        <v>14</v>
      </c>
      <c r="AV18" s="17">
        <f t="shared" si="12"/>
        <v>0</v>
      </c>
      <c r="AW18" s="17">
        <f t="shared" si="13"/>
        <v>0</v>
      </c>
      <c r="AX18" s="17">
        <f t="shared" si="14"/>
        <v>0</v>
      </c>
      <c r="AY18" s="17">
        <f t="shared" si="15"/>
        <v>0</v>
      </c>
      <c r="AZ18" s="17">
        <f t="shared" si="16"/>
        <v>0</v>
      </c>
      <c r="BA18" s="23">
        <v>0</v>
      </c>
      <c r="BB18" s="23">
        <v>0</v>
      </c>
      <c r="BC18" s="19"/>
      <c r="BD18" s="20">
        <f t="shared" si="17"/>
        <v>14</v>
      </c>
      <c r="BE18" s="20">
        <v>14</v>
      </c>
      <c r="BF18" s="53">
        <f t="shared" si="18"/>
        <v>0</v>
      </c>
      <c r="BG18" s="19"/>
      <c r="BH18" s="19"/>
      <c r="BI18" s="19"/>
      <c r="BJ18" s="19"/>
      <c r="BK18" s="19"/>
    </row>
    <row r="19" spans="1:63" s="8" customFormat="1" ht="15" customHeight="1" thickBot="1" x14ac:dyDescent="0.35">
      <c r="A19" s="26" t="s">
        <v>26</v>
      </c>
      <c r="B19" s="24">
        <v>24</v>
      </c>
      <c r="C19" s="24">
        <v>0</v>
      </c>
      <c r="D19" s="24">
        <v>0</v>
      </c>
      <c r="E19" s="24">
        <v>0</v>
      </c>
      <c r="F19" s="24">
        <v>0</v>
      </c>
      <c r="G19" s="24">
        <v>0</v>
      </c>
      <c r="H19" s="25">
        <v>0</v>
      </c>
      <c r="I19" s="25">
        <v>0</v>
      </c>
      <c r="J19" s="24"/>
      <c r="K19" s="24">
        <v>37</v>
      </c>
      <c r="L19" s="24">
        <v>1</v>
      </c>
      <c r="M19" s="24">
        <v>0</v>
      </c>
      <c r="N19" s="24">
        <v>0</v>
      </c>
      <c r="O19" s="24">
        <v>0</v>
      </c>
      <c r="P19" s="24">
        <v>0</v>
      </c>
      <c r="Q19" s="25">
        <v>2.6315789473684209E-2</v>
      </c>
      <c r="R19" s="25">
        <v>0</v>
      </c>
      <c r="S19" s="24"/>
      <c r="T19" s="17">
        <f t="shared" si="19"/>
        <v>61</v>
      </c>
      <c r="U19" s="17">
        <f t="shared" si="20"/>
        <v>1</v>
      </c>
      <c r="V19" s="17">
        <f t="shared" si="21"/>
        <v>0</v>
      </c>
      <c r="W19" s="17">
        <f t="shared" si="22"/>
        <v>0</v>
      </c>
      <c r="X19" s="17">
        <f t="shared" si="23"/>
        <v>0</v>
      </c>
      <c r="Y19" s="17">
        <f t="shared" si="24"/>
        <v>0</v>
      </c>
      <c r="Z19" s="23">
        <v>1.6129032258064516E-2</v>
      </c>
      <c r="AA19" s="23">
        <v>0</v>
      </c>
      <c r="AB19" s="24"/>
      <c r="AC19" s="24">
        <v>3</v>
      </c>
      <c r="AD19" s="24">
        <v>0</v>
      </c>
      <c r="AE19" s="24">
        <v>0</v>
      </c>
      <c r="AF19" s="24">
        <v>0</v>
      </c>
      <c r="AG19" s="24">
        <v>0</v>
      </c>
      <c r="AH19" s="24">
        <v>0</v>
      </c>
      <c r="AI19" s="25">
        <v>0</v>
      </c>
      <c r="AJ19" s="25">
        <v>0</v>
      </c>
      <c r="AK19" s="24"/>
      <c r="AL19" s="24">
        <v>26</v>
      </c>
      <c r="AM19" s="24">
        <v>0</v>
      </c>
      <c r="AN19" s="24">
        <v>0</v>
      </c>
      <c r="AO19" s="24">
        <v>0</v>
      </c>
      <c r="AP19" s="24">
        <v>0</v>
      </c>
      <c r="AQ19" s="24">
        <v>0</v>
      </c>
      <c r="AR19" s="25">
        <v>0</v>
      </c>
      <c r="AS19" s="25">
        <v>0</v>
      </c>
      <c r="AT19" s="24"/>
      <c r="AU19" s="17">
        <f t="shared" si="11"/>
        <v>90</v>
      </c>
      <c r="AV19" s="17">
        <f t="shared" si="12"/>
        <v>1</v>
      </c>
      <c r="AW19" s="17">
        <f t="shared" si="13"/>
        <v>0</v>
      </c>
      <c r="AX19" s="17">
        <f t="shared" si="14"/>
        <v>0</v>
      </c>
      <c r="AY19" s="17">
        <f t="shared" si="15"/>
        <v>0</v>
      </c>
      <c r="AZ19" s="17">
        <f t="shared" si="16"/>
        <v>0</v>
      </c>
      <c r="BA19" s="23">
        <v>1.098901098901099E-2</v>
      </c>
      <c r="BB19" s="23">
        <v>0</v>
      </c>
      <c r="BC19" s="19"/>
      <c r="BD19" s="20">
        <f t="shared" si="17"/>
        <v>91</v>
      </c>
      <c r="BE19" s="20">
        <v>91</v>
      </c>
      <c r="BF19" s="53">
        <f t="shared" si="18"/>
        <v>0</v>
      </c>
      <c r="BG19" s="19"/>
      <c r="BH19" s="19"/>
      <c r="BI19" s="19"/>
      <c r="BJ19" s="19"/>
      <c r="BK19" s="19"/>
    </row>
    <row r="20" spans="1:63" s="8" customFormat="1" ht="15" customHeight="1" thickBot="1" x14ac:dyDescent="0.35">
      <c r="A20" s="26" t="s">
        <v>27</v>
      </c>
      <c r="B20" s="24">
        <v>3</v>
      </c>
      <c r="C20" s="24">
        <v>0</v>
      </c>
      <c r="D20" s="24">
        <v>0</v>
      </c>
      <c r="E20" s="24">
        <v>0</v>
      </c>
      <c r="F20" s="24">
        <v>0</v>
      </c>
      <c r="G20" s="24">
        <v>0</v>
      </c>
      <c r="H20" s="25">
        <v>0</v>
      </c>
      <c r="I20" s="25">
        <v>0</v>
      </c>
      <c r="J20" s="24"/>
      <c r="K20" s="24">
        <v>75</v>
      </c>
      <c r="L20" s="24">
        <v>1</v>
      </c>
      <c r="M20" s="24">
        <v>0</v>
      </c>
      <c r="N20" s="24">
        <v>0</v>
      </c>
      <c r="O20" s="24">
        <v>0</v>
      </c>
      <c r="P20" s="24">
        <v>18</v>
      </c>
      <c r="Q20" s="25">
        <v>1.3157894736842105E-2</v>
      </c>
      <c r="R20" s="25">
        <v>0.19148936170212766</v>
      </c>
      <c r="S20" s="24"/>
      <c r="T20" s="17">
        <f t="shared" si="19"/>
        <v>78</v>
      </c>
      <c r="U20" s="17">
        <f t="shared" si="20"/>
        <v>1</v>
      </c>
      <c r="V20" s="17">
        <f t="shared" si="21"/>
        <v>0</v>
      </c>
      <c r="W20" s="17">
        <f t="shared" si="22"/>
        <v>0</v>
      </c>
      <c r="X20" s="17">
        <f t="shared" si="23"/>
        <v>0</v>
      </c>
      <c r="Y20" s="17">
        <f t="shared" si="24"/>
        <v>18</v>
      </c>
      <c r="Z20" s="23">
        <v>1.2658227848101266E-2</v>
      </c>
      <c r="AA20" s="23">
        <v>0.18556701030927836</v>
      </c>
      <c r="AB20" s="24"/>
      <c r="AC20" s="24">
        <v>0</v>
      </c>
      <c r="AD20" s="24">
        <v>0</v>
      </c>
      <c r="AE20" s="24">
        <v>0</v>
      </c>
      <c r="AF20" s="24">
        <v>0</v>
      </c>
      <c r="AG20" s="24">
        <v>0</v>
      </c>
      <c r="AH20" s="24">
        <v>0</v>
      </c>
      <c r="AI20" s="25" t="s">
        <v>74</v>
      </c>
      <c r="AJ20" s="25" t="s">
        <v>74</v>
      </c>
      <c r="AK20" s="24"/>
      <c r="AL20" s="24">
        <v>5</v>
      </c>
      <c r="AM20" s="24">
        <v>0</v>
      </c>
      <c r="AN20" s="24">
        <v>0</v>
      </c>
      <c r="AO20" s="24">
        <v>0</v>
      </c>
      <c r="AP20" s="24">
        <v>0</v>
      </c>
      <c r="AQ20" s="24">
        <v>0</v>
      </c>
      <c r="AR20" s="25">
        <v>0</v>
      </c>
      <c r="AS20" s="25">
        <v>0</v>
      </c>
      <c r="AT20" s="24"/>
      <c r="AU20" s="17">
        <f t="shared" si="11"/>
        <v>83</v>
      </c>
      <c r="AV20" s="17">
        <f t="shared" si="12"/>
        <v>1</v>
      </c>
      <c r="AW20" s="17">
        <f t="shared" si="13"/>
        <v>0</v>
      </c>
      <c r="AX20" s="17">
        <f t="shared" si="14"/>
        <v>0</v>
      </c>
      <c r="AY20" s="17">
        <f t="shared" si="15"/>
        <v>0</v>
      </c>
      <c r="AZ20" s="17">
        <f t="shared" si="16"/>
        <v>18</v>
      </c>
      <c r="BA20" s="23">
        <v>1.1904761904761904E-2</v>
      </c>
      <c r="BB20" s="23">
        <v>0.17647058823529413</v>
      </c>
      <c r="BC20" s="19"/>
      <c r="BD20" s="20">
        <f t="shared" si="17"/>
        <v>102</v>
      </c>
      <c r="BE20" s="20">
        <v>102</v>
      </c>
      <c r="BF20" s="53">
        <f t="shared" si="18"/>
        <v>0</v>
      </c>
      <c r="BG20" s="19"/>
      <c r="BH20" s="19"/>
      <c r="BI20" s="19"/>
      <c r="BJ20" s="19"/>
      <c r="BK20" s="19"/>
    </row>
    <row r="21" spans="1:63" s="8" customFormat="1" ht="15" customHeight="1" thickBot="1" x14ac:dyDescent="0.35">
      <c r="A21" s="2" t="s">
        <v>28</v>
      </c>
      <c r="B21" s="24">
        <v>3</v>
      </c>
      <c r="C21" s="24">
        <v>0</v>
      </c>
      <c r="D21" s="24">
        <v>0</v>
      </c>
      <c r="E21" s="24">
        <v>0</v>
      </c>
      <c r="F21" s="24">
        <v>0</v>
      </c>
      <c r="G21" s="24">
        <v>15</v>
      </c>
      <c r="H21" s="25">
        <v>0</v>
      </c>
      <c r="I21" s="25">
        <v>0.83333333333333337</v>
      </c>
      <c r="J21" s="24"/>
      <c r="K21" s="24">
        <v>17</v>
      </c>
      <c r="L21" s="24">
        <v>0</v>
      </c>
      <c r="M21" s="24">
        <v>0</v>
      </c>
      <c r="N21" s="24">
        <v>1</v>
      </c>
      <c r="O21" s="24">
        <v>0</v>
      </c>
      <c r="P21" s="24">
        <v>14</v>
      </c>
      <c r="Q21" s="25">
        <v>5.5555555555555552E-2</v>
      </c>
      <c r="R21" s="25">
        <v>0.4375</v>
      </c>
      <c r="S21" s="24"/>
      <c r="T21" s="17">
        <f t="shared" si="19"/>
        <v>20</v>
      </c>
      <c r="U21" s="17">
        <f t="shared" si="20"/>
        <v>0</v>
      </c>
      <c r="V21" s="17">
        <f t="shared" si="21"/>
        <v>0</v>
      </c>
      <c r="W21" s="17">
        <f t="shared" si="22"/>
        <v>1</v>
      </c>
      <c r="X21" s="17">
        <f t="shared" si="23"/>
        <v>0</v>
      </c>
      <c r="Y21" s="17">
        <f t="shared" si="24"/>
        <v>29</v>
      </c>
      <c r="Z21" s="23">
        <v>4.7619047619047616E-2</v>
      </c>
      <c r="AA21" s="23">
        <v>0.57999999999999996</v>
      </c>
      <c r="AB21" s="24"/>
      <c r="AC21" s="24">
        <v>0</v>
      </c>
      <c r="AD21" s="24">
        <v>0</v>
      </c>
      <c r="AE21" s="24">
        <v>0</v>
      </c>
      <c r="AF21" s="24">
        <v>0</v>
      </c>
      <c r="AG21" s="24">
        <v>0</v>
      </c>
      <c r="AH21" s="24">
        <v>0</v>
      </c>
      <c r="AI21" s="25" t="s">
        <v>74</v>
      </c>
      <c r="AJ21" s="25" t="s">
        <v>74</v>
      </c>
      <c r="AK21" s="24"/>
      <c r="AL21" s="24">
        <v>18</v>
      </c>
      <c r="AM21" s="24">
        <v>0</v>
      </c>
      <c r="AN21" s="24">
        <v>1</v>
      </c>
      <c r="AO21" s="24">
        <v>0</v>
      </c>
      <c r="AP21" s="24">
        <v>0</v>
      </c>
      <c r="AQ21" s="24">
        <v>13</v>
      </c>
      <c r="AR21" s="25">
        <v>5.2631578947368418E-2</v>
      </c>
      <c r="AS21" s="25">
        <v>0.40625</v>
      </c>
      <c r="AT21" s="24"/>
      <c r="AU21" s="17">
        <f t="shared" si="11"/>
        <v>38</v>
      </c>
      <c r="AV21" s="17">
        <f t="shared" si="12"/>
        <v>0</v>
      </c>
      <c r="AW21" s="17">
        <f t="shared" si="13"/>
        <v>1</v>
      </c>
      <c r="AX21" s="17">
        <f t="shared" si="14"/>
        <v>1</v>
      </c>
      <c r="AY21" s="17">
        <f t="shared" si="15"/>
        <v>0</v>
      </c>
      <c r="AZ21" s="17">
        <f t="shared" si="16"/>
        <v>42</v>
      </c>
      <c r="BA21" s="23">
        <v>0.05</v>
      </c>
      <c r="BB21" s="23">
        <v>0.51219512195121952</v>
      </c>
      <c r="BC21" s="19"/>
      <c r="BD21" s="20">
        <f t="shared" si="17"/>
        <v>82</v>
      </c>
      <c r="BE21" s="20">
        <v>82</v>
      </c>
      <c r="BF21" s="53">
        <f t="shared" si="18"/>
        <v>0</v>
      </c>
      <c r="BG21" s="19"/>
      <c r="BH21" s="19"/>
      <c r="BI21" s="19"/>
      <c r="BJ21" s="19"/>
      <c r="BK21" s="19"/>
    </row>
    <row r="22" spans="1:63" s="8" customFormat="1" ht="15" customHeight="1" thickBot="1" x14ac:dyDescent="0.35">
      <c r="A22" s="2" t="s">
        <v>29</v>
      </c>
      <c r="B22" s="24">
        <v>0</v>
      </c>
      <c r="C22" s="24">
        <v>0</v>
      </c>
      <c r="D22" s="24">
        <v>0</v>
      </c>
      <c r="E22" s="24">
        <v>0</v>
      </c>
      <c r="F22" s="24">
        <v>0</v>
      </c>
      <c r="G22" s="24">
        <v>0</v>
      </c>
      <c r="H22" s="25" t="s">
        <v>74</v>
      </c>
      <c r="I22" s="25" t="s">
        <v>74</v>
      </c>
      <c r="J22" s="24"/>
      <c r="K22" s="24">
        <v>3</v>
      </c>
      <c r="L22" s="24">
        <v>0</v>
      </c>
      <c r="M22" s="24">
        <v>0</v>
      </c>
      <c r="N22" s="24">
        <v>0</v>
      </c>
      <c r="O22" s="24">
        <v>0</v>
      </c>
      <c r="P22" s="24">
        <v>6</v>
      </c>
      <c r="Q22" s="25">
        <v>0</v>
      </c>
      <c r="R22" s="25">
        <v>0.66666666666666663</v>
      </c>
      <c r="S22" s="24"/>
      <c r="T22" s="17">
        <f t="shared" si="19"/>
        <v>3</v>
      </c>
      <c r="U22" s="17">
        <f t="shared" si="20"/>
        <v>0</v>
      </c>
      <c r="V22" s="17">
        <f t="shared" si="21"/>
        <v>0</v>
      </c>
      <c r="W22" s="17">
        <f t="shared" si="22"/>
        <v>0</v>
      </c>
      <c r="X22" s="17">
        <f t="shared" si="23"/>
        <v>0</v>
      </c>
      <c r="Y22" s="17">
        <f t="shared" si="24"/>
        <v>6</v>
      </c>
      <c r="Z22" s="23">
        <v>0</v>
      </c>
      <c r="AA22" s="23">
        <v>0.66666666666666663</v>
      </c>
      <c r="AB22" s="24"/>
      <c r="AC22" s="24">
        <v>0</v>
      </c>
      <c r="AD22" s="24">
        <v>0</v>
      </c>
      <c r="AE22" s="24">
        <v>0</v>
      </c>
      <c r="AF22" s="24">
        <v>0</v>
      </c>
      <c r="AG22" s="24">
        <v>0</v>
      </c>
      <c r="AH22" s="24">
        <v>1</v>
      </c>
      <c r="AI22" s="25" t="s">
        <v>74</v>
      </c>
      <c r="AJ22" s="25">
        <v>1</v>
      </c>
      <c r="AK22" s="24"/>
      <c r="AL22" s="24">
        <v>1</v>
      </c>
      <c r="AM22" s="24">
        <v>0</v>
      </c>
      <c r="AN22" s="24">
        <v>0</v>
      </c>
      <c r="AO22" s="24">
        <v>0</v>
      </c>
      <c r="AP22" s="24">
        <v>0</v>
      </c>
      <c r="AQ22" s="24">
        <v>4</v>
      </c>
      <c r="AR22" s="25">
        <v>0</v>
      </c>
      <c r="AS22" s="25">
        <v>0.8</v>
      </c>
      <c r="AT22" s="24"/>
      <c r="AU22" s="17">
        <f t="shared" si="11"/>
        <v>4</v>
      </c>
      <c r="AV22" s="17">
        <f t="shared" si="12"/>
        <v>0</v>
      </c>
      <c r="AW22" s="17">
        <f t="shared" si="13"/>
        <v>0</v>
      </c>
      <c r="AX22" s="17">
        <f t="shared" si="14"/>
        <v>0</v>
      </c>
      <c r="AY22" s="17">
        <f t="shared" si="15"/>
        <v>0</v>
      </c>
      <c r="AZ22" s="17">
        <f t="shared" si="16"/>
        <v>11</v>
      </c>
      <c r="BA22" s="23">
        <v>0</v>
      </c>
      <c r="BB22" s="23">
        <v>0.73333333333333328</v>
      </c>
      <c r="BC22" s="19"/>
      <c r="BD22" s="20">
        <f t="shared" si="17"/>
        <v>15</v>
      </c>
      <c r="BE22" s="20">
        <v>15</v>
      </c>
      <c r="BF22" s="53">
        <f t="shared" si="18"/>
        <v>0</v>
      </c>
      <c r="BG22" s="19"/>
      <c r="BH22" s="19"/>
      <c r="BI22" s="19"/>
      <c r="BJ22" s="19"/>
      <c r="BK22" s="19"/>
    </row>
    <row r="23" spans="1:63" s="8" customFormat="1" ht="15" customHeight="1" thickBot="1" x14ac:dyDescent="0.35">
      <c r="A23" s="2" t="s">
        <v>30</v>
      </c>
      <c r="B23" s="24">
        <v>1</v>
      </c>
      <c r="C23" s="24">
        <v>0</v>
      </c>
      <c r="D23" s="24">
        <v>0</v>
      </c>
      <c r="E23" s="24">
        <v>0</v>
      </c>
      <c r="F23" s="24">
        <v>0</v>
      </c>
      <c r="G23" s="24">
        <v>0</v>
      </c>
      <c r="H23" s="25">
        <v>0</v>
      </c>
      <c r="I23" s="25">
        <v>0</v>
      </c>
      <c r="J23" s="24"/>
      <c r="K23" s="24">
        <v>19</v>
      </c>
      <c r="L23" s="24">
        <v>0</v>
      </c>
      <c r="M23" s="24">
        <v>0</v>
      </c>
      <c r="N23" s="24">
        <v>1</v>
      </c>
      <c r="O23" s="24">
        <v>0</v>
      </c>
      <c r="P23" s="24">
        <v>2</v>
      </c>
      <c r="Q23" s="25">
        <v>0.05</v>
      </c>
      <c r="R23" s="25">
        <v>9.0909090909090912E-2</v>
      </c>
      <c r="S23" s="24"/>
      <c r="T23" s="17">
        <f t="shared" si="19"/>
        <v>20</v>
      </c>
      <c r="U23" s="17">
        <f t="shared" si="20"/>
        <v>0</v>
      </c>
      <c r="V23" s="17">
        <f t="shared" si="21"/>
        <v>0</v>
      </c>
      <c r="W23" s="17">
        <f t="shared" si="22"/>
        <v>1</v>
      </c>
      <c r="X23" s="17">
        <f t="shared" si="23"/>
        <v>0</v>
      </c>
      <c r="Y23" s="17">
        <f t="shared" si="24"/>
        <v>2</v>
      </c>
      <c r="Z23" s="23">
        <v>4.7619047619047616E-2</v>
      </c>
      <c r="AA23" s="23">
        <v>8.6956521739130432E-2</v>
      </c>
      <c r="AB23" s="24"/>
      <c r="AC23" s="24">
        <v>2</v>
      </c>
      <c r="AD23" s="24">
        <v>0</v>
      </c>
      <c r="AE23" s="24">
        <v>0</v>
      </c>
      <c r="AF23" s="24">
        <v>0</v>
      </c>
      <c r="AG23" s="24">
        <v>0</v>
      </c>
      <c r="AH23" s="24">
        <v>0</v>
      </c>
      <c r="AI23" s="25">
        <v>0</v>
      </c>
      <c r="AJ23" s="25">
        <v>0</v>
      </c>
      <c r="AK23" s="24"/>
      <c r="AL23" s="24">
        <v>5</v>
      </c>
      <c r="AM23" s="24">
        <v>0</v>
      </c>
      <c r="AN23" s="24">
        <v>0</v>
      </c>
      <c r="AO23" s="24">
        <v>0</v>
      </c>
      <c r="AP23" s="24">
        <v>0</v>
      </c>
      <c r="AQ23" s="24">
        <v>1</v>
      </c>
      <c r="AR23" s="25">
        <v>0</v>
      </c>
      <c r="AS23" s="25">
        <v>0.16666666666666666</v>
      </c>
      <c r="AT23" s="24"/>
      <c r="AU23" s="17">
        <f t="shared" si="11"/>
        <v>27</v>
      </c>
      <c r="AV23" s="17">
        <f t="shared" si="12"/>
        <v>0</v>
      </c>
      <c r="AW23" s="17">
        <f t="shared" si="13"/>
        <v>0</v>
      </c>
      <c r="AX23" s="17">
        <f t="shared" si="14"/>
        <v>1</v>
      </c>
      <c r="AY23" s="17">
        <f t="shared" si="15"/>
        <v>0</v>
      </c>
      <c r="AZ23" s="17">
        <f t="shared" si="16"/>
        <v>3</v>
      </c>
      <c r="BA23" s="23">
        <v>3.5714285714285712E-2</v>
      </c>
      <c r="BB23" s="23">
        <v>9.6774193548387094E-2</v>
      </c>
      <c r="BC23" s="19"/>
      <c r="BD23" s="20">
        <f t="shared" si="17"/>
        <v>31</v>
      </c>
      <c r="BE23" s="20">
        <v>31</v>
      </c>
      <c r="BF23" s="53">
        <f t="shared" si="18"/>
        <v>0</v>
      </c>
      <c r="BG23" s="19"/>
      <c r="BH23" s="19"/>
      <c r="BI23" s="19"/>
      <c r="BJ23" s="19"/>
      <c r="BK23" s="19"/>
    </row>
    <row r="24" spans="1:63" s="8" customFormat="1" ht="15" customHeight="1" thickBot="1" x14ac:dyDescent="0.35">
      <c r="A24" s="2" t="s">
        <v>31</v>
      </c>
      <c r="B24" s="24">
        <v>0</v>
      </c>
      <c r="C24" s="24">
        <v>0</v>
      </c>
      <c r="D24" s="24">
        <v>0</v>
      </c>
      <c r="E24" s="24">
        <v>0</v>
      </c>
      <c r="F24" s="24">
        <v>0</v>
      </c>
      <c r="G24" s="24">
        <v>0</v>
      </c>
      <c r="H24" s="25" t="s">
        <v>74</v>
      </c>
      <c r="I24" s="25" t="s">
        <v>74</v>
      </c>
      <c r="J24" s="24"/>
      <c r="K24" s="24">
        <v>29</v>
      </c>
      <c r="L24" s="24">
        <v>0</v>
      </c>
      <c r="M24" s="24">
        <v>0</v>
      </c>
      <c r="N24" s="24">
        <v>0</v>
      </c>
      <c r="O24" s="24">
        <v>0</v>
      </c>
      <c r="P24" s="24">
        <v>21</v>
      </c>
      <c r="Q24" s="25">
        <v>0</v>
      </c>
      <c r="R24" s="25">
        <v>0.42</v>
      </c>
      <c r="S24" s="24"/>
      <c r="T24" s="17">
        <f t="shared" si="19"/>
        <v>29</v>
      </c>
      <c r="U24" s="17">
        <f t="shared" si="20"/>
        <v>0</v>
      </c>
      <c r="V24" s="17">
        <f t="shared" si="21"/>
        <v>0</v>
      </c>
      <c r="W24" s="17">
        <f t="shared" si="22"/>
        <v>0</v>
      </c>
      <c r="X24" s="17">
        <f t="shared" si="23"/>
        <v>0</v>
      </c>
      <c r="Y24" s="17">
        <f t="shared" si="24"/>
        <v>21</v>
      </c>
      <c r="Z24" s="23">
        <v>0</v>
      </c>
      <c r="AA24" s="23">
        <v>0.42</v>
      </c>
      <c r="AB24" s="24"/>
      <c r="AC24" s="24">
        <v>0</v>
      </c>
      <c r="AD24" s="24">
        <v>0</v>
      </c>
      <c r="AE24" s="24">
        <v>0</v>
      </c>
      <c r="AF24" s="24">
        <v>0</v>
      </c>
      <c r="AG24" s="24">
        <v>0</v>
      </c>
      <c r="AH24" s="24">
        <v>0</v>
      </c>
      <c r="AI24" s="25" t="s">
        <v>74</v>
      </c>
      <c r="AJ24" s="25" t="s">
        <v>74</v>
      </c>
      <c r="AK24" s="24"/>
      <c r="AL24" s="24">
        <v>22</v>
      </c>
      <c r="AM24" s="24">
        <v>0</v>
      </c>
      <c r="AN24" s="24">
        <v>0</v>
      </c>
      <c r="AO24" s="24">
        <v>0</v>
      </c>
      <c r="AP24" s="24">
        <v>0</v>
      </c>
      <c r="AQ24" s="24">
        <v>15</v>
      </c>
      <c r="AR24" s="25">
        <v>0</v>
      </c>
      <c r="AS24" s="25">
        <v>0.40540540540540543</v>
      </c>
      <c r="AT24" s="24"/>
      <c r="AU24" s="17">
        <f t="shared" si="11"/>
        <v>51</v>
      </c>
      <c r="AV24" s="17">
        <f t="shared" si="12"/>
        <v>0</v>
      </c>
      <c r="AW24" s="17">
        <f t="shared" si="13"/>
        <v>0</v>
      </c>
      <c r="AX24" s="17">
        <f t="shared" si="14"/>
        <v>0</v>
      </c>
      <c r="AY24" s="17">
        <f t="shared" si="15"/>
        <v>0</v>
      </c>
      <c r="AZ24" s="17">
        <f t="shared" si="16"/>
        <v>36</v>
      </c>
      <c r="BA24" s="23">
        <v>0</v>
      </c>
      <c r="BB24" s="23">
        <v>0.41379310344827586</v>
      </c>
      <c r="BC24" s="19"/>
      <c r="BD24" s="20">
        <f t="shared" si="17"/>
        <v>87</v>
      </c>
      <c r="BE24" s="20">
        <v>87</v>
      </c>
      <c r="BF24" s="53">
        <f t="shared" si="18"/>
        <v>0</v>
      </c>
      <c r="BG24" s="19"/>
      <c r="BH24" s="19"/>
      <c r="BI24" s="19"/>
      <c r="BJ24" s="19"/>
      <c r="BK24" s="19"/>
    </row>
    <row r="25" spans="1:63" s="8" customFormat="1" ht="15" customHeight="1" thickBot="1" x14ac:dyDescent="0.35">
      <c r="A25" s="2" t="s">
        <v>32</v>
      </c>
      <c r="B25" s="24">
        <v>0</v>
      </c>
      <c r="C25" s="24">
        <v>0</v>
      </c>
      <c r="D25" s="24">
        <v>0</v>
      </c>
      <c r="E25" s="24">
        <v>0</v>
      </c>
      <c r="F25" s="24">
        <v>0</v>
      </c>
      <c r="G25" s="24">
        <v>0</v>
      </c>
      <c r="H25" s="25" t="s">
        <v>74</v>
      </c>
      <c r="I25" s="25" t="s">
        <v>74</v>
      </c>
      <c r="J25" s="24"/>
      <c r="K25" s="24">
        <v>20</v>
      </c>
      <c r="L25" s="24">
        <v>0</v>
      </c>
      <c r="M25" s="24">
        <v>0</v>
      </c>
      <c r="N25" s="24">
        <v>0</v>
      </c>
      <c r="O25" s="24">
        <v>0</v>
      </c>
      <c r="P25" s="24">
        <v>10</v>
      </c>
      <c r="Q25" s="25">
        <v>0</v>
      </c>
      <c r="R25" s="25">
        <v>0.33333333333333331</v>
      </c>
      <c r="S25" s="24"/>
      <c r="T25" s="17">
        <f t="shared" si="19"/>
        <v>20</v>
      </c>
      <c r="U25" s="17">
        <f t="shared" si="20"/>
        <v>0</v>
      </c>
      <c r="V25" s="17">
        <f t="shared" si="21"/>
        <v>0</v>
      </c>
      <c r="W25" s="17">
        <f t="shared" si="22"/>
        <v>0</v>
      </c>
      <c r="X25" s="17">
        <f t="shared" si="23"/>
        <v>0</v>
      </c>
      <c r="Y25" s="17">
        <f t="shared" si="24"/>
        <v>10</v>
      </c>
      <c r="Z25" s="23">
        <v>0</v>
      </c>
      <c r="AA25" s="23">
        <v>0.33333333333333331</v>
      </c>
      <c r="AB25" s="24"/>
      <c r="AC25" s="24">
        <v>0</v>
      </c>
      <c r="AD25" s="24">
        <v>0</v>
      </c>
      <c r="AE25" s="24">
        <v>0</v>
      </c>
      <c r="AF25" s="24">
        <v>0</v>
      </c>
      <c r="AG25" s="24">
        <v>0</v>
      </c>
      <c r="AH25" s="24">
        <v>0</v>
      </c>
      <c r="AI25" s="25" t="s">
        <v>74</v>
      </c>
      <c r="AJ25" s="25" t="s">
        <v>74</v>
      </c>
      <c r="AK25" s="24"/>
      <c r="AL25" s="24">
        <v>0</v>
      </c>
      <c r="AM25" s="24">
        <v>0</v>
      </c>
      <c r="AN25" s="24">
        <v>0</v>
      </c>
      <c r="AO25" s="24">
        <v>0</v>
      </c>
      <c r="AP25" s="24">
        <v>0</v>
      </c>
      <c r="AQ25" s="24">
        <v>6</v>
      </c>
      <c r="AR25" s="25" t="s">
        <v>74</v>
      </c>
      <c r="AS25" s="25">
        <v>1</v>
      </c>
      <c r="AT25" s="24"/>
      <c r="AU25" s="17">
        <f t="shared" si="11"/>
        <v>20</v>
      </c>
      <c r="AV25" s="17">
        <f t="shared" si="12"/>
        <v>0</v>
      </c>
      <c r="AW25" s="17">
        <f t="shared" si="13"/>
        <v>0</v>
      </c>
      <c r="AX25" s="17">
        <f t="shared" si="14"/>
        <v>0</v>
      </c>
      <c r="AY25" s="17">
        <f t="shared" si="15"/>
        <v>0</v>
      </c>
      <c r="AZ25" s="17">
        <f t="shared" si="16"/>
        <v>16</v>
      </c>
      <c r="BA25" s="23">
        <v>0</v>
      </c>
      <c r="BB25" s="23">
        <v>0.44444444444444442</v>
      </c>
      <c r="BC25" s="19"/>
      <c r="BD25" s="20">
        <f t="shared" si="17"/>
        <v>36</v>
      </c>
      <c r="BE25" s="20">
        <v>36</v>
      </c>
      <c r="BF25" s="53">
        <f t="shared" si="18"/>
        <v>0</v>
      </c>
      <c r="BG25" s="19"/>
      <c r="BH25" s="19"/>
      <c r="BI25" s="19"/>
      <c r="BJ25" s="19"/>
      <c r="BK25" s="19"/>
    </row>
    <row r="26" spans="1:63" s="8" customFormat="1" ht="15" customHeight="1" thickBot="1" x14ac:dyDescent="0.35">
      <c r="A26" s="2" t="s">
        <v>33</v>
      </c>
      <c r="B26" s="24">
        <v>56</v>
      </c>
      <c r="C26" s="24">
        <v>0</v>
      </c>
      <c r="D26" s="24">
        <v>0</v>
      </c>
      <c r="E26" s="24">
        <v>0</v>
      </c>
      <c r="F26" s="24">
        <v>0</v>
      </c>
      <c r="G26" s="24">
        <v>25</v>
      </c>
      <c r="H26" s="25">
        <v>0</v>
      </c>
      <c r="I26" s="25">
        <v>0.30864197530864196</v>
      </c>
      <c r="J26" s="24"/>
      <c r="K26" s="24">
        <v>25</v>
      </c>
      <c r="L26" s="24">
        <v>1</v>
      </c>
      <c r="M26" s="24">
        <v>0</v>
      </c>
      <c r="N26" s="24">
        <v>0</v>
      </c>
      <c r="O26" s="24">
        <v>0</v>
      </c>
      <c r="P26" s="24">
        <v>30</v>
      </c>
      <c r="Q26" s="25">
        <v>3.8461538461538464E-2</v>
      </c>
      <c r="R26" s="25">
        <v>0.5357142857142857</v>
      </c>
      <c r="S26" s="24"/>
      <c r="T26" s="17">
        <f t="shared" si="19"/>
        <v>81</v>
      </c>
      <c r="U26" s="17">
        <f t="shared" si="20"/>
        <v>1</v>
      </c>
      <c r="V26" s="17">
        <f t="shared" si="21"/>
        <v>0</v>
      </c>
      <c r="W26" s="17">
        <f t="shared" si="22"/>
        <v>0</v>
      </c>
      <c r="X26" s="17">
        <f t="shared" si="23"/>
        <v>0</v>
      </c>
      <c r="Y26" s="17">
        <f t="shared" si="24"/>
        <v>55</v>
      </c>
      <c r="Z26" s="23">
        <v>1.2195121951219513E-2</v>
      </c>
      <c r="AA26" s="23">
        <v>0.40145985401459855</v>
      </c>
      <c r="AB26" s="24"/>
      <c r="AC26" s="24">
        <v>4</v>
      </c>
      <c r="AD26" s="24">
        <v>0</v>
      </c>
      <c r="AE26" s="24">
        <v>0</v>
      </c>
      <c r="AF26" s="24">
        <v>0</v>
      </c>
      <c r="AG26" s="24">
        <v>0</v>
      </c>
      <c r="AH26" s="24">
        <v>0</v>
      </c>
      <c r="AI26" s="25">
        <v>0</v>
      </c>
      <c r="AJ26" s="25">
        <v>0</v>
      </c>
      <c r="AK26" s="24"/>
      <c r="AL26" s="24">
        <v>65</v>
      </c>
      <c r="AM26" s="24">
        <v>1</v>
      </c>
      <c r="AN26" s="24">
        <v>0</v>
      </c>
      <c r="AO26" s="24">
        <v>0</v>
      </c>
      <c r="AP26" s="24">
        <v>0</v>
      </c>
      <c r="AQ26" s="24">
        <v>11</v>
      </c>
      <c r="AR26" s="25">
        <v>1.5151515151515152E-2</v>
      </c>
      <c r="AS26" s="25">
        <v>0.14285714285714285</v>
      </c>
      <c r="AT26" s="24"/>
      <c r="AU26" s="17">
        <f t="shared" si="11"/>
        <v>150</v>
      </c>
      <c r="AV26" s="17">
        <f t="shared" si="12"/>
        <v>2</v>
      </c>
      <c r="AW26" s="17">
        <f t="shared" si="13"/>
        <v>0</v>
      </c>
      <c r="AX26" s="17">
        <f t="shared" si="14"/>
        <v>0</v>
      </c>
      <c r="AY26" s="17">
        <f t="shared" si="15"/>
        <v>0</v>
      </c>
      <c r="AZ26" s="17">
        <f t="shared" si="16"/>
        <v>66</v>
      </c>
      <c r="BA26" s="23">
        <v>1.3157894736842105E-2</v>
      </c>
      <c r="BB26" s="23">
        <v>0.30275229357798167</v>
      </c>
      <c r="BC26" s="19"/>
      <c r="BD26" s="20">
        <f t="shared" si="17"/>
        <v>218</v>
      </c>
      <c r="BE26" s="20">
        <v>218</v>
      </c>
      <c r="BF26" s="53">
        <f t="shared" si="18"/>
        <v>0</v>
      </c>
      <c r="BG26" s="19"/>
      <c r="BH26" s="19"/>
      <c r="BI26" s="19"/>
      <c r="BJ26" s="19"/>
      <c r="BK26" s="19"/>
    </row>
    <row r="27" spans="1:63" s="8" customFormat="1" ht="15" customHeight="1" thickBot="1" x14ac:dyDescent="0.35">
      <c r="A27" s="2" t="s">
        <v>34</v>
      </c>
      <c r="B27" s="24">
        <v>0</v>
      </c>
      <c r="C27" s="24">
        <v>0</v>
      </c>
      <c r="D27" s="24">
        <v>0</v>
      </c>
      <c r="E27" s="24">
        <v>0</v>
      </c>
      <c r="F27" s="24">
        <v>0</v>
      </c>
      <c r="G27" s="24">
        <v>1</v>
      </c>
      <c r="H27" s="25" t="s">
        <v>74</v>
      </c>
      <c r="I27" s="25">
        <v>1</v>
      </c>
      <c r="J27" s="24"/>
      <c r="K27" s="24">
        <v>43</v>
      </c>
      <c r="L27" s="24">
        <v>2</v>
      </c>
      <c r="M27" s="24">
        <v>0</v>
      </c>
      <c r="N27" s="24">
        <v>1</v>
      </c>
      <c r="O27" s="24">
        <v>0</v>
      </c>
      <c r="P27" s="24">
        <v>5</v>
      </c>
      <c r="Q27" s="25">
        <v>6.5217391304347824E-2</v>
      </c>
      <c r="R27" s="25">
        <v>9.8039215686274508E-2</v>
      </c>
      <c r="S27" s="24"/>
      <c r="T27" s="17">
        <f t="shared" si="19"/>
        <v>43</v>
      </c>
      <c r="U27" s="17">
        <f t="shared" si="20"/>
        <v>2</v>
      </c>
      <c r="V27" s="17">
        <f t="shared" si="21"/>
        <v>0</v>
      </c>
      <c r="W27" s="17">
        <f t="shared" si="22"/>
        <v>1</v>
      </c>
      <c r="X27" s="17">
        <f t="shared" si="23"/>
        <v>0</v>
      </c>
      <c r="Y27" s="17">
        <f t="shared" si="24"/>
        <v>6</v>
      </c>
      <c r="Z27" s="23">
        <v>6.5217391304347824E-2</v>
      </c>
      <c r="AA27" s="23">
        <v>0.11538461538461539</v>
      </c>
      <c r="AB27" s="24"/>
      <c r="AC27" s="24">
        <v>3</v>
      </c>
      <c r="AD27" s="24">
        <v>0</v>
      </c>
      <c r="AE27" s="24">
        <v>0</v>
      </c>
      <c r="AF27" s="24">
        <v>0</v>
      </c>
      <c r="AG27" s="24">
        <v>0</v>
      </c>
      <c r="AH27" s="24">
        <v>0</v>
      </c>
      <c r="AI27" s="25">
        <v>0</v>
      </c>
      <c r="AJ27" s="25">
        <v>0</v>
      </c>
      <c r="AK27" s="24"/>
      <c r="AL27" s="24">
        <v>23</v>
      </c>
      <c r="AM27" s="24">
        <v>0</v>
      </c>
      <c r="AN27" s="24">
        <v>0</v>
      </c>
      <c r="AO27" s="24">
        <v>0</v>
      </c>
      <c r="AP27" s="24">
        <v>0</v>
      </c>
      <c r="AQ27" s="24">
        <v>1</v>
      </c>
      <c r="AR27" s="25">
        <v>0</v>
      </c>
      <c r="AS27" s="25">
        <v>4.1666666666666664E-2</v>
      </c>
      <c r="AT27" s="24"/>
      <c r="AU27" s="17">
        <f t="shared" si="11"/>
        <v>69</v>
      </c>
      <c r="AV27" s="17">
        <f t="shared" si="12"/>
        <v>2</v>
      </c>
      <c r="AW27" s="17">
        <f t="shared" si="13"/>
        <v>0</v>
      </c>
      <c r="AX27" s="17">
        <f t="shared" si="14"/>
        <v>1</v>
      </c>
      <c r="AY27" s="17">
        <f t="shared" si="15"/>
        <v>0</v>
      </c>
      <c r="AZ27" s="17">
        <f t="shared" si="16"/>
        <v>7</v>
      </c>
      <c r="BA27" s="23">
        <v>4.1666666666666664E-2</v>
      </c>
      <c r="BB27" s="23">
        <v>8.8607594936708861E-2</v>
      </c>
      <c r="BC27" s="19"/>
      <c r="BD27" s="20">
        <f t="shared" si="17"/>
        <v>79</v>
      </c>
      <c r="BE27" s="20">
        <v>79</v>
      </c>
      <c r="BF27" s="53">
        <f t="shared" si="18"/>
        <v>0</v>
      </c>
      <c r="BG27" s="19"/>
      <c r="BH27" s="19"/>
      <c r="BI27" s="19"/>
      <c r="BJ27" s="19"/>
      <c r="BK27" s="19"/>
    </row>
    <row r="28" spans="1:63" s="8" customFormat="1" ht="15" customHeight="1" thickBot="1" x14ac:dyDescent="0.35">
      <c r="A28" s="2" t="s">
        <v>35</v>
      </c>
      <c r="B28" s="24">
        <v>0</v>
      </c>
      <c r="C28" s="24">
        <v>0</v>
      </c>
      <c r="D28" s="24">
        <v>0</v>
      </c>
      <c r="E28" s="24">
        <v>0</v>
      </c>
      <c r="F28" s="24">
        <v>0</v>
      </c>
      <c r="G28" s="24">
        <v>0</v>
      </c>
      <c r="H28" s="25" t="s">
        <v>74</v>
      </c>
      <c r="I28" s="25" t="s">
        <v>74</v>
      </c>
      <c r="J28" s="24"/>
      <c r="K28" s="24">
        <v>0</v>
      </c>
      <c r="L28" s="24">
        <v>0</v>
      </c>
      <c r="M28" s="24">
        <v>0</v>
      </c>
      <c r="N28" s="24">
        <v>0</v>
      </c>
      <c r="O28" s="24">
        <v>0</v>
      </c>
      <c r="P28" s="24">
        <v>0</v>
      </c>
      <c r="Q28" s="25" t="s">
        <v>74</v>
      </c>
      <c r="R28" s="25" t="s">
        <v>74</v>
      </c>
      <c r="S28" s="24"/>
      <c r="T28" s="17">
        <f t="shared" si="19"/>
        <v>0</v>
      </c>
      <c r="U28" s="17">
        <f t="shared" si="20"/>
        <v>0</v>
      </c>
      <c r="V28" s="17">
        <f t="shared" si="21"/>
        <v>0</v>
      </c>
      <c r="W28" s="17">
        <f t="shared" si="22"/>
        <v>0</v>
      </c>
      <c r="X28" s="17">
        <f t="shared" si="23"/>
        <v>0</v>
      </c>
      <c r="Y28" s="17">
        <f t="shared" si="24"/>
        <v>0</v>
      </c>
      <c r="Z28" s="23" t="s">
        <v>74</v>
      </c>
      <c r="AA28" s="23" t="s">
        <v>74</v>
      </c>
      <c r="AB28" s="24"/>
      <c r="AC28" s="24">
        <v>0</v>
      </c>
      <c r="AD28" s="24">
        <v>0</v>
      </c>
      <c r="AE28" s="24">
        <v>0</v>
      </c>
      <c r="AF28" s="24">
        <v>0</v>
      </c>
      <c r="AG28" s="24">
        <v>0</v>
      </c>
      <c r="AH28" s="24">
        <v>0</v>
      </c>
      <c r="AI28" s="25" t="s">
        <v>74</v>
      </c>
      <c r="AJ28" s="25" t="s">
        <v>74</v>
      </c>
      <c r="AK28" s="24"/>
      <c r="AL28" s="24">
        <v>0</v>
      </c>
      <c r="AM28" s="24">
        <v>0</v>
      </c>
      <c r="AN28" s="24">
        <v>0</v>
      </c>
      <c r="AO28" s="24">
        <v>0</v>
      </c>
      <c r="AP28" s="24">
        <v>0</v>
      </c>
      <c r="AQ28" s="24">
        <v>0</v>
      </c>
      <c r="AR28" s="25" t="s">
        <v>74</v>
      </c>
      <c r="AS28" s="25" t="s">
        <v>74</v>
      </c>
      <c r="AT28" s="24"/>
      <c r="AU28" s="17">
        <f t="shared" si="11"/>
        <v>0</v>
      </c>
      <c r="AV28" s="17">
        <f t="shared" si="12"/>
        <v>0</v>
      </c>
      <c r="AW28" s="17">
        <f t="shared" si="13"/>
        <v>0</v>
      </c>
      <c r="AX28" s="17">
        <f t="shared" si="14"/>
        <v>0</v>
      </c>
      <c r="AY28" s="17">
        <f t="shared" si="15"/>
        <v>0</v>
      </c>
      <c r="AZ28" s="17">
        <f t="shared" si="16"/>
        <v>0</v>
      </c>
      <c r="BA28" s="23" t="s">
        <v>74</v>
      </c>
      <c r="BB28" s="23" t="s">
        <v>74</v>
      </c>
      <c r="BC28" s="19"/>
      <c r="BD28" s="20">
        <f t="shared" si="17"/>
        <v>0</v>
      </c>
      <c r="BE28" s="20">
        <v>0</v>
      </c>
      <c r="BF28" s="53">
        <f t="shared" si="18"/>
        <v>0</v>
      </c>
      <c r="BG28" s="19"/>
      <c r="BH28" s="19"/>
      <c r="BI28" s="19"/>
      <c r="BJ28" s="19"/>
      <c r="BK28" s="19"/>
    </row>
    <row r="29" spans="1:63" s="8" customFormat="1" ht="15" customHeight="1" thickBot="1" x14ac:dyDescent="0.35">
      <c r="A29" s="2" t="s">
        <v>36</v>
      </c>
      <c r="B29" s="24">
        <v>0</v>
      </c>
      <c r="C29" s="24">
        <v>0</v>
      </c>
      <c r="D29" s="24">
        <v>0</v>
      </c>
      <c r="E29" s="24">
        <v>0</v>
      </c>
      <c r="F29" s="24">
        <v>0</v>
      </c>
      <c r="G29" s="24">
        <v>0</v>
      </c>
      <c r="H29" s="25" t="s">
        <v>74</v>
      </c>
      <c r="I29" s="25" t="s">
        <v>74</v>
      </c>
      <c r="J29" s="24"/>
      <c r="K29" s="24">
        <v>4</v>
      </c>
      <c r="L29" s="24">
        <v>0</v>
      </c>
      <c r="M29" s="24">
        <v>0</v>
      </c>
      <c r="N29" s="24">
        <v>0</v>
      </c>
      <c r="O29" s="24">
        <v>0</v>
      </c>
      <c r="P29" s="24">
        <v>0</v>
      </c>
      <c r="Q29" s="25">
        <v>0</v>
      </c>
      <c r="R29" s="25">
        <v>0</v>
      </c>
      <c r="S29" s="24"/>
      <c r="T29" s="17">
        <f t="shared" si="19"/>
        <v>4</v>
      </c>
      <c r="U29" s="17">
        <f t="shared" si="20"/>
        <v>0</v>
      </c>
      <c r="V29" s="17">
        <f t="shared" si="21"/>
        <v>0</v>
      </c>
      <c r="W29" s="17">
        <f t="shared" si="22"/>
        <v>0</v>
      </c>
      <c r="X29" s="17">
        <f t="shared" si="23"/>
        <v>0</v>
      </c>
      <c r="Y29" s="17">
        <f t="shared" si="24"/>
        <v>0</v>
      </c>
      <c r="Z29" s="23">
        <v>0</v>
      </c>
      <c r="AA29" s="23">
        <v>0</v>
      </c>
      <c r="AB29" s="24"/>
      <c r="AC29" s="24">
        <v>0</v>
      </c>
      <c r="AD29" s="24">
        <v>0</v>
      </c>
      <c r="AE29" s="24">
        <v>0</v>
      </c>
      <c r="AF29" s="24">
        <v>0</v>
      </c>
      <c r="AG29" s="24">
        <v>0</v>
      </c>
      <c r="AH29" s="24">
        <v>0</v>
      </c>
      <c r="AI29" s="25" t="s">
        <v>74</v>
      </c>
      <c r="AJ29" s="25" t="s">
        <v>74</v>
      </c>
      <c r="AK29" s="24"/>
      <c r="AL29" s="24">
        <v>8</v>
      </c>
      <c r="AM29" s="24">
        <v>0</v>
      </c>
      <c r="AN29" s="24">
        <v>0</v>
      </c>
      <c r="AO29" s="24">
        <v>0</v>
      </c>
      <c r="AP29" s="24">
        <v>0</v>
      </c>
      <c r="AQ29" s="24">
        <v>4</v>
      </c>
      <c r="AR29" s="25">
        <v>0</v>
      </c>
      <c r="AS29" s="25">
        <v>0.33333333333333331</v>
      </c>
      <c r="AT29" s="24"/>
      <c r="AU29" s="17">
        <f t="shared" si="11"/>
        <v>12</v>
      </c>
      <c r="AV29" s="17">
        <f t="shared" si="12"/>
        <v>0</v>
      </c>
      <c r="AW29" s="17">
        <f t="shared" si="13"/>
        <v>0</v>
      </c>
      <c r="AX29" s="17">
        <f t="shared" si="14"/>
        <v>0</v>
      </c>
      <c r="AY29" s="17">
        <f t="shared" si="15"/>
        <v>0</v>
      </c>
      <c r="AZ29" s="17">
        <f t="shared" si="16"/>
        <v>4</v>
      </c>
      <c r="BA29" s="23">
        <v>0</v>
      </c>
      <c r="BB29" s="23">
        <v>0.25</v>
      </c>
      <c r="BC29" s="19"/>
      <c r="BD29" s="20">
        <f t="shared" si="17"/>
        <v>16</v>
      </c>
      <c r="BE29" s="20">
        <v>16</v>
      </c>
      <c r="BF29" s="53">
        <f t="shared" si="18"/>
        <v>0</v>
      </c>
      <c r="BG29" s="19"/>
      <c r="BH29" s="19"/>
      <c r="BI29" s="19"/>
      <c r="BJ29" s="19"/>
      <c r="BK29" s="19"/>
    </row>
    <row r="30" spans="1:63" s="8" customFormat="1" ht="15" customHeight="1" thickBot="1" x14ac:dyDescent="0.35">
      <c r="A30" s="2" t="s">
        <v>37</v>
      </c>
      <c r="B30" s="24">
        <v>0</v>
      </c>
      <c r="C30" s="24">
        <v>0</v>
      </c>
      <c r="D30" s="24">
        <v>0</v>
      </c>
      <c r="E30" s="24">
        <v>0</v>
      </c>
      <c r="F30" s="24">
        <v>0</v>
      </c>
      <c r="G30" s="24">
        <v>0</v>
      </c>
      <c r="H30" s="25" t="s">
        <v>74</v>
      </c>
      <c r="I30" s="25" t="s">
        <v>74</v>
      </c>
      <c r="J30" s="24"/>
      <c r="K30" s="24">
        <v>0</v>
      </c>
      <c r="L30" s="24">
        <v>0</v>
      </c>
      <c r="M30" s="24">
        <v>0</v>
      </c>
      <c r="N30" s="24">
        <v>0</v>
      </c>
      <c r="O30" s="24">
        <v>0</v>
      </c>
      <c r="P30" s="24">
        <v>0</v>
      </c>
      <c r="Q30" s="25" t="s">
        <v>74</v>
      </c>
      <c r="R30" s="25" t="s">
        <v>74</v>
      </c>
      <c r="S30" s="24"/>
      <c r="T30" s="17">
        <f t="shared" si="19"/>
        <v>0</v>
      </c>
      <c r="U30" s="17">
        <f t="shared" si="20"/>
        <v>0</v>
      </c>
      <c r="V30" s="17">
        <f t="shared" si="21"/>
        <v>0</v>
      </c>
      <c r="W30" s="17">
        <f t="shared" si="22"/>
        <v>0</v>
      </c>
      <c r="X30" s="17">
        <f t="shared" si="23"/>
        <v>0</v>
      </c>
      <c r="Y30" s="17">
        <f t="shared" si="24"/>
        <v>0</v>
      </c>
      <c r="Z30" s="23" t="s">
        <v>74</v>
      </c>
      <c r="AA30" s="23" t="s">
        <v>74</v>
      </c>
      <c r="AB30" s="24"/>
      <c r="AC30" s="24">
        <v>0</v>
      </c>
      <c r="AD30" s="24">
        <v>0</v>
      </c>
      <c r="AE30" s="24">
        <v>0</v>
      </c>
      <c r="AF30" s="24">
        <v>0</v>
      </c>
      <c r="AG30" s="24">
        <v>0</v>
      </c>
      <c r="AH30" s="24">
        <v>0</v>
      </c>
      <c r="AI30" s="25" t="s">
        <v>74</v>
      </c>
      <c r="AJ30" s="25" t="s">
        <v>74</v>
      </c>
      <c r="AK30" s="24"/>
      <c r="AL30" s="24">
        <v>1</v>
      </c>
      <c r="AM30" s="24">
        <v>0</v>
      </c>
      <c r="AN30" s="24">
        <v>0</v>
      </c>
      <c r="AO30" s="24">
        <v>0</v>
      </c>
      <c r="AP30" s="24">
        <v>0</v>
      </c>
      <c r="AQ30" s="24">
        <v>0</v>
      </c>
      <c r="AR30" s="25">
        <v>0</v>
      </c>
      <c r="AS30" s="25">
        <v>0</v>
      </c>
      <c r="AT30" s="24"/>
      <c r="AU30" s="17">
        <f t="shared" si="11"/>
        <v>1</v>
      </c>
      <c r="AV30" s="17">
        <f t="shared" si="12"/>
        <v>0</v>
      </c>
      <c r="AW30" s="17">
        <f t="shared" si="13"/>
        <v>0</v>
      </c>
      <c r="AX30" s="17">
        <f t="shared" si="14"/>
        <v>0</v>
      </c>
      <c r="AY30" s="17">
        <f t="shared" si="15"/>
        <v>0</v>
      </c>
      <c r="AZ30" s="17">
        <f t="shared" si="16"/>
        <v>0</v>
      </c>
      <c r="BA30" s="23">
        <v>0</v>
      </c>
      <c r="BB30" s="23">
        <v>0</v>
      </c>
      <c r="BC30" s="19"/>
      <c r="BD30" s="20">
        <f t="shared" si="17"/>
        <v>1</v>
      </c>
      <c r="BE30" s="20">
        <v>1</v>
      </c>
      <c r="BF30" s="53">
        <f t="shared" si="18"/>
        <v>0</v>
      </c>
      <c r="BG30" s="19"/>
      <c r="BH30" s="19"/>
      <c r="BI30" s="19"/>
      <c r="BJ30" s="19"/>
      <c r="BK30" s="19"/>
    </row>
    <row r="31" spans="1:63" s="62" customFormat="1" ht="15" customHeight="1" x14ac:dyDescent="0.3">
      <c r="A31" s="54" t="s">
        <v>38</v>
      </c>
      <c r="B31" s="55">
        <v>4</v>
      </c>
      <c r="C31" s="55">
        <v>0</v>
      </c>
      <c r="D31" s="55">
        <v>0</v>
      </c>
      <c r="E31" s="55">
        <v>0</v>
      </c>
      <c r="F31" s="55">
        <v>0</v>
      </c>
      <c r="G31" s="55">
        <v>5</v>
      </c>
      <c r="H31" s="56">
        <v>0</v>
      </c>
      <c r="I31" s="56">
        <v>0.4</v>
      </c>
      <c r="J31" s="55"/>
      <c r="K31" s="55">
        <v>5</v>
      </c>
      <c r="L31" s="55">
        <v>1</v>
      </c>
      <c r="M31" s="55">
        <v>0</v>
      </c>
      <c r="N31" s="55">
        <v>0</v>
      </c>
      <c r="O31" s="55">
        <v>0</v>
      </c>
      <c r="P31" s="55">
        <v>10</v>
      </c>
      <c r="Q31" s="56">
        <v>0.2</v>
      </c>
      <c r="R31" s="56">
        <v>0.6875</v>
      </c>
      <c r="S31" s="55"/>
      <c r="T31" s="57">
        <f t="shared" si="19"/>
        <v>9</v>
      </c>
      <c r="U31" s="57">
        <f t="shared" si="20"/>
        <v>1</v>
      </c>
      <c r="V31" s="57">
        <f t="shared" si="21"/>
        <v>0</v>
      </c>
      <c r="W31" s="57">
        <f t="shared" si="22"/>
        <v>0</v>
      </c>
      <c r="X31" s="57">
        <f t="shared" si="23"/>
        <v>0</v>
      </c>
      <c r="Y31" s="57">
        <f t="shared" si="24"/>
        <v>15</v>
      </c>
      <c r="Z31" s="58">
        <v>0.125</v>
      </c>
      <c r="AA31" s="58">
        <v>0.61904761904761907</v>
      </c>
      <c r="AB31" s="55"/>
      <c r="AC31" s="55">
        <v>1</v>
      </c>
      <c r="AD31" s="55">
        <v>0</v>
      </c>
      <c r="AE31" s="55">
        <v>0</v>
      </c>
      <c r="AF31" s="55">
        <v>0</v>
      </c>
      <c r="AG31" s="55">
        <v>0</v>
      </c>
      <c r="AH31" s="55">
        <v>2</v>
      </c>
      <c r="AI31" s="56" t="s">
        <v>74</v>
      </c>
      <c r="AJ31" s="56">
        <v>1</v>
      </c>
      <c r="AK31" s="55"/>
      <c r="AL31" s="55">
        <v>18</v>
      </c>
      <c r="AM31" s="55">
        <v>0</v>
      </c>
      <c r="AN31" s="55">
        <v>0</v>
      </c>
      <c r="AO31" s="55">
        <v>0</v>
      </c>
      <c r="AP31" s="55">
        <v>0</v>
      </c>
      <c r="AQ31" s="55">
        <v>13</v>
      </c>
      <c r="AR31" s="56">
        <v>5.8823529411764705E-2</v>
      </c>
      <c r="AS31" s="56">
        <v>0.48484848484848486</v>
      </c>
      <c r="AT31" s="55"/>
      <c r="AU31" s="57">
        <f t="shared" si="11"/>
        <v>28</v>
      </c>
      <c r="AV31" s="57">
        <f t="shared" si="12"/>
        <v>1</v>
      </c>
      <c r="AW31" s="57">
        <f t="shared" si="13"/>
        <v>0</v>
      </c>
      <c r="AX31" s="57">
        <f t="shared" si="14"/>
        <v>0</v>
      </c>
      <c r="AY31" s="57">
        <f t="shared" si="15"/>
        <v>0</v>
      </c>
      <c r="AZ31" s="57">
        <f t="shared" si="16"/>
        <v>30</v>
      </c>
      <c r="BA31" s="58">
        <v>0.08</v>
      </c>
      <c r="BB31" s="58">
        <v>0.56140350877192979</v>
      </c>
      <c r="BC31" s="59"/>
      <c r="BD31" s="60">
        <f t="shared" si="17"/>
        <v>59</v>
      </c>
      <c r="BE31" s="60">
        <v>59</v>
      </c>
      <c r="BF31" s="61">
        <f t="shared" si="18"/>
        <v>0</v>
      </c>
      <c r="BG31" s="59"/>
      <c r="BH31" s="59"/>
      <c r="BI31" s="59"/>
      <c r="BJ31" s="59"/>
      <c r="BK31" s="59"/>
    </row>
    <row r="32" spans="1:63" s="8" customFormat="1" ht="15" customHeight="1" thickBot="1" x14ac:dyDescent="0.35">
      <c r="A32" s="63" t="s">
        <v>39</v>
      </c>
      <c r="B32" s="69">
        <v>0</v>
      </c>
      <c r="C32" s="69">
        <v>0</v>
      </c>
      <c r="D32" s="69">
        <v>0</v>
      </c>
      <c r="E32" s="69">
        <v>0</v>
      </c>
      <c r="F32" s="69">
        <v>0</v>
      </c>
      <c r="G32" s="69">
        <v>0</v>
      </c>
      <c r="H32" s="68" t="s">
        <v>74</v>
      </c>
      <c r="I32" s="68" t="s">
        <v>74</v>
      </c>
      <c r="J32" s="67"/>
      <c r="K32" s="72">
        <v>51</v>
      </c>
      <c r="L32" s="72">
        <v>0</v>
      </c>
      <c r="M32" s="72">
        <v>0</v>
      </c>
      <c r="N32" s="72">
        <v>1</v>
      </c>
      <c r="O32" s="72">
        <v>0</v>
      </c>
      <c r="P32" s="72">
        <v>6</v>
      </c>
      <c r="Q32" s="68">
        <v>1.9230769230769232E-2</v>
      </c>
      <c r="R32" s="68">
        <v>0.10344827586206896</v>
      </c>
      <c r="S32" s="67"/>
      <c r="T32" s="65">
        <v>51</v>
      </c>
      <c r="U32" s="65">
        <v>0</v>
      </c>
      <c r="V32" s="65">
        <v>0</v>
      </c>
      <c r="W32" s="65">
        <v>1</v>
      </c>
      <c r="X32" s="65">
        <v>0</v>
      </c>
      <c r="Y32" s="65">
        <v>6</v>
      </c>
      <c r="Z32" s="66">
        <v>1.9230769230769232E-2</v>
      </c>
      <c r="AA32" s="66">
        <v>0.10344827586206896</v>
      </c>
      <c r="AB32" s="67"/>
      <c r="AC32" s="67">
        <v>0</v>
      </c>
      <c r="AD32" s="67">
        <v>0</v>
      </c>
      <c r="AE32" s="67">
        <v>0</v>
      </c>
      <c r="AF32" s="67">
        <v>0</v>
      </c>
      <c r="AG32" s="67">
        <v>0</v>
      </c>
      <c r="AH32" s="67">
        <v>0</v>
      </c>
      <c r="AI32" s="68" t="s">
        <v>74</v>
      </c>
      <c r="AJ32" s="68" t="s">
        <v>74</v>
      </c>
      <c r="AK32" s="67"/>
      <c r="AL32" s="67">
        <v>20</v>
      </c>
      <c r="AM32" s="67">
        <v>0</v>
      </c>
      <c r="AN32" s="67">
        <v>1</v>
      </c>
      <c r="AO32" s="67">
        <v>0</v>
      </c>
      <c r="AP32" s="67">
        <v>0</v>
      </c>
      <c r="AQ32" s="67">
        <v>2</v>
      </c>
      <c r="AR32" s="68">
        <v>4.7619047619047616E-2</v>
      </c>
      <c r="AS32" s="68">
        <v>8.6956521739130432E-2</v>
      </c>
      <c r="AT32" s="67"/>
      <c r="AU32" s="65">
        <v>71</v>
      </c>
      <c r="AV32" s="65">
        <v>0</v>
      </c>
      <c r="AW32" s="65">
        <v>1</v>
      </c>
      <c r="AX32" s="65">
        <v>1</v>
      </c>
      <c r="AY32" s="65">
        <v>0</v>
      </c>
      <c r="AZ32" s="65">
        <v>8</v>
      </c>
      <c r="BA32" s="66">
        <v>2.7397260273972601E-2</v>
      </c>
      <c r="BB32" s="66">
        <v>9.8765432098765427E-2</v>
      </c>
      <c r="BC32" s="64"/>
      <c r="BD32" s="60">
        <f>SUM(AU32:AZ32)</f>
        <v>81</v>
      </c>
      <c r="BE32" s="60">
        <v>81</v>
      </c>
      <c r="BF32" s="61">
        <f>BD32-BE32</f>
        <v>0</v>
      </c>
      <c r="BG32" s="64"/>
      <c r="BH32" s="64"/>
      <c r="BI32" s="64"/>
      <c r="BJ32" s="64"/>
      <c r="BK32" s="64"/>
    </row>
    <row r="33" spans="1:63" s="8" customFormat="1" ht="15" customHeight="1" thickBot="1" x14ac:dyDescent="0.35">
      <c r="A33" s="2" t="s">
        <v>40</v>
      </c>
      <c r="B33" s="24">
        <v>0</v>
      </c>
      <c r="C33" s="24">
        <v>0</v>
      </c>
      <c r="D33" s="24">
        <v>0</v>
      </c>
      <c r="E33" s="24">
        <v>0</v>
      </c>
      <c r="F33" s="24">
        <v>0</v>
      </c>
      <c r="G33" s="24">
        <v>0</v>
      </c>
      <c r="H33" s="25" t="s">
        <v>74</v>
      </c>
      <c r="I33" s="25" t="s">
        <v>74</v>
      </c>
      <c r="J33" s="24"/>
      <c r="K33" s="24">
        <v>18</v>
      </c>
      <c r="L33" s="24">
        <v>0</v>
      </c>
      <c r="M33" s="24">
        <v>0</v>
      </c>
      <c r="N33" s="24">
        <v>0</v>
      </c>
      <c r="O33" s="24">
        <v>0</v>
      </c>
      <c r="P33" s="24">
        <v>2</v>
      </c>
      <c r="Q33" s="25">
        <v>0</v>
      </c>
      <c r="R33" s="25">
        <v>0.1</v>
      </c>
      <c r="S33" s="24"/>
      <c r="T33" s="17">
        <f t="shared" si="19"/>
        <v>18</v>
      </c>
      <c r="U33" s="17">
        <f t="shared" si="20"/>
        <v>0</v>
      </c>
      <c r="V33" s="17">
        <f t="shared" si="21"/>
        <v>0</v>
      </c>
      <c r="W33" s="17">
        <f t="shared" si="22"/>
        <v>0</v>
      </c>
      <c r="X33" s="17">
        <f t="shared" si="23"/>
        <v>0</v>
      </c>
      <c r="Y33" s="17">
        <f t="shared" si="24"/>
        <v>2</v>
      </c>
      <c r="Z33" s="23">
        <v>0</v>
      </c>
      <c r="AA33" s="23">
        <v>0.1</v>
      </c>
      <c r="AB33" s="24"/>
      <c r="AC33" s="24">
        <v>4</v>
      </c>
      <c r="AD33" s="24">
        <v>0</v>
      </c>
      <c r="AE33" s="24">
        <v>0</v>
      </c>
      <c r="AF33" s="24">
        <v>0</v>
      </c>
      <c r="AG33" s="24">
        <v>0</v>
      </c>
      <c r="AH33" s="24">
        <v>0</v>
      </c>
      <c r="AI33" s="25">
        <v>0</v>
      </c>
      <c r="AJ33" s="25">
        <v>0</v>
      </c>
      <c r="AK33" s="24"/>
      <c r="AL33" s="24">
        <v>8</v>
      </c>
      <c r="AM33" s="24">
        <v>1</v>
      </c>
      <c r="AN33" s="24">
        <v>0</v>
      </c>
      <c r="AO33" s="24">
        <v>0</v>
      </c>
      <c r="AP33" s="24">
        <v>0</v>
      </c>
      <c r="AQ33" s="24">
        <v>0</v>
      </c>
      <c r="AR33" s="25">
        <v>0.1111111111111111</v>
      </c>
      <c r="AS33" s="25">
        <v>0</v>
      </c>
      <c r="AT33" s="24"/>
      <c r="AU33" s="17">
        <f t="shared" si="11"/>
        <v>30</v>
      </c>
      <c r="AV33" s="17">
        <f t="shared" si="12"/>
        <v>1</v>
      </c>
      <c r="AW33" s="17">
        <f t="shared" si="13"/>
        <v>0</v>
      </c>
      <c r="AX33" s="17">
        <f t="shared" si="14"/>
        <v>0</v>
      </c>
      <c r="AY33" s="17">
        <f t="shared" si="15"/>
        <v>0</v>
      </c>
      <c r="AZ33" s="17">
        <f t="shared" si="16"/>
        <v>2</v>
      </c>
      <c r="BA33" s="23">
        <v>3.2258064516129031E-2</v>
      </c>
      <c r="BB33" s="23">
        <v>6.0606060606060608E-2</v>
      </c>
      <c r="BC33" s="19"/>
      <c r="BD33" s="20">
        <f t="shared" si="17"/>
        <v>33</v>
      </c>
      <c r="BE33" s="20">
        <v>33</v>
      </c>
      <c r="BF33" s="53">
        <f t="shared" si="18"/>
        <v>0</v>
      </c>
      <c r="BG33" s="19"/>
      <c r="BH33" s="19"/>
      <c r="BI33" s="19"/>
      <c r="BJ33" s="19"/>
      <c r="BK33" s="19"/>
    </row>
    <row r="34" spans="1:63" s="8" customFormat="1" ht="15" customHeight="1" thickBot="1" x14ac:dyDescent="0.35">
      <c r="A34" s="3" t="s">
        <v>41</v>
      </c>
      <c r="B34" s="24">
        <v>0</v>
      </c>
      <c r="C34" s="24">
        <v>0</v>
      </c>
      <c r="D34" s="24">
        <v>0</v>
      </c>
      <c r="E34" s="24">
        <v>0</v>
      </c>
      <c r="F34" s="24">
        <v>0</v>
      </c>
      <c r="G34" s="24">
        <v>0</v>
      </c>
      <c r="H34" s="25" t="s">
        <v>74</v>
      </c>
      <c r="I34" s="25" t="s">
        <v>74</v>
      </c>
      <c r="J34" s="24"/>
      <c r="K34" s="24">
        <v>60</v>
      </c>
      <c r="L34" s="24">
        <v>1</v>
      </c>
      <c r="M34" s="24">
        <v>0</v>
      </c>
      <c r="N34" s="24">
        <v>0</v>
      </c>
      <c r="O34" s="24">
        <v>0</v>
      </c>
      <c r="P34" s="24">
        <v>1</v>
      </c>
      <c r="Q34" s="25">
        <v>1.6393442622950821E-2</v>
      </c>
      <c r="R34" s="25">
        <v>1.6129032258064516E-2</v>
      </c>
      <c r="S34" s="24"/>
      <c r="T34" s="17">
        <f t="shared" si="19"/>
        <v>60</v>
      </c>
      <c r="U34" s="17">
        <f t="shared" si="20"/>
        <v>1</v>
      </c>
      <c r="V34" s="17">
        <f t="shared" si="21"/>
        <v>0</v>
      </c>
      <c r="W34" s="17">
        <f t="shared" si="22"/>
        <v>0</v>
      </c>
      <c r="X34" s="17">
        <f t="shared" si="23"/>
        <v>0</v>
      </c>
      <c r="Y34" s="17">
        <f t="shared" si="24"/>
        <v>1</v>
      </c>
      <c r="Z34" s="23">
        <v>1.6393442622950821E-2</v>
      </c>
      <c r="AA34" s="23">
        <v>1.6129032258064516E-2</v>
      </c>
      <c r="AB34" s="24"/>
      <c r="AC34" s="24">
        <v>1</v>
      </c>
      <c r="AD34" s="24">
        <v>0</v>
      </c>
      <c r="AE34" s="24">
        <v>0</v>
      </c>
      <c r="AF34" s="24">
        <v>0</v>
      </c>
      <c r="AG34" s="24">
        <v>0</v>
      </c>
      <c r="AH34" s="24">
        <v>0</v>
      </c>
      <c r="AI34" s="25">
        <v>0</v>
      </c>
      <c r="AJ34" s="25">
        <v>0</v>
      </c>
      <c r="AK34" s="24"/>
      <c r="AL34" s="24">
        <v>3</v>
      </c>
      <c r="AM34" s="24">
        <v>0</v>
      </c>
      <c r="AN34" s="24">
        <v>0</v>
      </c>
      <c r="AO34" s="24">
        <v>0</v>
      </c>
      <c r="AP34" s="24">
        <v>0</v>
      </c>
      <c r="AQ34" s="24">
        <v>0</v>
      </c>
      <c r="AR34" s="25">
        <v>0</v>
      </c>
      <c r="AS34" s="25">
        <v>0</v>
      </c>
      <c r="AT34" s="24"/>
      <c r="AU34" s="17">
        <f t="shared" si="11"/>
        <v>64</v>
      </c>
      <c r="AV34" s="17">
        <f t="shared" si="12"/>
        <v>1</v>
      </c>
      <c r="AW34" s="17">
        <f t="shared" si="13"/>
        <v>0</v>
      </c>
      <c r="AX34" s="17">
        <f t="shared" si="14"/>
        <v>0</v>
      </c>
      <c r="AY34" s="17">
        <f t="shared" si="15"/>
        <v>0</v>
      </c>
      <c r="AZ34" s="17">
        <f t="shared" si="16"/>
        <v>1</v>
      </c>
      <c r="BA34" s="23">
        <v>1.5384615384615385E-2</v>
      </c>
      <c r="BB34" s="23">
        <v>1.5151515151515152E-2</v>
      </c>
      <c r="BC34" s="19"/>
      <c r="BD34" s="20">
        <f t="shared" si="17"/>
        <v>66</v>
      </c>
      <c r="BE34" s="20">
        <v>66</v>
      </c>
      <c r="BF34" s="53">
        <f t="shared" si="18"/>
        <v>0</v>
      </c>
      <c r="BG34" s="19"/>
      <c r="BH34" s="19"/>
      <c r="BI34" s="19"/>
      <c r="BJ34" s="19"/>
      <c r="BK34" s="19"/>
    </row>
    <row r="35" spans="1:63" s="8" customFormat="1" ht="15" customHeight="1" thickBot="1" x14ac:dyDescent="0.35">
      <c r="A35" s="3" t="s">
        <v>42</v>
      </c>
      <c r="B35" s="24">
        <v>3</v>
      </c>
      <c r="C35" s="24">
        <v>0</v>
      </c>
      <c r="D35" s="24">
        <v>0</v>
      </c>
      <c r="E35" s="24">
        <v>0</v>
      </c>
      <c r="F35" s="24">
        <v>0</v>
      </c>
      <c r="G35" s="24">
        <v>1</v>
      </c>
      <c r="H35" s="25">
        <v>0</v>
      </c>
      <c r="I35" s="25">
        <v>0.25</v>
      </c>
      <c r="J35" s="24"/>
      <c r="K35" s="24">
        <v>23</v>
      </c>
      <c r="L35" s="24">
        <v>0</v>
      </c>
      <c r="M35" s="24">
        <v>0</v>
      </c>
      <c r="N35" s="24">
        <v>0</v>
      </c>
      <c r="O35" s="24">
        <v>0</v>
      </c>
      <c r="P35" s="24">
        <v>16</v>
      </c>
      <c r="Q35" s="25">
        <v>0</v>
      </c>
      <c r="R35" s="25">
        <v>0.41025641025641024</v>
      </c>
      <c r="S35" s="24"/>
      <c r="T35" s="17">
        <f t="shared" si="19"/>
        <v>26</v>
      </c>
      <c r="U35" s="17">
        <f t="shared" si="20"/>
        <v>0</v>
      </c>
      <c r="V35" s="17">
        <f t="shared" si="21"/>
        <v>0</v>
      </c>
      <c r="W35" s="17">
        <f t="shared" si="22"/>
        <v>0</v>
      </c>
      <c r="X35" s="17">
        <f t="shared" si="23"/>
        <v>0</v>
      </c>
      <c r="Y35" s="17">
        <f t="shared" si="24"/>
        <v>17</v>
      </c>
      <c r="Z35" s="23">
        <v>0</v>
      </c>
      <c r="AA35" s="23">
        <v>0.39534883720930231</v>
      </c>
      <c r="AB35" s="24"/>
      <c r="AC35" s="24">
        <v>1</v>
      </c>
      <c r="AD35" s="24">
        <v>0</v>
      </c>
      <c r="AE35" s="24">
        <v>0</v>
      </c>
      <c r="AF35" s="24">
        <v>0</v>
      </c>
      <c r="AG35" s="24">
        <v>0</v>
      </c>
      <c r="AH35" s="24">
        <v>0</v>
      </c>
      <c r="AI35" s="25">
        <v>0</v>
      </c>
      <c r="AJ35" s="25">
        <v>0</v>
      </c>
      <c r="AK35" s="24"/>
      <c r="AL35" s="24">
        <v>7</v>
      </c>
      <c r="AM35" s="24">
        <v>0</v>
      </c>
      <c r="AN35" s="24">
        <v>0</v>
      </c>
      <c r="AO35" s="24">
        <v>0</v>
      </c>
      <c r="AP35" s="24">
        <v>0</v>
      </c>
      <c r="AQ35" s="24">
        <v>5</v>
      </c>
      <c r="AR35" s="25">
        <v>0</v>
      </c>
      <c r="AS35" s="25">
        <v>0.41666666666666669</v>
      </c>
      <c r="AT35" s="24"/>
      <c r="AU35" s="17">
        <f t="shared" si="11"/>
        <v>34</v>
      </c>
      <c r="AV35" s="17">
        <f t="shared" si="12"/>
        <v>0</v>
      </c>
      <c r="AW35" s="17">
        <f t="shared" si="13"/>
        <v>0</v>
      </c>
      <c r="AX35" s="17">
        <f t="shared" si="14"/>
        <v>0</v>
      </c>
      <c r="AY35" s="17">
        <f t="shared" si="15"/>
        <v>0</v>
      </c>
      <c r="AZ35" s="17">
        <f t="shared" si="16"/>
        <v>22</v>
      </c>
      <c r="BA35" s="23">
        <v>0</v>
      </c>
      <c r="BB35" s="23">
        <v>0.39285714285714285</v>
      </c>
      <c r="BC35" s="19"/>
      <c r="BD35" s="20">
        <f t="shared" si="17"/>
        <v>56</v>
      </c>
      <c r="BE35" s="20">
        <v>56</v>
      </c>
      <c r="BF35" s="53">
        <f t="shared" si="18"/>
        <v>0</v>
      </c>
      <c r="BG35" s="19"/>
      <c r="BH35" s="19"/>
      <c r="BI35" s="19"/>
      <c r="BJ35" s="19"/>
      <c r="BK35" s="19"/>
    </row>
    <row r="36" spans="1:63" s="8" customFormat="1" ht="15" customHeight="1" thickBot="1" x14ac:dyDescent="0.35">
      <c r="A36" s="2" t="s">
        <v>43</v>
      </c>
      <c r="B36" s="24">
        <v>0</v>
      </c>
      <c r="C36" s="24">
        <v>0</v>
      </c>
      <c r="D36" s="24">
        <v>0</v>
      </c>
      <c r="E36" s="24">
        <v>0</v>
      </c>
      <c r="F36" s="24">
        <v>0</v>
      </c>
      <c r="G36" s="24">
        <v>0</v>
      </c>
      <c r="H36" s="25" t="s">
        <v>74</v>
      </c>
      <c r="I36" s="25" t="s">
        <v>74</v>
      </c>
      <c r="J36" s="24"/>
      <c r="K36" s="24">
        <v>0</v>
      </c>
      <c r="L36" s="24">
        <v>0</v>
      </c>
      <c r="M36" s="24">
        <v>0</v>
      </c>
      <c r="N36" s="24">
        <v>0</v>
      </c>
      <c r="O36" s="24">
        <v>0</v>
      </c>
      <c r="P36" s="24">
        <v>0</v>
      </c>
      <c r="Q36" s="25" t="s">
        <v>74</v>
      </c>
      <c r="R36" s="25" t="s">
        <v>74</v>
      </c>
      <c r="S36" s="24"/>
      <c r="T36" s="17">
        <f t="shared" si="19"/>
        <v>0</v>
      </c>
      <c r="U36" s="17">
        <f t="shared" si="20"/>
        <v>0</v>
      </c>
      <c r="V36" s="17">
        <f t="shared" si="21"/>
        <v>0</v>
      </c>
      <c r="W36" s="17">
        <f t="shared" si="22"/>
        <v>0</v>
      </c>
      <c r="X36" s="17">
        <f t="shared" si="23"/>
        <v>0</v>
      </c>
      <c r="Y36" s="17">
        <f t="shared" si="24"/>
        <v>0</v>
      </c>
      <c r="Z36" s="23" t="s">
        <v>74</v>
      </c>
      <c r="AA36" s="23" t="s">
        <v>74</v>
      </c>
      <c r="AB36" s="24"/>
      <c r="AC36" s="24">
        <v>0</v>
      </c>
      <c r="AD36" s="24">
        <v>0</v>
      </c>
      <c r="AE36" s="24">
        <v>0</v>
      </c>
      <c r="AF36" s="24">
        <v>0</v>
      </c>
      <c r="AG36" s="24">
        <v>0</v>
      </c>
      <c r="AH36" s="24">
        <v>0</v>
      </c>
      <c r="AI36" s="25" t="s">
        <v>74</v>
      </c>
      <c r="AJ36" s="25" t="s">
        <v>74</v>
      </c>
      <c r="AK36" s="24"/>
      <c r="AL36" s="24">
        <v>0</v>
      </c>
      <c r="AM36" s="24">
        <v>0</v>
      </c>
      <c r="AN36" s="24">
        <v>0</v>
      </c>
      <c r="AO36" s="24">
        <v>0</v>
      </c>
      <c r="AP36" s="24">
        <v>0</v>
      </c>
      <c r="AQ36" s="24">
        <v>0</v>
      </c>
      <c r="AR36" s="25" t="s">
        <v>74</v>
      </c>
      <c r="AS36" s="25" t="s">
        <v>74</v>
      </c>
      <c r="AT36" s="24"/>
      <c r="AU36" s="17">
        <f t="shared" si="11"/>
        <v>0</v>
      </c>
      <c r="AV36" s="17">
        <f t="shared" si="12"/>
        <v>0</v>
      </c>
      <c r="AW36" s="17">
        <f t="shared" si="13"/>
        <v>0</v>
      </c>
      <c r="AX36" s="17">
        <f t="shared" si="14"/>
        <v>0</v>
      </c>
      <c r="AY36" s="17">
        <f t="shared" si="15"/>
        <v>0</v>
      </c>
      <c r="AZ36" s="17">
        <f t="shared" si="16"/>
        <v>0</v>
      </c>
      <c r="BA36" s="23" t="s">
        <v>74</v>
      </c>
      <c r="BB36" s="23" t="s">
        <v>74</v>
      </c>
      <c r="BC36" s="19"/>
      <c r="BD36" s="20">
        <f t="shared" si="17"/>
        <v>0</v>
      </c>
      <c r="BE36" s="20">
        <v>0</v>
      </c>
      <c r="BF36" s="53">
        <f t="shared" si="18"/>
        <v>0</v>
      </c>
      <c r="BG36" s="19"/>
      <c r="BH36" s="19"/>
      <c r="BI36" s="19"/>
      <c r="BJ36" s="19"/>
      <c r="BK36" s="19"/>
    </row>
    <row r="37" spans="1:63" s="8" customFormat="1" ht="15" customHeight="1" thickBot="1" x14ac:dyDescent="0.35">
      <c r="A37" s="3" t="s">
        <v>44</v>
      </c>
      <c r="B37" s="24">
        <v>0</v>
      </c>
      <c r="C37" s="24">
        <v>0</v>
      </c>
      <c r="D37" s="24">
        <v>0</v>
      </c>
      <c r="E37" s="24">
        <v>0</v>
      </c>
      <c r="F37" s="24">
        <v>0</v>
      </c>
      <c r="G37" s="24">
        <v>0</v>
      </c>
      <c r="H37" s="25" t="s">
        <v>74</v>
      </c>
      <c r="I37" s="25" t="s">
        <v>74</v>
      </c>
      <c r="J37" s="24"/>
      <c r="K37" s="24">
        <v>0</v>
      </c>
      <c r="L37" s="24">
        <v>0</v>
      </c>
      <c r="M37" s="24">
        <v>0</v>
      </c>
      <c r="N37" s="24">
        <v>0</v>
      </c>
      <c r="O37" s="24">
        <v>0</v>
      </c>
      <c r="P37" s="24">
        <v>0</v>
      </c>
      <c r="Q37" s="25" t="s">
        <v>74</v>
      </c>
      <c r="R37" s="25" t="s">
        <v>74</v>
      </c>
      <c r="S37" s="24"/>
      <c r="T37" s="17">
        <f t="shared" si="19"/>
        <v>0</v>
      </c>
      <c r="U37" s="17">
        <f t="shared" si="20"/>
        <v>0</v>
      </c>
      <c r="V37" s="17">
        <f t="shared" si="21"/>
        <v>0</v>
      </c>
      <c r="W37" s="17">
        <f t="shared" si="22"/>
        <v>0</v>
      </c>
      <c r="X37" s="17">
        <f t="shared" si="23"/>
        <v>0</v>
      </c>
      <c r="Y37" s="17">
        <f t="shared" si="24"/>
        <v>0</v>
      </c>
      <c r="Z37" s="23" t="s">
        <v>74</v>
      </c>
      <c r="AA37" s="23" t="s">
        <v>74</v>
      </c>
      <c r="AB37" s="24"/>
      <c r="AC37" s="24">
        <v>0</v>
      </c>
      <c r="AD37" s="24">
        <v>0</v>
      </c>
      <c r="AE37" s="24">
        <v>0</v>
      </c>
      <c r="AF37" s="24">
        <v>0</v>
      </c>
      <c r="AG37" s="24">
        <v>0</v>
      </c>
      <c r="AH37" s="24">
        <v>0</v>
      </c>
      <c r="AI37" s="25" t="s">
        <v>74</v>
      </c>
      <c r="AJ37" s="25" t="s">
        <v>74</v>
      </c>
      <c r="AK37" s="24"/>
      <c r="AL37" s="24">
        <v>0</v>
      </c>
      <c r="AM37" s="24">
        <v>0</v>
      </c>
      <c r="AN37" s="24">
        <v>0</v>
      </c>
      <c r="AO37" s="24">
        <v>0</v>
      </c>
      <c r="AP37" s="24">
        <v>0</v>
      </c>
      <c r="AQ37" s="24">
        <v>0</v>
      </c>
      <c r="AR37" s="25" t="s">
        <v>74</v>
      </c>
      <c r="AS37" s="25" t="s">
        <v>74</v>
      </c>
      <c r="AT37" s="24"/>
      <c r="AU37" s="17">
        <f t="shared" si="11"/>
        <v>0</v>
      </c>
      <c r="AV37" s="17">
        <f t="shared" si="12"/>
        <v>0</v>
      </c>
      <c r="AW37" s="17">
        <f t="shared" si="13"/>
        <v>0</v>
      </c>
      <c r="AX37" s="17">
        <f t="shared" si="14"/>
        <v>0</v>
      </c>
      <c r="AY37" s="17">
        <f t="shared" si="15"/>
        <v>0</v>
      </c>
      <c r="AZ37" s="17">
        <f t="shared" si="16"/>
        <v>0</v>
      </c>
      <c r="BA37" s="23" t="s">
        <v>74</v>
      </c>
      <c r="BB37" s="23" t="s">
        <v>74</v>
      </c>
      <c r="BC37" s="19"/>
      <c r="BD37" s="20">
        <f t="shared" si="17"/>
        <v>0</v>
      </c>
      <c r="BE37" s="20">
        <v>0</v>
      </c>
      <c r="BF37" s="53">
        <f t="shared" si="18"/>
        <v>0</v>
      </c>
      <c r="BG37" s="19"/>
      <c r="BH37" s="19"/>
      <c r="BI37" s="19"/>
      <c r="BJ37" s="19"/>
      <c r="BK37" s="19"/>
    </row>
    <row r="38" spans="1:63" s="8" customFormat="1" ht="15" customHeight="1" thickBot="1" x14ac:dyDescent="0.35">
      <c r="A38" s="3" t="s">
        <v>45</v>
      </c>
      <c r="B38" s="24">
        <v>1</v>
      </c>
      <c r="C38" s="24">
        <v>0</v>
      </c>
      <c r="D38" s="24">
        <v>0</v>
      </c>
      <c r="E38" s="24">
        <v>0</v>
      </c>
      <c r="F38" s="24">
        <v>0</v>
      </c>
      <c r="G38" s="24">
        <v>3</v>
      </c>
      <c r="H38" s="25">
        <v>0</v>
      </c>
      <c r="I38" s="25">
        <v>0.75</v>
      </c>
      <c r="J38" s="24"/>
      <c r="K38" s="24">
        <v>0</v>
      </c>
      <c r="L38" s="24">
        <v>0</v>
      </c>
      <c r="M38" s="24">
        <v>0</v>
      </c>
      <c r="N38" s="24">
        <v>0</v>
      </c>
      <c r="O38" s="24">
        <v>0</v>
      </c>
      <c r="P38" s="24">
        <v>11</v>
      </c>
      <c r="Q38" s="25" t="s">
        <v>74</v>
      </c>
      <c r="R38" s="25">
        <v>1</v>
      </c>
      <c r="S38" s="24"/>
      <c r="T38" s="17">
        <f t="shared" si="19"/>
        <v>1</v>
      </c>
      <c r="U38" s="17">
        <f t="shared" si="20"/>
        <v>0</v>
      </c>
      <c r="V38" s="17">
        <f t="shared" si="21"/>
        <v>0</v>
      </c>
      <c r="W38" s="17">
        <f t="shared" si="22"/>
        <v>0</v>
      </c>
      <c r="X38" s="17">
        <f t="shared" si="23"/>
        <v>0</v>
      </c>
      <c r="Y38" s="17">
        <f t="shared" si="24"/>
        <v>14</v>
      </c>
      <c r="Z38" s="23">
        <v>0</v>
      </c>
      <c r="AA38" s="23">
        <v>0.93333333333333335</v>
      </c>
      <c r="AB38" s="24"/>
      <c r="AC38" s="24">
        <v>0</v>
      </c>
      <c r="AD38" s="24">
        <v>0</v>
      </c>
      <c r="AE38" s="24">
        <v>0</v>
      </c>
      <c r="AF38" s="24">
        <v>0</v>
      </c>
      <c r="AG38" s="24">
        <v>0</v>
      </c>
      <c r="AH38" s="24">
        <v>0</v>
      </c>
      <c r="AI38" s="25" t="s">
        <v>74</v>
      </c>
      <c r="AJ38" s="25" t="s">
        <v>74</v>
      </c>
      <c r="AK38" s="24"/>
      <c r="AL38" s="24">
        <v>3</v>
      </c>
      <c r="AM38" s="24">
        <v>0</v>
      </c>
      <c r="AN38" s="24">
        <v>0</v>
      </c>
      <c r="AO38" s="24">
        <v>0</v>
      </c>
      <c r="AP38" s="24">
        <v>0</v>
      </c>
      <c r="AQ38" s="24">
        <v>6</v>
      </c>
      <c r="AR38" s="25">
        <v>0</v>
      </c>
      <c r="AS38" s="25">
        <v>0.66666666666666663</v>
      </c>
      <c r="AT38" s="24"/>
      <c r="AU38" s="17">
        <f t="shared" si="11"/>
        <v>4</v>
      </c>
      <c r="AV38" s="17">
        <f t="shared" si="12"/>
        <v>0</v>
      </c>
      <c r="AW38" s="17">
        <f t="shared" si="13"/>
        <v>0</v>
      </c>
      <c r="AX38" s="17">
        <f t="shared" si="14"/>
        <v>0</v>
      </c>
      <c r="AY38" s="17">
        <f t="shared" si="15"/>
        <v>0</v>
      </c>
      <c r="AZ38" s="17">
        <f t="shared" si="16"/>
        <v>20</v>
      </c>
      <c r="BA38" s="23">
        <v>0</v>
      </c>
      <c r="BB38" s="23">
        <v>0.83333333333333337</v>
      </c>
      <c r="BC38" s="19"/>
      <c r="BD38" s="20">
        <f t="shared" si="17"/>
        <v>24</v>
      </c>
      <c r="BE38" s="20">
        <v>24</v>
      </c>
      <c r="BF38" s="53">
        <f t="shared" si="18"/>
        <v>0</v>
      </c>
      <c r="BG38" s="19"/>
      <c r="BH38" s="19"/>
      <c r="BI38" s="19"/>
      <c r="BJ38" s="19"/>
      <c r="BK38" s="19"/>
    </row>
    <row r="39" spans="1:63" s="8" customFormat="1" ht="15" customHeight="1" thickBot="1" x14ac:dyDescent="0.35">
      <c r="A39" s="3" t="s">
        <v>46</v>
      </c>
      <c r="B39" s="24">
        <v>5</v>
      </c>
      <c r="C39" s="24">
        <v>0</v>
      </c>
      <c r="D39" s="24">
        <v>0</v>
      </c>
      <c r="E39" s="24">
        <v>0</v>
      </c>
      <c r="F39" s="24">
        <v>0</v>
      </c>
      <c r="G39" s="24">
        <v>0</v>
      </c>
      <c r="H39" s="25">
        <v>0</v>
      </c>
      <c r="I39" s="25">
        <v>0</v>
      </c>
      <c r="J39" s="24"/>
      <c r="K39" s="24">
        <v>11</v>
      </c>
      <c r="L39" s="24">
        <v>0</v>
      </c>
      <c r="M39" s="24">
        <v>0</v>
      </c>
      <c r="N39" s="24">
        <v>0</v>
      </c>
      <c r="O39" s="24">
        <v>0</v>
      </c>
      <c r="P39" s="24">
        <v>0</v>
      </c>
      <c r="Q39" s="25">
        <v>0</v>
      </c>
      <c r="R39" s="25">
        <v>0</v>
      </c>
      <c r="S39" s="24"/>
      <c r="T39" s="17">
        <f t="shared" si="19"/>
        <v>16</v>
      </c>
      <c r="U39" s="17">
        <f t="shared" si="20"/>
        <v>0</v>
      </c>
      <c r="V39" s="17">
        <f t="shared" si="21"/>
        <v>0</v>
      </c>
      <c r="W39" s="17">
        <f t="shared" si="22"/>
        <v>0</v>
      </c>
      <c r="X39" s="17">
        <f t="shared" si="23"/>
        <v>0</v>
      </c>
      <c r="Y39" s="17">
        <f t="shared" si="24"/>
        <v>0</v>
      </c>
      <c r="Z39" s="23">
        <v>0</v>
      </c>
      <c r="AA39" s="23">
        <v>0</v>
      </c>
      <c r="AB39" s="24"/>
      <c r="AC39" s="24">
        <v>0</v>
      </c>
      <c r="AD39" s="24">
        <v>0</v>
      </c>
      <c r="AE39" s="24">
        <v>0</v>
      </c>
      <c r="AF39" s="24">
        <v>0</v>
      </c>
      <c r="AG39" s="24">
        <v>0</v>
      </c>
      <c r="AH39" s="24">
        <v>0</v>
      </c>
      <c r="AI39" s="25" t="s">
        <v>74</v>
      </c>
      <c r="AJ39" s="25" t="s">
        <v>74</v>
      </c>
      <c r="AK39" s="24"/>
      <c r="AL39" s="24">
        <v>1</v>
      </c>
      <c r="AM39" s="24">
        <v>0</v>
      </c>
      <c r="AN39" s="24">
        <v>0</v>
      </c>
      <c r="AO39" s="24">
        <v>0</v>
      </c>
      <c r="AP39" s="24">
        <v>0</v>
      </c>
      <c r="AQ39" s="24">
        <v>0</v>
      </c>
      <c r="AR39" s="25">
        <v>0</v>
      </c>
      <c r="AS39" s="25">
        <v>0</v>
      </c>
      <c r="AT39" s="24"/>
      <c r="AU39" s="17">
        <f t="shared" si="11"/>
        <v>17</v>
      </c>
      <c r="AV39" s="17">
        <f t="shared" si="12"/>
        <v>0</v>
      </c>
      <c r="AW39" s="17">
        <f t="shared" si="13"/>
        <v>0</v>
      </c>
      <c r="AX39" s="17">
        <f t="shared" si="14"/>
        <v>0</v>
      </c>
      <c r="AY39" s="17">
        <f t="shared" si="15"/>
        <v>0</v>
      </c>
      <c r="AZ39" s="17">
        <f t="shared" si="16"/>
        <v>0</v>
      </c>
      <c r="BA39" s="23">
        <v>0</v>
      </c>
      <c r="BB39" s="23">
        <v>0</v>
      </c>
      <c r="BC39" s="19"/>
      <c r="BD39" s="20">
        <f t="shared" si="17"/>
        <v>17</v>
      </c>
      <c r="BE39" s="20">
        <v>17</v>
      </c>
      <c r="BF39" s="53">
        <f t="shared" si="18"/>
        <v>0</v>
      </c>
      <c r="BG39" s="19"/>
      <c r="BH39" s="19"/>
      <c r="BI39" s="19"/>
      <c r="BJ39" s="19"/>
      <c r="BK39" s="19"/>
    </row>
    <row r="40" spans="1:63" s="8" customFormat="1" ht="15" customHeight="1" thickBot="1" x14ac:dyDescent="0.35">
      <c r="A40" s="2" t="s">
        <v>47</v>
      </c>
      <c r="B40" s="24">
        <v>1</v>
      </c>
      <c r="C40" s="24">
        <v>0</v>
      </c>
      <c r="D40" s="24">
        <v>0</v>
      </c>
      <c r="E40" s="24">
        <v>0</v>
      </c>
      <c r="F40" s="24">
        <v>0</v>
      </c>
      <c r="G40" s="24">
        <v>0</v>
      </c>
      <c r="H40" s="25">
        <v>0</v>
      </c>
      <c r="I40" s="25">
        <v>0</v>
      </c>
      <c r="J40" s="24"/>
      <c r="K40" s="24">
        <v>26</v>
      </c>
      <c r="L40" s="24">
        <v>0</v>
      </c>
      <c r="M40" s="24">
        <v>0</v>
      </c>
      <c r="N40" s="24">
        <v>0</v>
      </c>
      <c r="O40" s="24">
        <v>4</v>
      </c>
      <c r="P40" s="24">
        <v>0</v>
      </c>
      <c r="Q40" s="25">
        <v>0.13333333333333333</v>
      </c>
      <c r="R40" s="25">
        <v>0</v>
      </c>
      <c r="S40" s="24"/>
      <c r="T40" s="17">
        <f t="shared" si="19"/>
        <v>27</v>
      </c>
      <c r="U40" s="17">
        <f t="shared" si="20"/>
        <v>0</v>
      </c>
      <c r="V40" s="17">
        <f t="shared" si="21"/>
        <v>0</v>
      </c>
      <c r="W40" s="17">
        <f t="shared" si="22"/>
        <v>0</v>
      </c>
      <c r="X40" s="17">
        <f t="shared" si="23"/>
        <v>4</v>
      </c>
      <c r="Y40" s="17">
        <f t="shared" si="24"/>
        <v>0</v>
      </c>
      <c r="Z40" s="23">
        <v>0.12903225806451613</v>
      </c>
      <c r="AA40" s="23">
        <v>0</v>
      </c>
      <c r="AB40" s="24"/>
      <c r="AC40" s="24">
        <v>0</v>
      </c>
      <c r="AD40" s="24">
        <v>0</v>
      </c>
      <c r="AE40" s="24">
        <v>0</v>
      </c>
      <c r="AF40" s="24">
        <v>0</v>
      </c>
      <c r="AG40" s="24">
        <v>1</v>
      </c>
      <c r="AH40" s="24">
        <v>0</v>
      </c>
      <c r="AI40" s="25">
        <v>1</v>
      </c>
      <c r="AJ40" s="25">
        <v>0</v>
      </c>
      <c r="AK40" s="24"/>
      <c r="AL40" s="24">
        <v>16</v>
      </c>
      <c r="AM40" s="24">
        <v>0</v>
      </c>
      <c r="AN40" s="24">
        <v>0</v>
      </c>
      <c r="AO40" s="24">
        <v>0</v>
      </c>
      <c r="AP40" s="24">
        <v>10</v>
      </c>
      <c r="AQ40" s="24">
        <v>0</v>
      </c>
      <c r="AR40" s="25">
        <v>0.38461538461538464</v>
      </c>
      <c r="AS40" s="25">
        <v>0</v>
      </c>
      <c r="AT40" s="24"/>
      <c r="AU40" s="17">
        <f t="shared" si="11"/>
        <v>43</v>
      </c>
      <c r="AV40" s="17">
        <f t="shared" si="12"/>
        <v>0</v>
      </c>
      <c r="AW40" s="17">
        <f t="shared" si="13"/>
        <v>0</v>
      </c>
      <c r="AX40" s="17">
        <f t="shared" si="14"/>
        <v>0</v>
      </c>
      <c r="AY40" s="17">
        <f t="shared" si="15"/>
        <v>15</v>
      </c>
      <c r="AZ40" s="17">
        <f t="shared" si="16"/>
        <v>0</v>
      </c>
      <c r="BA40" s="23">
        <v>0.25862068965517243</v>
      </c>
      <c r="BB40" s="23">
        <v>0</v>
      </c>
      <c r="BC40" s="19"/>
      <c r="BD40" s="20">
        <f t="shared" si="17"/>
        <v>58</v>
      </c>
      <c r="BE40" s="20">
        <v>58</v>
      </c>
      <c r="BF40" s="53">
        <f t="shared" si="18"/>
        <v>0</v>
      </c>
      <c r="BG40" s="19"/>
      <c r="BH40" s="19"/>
      <c r="BI40" s="19"/>
      <c r="BJ40" s="19"/>
      <c r="BK40" s="19"/>
    </row>
    <row r="41" spans="1:63" s="8" customFormat="1" ht="15" customHeight="1" thickBot="1" x14ac:dyDescent="0.35">
      <c r="A41" s="2" t="s">
        <v>48</v>
      </c>
      <c r="B41" s="24">
        <v>17</v>
      </c>
      <c r="C41" s="24">
        <v>0</v>
      </c>
      <c r="D41" s="24">
        <v>0</v>
      </c>
      <c r="E41" s="24">
        <v>0</v>
      </c>
      <c r="F41" s="24">
        <v>0</v>
      </c>
      <c r="G41" s="24">
        <v>1</v>
      </c>
      <c r="H41" s="25">
        <v>0</v>
      </c>
      <c r="I41" s="25">
        <v>5.5555555555555552E-2</v>
      </c>
      <c r="J41" s="24"/>
      <c r="K41" s="24">
        <v>36</v>
      </c>
      <c r="L41" s="24">
        <v>0</v>
      </c>
      <c r="M41" s="24">
        <v>0</v>
      </c>
      <c r="N41" s="24">
        <v>0</v>
      </c>
      <c r="O41" s="24">
        <v>1</v>
      </c>
      <c r="P41" s="24">
        <v>9</v>
      </c>
      <c r="Q41" s="25">
        <v>2.7027027027027029E-2</v>
      </c>
      <c r="R41" s="25">
        <v>0.19565217391304349</v>
      </c>
      <c r="S41" s="24"/>
      <c r="T41" s="17">
        <f t="shared" si="19"/>
        <v>53</v>
      </c>
      <c r="U41" s="17">
        <f t="shared" si="20"/>
        <v>0</v>
      </c>
      <c r="V41" s="17">
        <f t="shared" si="21"/>
        <v>0</v>
      </c>
      <c r="W41" s="17">
        <f t="shared" si="22"/>
        <v>0</v>
      </c>
      <c r="X41" s="17">
        <f t="shared" si="23"/>
        <v>1</v>
      </c>
      <c r="Y41" s="17">
        <f t="shared" si="24"/>
        <v>10</v>
      </c>
      <c r="Z41" s="23">
        <v>1.8518518518518517E-2</v>
      </c>
      <c r="AA41" s="23">
        <v>0.15625</v>
      </c>
      <c r="AB41" s="24"/>
      <c r="AC41" s="24">
        <v>0</v>
      </c>
      <c r="AD41" s="24">
        <v>0</v>
      </c>
      <c r="AE41" s="24">
        <v>0</v>
      </c>
      <c r="AF41" s="24">
        <v>0</v>
      </c>
      <c r="AG41" s="24">
        <v>0</v>
      </c>
      <c r="AH41" s="24">
        <v>0</v>
      </c>
      <c r="AI41" s="25" t="s">
        <v>74</v>
      </c>
      <c r="AJ41" s="25" t="s">
        <v>74</v>
      </c>
      <c r="AK41" s="24"/>
      <c r="AL41" s="24">
        <v>3</v>
      </c>
      <c r="AM41" s="24">
        <v>0</v>
      </c>
      <c r="AN41" s="24">
        <v>1</v>
      </c>
      <c r="AO41" s="24">
        <v>0</v>
      </c>
      <c r="AP41" s="24">
        <v>1</v>
      </c>
      <c r="AQ41" s="24">
        <v>1</v>
      </c>
      <c r="AR41" s="25">
        <v>0.4</v>
      </c>
      <c r="AS41" s="25">
        <v>0.16666666666666666</v>
      </c>
      <c r="AT41" s="24"/>
      <c r="AU41" s="17">
        <f t="shared" si="11"/>
        <v>56</v>
      </c>
      <c r="AV41" s="17">
        <f t="shared" si="12"/>
        <v>0</v>
      </c>
      <c r="AW41" s="17">
        <f t="shared" si="13"/>
        <v>1</v>
      </c>
      <c r="AX41" s="17">
        <f t="shared" si="14"/>
        <v>0</v>
      </c>
      <c r="AY41" s="17">
        <f t="shared" si="15"/>
        <v>2</v>
      </c>
      <c r="AZ41" s="17">
        <f t="shared" si="16"/>
        <v>11</v>
      </c>
      <c r="BA41" s="23">
        <v>5.0847457627118647E-2</v>
      </c>
      <c r="BB41" s="23">
        <v>0.15714285714285714</v>
      </c>
      <c r="BC41" s="19"/>
      <c r="BD41" s="20">
        <f t="shared" si="17"/>
        <v>70</v>
      </c>
      <c r="BE41" s="20">
        <v>70</v>
      </c>
      <c r="BF41" s="53">
        <f t="shared" si="18"/>
        <v>0</v>
      </c>
      <c r="BG41" s="19"/>
      <c r="BH41" s="19"/>
      <c r="BI41" s="19"/>
      <c r="BJ41" s="19"/>
      <c r="BK41" s="19"/>
    </row>
    <row r="42" spans="1:63" s="8" customFormat="1" ht="15" customHeight="1" thickBot="1" x14ac:dyDescent="0.35">
      <c r="A42" s="2" t="s">
        <v>49</v>
      </c>
      <c r="B42" s="24">
        <v>5</v>
      </c>
      <c r="C42" s="24">
        <v>0</v>
      </c>
      <c r="D42" s="24">
        <v>0</v>
      </c>
      <c r="E42" s="24">
        <v>0</v>
      </c>
      <c r="F42" s="24">
        <v>0</v>
      </c>
      <c r="G42" s="24">
        <v>9</v>
      </c>
      <c r="H42" s="25">
        <v>0</v>
      </c>
      <c r="I42" s="25">
        <v>0.6428571428571429</v>
      </c>
      <c r="J42" s="24"/>
      <c r="K42" s="24">
        <v>19</v>
      </c>
      <c r="L42" s="24">
        <v>0</v>
      </c>
      <c r="M42" s="24">
        <v>0</v>
      </c>
      <c r="N42" s="24">
        <v>0</v>
      </c>
      <c r="O42" s="24">
        <v>0</v>
      </c>
      <c r="P42" s="24">
        <v>13</v>
      </c>
      <c r="Q42" s="25">
        <v>0</v>
      </c>
      <c r="R42" s="25">
        <v>0.40625</v>
      </c>
      <c r="S42" s="24"/>
      <c r="T42" s="17">
        <f t="shared" si="19"/>
        <v>24</v>
      </c>
      <c r="U42" s="17">
        <f t="shared" si="20"/>
        <v>0</v>
      </c>
      <c r="V42" s="17">
        <f t="shared" si="21"/>
        <v>0</v>
      </c>
      <c r="W42" s="17">
        <f t="shared" si="22"/>
        <v>0</v>
      </c>
      <c r="X42" s="17">
        <f t="shared" si="23"/>
        <v>0</v>
      </c>
      <c r="Y42" s="17">
        <f t="shared" si="24"/>
        <v>22</v>
      </c>
      <c r="Z42" s="23">
        <v>0</v>
      </c>
      <c r="AA42" s="23">
        <v>0.47826086956521741</v>
      </c>
      <c r="AB42" s="24"/>
      <c r="AC42" s="24">
        <v>1</v>
      </c>
      <c r="AD42" s="24">
        <v>0</v>
      </c>
      <c r="AE42" s="24">
        <v>0</v>
      </c>
      <c r="AF42" s="24">
        <v>0</v>
      </c>
      <c r="AG42" s="24">
        <v>0</v>
      </c>
      <c r="AH42" s="24">
        <v>1</v>
      </c>
      <c r="AI42" s="25">
        <v>0</v>
      </c>
      <c r="AJ42" s="25">
        <v>0.5</v>
      </c>
      <c r="AK42" s="24"/>
      <c r="AL42" s="24">
        <v>10</v>
      </c>
      <c r="AM42" s="24">
        <v>0</v>
      </c>
      <c r="AN42" s="24">
        <v>0</v>
      </c>
      <c r="AO42" s="24">
        <v>0</v>
      </c>
      <c r="AP42" s="24">
        <v>0</v>
      </c>
      <c r="AQ42" s="24">
        <v>0</v>
      </c>
      <c r="AR42" s="25">
        <v>0</v>
      </c>
      <c r="AS42" s="25">
        <v>0</v>
      </c>
      <c r="AT42" s="24"/>
      <c r="AU42" s="17">
        <f t="shared" si="11"/>
        <v>35</v>
      </c>
      <c r="AV42" s="17">
        <f t="shared" si="12"/>
        <v>0</v>
      </c>
      <c r="AW42" s="17">
        <f t="shared" si="13"/>
        <v>0</v>
      </c>
      <c r="AX42" s="17">
        <f t="shared" si="14"/>
        <v>0</v>
      </c>
      <c r="AY42" s="17">
        <f t="shared" si="15"/>
        <v>0</v>
      </c>
      <c r="AZ42" s="17">
        <f t="shared" si="16"/>
        <v>23</v>
      </c>
      <c r="BA42" s="23">
        <v>0</v>
      </c>
      <c r="BB42" s="23">
        <v>0.39655172413793105</v>
      </c>
      <c r="BC42" s="19"/>
      <c r="BD42" s="20">
        <f t="shared" si="17"/>
        <v>58</v>
      </c>
      <c r="BE42" s="20">
        <v>58</v>
      </c>
      <c r="BF42" s="53">
        <f t="shared" si="18"/>
        <v>0</v>
      </c>
      <c r="BG42" s="19"/>
      <c r="BH42" s="19"/>
      <c r="BI42" s="19"/>
      <c r="BJ42" s="19"/>
      <c r="BK42" s="19"/>
    </row>
    <row r="43" spans="1:63" s="8" customFormat="1" ht="15" customHeight="1" thickBot="1" x14ac:dyDescent="0.35">
      <c r="A43" s="2" t="s">
        <v>50</v>
      </c>
      <c r="B43" s="24">
        <v>0</v>
      </c>
      <c r="C43" s="24">
        <v>0</v>
      </c>
      <c r="D43" s="24">
        <v>0</v>
      </c>
      <c r="E43" s="24">
        <v>0</v>
      </c>
      <c r="F43" s="24">
        <v>0</v>
      </c>
      <c r="G43" s="24">
        <v>0</v>
      </c>
      <c r="H43" s="25" t="s">
        <v>74</v>
      </c>
      <c r="I43" s="25" t="s">
        <v>74</v>
      </c>
      <c r="J43" s="24"/>
      <c r="K43" s="24">
        <v>33</v>
      </c>
      <c r="L43" s="24">
        <v>0</v>
      </c>
      <c r="M43" s="24">
        <v>0</v>
      </c>
      <c r="N43" s="24">
        <v>0</v>
      </c>
      <c r="O43" s="24">
        <v>1</v>
      </c>
      <c r="P43" s="24">
        <v>0</v>
      </c>
      <c r="Q43" s="25">
        <v>2.9411764705882353E-2</v>
      </c>
      <c r="R43" s="25">
        <v>0</v>
      </c>
      <c r="S43" s="24"/>
      <c r="T43" s="17">
        <f t="shared" si="19"/>
        <v>33</v>
      </c>
      <c r="U43" s="17">
        <f t="shared" si="20"/>
        <v>0</v>
      </c>
      <c r="V43" s="17">
        <f t="shared" si="21"/>
        <v>0</v>
      </c>
      <c r="W43" s="17">
        <f t="shared" si="22"/>
        <v>0</v>
      </c>
      <c r="X43" s="17">
        <f t="shared" si="23"/>
        <v>1</v>
      </c>
      <c r="Y43" s="17">
        <f t="shared" si="24"/>
        <v>0</v>
      </c>
      <c r="Z43" s="23">
        <v>2.9411764705882353E-2</v>
      </c>
      <c r="AA43" s="23">
        <v>0</v>
      </c>
      <c r="AB43" s="24"/>
      <c r="AC43" s="24">
        <v>0</v>
      </c>
      <c r="AD43" s="24">
        <v>0</v>
      </c>
      <c r="AE43" s="24">
        <v>0</v>
      </c>
      <c r="AF43" s="24">
        <v>0</v>
      </c>
      <c r="AG43" s="24">
        <v>0</v>
      </c>
      <c r="AH43" s="24">
        <v>0</v>
      </c>
      <c r="AI43" s="25" t="s">
        <v>74</v>
      </c>
      <c r="AJ43" s="25" t="s">
        <v>74</v>
      </c>
      <c r="AK43" s="24"/>
      <c r="AL43" s="24">
        <v>12</v>
      </c>
      <c r="AM43" s="24">
        <v>0</v>
      </c>
      <c r="AN43" s="24">
        <v>0</v>
      </c>
      <c r="AO43" s="24">
        <v>0</v>
      </c>
      <c r="AP43" s="24">
        <v>0</v>
      </c>
      <c r="AQ43" s="24">
        <v>0</v>
      </c>
      <c r="AR43" s="25">
        <v>0</v>
      </c>
      <c r="AS43" s="25">
        <v>0</v>
      </c>
      <c r="AT43" s="24"/>
      <c r="AU43" s="17">
        <f t="shared" si="11"/>
        <v>45</v>
      </c>
      <c r="AV43" s="17">
        <f t="shared" si="12"/>
        <v>0</v>
      </c>
      <c r="AW43" s="17">
        <f t="shared" si="13"/>
        <v>0</v>
      </c>
      <c r="AX43" s="17">
        <f t="shared" si="14"/>
        <v>0</v>
      </c>
      <c r="AY43" s="17">
        <f t="shared" si="15"/>
        <v>1</v>
      </c>
      <c r="AZ43" s="17">
        <f t="shared" si="16"/>
        <v>0</v>
      </c>
      <c r="BA43" s="23">
        <v>2.1739130434782608E-2</v>
      </c>
      <c r="BB43" s="23">
        <v>0</v>
      </c>
      <c r="BC43" s="19"/>
      <c r="BD43" s="20">
        <f t="shared" si="17"/>
        <v>46</v>
      </c>
      <c r="BE43" s="20">
        <v>46</v>
      </c>
      <c r="BF43" s="53">
        <f t="shared" si="18"/>
        <v>0</v>
      </c>
      <c r="BG43" s="19"/>
      <c r="BH43" s="19"/>
      <c r="BI43" s="19"/>
      <c r="BJ43" s="19"/>
      <c r="BK43" s="19"/>
    </row>
    <row r="44" spans="1:63" s="8" customFormat="1" ht="15" customHeight="1" thickBot="1" x14ac:dyDescent="0.35">
      <c r="A44" s="2" t="s">
        <v>51</v>
      </c>
      <c r="B44" s="24">
        <v>10</v>
      </c>
      <c r="C44" s="24">
        <v>0</v>
      </c>
      <c r="D44" s="24">
        <v>0</v>
      </c>
      <c r="E44" s="24">
        <v>0</v>
      </c>
      <c r="F44" s="24">
        <v>0</v>
      </c>
      <c r="G44" s="24">
        <v>7</v>
      </c>
      <c r="H44" s="25">
        <v>0</v>
      </c>
      <c r="I44" s="25">
        <v>0.41176470588235292</v>
      </c>
      <c r="J44" s="24"/>
      <c r="K44" s="24">
        <v>3</v>
      </c>
      <c r="L44" s="24">
        <v>0</v>
      </c>
      <c r="M44" s="24">
        <v>0</v>
      </c>
      <c r="N44" s="24">
        <v>0</v>
      </c>
      <c r="O44" s="24">
        <v>0</v>
      </c>
      <c r="P44" s="24">
        <v>30</v>
      </c>
      <c r="Q44" s="25">
        <v>0</v>
      </c>
      <c r="R44" s="25">
        <v>0.90909090909090906</v>
      </c>
      <c r="S44" s="24"/>
      <c r="T44" s="17">
        <f t="shared" si="19"/>
        <v>13</v>
      </c>
      <c r="U44" s="17">
        <f t="shared" si="20"/>
        <v>0</v>
      </c>
      <c r="V44" s="17">
        <f t="shared" si="21"/>
        <v>0</v>
      </c>
      <c r="W44" s="17">
        <f t="shared" si="22"/>
        <v>0</v>
      </c>
      <c r="X44" s="17">
        <f t="shared" si="23"/>
        <v>0</v>
      </c>
      <c r="Y44" s="17">
        <f t="shared" si="24"/>
        <v>37</v>
      </c>
      <c r="Z44" s="23">
        <v>0</v>
      </c>
      <c r="AA44" s="23">
        <v>0.74</v>
      </c>
      <c r="AB44" s="24"/>
      <c r="AC44" s="24">
        <v>0</v>
      </c>
      <c r="AD44" s="24">
        <v>0</v>
      </c>
      <c r="AE44" s="24">
        <v>0</v>
      </c>
      <c r="AF44" s="24">
        <v>0</v>
      </c>
      <c r="AG44" s="24">
        <v>0</v>
      </c>
      <c r="AH44" s="24">
        <v>0</v>
      </c>
      <c r="AI44" s="25" t="s">
        <v>74</v>
      </c>
      <c r="AJ44" s="25" t="s">
        <v>74</v>
      </c>
      <c r="AK44" s="24"/>
      <c r="AL44" s="24">
        <v>11</v>
      </c>
      <c r="AM44" s="24">
        <v>0</v>
      </c>
      <c r="AN44" s="24">
        <v>1</v>
      </c>
      <c r="AO44" s="24">
        <v>0</v>
      </c>
      <c r="AP44" s="24">
        <v>0</v>
      </c>
      <c r="AQ44" s="24">
        <v>0</v>
      </c>
      <c r="AR44" s="25">
        <v>8.3333333333333329E-2</v>
      </c>
      <c r="AS44" s="25">
        <v>0</v>
      </c>
      <c r="AT44" s="24"/>
      <c r="AU44" s="17">
        <f t="shared" si="11"/>
        <v>24</v>
      </c>
      <c r="AV44" s="17">
        <f t="shared" si="12"/>
        <v>0</v>
      </c>
      <c r="AW44" s="17">
        <f t="shared" si="13"/>
        <v>1</v>
      </c>
      <c r="AX44" s="17">
        <f t="shared" si="14"/>
        <v>0</v>
      </c>
      <c r="AY44" s="17">
        <f t="shared" si="15"/>
        <v>0</v>
      </c>
      <c r="AZ44" s="17">
        <f t="shared" si="16"/>
        <v>37</v>
      </c>
      <c r="BA44" s="23">
        <v>0.04</v>
      </c>
      <c r="BB44" s="23">
        <v>0.59677419354838712</v>
      </c>
      <c r="BC44" s="19"/>
      <c r="BD44" s="20">
        <f t="shared" si="17"/>
        <v>62</v>
      </c>
      <c r="BE44" s="20">
        <v>62</v>
      </c>
      <c r="BF44" s="53">
        <f t="shared" si="18"/>
        <v>0</v>
      </c>
      <c r="BG44" s="19"/>
      <c r="BH44" s="19"/>
      <c r="BI44" s="19"/>
      <c r="BJ44" s="19"/>
      <c r="BK44" s="19"/>
    </row>
    <row r="45" spans="1:63" s="8" customFormat="1" ht="15" customHeight="1" thickBot="1" x14ac:dyDescent="0.35">
      <c r="A45" s="2" t="s">
        <v>52</v>
      </c>
      <c r="B45" s="24">
        <v>10</v>
      </c>
      <c r="C45" s="24">
        <v>0</v>
      </c>
      <c r="D45" s="24">
        <v>0</v>
      </c>
      <c r="E45" s="24">
        <v>0</v>
      </c>
      <c r="F45" s="24">
        <v>0</v>
      </c>
      <c r="G45" s="24">
        <v>0</v>
      </c>
      <c r="H45" s="25">
        <v>0</v>
      </c>
      <c r="I45" s="25">
        <v>0</v>
      </c>
      <c r="J45" s="24"/>
      <c r="K45" s="24">
        <v>11</v>
      </c>
      <c r="L45" s="24">
        <v>0</v>
      </c>
      <c r="M45" s="24">
        <v>0</v>
      </c>
      <c r="N45" s="24">
        <v>0</v>
      </c>
      <c r="O45" s="24">
        <v>0</v>
      </c>
      <c r="P45" s="24">
        <v>0</v>
      </c>
      <c r="Q45" s="25">
        <v>0</v>
      </c>
      <c r="R45" s="25">
        <v>0</v>
      </c>
      <c r="S45" s="24"/>
      <c r="T45" s="17">
        <f t="shared" si="19"/>
        <v>21</v>
      </c>
      <c r="U45" s="17">
        <f t="shared" si="20"/>
        <v>0</v>
      </c>
      <c r="V45" s="17">
        <f t="shared" si="21"/>
        <v>0</v>
      </c>
      <c r="W45" s="17">
        <f t="shared" si="22"/>
        <v>0</v>
      </c>
      <c r="X45" s="17">
        <f t="shared" si="23"/>
        <v>0</v>
      </c>
      <c r="Y45" s="17">
        <f t="shared" si="24"/>
        <v>0</v>
      </c>
      <c r="Z45" s="23">
        <v>0</v>
      </c>
      <c r="AA45" s="23">
        <v>0</v>
      </c>
      <c r="AB45" s="24"/>
      <c r="AC45" s="24">
        <v>0</v>
      </c>
      <c r="AD45" s="24">
        <v>0</v>
      </c>
      <c r="AE45" s="24">
        <v>0</v>
      </c>
      <c r="AF45" s="24">
        <v>0</v>
      </c>
      <c r="AG45" s="24">
        <v>0</v>
      </c>
      <c r="AH45" s="24">
        <v>1</v>
      </c>
      <c r="AI45" s="25" t="s">
        <v>74</v>
      </c>
      <c r="AJ45" s="25">
        <v>1</v>
      </c>
      <c r="AK45" s="24"/>
      <c r="AL45" s="24">
        <v>0</v>
      </c>
      <c r="AM45" s="24">
        <v>0</v>
      </c>
      <c r="AN45" s="24">
        <v>0</v>
      </c>
      <c r="AO45" s="24">
        <v>0</v>
      </c>
      <c r="AP45" s="24">
        <v>0</v>
      </c>
      <c r="AQ45" s="24">
        <v>0</v>
      </c>
      <c r="AR45" s="25" t="s">
        <v>74</v>
      </c>
      <c r="AS45" s="25" t="s">
        <v>74</v>
      </c>
      <c r="AT45" s="24"/>
      <c r="AU45" s="17">
        <f t="shared" si="11"/>
        <v>21</v>
      </c>
      <c r="AV45" s="17">
        <f t="shared" si="12"/>
        <v>0</v>
      </c>
      <c r="AW45" s="17">
        <f t="shared" si="13"/>
        <v>0</v>
      </c>
      <c r="AX45" s="17">
        <f t="shared" si="14"/>
        <v>0</v>
      </c>
      <c r="AY45" s="17">
        <f t="shared" si="15"/>
        <v>0</v>
      </c>
      <c r="AZ45" s="17">
        <f t="shared" si="16"/>
        <v>1</v>
      </c>
      <c r="BA45" s="23">
        <v>0</v>
      </c>
      <c r="BB45" s="23">
        <v>4.5454545454545456E-2</v>
      </c>
      <c r="BC45" s="19"/>
      <c r="BD45" s="20">
        <f t="shared" si="17"/>
        <v>22</v>
      </c>
      <c r="BE45" s="20">
        <v>22</v>
      </c>
      <c r="BF45" s="53">
        <f t="shared" si="18"/>
        <v>0</v>
      </c>
      <c r="BG45" s="19"/>
      <c r="BH45" s="19"/>
      <c r="BI45" s="19"/>
      <c r="BJ45" s="19"/>
      <c r="BK45" s="19"/>
    </row>
    <row r="46" spans="1:63" s="8" customFormat="1" ht="15" customHeight="1" thickBot="1" x14ac:dyDescent="0.35">
      <c r="A46" s="2" t="s">
        <v>53</v>
      </c>
      <c r="B46" s="24">
        <v>6</v>
      </c>
      <c r="C46" s="24">
        <v>0</v>
      </c>
      <c r="D46" s="24">
        <v>0</v>
      </c>
      <c r="E46" s="24">
        <v>0</v>
      </c>
      <c r="F46" s="24">
        <v>0</v>
      </c>
      <c r="G46" s="24">
        <v>1</v>
      </c>
      <c r="H46" s="25">
        <v>0</v>
      </c>
      <c r="I46" s="25">
        <v>0.14285714285714285</v>
      </c>
      <c r="J46" s="24"/>
      <c r="K46" s="24">
        <v>9</v>
      </c>
      <c r="L46" s="24">
        <v>0</v>
      </c>
      <c r="M46" s="24">
        <v>0</v>
      </c>
      <c r="N46" s="24">
        <v>0</v>
      </c>
      <c r="O46" s="24">
        <v>0</v>
      </c>
      <c r="P46" s="24">
        <v>16</v>
      </c>
      <c r="Q46" s="25">
        <v>0</v>
      </c>
      <c r="R46" s="25">
        <v>0.64</v>
      </c>
      <c r="S46" s="24"/>
      <c r="T46" s="17">
        <f t="shared" si="19"/>
        <v>15</v>
      </c>
      <c r="U46" s="17">
        <f t="shared" si="20"/>
        <v>0</v>
      </c>
      <c r="V46" s="17">
        <f t="shared" si="21"/>
        <v>0</v>
      </c>
      <c r="W46" s="17">
        <f t="shared" si="22"/>
        <v>0</v>
      </c>
      <c r="X46" s="17">
        <f t="shared" si="23"/>
        <v>0</v>
      </c>
      <c r="Y46" s="17">
        <f t="shared" si="24"/>
        <v>17</v>
      </c>
      <c r="Z46" s="23">
        <v>0</v>
      </c>
      <c r="AA46" s="23">
        <v>0.53125</v>
      </c>
      <c r="AB46" s="24"/>
      <c r="AC46" s="24">
        <v>2</v>
      </c>
      <c r="AD46" s="24">
        <v>0</v>
      </c>
      <c r="AE46" s="24">
        <v>0</v>
      </c>
      <c r="AF46" s="24">
        <v>0</v>
      </c>
      <c r="AG46" s="24">
        <v>0</v>
      </c>
      <c r="AH46" s="24">
        <v>3</v>
      </c>
      <c r="AI46" s="25">
        <v>0</v>
      </c>
      <c r="AJ46" s="25">
        <v>0.6</v>
      </c>
      <c r="AK46" s="24"/>
      <c r="AL46" s="24">
        <v>16</v>
      </c>
      <c r="AM46" s="24">
        <v>0</v>
      </c>
      <c r="AN46" s="24">
        <v>0</v>
      </c>
      <c r="AO46" s="24">
        <v>0</v>
      </c>
      <c r="AP46" s="24">
        <v>0</v>
      </c>
      <c r="AQ46" s="24">
        <v>0</v>
      </c>
      <c r="AR46" s="25">
        <v>0</v>
      </c>
      <c r="AS46" s="25">
        <v>0</v>
      </c>
      <c r="AT46" s="24"/>
      <c r="AU46" s="17">
        <f t="shared" si="11"/>
        <v>33</v>
      </c>
      <c r="AV46" s="17">
        <f t="shared" si="12"/>
        <v>0</v>
      </c>
      <c r="AW46" s="17">
        <f t="shared" si="13"/>
        <v>0</v>
      </c>
      <c r="AX46" s="17">
        <f t="shared" si="14"/>
        <v>0</v>
      </c>
      <c r="AY46" s="17">
        <f t="shared" si="15"/>
        <v>0</v>
      </c>
      <c r="AZ46" s="17">
        <f t="shared" si="16"/>
        <v>20</v>
      </c>
      <c r="BA46" s="23">
        <v>0</v>
      </c>
      <c r="BB46" s="23">
        <v>0.37735849056603776</v>
      </c>
      <c r="BC46" s="19"/>
      <c r="BD46" s="20">
        <f t="shared" si="17"/>
        <v>53</v>
      </c>
      <c r="BE46" s="20">
        <v>53</v>
      </c>
      <c r="BF46" s="53">
        <f t="shared" si="18"/>
        <v>0</v>
      </c>
      <c r="BG46" s="19"/>
      <c r="BH46" s="19"/>
      <c r="BI46" s="19"/>
      <c r="BJ46" s="19"/>
      <c r="BK46" s="19"/>
    </row>
    <row r="47" spans="1:63" s="8" customFormat="1" ht="15" customHeight="1" thickBot="1" x14ac:dyDescent="0.35">
      <c r="A47" s="2" t="s">
        <v>54</v>
      </c>
      <c r="B47" s="24">
        <v>1</v>
      </c>
      <c r="C47" s="24">
        <v>0</v>
      </c>
      <c r="D47" s="24">
        <v>0</v>
      </c>
      <c r="E47" s="24">
        <v>0</v>
      </c>
      <c r="F47" s="24">
        <v>0</v>
      </c>
      <c r="G47" s="24">
        <v>16</v>
      </c>
      <c r="H47" s="25">
        <v>0</v>
      </c>
      <c r="I47" s="25">
        <v>0.94117647058823528</v>
      </c>
      <c r="J47" s="24"/>
      <c r="K47" s="24">
        <v>5</v>
      </c>
      <c r="L47" s="24">
        <v>0</v>
      </c>
      <c r="M47" s="24">
        <v>0</v>
      </c>
      <c r="N47" s="24">
        <v>0</v>
      </c>
      <c r="O47" s="24">
        <v>0</v>
      </c>
      <c r="P47" s="24">
        <v>35</v>
      </c>
      <c r="Q47" s="25">
        <v>0</v>
      </c>
      <c r="R47" s="25">
        <v>0.875</v>
      </c>
      <c r="S47" s="24"/>
      <c r="T47" s="17">
        <f t="shared" si="19"/>
        <v>6</v>
      </c>
      <c r="U47" s="17">
        <f t="shared" si="20"/>
        <v>0</v>
      </c>
      <c r="V47" s="17">
        <f t="shared" si="21"/>
        <v>0</v>
      </c>
      <c r="W47" s="17">
        <f t="shared" si="22"/>
        <v>0</v>
      </c>
      <c r="X47" s="17">
        <f t="shared" si="23"/>
        <v>0</v>
      </c>
      <c r="Y47" s="17">
        <f t="shared" si="24"/>
        <v>51</v>
      </c>
      <c r="Z47" s="23">
        <v>0</v>
      </c>
      <c r="AA47" s="23">
        <v>0.89473684210526316</v>
      </c>
      <c r="AB47" s="24"/>
      <c r="AC47" s="24">
        <v>0</v>
      </c>
      <c r="AD47" s="24">
        <v>0</v>
      </c>
      <c r="AE47" s="24">
        <v>0</v>
      </c>
      <c r="AF47" s="24">
        <v>0</v>
      </c>
      <c r="AG47" s="24">
        <v>0</v>
      </c>
      <c r="AH47" s="24">
        <v>0</v>
      </c>
      <c r="AI47" s="25" t="s">
        <v>74</v>
      </c>
      <c r="AJ47" s="25" t="s">
        <v>74</v>
      </c>
      <c r="AK47" s="24"/>
      <c r="AL47" s="24">
        <v>1</v>
      </c>
      <c r="AM47" s="24">
        <v>0</v>
      </c>
      <c r="AN47" s="24">
        <v>0</v>
      </c>
      <c r="AO47" s="24">
        <v>0</v>
      </c>
      <c r="AP47" s="24">
        <v>0</v>
      </c>
      <c r="AQ47" s="24">
        <v>15</v>
      </c>
      <c r="AR47" s="25">
        <v>0</v>
      </c>
      <c r="AS47" s="25">
        <v>0.9375</v>
      </c>
      <c r="AT47" s="24"/>
      <c r="AU47" s="17">
        <f t="shared" si="11"/>
        <v>7</v>
      </c>
      <c r="AV47" s="17">
        <f t="shared" si="12"/>
        <v>0</v>
      </c>
      <c r="AW47" s="17">
        <f t="shared" si="13"/>
        <v>0</v>
      </c>
      <c r="AX47" s="17">
        <f t="shared" si="14"/>
        <v>0</v>
      </c>
      <c r="AY47" s="17">
        <f t="shared" si="15"/>
        <v>0</v>
      </c>
      <c r="AZ47" s="17">
        <f t="shared" si="16"/>
        <v>66</v>
      </c>
      <c r="BA47" s="23">
        <v>0</v>
      </c>
      <c r="BB47" s="23">
        <v>0.90410958904109584</v>
      </c>
      <c r="BC47" s="19"/>
      <c r="BD47" s="20">
        <f t="shared" si="17"/>
        <v>73</v>
      </c>
      <c r="BE47" s="20">
        <v>73</v>
      </c>
      <c r="BF47" s="53">
        <f t="shared" si="18"/>
        <v>0</v>
      </c>
      <c r="BG47" s="19"/>
      <c r="BH47" s="19"/>
      <c r="BI47" s="19"/>
      <c r="BJ47" s="19"/>
      <c r="BK47" s="19"/>
    </row>
    <row r="48" spans="1:63" s="8" customFormat="1" ht="15" customHeight="1" thickBot="1" x14ac:dyDescent="0.35">
      <c r="A48" s="2" t="s">
        <v>55</v>
      </c>
      <c r="B48" s="24">
        <v>0</v>
      </c>
      <c r="C48" s="24">
        <v>0</v>
      </c>
      <c r="D48" s="24">
        <v>0</v>
      </c>
      <c r="E48" s="24">
        <v>0</v>
      </c>
      <c r="F48" s="24">
        <v>0</v>
      </c>
      <c r="G48" s="24">
        <v>0</v>
      </c>
      <c r="H48" s="25" t="s">
        <v>74</v>
      </c>
      <c r="I48" s="25" t="s">
        <v>74</v>
      </c>
      <c r="J48" s="24"/>
      <c r="K48" s="24">
        <v>0</v>
      </c>
      <c r="L48" s="24">
        <v>0</v>
      </c>
      <c r="M48" s="24">
        <v>0</v>
      </c>
      <c r="N48" s="24">
        <v>0</v>
      </c>
      <c r="O48" s="24">
        <v>0</v>
      </c>
      <c r="P48" s="24">
        <v>0</v>
      </c>
      <c r="Q48" s="25" t="s">
        <v>74</v>
      </c>
      <c r="R48" s="25" t="s">
        <v>74</v>
      </c>
      <c r="S48" s="24"/>
      <c r="T48" s="17">
        <f t="shared" si="19"/>
        <v>0</v>
      </c>
      <c r="U48" s="17">
        <f t="shared" si="20"/>
        <v>0</v>
      </c>
      <c r="V48" s="17">
        <f t="shared" si="21"/>
        <v>0</v>
      </c>
      <c r="W48" s="17">
        <f t="shared" si="22"/>
        <v>0</v>
      </c>
      <c r="X48" s="17">
        <f t="shared" si="23"/>
        <v>0</v>
      </c>
      <c r="Y48" s="17">
        <f t="shared" si="24"/>
        <v>0</v>
      </c>
      <c r="Z48" s="23" t="s">
        <v>74</v>
      </c>
      <c r="AA48" s="23" t="s">
        <v>74</v>
      </c>
      <c r="AB48" s="24"/>
      <c r="AC48" s="24">
        <v>0</v>
      </c>
      <c r="AD48" s="24">
        <v>0</v>
      </c>
      <c r="AE48" s="24">
        <v>0</v>
      </c>
      <c r="AF48" s="24">
        <v>0</v>
      </c>
      <c r="AG48" s="24">
        <v>0</v>
      </c>
      <c r="AH48" s="24">
        <v>0</v>
      </c>
      <c r="AI48" s="25" t="s">
        <v>74</v>
      </c>
      <c r="AJ48" s="25" t="s">
        <v>74</v>
      </c>
      <c r="AK48" s="24"/>
      <c r="AL48" s="24">
        <v>0</v>
      </c>
      <c r="AM48" s="24">
        <v>0</v>
      </c>
      <c r="AN48" s="24">
        <v>0</v>
      </c>
      <c r="AO48" s="24">
        <v>0</v>
      </c>
      <c r="AP48" s="24">
        <v>0</v>
      </c>
      <c r="AQ48" s="24">
        <v>0</v>
      </c>
      <c r="AR48" s="25" t="s">
        <v>74</v>
      </c>
      <c r="AS48" s="25" t="s">
        <v>74</v>
      </c>
      <c r="AT48" s="24"/>
      <c r="AU48" s="17">
        <f t="shared" si="11"/>
        <v>0</v>
      </c>
      <c r="AV48" s="17">
        <f t="shared" si="12"/>
        <v>0</v>
      </c>
      <c r="AW48" s="17">
        <f t="shared" si="13"/>
        <v>0</v>
      </c>
      <c r="AX48" s="17">
        <f t="shared" si="14"/>
        <v>0</v>
      </c>
      <c r="AY48" s="17">
        <f t="shared" si="15"/>
        <v>0</v>
      </c>
      <c r="AZ48" s="17">
        <f t="shared" si="16"/>
        <v>0</v>
      </c>
      <c r="BA48" s="23" t="s">
        <v>74</v>
      </c>
      <c r="BB48" s="23" t="s">
        <v>74</v>
      </c>
      <c r="BC48" s="19"/>
      <c r="BD48" s="20">
        <f t="shared" si="17"/>
        <v>0</v>
      </c>
      <c r="BE48" s="20">
        <v>0</v>
      </c>
      <c r="BF48" s="53">
        <f t="shared" si="18"/>
        <v>0</v>
      </c>
      <c r="BG48" s="19"/>
      <c r="BH48" s="19"/>
      <c r="BI48" s="19"/>
      <c r="BJ48" s="19"/>
      <c r="BK48" s="19"/>
    </row>
    <row r="49" spans="1:63" s="8" customFormat="1" ht="15" customHeight="1" thickBot="1" x14ac:dyDescent="0.35">
      <c r="A49" s="21" t="s">
        <v>56</v>
      </c>
      <c r="B49" s="22">
        <v>119</v>
      </c>
      <c r="C49" s="22">
        <v>16</v>
      </c>
      <c r="D49" s="22">
        <v>1</v>
      </c>
      <c r="E49" s="22">
        <v>7</v>
      </c>
      <c r="F49" s="22">
        <v>2</v>
      </c>
      <c r="G49" s="22">
        <v>14</v>
      </c>
      <c r="H49" s="22">
        <v>0.85470085470085466</v>
      </c>
      <c r="I49" s="22">
        <v>0.67205882352941182</v>
      </c>
      <c r="J49" s="22"/>
      <c r="K49" s="22">
        <v>15</v>
      </c>
      <c r="L49" s="22">
        <v>0</v>
      </c>
      <c r="M49" s="22">
        <v>1</v>
      </c>
      <c r="N49" s="22">
        <v>0</v>
      </c>
      <c r="O49" s="22">
        <v>0</v>
      </c>
      <c r="P49" s="22">
        <v>0</v>
      </c>
      <c r="Q49" s="22">
        <v>6.6666666666666666E-2</v>
      </c>
      <c r="R49" s="22">
        <v>0</v>
      </c>
      <c r="S49" s="22"/>
      <c r="T49" s="17">
        <f t="shared" si="19"/>
        <v>134</v>
      </c>
      <c r="U49" s="17">
        <f t="shared" si="20"/>
        <v>16</v>
      </c>
      <c r="V49" s="17">
        <f t="shared" si="21"/>
        <v>2</v>
      </c>
      <c r="W49" s="17">
        <f t="shared" si="22"/>
        <v>7</v>
      </c>
      <c r="X49" s="17">
        <f t="shared" si="23"/>
        <v>2</v>
      </c>
      <c r="Y49" s="17">
        <f t="shared" si="24"/>
        <v>14</v>
      </c>
      <c r="Z49" s="22">
        <v>0.82196275946275943</v>
      </c>
      <c r="AA49" s="22">
        <v>0.63611111111111118</v>
      </c>
      <c r="AB49" s="22"/>
      <c r="AC49" s="22">
        <v>21</v>
      </c>
      <c r="AD49" s="22">
        <v>1</v>
      </c>
      <c r="AE49" s="22">
        <v>0</v>
      </c>
      <c r="AF49" s="22">
        <v>2</v>
      </c>
      <c r="AG49" s="22">
        <v>0</v>
      </c>
      <c r="AH49" s="22">
        <v>1</v>
      </c>
      <c r="AI49" s="22">
        <v>0.25</v>
      </c>
      <c r="AJ49" s="22">
        <v>9.0909090909090912E-2</v>
      </c>
      <c r="AK49" s="22"/>
      <c r="AL49" s="22">
        <v>155</v>
      </c>
      <c r="AM49" s="22">
        <v>6</v>
      </c>
      <c r="AN49" s="22">
        <v>7</v>
      </c>
      <c r="AO49" s="22">
        <v>11</v>
      </c>
      <c r="AP49" s="22">
        <v>3</v>
      </c>
      <c r="AQ49" s="22">
        <v>15</v>
      </c>
      <c r="AR49" s="22">
        <v>0.72693516633009159</v>
      </c>
      <c r="AS49" s="22">
        <v>0.4212555664168568</v>
      </c>
      <c r="AT49" s="22"/>
      <c r="AU49" s="17">
        <f t="shared" si="11"/>
        <v>310</v>
      </c>
      <c r="AV49" s="17">
        <f t="shared" si="12"/>
        <v>23</v>
      </c>
      <c r="AW49" s="17">
        <f t="shared" si="13"/>
        <v>9</v>
      </c>
      <c r="AX49" s="17">
        <f t="shared" si="14"/>
        <v>20</v>
      </c>
      <c r="AY49" s="17">
        <f t="shared" si="15"/>
        <v>5</v>
      </c>
      <c r="AZ49" s="17">
        <f t="shared" si="16"/>
        <v>30</v>
      </c>
      <c r="BA49" s="22">
        <v>0.55058553536814414</v>
      </c>
      <c r="BB49" s="22">
        <v>0.4595938104448743</v>
      </c>
      <c r="BC49" s="19"/>
      <c r="BD49" s="20">
        <f t="shared" si="17"/>
        <v>397</v>
      </c>
      <c r="BE49" s="20">
        <v>397</v>
      </c>
      <c r="BF49" s="53">
        <f t="shared" si="18"/>
        <v>0</v>
      </c>
      <c r="BG49" s="19"/>
      <c r="BH49" s="19"/>
      <c r="BI49" s="19"/>
      <c r="BJ49" s="19"/>
      <c r="BK49" s="19"/>
    </row>
    <row r="50" spans="1:63" s="8" customFormat="1" ht="15" customHeight="1" thickBot="1" x14ac:dyDescent="0.35">
      <c r="A50" s="2" t="s">
        <v>57</v>
      </c>
      <c r="B50" s="24">
        <v>2</v>
      </c>
      <c r="C50" s="24">
        <v>3</v>
      </c>
      <c r="D50" s="24">
        <v>0</v>
      </c>
      <c r="E50" s="24">
        <v>1</v>
      </c>
      <c r="F50" s="24">
        <v>0</v>
      </c>
      <c r="G50" s="24">
        <v>11</v>
      </c>
      <c r="H50" s="25">
        <v>0.66666666666666663</v>
      </c>
      <c r="I50" s="25">
        <v>0.6470588235294118</v>
      </c>
      <c r="J50" s="24"/>
      <c r="K50" s="24">
        <v>1</v>
      </c>
      <c r="L50" s="24">
        <v>0</v>
      </c>
      <c r="M50" s="24">
        <v>0</v>
      </c>
      <c r="N50" s="24">
        <v>0</v>
      </c>
      <c r="O50" s="24">
        <v>0</v>
      </c>
      <c r="P50" s="24">
        <v>0</v>
      </c>
      <c r="Q50" s="25">
        <v>0</v>
      </c>
      <c r="R50" s="25">
        <v>0</v>
      </c>
      <c r="S50" s="24"/>
      <c r="T50" s="17">
        <f t="shared" si="19"/>
        <v>3</v>
      </c>
      <c r="U50" s="17">
        <f t="shared" si="20"/>
        <v>3</v>
      </c>
      <c r="V50" s="17">
        <f t="shared" si="21"/>
        <v>0</v>
      </c>
      <c r="W50" s="17">
        <f t="shared" si="22"/>
        <v>1</v>
      </c>
      <c r="X50" s="17">
        <f t="shared" si="23"/>
        <v>0</v>
      </c>
      <c r="Y50" s="17">
        <f t="shared" si="24"/>
        <v>11</v>
      </c>
      <c r="Z50" s="23">
        <v>0.5714285714285714</v>
      </c>
      <c r="AA50" s="23">
        <v>0.61111111111111116</v>
      </c>
      <c r="AB50" s="24"/>
      <c r="AC50" s="24">
        <v>0</v>
      </c>
      <c r="AD50" s="24">
        <v>0</v>
      </c>
      <c r="AE50" s="24">
        <v>0</v>
      </c>
      <c r="AF50" s="24">
        <v>0</v>
      </c>
      <c r="AG50" s="24">
        <v>0</v>
      </c>
      <c r="AH50" s="24">
        <v>0</v>
      </c>
      <c r="AI50" s="25" t="s">
        <v>74</v>
      </c>
      <c r="AJ50" s="25" t="s">
        <v>74</v>
      </c>
      <c r="AK50" s="24"/>
      <c r="AL50" s="24">
        <v>50</v>
      </c>
      <c r="AM50" s="24">
        <v>2</v>
      </c>
      <c r="AN50" s="24">
        <v>0</v>
      </c>
      <c r="AO50" s="24">
        <v>1</v>
      </c>
      <c r="AP50" s="24">
        <v>0</v>
      </c>
      <c r="AQ50" s="24">
        <v>9</v>
      </c>
      <c r="AR50" s="25">
        <v>5.6603773584905662E-2</v>
      </c>
      <c r="AS50" s="25">
        <v>0.14516129032258066</v>
      </c>
      <c r="AT50" s="24"/>
      <c r="AU50" s="17">
        <f t="shared" si="11"/>
        <v>53</v>
      </c>
      <c r="AV50" s="17">
        <f t="shared" si="12"/>
        <v>5</v>
      </c>
      <c r="AW50" s="17">
        <f t="shared" si="13"/>
        <v>0</v>
      </c>
      <c r="AX50" s="17">
        <f t="shared" si="14"/>
        <v>2</v>
      </c>
      <c r="AY50" s="17">
        <f t="shared" si="15"/>
        <v>0</v>
      </c>
      <c r="AZ50" s="17">
        <f t="shared" si="16"/>
        <v>20</v>
      </c>
      <c r="BA50" s="23">
        <v>0.11666666666666667</v>
      </c>
      <c r="BB50" s="23">
        <v>0.25</v>
      </c>
      <c r="BC50" s="19"/>
      <c r="BD50" s="20">
        <f t="shared" si="17"/>
        <v>80</v>
      </c>
      <c r="BE50" s="20">
        <v>80</v>
      </c>
      <c r="BF50" s="53">
        <f t="shared" si="18"/>
        <v>0</v>
      </c>
      <c r="BG50" s="19"/>
      <c r="BH50" s="19"/>
      <c r="BI50" s="19"/>
      <c r="BJ50" s="19"/>
      <c r="BK50" s="19"/>
    </row>
    <row r="51" spans="1:63" s="8" customFormat="1" ht="15" customHeight="1" thickBot="1" x14ac:dyDescent="0.35">
      <c r="A51" s="2" t="s">
        <v>58</v>
      </c>
      <c r="B51" s="24">
        <v>17</v>
      </c>
      <c r="C51" s="24">
        <v>0</v>
      </c>
      <c r="D51" s="24">
        <v>0</v>
      </c>
      <c r="E51" s="24">
        <v>0</v>
      </c>
      <c r="F51" s="24">
        <v>0</v>
      </c>
      <c r="G51" s="24">
        <v>0</v>
      </c>
      <c r="H51" s="25">
        <v>0</v>
      </c>
      <c r="I51" s="25">
        <v>0</v>
      </c>
      <c r="J51" s="24"/>
      <c r="K51" s="24">
        <v>0</v>
      </c>
      <c r="L51" s="24">
        <v>0</v>
      </c>
      <c r="M51" s="24">
        <v>0</v>
      </c>
      <c r="N51" s="24">
        <v>0</v>
      </c>
      <c r="O51" s="24">
        <v>0</v>
      </c>
      <c r="P51" s="24">
        <v>0</v>
      </c>
      <c r="Q51" s="25" t="s">
        <v>74</v>
      </c>
      <c r="R51" s="25" t="s">
        <v>74</v>
      </c>
      <c r="S51" s="24"/>
      <c r="T51" s="17">
        <f t="shared" si="19"/>
        <v>17</v>
      </c>
      <c r="U51" s="17">
        <f t="shared" si="20"/>
        <v>0</v>
      </c>
      <c r="V51" s="17">
        <f t="shared" si="21"/>
        <v>0</v>
      </c>
      <c r="W51" s="17">
        <f t="shared" si="22"/>
        <v>0</v>
      </c>
      <c r="X51" s="17">
        <f t="shared" si="23"/>
        <v>0</v>
      </c>
      <c r="Y51" s="17">
        <f t="shared" si="24"/>
        <v>0</v>
      </c>
      <c r="Z51" s="23">
        <v>0</v>
      </c>
      <c r="AA51" s="23">
        <v>0</v>
      </c>
      <c r="AB51" s="24"/>
      <c r="AC51" s="24">
        <v>0</v>
      </c>
      <c r="AD51" s="24">
        <v>0</v>
      </c>
      <c r="AE51" s="24">
        <v>0</v>
      </c>
      <c r="AF51" s="24">
        <v>0</v>
      </c>
      <c r="AG51" s="24">
        <v>0</v>
      </c>
      <c r="AH51" s="24">
        <v>0</v>
      </c>
      <c r="AI51" s="25" t="s">
        <v>74</v>
      </c>
      <c r="AJ51" s="25" t="s">
        <v>74</v>
      </c>
      <c r="AK51" s="24"/>
      <c r="AL51" s="24">
        <v>21</v>
      </c>
      <c r="AM51" s="24">
        <v>0</v>
      </c>
      <c r="AN51" s="24">
        <v>0</v>
      </c>
      <c r="AO51" s="24">
        <v>1</v>
      </c>
      <c r="AP51" s="24">
        <v>0</v>
      </c>
      <c r="AQ51" s="24">
        <v>5</v>
      </c>
      <c r="AR51" s="25">
        <v>4.5454545454545456E-2</v>
      </c>
      <c r="AS51" s="25">
        <v>0.18518518518518517</v>
      </c>
      <c r="AT51" s="24"/>
      <c r="AU51" s="17">
        <f t="shared" si="11"/>
        <v>38</v>
      </c>
      <c r="AV51" s="17">
        <f t="shared" si="12"/>
        <v>0</v>
      </c>
      <c r="AW51" s="17">
        <f t="shared" si="13"/>
        <v>0</v>
      </c>
      <c r="AX51" s="17">
        <f t="shared" si="14"/>
        <v>1</v>
      </c>
      <c r="AY51" s="17">
        <f t="shared" si="15"/>
        <v>0</v>
      </c>
      <c r="AZ51" s="17">
        <f t="shared" si="16"/>
        <v>5</v>
      </c>
      <c r="BA51" s="23">
        <v>2.564102564102564E-2</v>
      </c>
      <c r="BB51" s="23">
        <v>0.11363636363636363</v>
      </c>
      <c r="BC51" s="19"/>
      <c r="BD51" s="20">
        <f t="shared" si="17"/>
        <v>44</v>
      </c>
      <c r="BE51" s="20">
        <v>44</v>
      </c>
      <c r="BF51" s="53">
        <f t="shared" si="18"/>
        <v>0</v>
      </c>
      <c r="BG51" s="19"/>
      <c r="BH51" s="19"/>
      <c r="BI51" s="19"/>
      <c r="BJ51" s="19"/>
      <c r="BK51" s="19"/>
    </row>
    <row r="52" spans="1:63" s="8" customFormat="1" ht="15" customHeight="1" thickBot="1" x14ac:dyDescent="0.35">
      <c r="A52" s="2" t="s">
        <v>59</v>
      </c>
      <c r="B52" s="24">
        <v>0</v>
      </c>
      <c r="C52" s="24">
        <v>0</v>
      </c>
      <c r="D52" s="24">
        <v>0</v>
      </c>
      <c r="E52" s="24">
        <v>0</v>
      </c>
      <c r="F52" s="24">
        <v>0</v>
      </c>
      <c r="G52" s="24">
        <v>0</v>
      </c>
      <c r="H52" s="25" t="s">
        <v>74</v>
      </c>
      <c r="I52" s="25" t="s">
        <v>74</v>
      </c>
      <c r="J52" s="24"/>
      <c r="K52" s="24">
        <v>0</v>
      </c>
      <c r="L52" s="24">
        <v>0</v>
      </c>
      <c r="M52" s="24">
        <v>0</v>
      </c>
      <c r="N52" s="24">
        <v>0</v>
      </c>
      <c r="O52" s="24">
        <v>0</v>
      </c>
      <c r="P52" s="24">
        <v>0</v>
      </c>
      <c r="Q52" s="25" t="s">
        <v>74</v>
      </c>
      <c r="R52" s="25" t="s">
        <v>74</v>
      </c>
      <c r="S52" s="24"/>
      <c r="T52" s="17">
        <f t="shared" si="19"/>
        <v>0</v>
      </c>
      <c r="U52" s="17">
        <f t="shared" si="20"/>
        <v>0</v>
      </c>
      <c r="V52" s="17">
        <f t="shared" si="21"/>
        <v>0</v>
      </c>
      <c r="W52" s="17">
        <f t="shared" si="22"/>
        <v>0</v>
      </c>
      <c r="X52" s="17">
        <f t="shared" si="23"/>
        <v>0</v>
      </c>
      <c r="Y52" s="17">
        <f t="shared" si="24"/>
        <v>0</v>
      </c>
      <c r="Z52" s="23" t="s">
        <v>74</v>
      </c>
      <c r="AA52" s="23" t="s">
        <v>74</v>
      </c>
      <c r="AB52" s="24"/>
      <c r="AC52" s="24">
        <v>0</v>
      </c>
      <c r="AD52" s="24">
        <v>0</v>
      </c>
      <c r="AE52" s="24">
        <v>0</v>
      </c>
      <c r="AF52" s="24">
        <v>0</v>
      </c>
      <c r="AG52" s="24">
        <v>0</v>
      </c>
      <c r="AH52" s="24">
        <v>0</v>
      </c>
      <c r="AI52" s="25" t="s">
        <v>74</v>
      </c>
      <c r="AJ52" s="25" t="s">
        <v>74</v>
      </c>
      <c r="AK52" s="24"/>
      <c r="AL52" s="24">
        <v>0</v>
      </c>
      <c r="AM52" s="24">
        <v>0</v>
      </c>
      <c r="AN52" s="24">
        <v>0</v>
      </c>
      <c r="AO52" s="24">
        <v>0</v>
      </c>
      <c r="AP52" s="24">
        <v>0</v>
      </c>
      <c r="AQ52" s="24">
        <v>0</v>
      </c>
      <c r="AR52" s="25" t="s">
        <v>74</v>
      </c>
      <c r="AS52" s="25" t="s">
        <v>74</v>
      </c>
      <c r="AT52" s="24"/>
      <c r="AU52" s="17">
        <f t="shared" si="11"/>
        <v>0</v>
      </c>
      <c r="AV52" s="17">
        <f t="shared" si="12"/>
        <v>0</v>
      </c>
      <c r="AW52" s="17">
        <f t="shared" si="13"/>
        <v>0</v>
      </c>
      <c r="AX52" s="17">
        <f t="shared" si="14"/>
        <v>0</v>
      </c>
      <c r="AY52" s="17">
        <f t="shared" si="15"/>
        <v>0</v>
      </c>
      <c r="AZ52" s="17">
        <f t="shared" si="16"/>
        <v>0</v>
      </c>
      <c r="BA52" s="23" t="s">
        <v>74</v>
      </c>
      <c r="BB52" s="23" t="s">
        <v>74</v>
      </c>
      <c r="BC52" s="19"/>
      <c r="BD52" s="20">
        <f t="shared" si="17"/>
        <v>0</v>
      </c>
      <c r="BE52" s="20">
        <v>0</v>
      </c>
      <c r="BF52" s="53">
        <f t="shared" si="18"/>
        <v>0</v>
      </c>
      <c r="BG52" s="19"/>
      <c r="BH52" s="19"/>
      <c r="BI52" s="19"/>
      <c r="BJ52" s="19"/>
      <c r="BK52" s="19"/>
    </row>
    <row r="53" spans="1:63" s="8" customFormat="1" ht="15" customHeight="1" thickBot="1" x14ac:dyDescent="0.35">
      <c r="A53" s="2" t="s">
        <v>60</v>
      </c>
      <c r="B53" s="24">
        <v>1</v>
      </c>
      <c r="C53" s="24">
        <v>0</v>
      </c>
      <c r="D53" s="24">
        <v>0</v>
      </c>
      <c r="E53" s="24">
        <v>0</v>
      </c>
      <c r="F53" s="24">
        <v>0</v>
      </c>
      <c r="G53" s="24">
        <v>0</v>
      </c>
      <c r="H53" s="25">
        <v>0</v>
      </c>
      <c r="I53" s="25">
        <v>0</v>
      </c>
      <c r="J53" s="24"/>
      <c r="K53" s="24">
        <v>0</v>
      </c>
      <c r="L53" s="24">
        <v>0</v>
      </c>
      <c r="M53" s="24">
        <v>0</v>
      </c>
      <c r="N53" s="24">
        <v>0</v>
      </c>
      <c r="O53" s="24">
        <v>0</v>
      </c>
      <c r="P53" s="24">
        <v>0</v>
      </c>
      <c r="Q53" s="25" t="s">
        <v>74</v>
      </c>
      <c r="R53" s="25" t="s">
        <v>74</v>
      </c>
      <c r="S53" s="24"/>
      <c r="T53" s="17">
        <f t="shared" si="19"/>
        <v>1</v>
      </c>
      <c r="U53" s="17">
        <f t="shared" si="20"/>
        <v>0</v>
      </c>
      <c r="V53" s="17">
        <f t="shared" si="21"/>
        <v>0</v>
      </c>
      <c r="W53" s="17">
        <f t="shared" si="22"/>
        <v>0</v>
      </c>
      <c r="X53" s="17">
        <f t="shared" si="23"/>
        <v>0</v>
      </c>
      <c r="Y53" s="17">
        <f t="shared" si="24"/>
        <v>0</v>
      </c>
      <c r="Z53" s="23">
        <v>0</v>
      </c>
      <c r="AA53" s="23">
        <v>0</v>
      </c>
      <c r="AB53" s="24"/>
      <c r="AC53" s="24">
        <v>2</v>
      </c>
      <c r="AD53" s="24">
        <v>0</v>
      </c>
      <c r="AE53" s="24">
        <v>0</v>
      </c>
      <c r="AF53" s="24">
        <v>0</v>
      </c>
      <c r="AG53" s="24">
        <v>0</v>
      </c>
      <c r="AH53" s="24">
        <v>0</v>
      </c>
      <c r="AI53" s="25">
        <v>0</v>
      </c>
      <c r="AJ53" s="25">
        <v>0</v>
      </c>
      <c r="AK53" s="24"/>
      <c r="AL53" s="24">
        <v>12</v>
      </c>
      <c r="AM53" s="24">
        <v>0</v>
      </c>
      <c r="AN53" s="24">
        <v>0</v>
      </c>
      <c r="AO53" s="24">
        <v>0</v>
      </c>
      <c r="AP53" s="24">
        <v>0</v>
      </c>
      <c r="AQ53" s="24">
        <v>0</v>
      </c>
      <c r="AR53" s="25">
        <v>0</v>
      </c>
      <c r="AS53" s="25">
        <v>0</v>
      </c>
      <c r="AT53" s="24"/>
      <c r="AU53" s="17">
        <f t="shared" si="11"/>
        <v>15</v>
      </c>
      <c r="AV53" s="17">
        <f t="shared" si="12"/>
        <v>0</v>
      </c>
      <c r="AW53" s="17">
        <f t="shared" si="13"/>
        <v>0</v>
      </c>
      <c r="AX53" s="17">
        <f t="shared" si="14"/>
        <v>0</v>
      </c>
      <c r="AY53" s="17">
        <f t="shared" si="15"/>
        <v>0</v>
      </c>
      <c r="AZ53" s="17">
        <f t="shared" si="16"/>
        <v>0</v>
      </c>
      <c r="BA53" s="23">
        <v>0</v>
      </c>
      <c r="BB53" s="23">
        <v>0</v>
      </c>
      <c r="BC53" s="19"/>
      <c r="BD53" s="20">
        <f t="shared" si="17"/>
        <v>15</v>
      </c>
      <c r="BE53" s="20">
        <v>15</v>
      </c>
      <c r="BF53" s="53">
        <f t="shared" si="18"/>
        <v>0</v>
      </c>
      <c r="BG53" s="19"/>
      <c r="BH53" s="19"/>
      <c r="BI53" s="19"/>
      <c r="BJ53" s="19"/>
      <c r="BK53" s="19"/>
    </row>
    <row r="54" spans="1:63" s="8" customFormat="1" ht="15" customHeight="1" thickBot="1" x14ac:dyDescent="0.35">
      <c r="A54" s="2" t="s">
        <v>61</v>
      </c>
      <c r="B54" s="24">
        <v>3</v>
      </c>
      <c r="C54" s="24">
        <v>0</v>
      </c>
      <c r="D54" s="24">
        <v>0</v>
      </c>
      <c r="E54" s="24">
        <v>0</v>
      </c>
      <c r="F54" s="24">
        <v>0</v>
      </c>
      <c r="G54" s="24">
        <v>0</v>
      </c>
      <c r="H54" s="25">
        <v>0</v>
      </c>
      <c r="I54" s="25">
        <v>0</v>
      </c>
      <c r="J54" s="24"/>
      <c r="K54" s="24">
        <v>0</v>
      </c>
      <c r="L54" s="24">
        <v>0</v>
      </c>
      <c r="M54" s="24">
        <v>0</v>
      </c>
      <c r="N54" s="24">
        <v>0</v>
      </c>
      <c r="O54" s="24">
        <v>0</v>
      </c>
      <c r="P54" s="24">
        <v>0</v>
      </c>
      <c r="Q54" s="25" t="s">
        <v>74</v>
      </c>
      <c r="R54" s="25" t="s">
        <v>74</v>
      </c>
      <c r="S54" s="24"/>
      <c r="T54" s="17">
        <f t="shared" si="19"/>
        <v>3</v>
      </c>
      <c r="U54" s="17">
        <f t="shared" si="20"/>
        <v>0</v>
      </c>
      <c r="V54" s="17">
        <f t="shared" si="21"/>
        <v>0</v>
      </c>
      <c r="W54" s="17">
        <f t="shared" si="22"/>
        <v>0</v>
      </c>
      <c r="X54" s="17">
        <f t="shared" si="23"/>
        <v>0</v>
      </c>
      <c r="Y54" s="17">
        <f t="shared" si="24"/>
        <v>0</v>
      </c>
      <c r="Z54" s="23">
        <v>0</v>
      </c>
      <c r="AA54" s="23">
        <v>0</v>
      </c>
      <c r="AB54" s="24"/>
      <c r="AC54" s="24">
        <v>10</v>
      </c>
      <c r="AD54" s="24">
        <v>0</v>
      </c>
      <c r="AE54" s="24">
        <v>0</v>
      </c>
      <c r="AF54" s="24">
        <v>0</v>
      </c>
      <c r="AG54" s="24">
        <v>0</v>
      </c>
      <c r="AH54" s="24">
        <v>1</v>
      </c>
      <c r="AI54" s="25">
        <v>0</v>
      </c>
      <c r="AJ54" s="25">
        <v>9.0909090909090912E-2</v>
      </c>
      <c r="AK54" s="24"/>
      <c r="AL54" s="24">
        <v>8</v>
      </c>
      <c r="AM54" s="24">
        <v>1</v>
      </c>
      <c r="AN54" s="24">
        <v>1</v>
      </c>
      <c r="AO54" s="24">
        <v>0</v>
      </c>
      <c r="AP54" s="24">
        <v>0</v>
      </c>
      <c r="AQ54" s="24">
        <v>1</v>
      </c>
      <c r="AR54" s="25">
        <v>0.2</v>
      </c>
      <c r="AS54" s="25">
        <v>9.0909090909090912E-2</v>
      </c>
      <c r="AT54" s="24"/>
      <c r="AU54" s="17">
        <f t="shared" si="11"/>
        <v>21</v>
      </c>
      <c r="AV54" s="17">
        <f t="shared" si="12"/>
        <v>1</v>
      </c>
      <c r="AW54" s="17">
        <f t="shared" si="13"/>
        <v>1</v>
      </c>
      <c r="AX54" s="17">
        <f t="shared" si="14"/>
        <v>0</v>
      </c>
      <c r="AY54" s="17">
        <f t="shared" si="15"/>
        <v>0</v>
      </c>
      <c r="AZ54" s="17">
        <f t="shared" si="16"/>
        <v>2</v>
      </c>
      <c r="BA54" s="23">
        <v>8.6956521739130432E-2</v>
      </c>
      <c r="BB54" s="23">
        <v>0.08</v>
      </c>
      <c r="BC54" s="19"/>
      <c r="BD54" s="20">
        <f t="shared" si="17"/>
        <v>25</v>
      </c>
      <c r="BE54" s="20">
        <v>25</v>
      </c>
      <c r="BF54" s="53">
        <f t="shared" si="18"/>
        <v>0</v>
      </c>
      <c r="BG54" s="19"/>
      <c r="BH54" s="19"/>
      <c r="BI54" s="19"/>
      <c r="BJ54" s="19"/>
      <c r="BK54" s="19"/>
    </row>
    <row r="55" spans="1:63" s="8" customFormat="1" ht="15" customHeight="1" thickBot="1" x14ac:dyDescent="0.35">
      <c r="A55" s="2" t="s">
        <v>62</v>
      </c>
      <c r="B55" s="24">
        <v>1</v>
      </c>
      <c r="C55" s="24">
        <v>0</v>
      </c>
      <c r="D55" s="24">
        <v>0</v>
      </c>
      <c r="E55" s="24">
        <v>0</v>
      </c>
      <c r="F55" s="24">
        <v>0</v>
      </c>
      <c r="G55" s="24">
        <v>0</v>
      </c>
      <c r="H55" s="25">
        <v>0</v>
      </c>
      <c r="I55" s="25">
        <v>0</v>
      </c>
      <c r="J55" s="24"/>
      <c r="K55" s="24">
        <v>14</v>
      </c>
      <c r="L55" s="24">
        <v>0</v>
      </c>
      <c r="M55" s="24">
        <v>1</v>
      </c>
      <c r="N55" s="24">
        <v>0</v>
      </c>
      <c r="O55" s="24">
        <v>0</v>
      </c>
      <c r="P55" s="24">
        <v>0</v>
      </c>
      <c r="Q55" s="25">
        <v>6.6666666666666666E-2</v>
      </c>
      <c r="R55" s="25">
        <v>0</v>
      </c>
      <c r="S55" s="24"/>
      <c r="T55" s="17">
        <f t="shared" si="19"/>
        <v>15</v>
      </c>
      <c r="U55" s="17">
        <f t="shared" si="20"/>
        <v>0</v>
      </c>
      <c r="V55" s="17">
        <f t="shared" si="21"/>
        <v>1</v>
      </c>
      <c r="W55" s="17">
        <f t="shared" si="22"/>
        <v>0</v>
      </c>
      <c r="X55" s="17">
        <f t="shared" si="23"/>
        <v>0</v>
      </c>
      <c r="Y55" s="17">
        <f t="shared" si="24"/>
        <v>0</v>
      </c>
      <c r="Z55" s="23">
        <v>6.25E-2</v>
      </c>
      <c r="AA55" s="23">
        <v>0</v>
      </c>
      <c r="AB55" s="24"/>
      <c r="AC55" s="24">
        <v>0</v>
      </c>
      <c r="AD55" s="24">
        <v>0</v>
      </c>
      <c r="AE55" s="24">
        <v>0</v>
      </c>
      <c r="AF55" s="24">
        <v>0</v>
      </c>
      <c r="AG55" s="24">
        <v>0</v>
      </c>
      <c r="AH55" s="24">
        <v>0</v>
      </c>
      <c r="AI55" s="25" t="s">
        <v>74</v>
      </c>
      <c r="AJ55" s="25" t="s">
        <v>74</v>
      </c>
      <c r="AK55" s="24"/>
      <c r="AL55" s="24">
        <v>26</v>
      </c>
      <c r="AM55" s="24">
        <v>0</v>
      </c>
      <c r="AN55" s="24">
        <v>2</v>
      </c>
      <c r="AO55" s="24">
        <v>0</v>
      </c>
      <c r="AP55" s="24">
        <v>1</v>
      </c>
      <c r="AQ55" s="24">
        <v>0</v>
      </c>
      <c r="AR55" s="25">
        <v>0.10344827586206896</v>
      </c>
      <c r="AS55" s="25">
        <v>0</v>
      </c>
      <c r="AT55" s="24"/>
      <c r="AU55" s="17">
        <f t="shared" si="11"/>
        <v>41</v>
      </c>
      <c r="AV55" s="17">
        <f t="shared" si="12"/>
        <v>0</v>
      </c>
      <c r="AW55" s="17">
        <f t="shared" si="13"/>
        <v>3</v>
      </c>
      <c r="AX55" s="17">
        <f t="shared" si="14"/>
        <v>0</v>
      </c>
      <c r="AY55" s="17">
        <f t="shared" si="15"/>
        <v>1</v>
      </c>
      <c r="AZ55" s="17">
        <f t="shared" si="16"/>
        <v>0</v>
      </c>
      <c r="BA55" s="23">
        <v>8.8888888888888892E-2</v>
      </c>
      <c r="BB55" s="23">
        <v>0</v>
      </c>
      <c r="BC55" s="19"/>
      <c r="BD55" s="20">
        <f t="shared" si="17"/>
        <v>45</v>
      </c>
      <c r="BE55" s="20">
        <v>45</v>
      </c>
      <c r="BF55" s="53">
        <f t="shared" si="18"/>
        <v>0</v>
      </c>
      <c r="BG55" s="19"/>
      <c r="BH55" s="19"/>
      <c r="BI55" s="19"/>
      <c r="BJ55" s="19"/>
      <c r="BK55" s="19"/>
    </row>
    <row r="56" spans="1:63" s="8" customFormat="1" ht="15" customHeight="1" thickBot="1" x14ac:dyDescent="0.35">
      <c r="A56" s="27" t="s">
        <v>63</v>
      </c>
      <c r="B56" s="28">
        <v>95</v>
      </c>
      <c r="C56" s="28">
        <v>13</v>
      </c>
      <c r="D56" s="28">
        <v>1</v>
      </c>
      <c r="E56" s="28">
        <v>6</v>
      </c>
      <c r="F56" s="28">
        <v>2</v>
      </c>
      <c r="G56" s="28">
        <v>3</v>
      </c>
      <c r="H56" s="29">
        <v>0.18803418803418803</v>
      </c>
      <c r="I56" s="29">
        <v>2.5000000000000001E-2</v>
      </c>
      <c r="J56" s="28"/>
      <c r="K56" s="28">
        <v>0</v>
      </c>
      <c r="L56" s="28">
        <v>0</v>
      </c>
      <c r="M56" s="28">
        <v>0</v>
      </c>
      <c r="N56" s="28">
        <v>0</v>
      </c>
      <c r="O56" s="28">
        <v>0</v>
      </c>
      <c r="P56" s="28">
        <v>0</v>
      </c>
      <c r="Q56" s="29" t="s">
        <v>74</v>
      </c>
      <c r="R56" s="29" t="s">
        <v>74</v>
      </c>
      <c r="S56" s="28"/>
      <c r="T56" s="17">
        <f t="shared" si="19"/>
        <v>95</v>
      </c>
      <c r="U56" s="17">
        <f t="shared" si="20"/>
        <v>13</v>
      </c>
      <c r="V56" s="17">
        <f t="shared" si="21"/>
        <v>1</v>
      </c>
      <c r="W56" s="17">
        <f t="shared" si="22"/>
        <v>6</v>
      </c>
      <c r="X56" s="17">
        <f t="shared" si="23"/>
        <v>2</v>
      </c>
      <c r="Y56" s="17">
        <f t="shared" si="24"/>
        <v>3</v>
      </c>
      <c r="Z56" s="31">
        <v>0.18803418803418803</v>
      </c>
      <c r="AA56" s="31">
        <v>2.5000000000000001E-2</v>
      </c>
      <c r="AB56" s="28"/>
      <c r="AC56" s="28">
        <v>9</v>
      </c>
      <c r="AD56" s="28">
        <v>1</v>
      </c>
      <c r="AE56" s="28">
        <v>0</v>
      </c>
      <c r="AF56" s="28">
        <v>2</v>
      </c>
      <c r="AG56" s="28">
        <v>0</v>
      </c>
      <c r="AH56" s="28">
        <v>0</v>
      </c>
      <c r="AI56" s="29">
        <v>0.25</v>
      </c>
      <c r="AJ56" s="29">
        <v>0</v>
      </c>
      <c r="AK56" s="28"/>
      <c r="AL56" s="28">
        <v>38</v>
      </c>
      <c r="AM56" s="28">
        <v>3</v>
      </c>
      <c r="AN56" s="28">
        <v>4</v>
      </c>
      <c r="AO56" s="28">
        <v>9</v>
      </c>
      <c r="AP56" s="28">
        <v>2</v>
      </c>
      <c r="AQ56" s="28">
        <v>0</v>
      </c>
      <c r="AR56" s="29">
        <v>0.32142857142857145</v>
      </c>
      <c r="AS56" s="29">
        <v>0</v>
      </c>
      <c r="AT56" s="28"/>
      <c r="AU56" s="17">
        <f t="shared" si="11"/>
        <v>142</v>
      </c>
      <c r="AV56" s="17">
        <f t="shared" si="12"/>
        <v>17</v>
      </c>
      <c r="AW56" s="17">
        <f t="shared" si="13"/>
        <v>5</v>
      </c>
      <c r="AX56" s="17">
        <f t="shared" si="14"/>
        <v>17</v>
      </c>
      <c r="AY56" s="17">
        <f t="shared" si="15"/>
        <v>4</v>
      </c>
      <c r="AZ56" s="17">
        <f t="shared" si="16"/>
        <v>3</v>
      </c>
      <c r="BA56" s="31">
        <v>0.23243243243243245</v>
      </c>
      <c r="BB56" s="31">
        <v>1.5957446808510637E-2</v>
      </c>
      <c r="BC56" s="19"/>
      <c r="BD56" s="20">
        <f t="shared" si="17"/>
        <v>188</v>
      </c>
      <c r="BE56" s="20">
        <v>188</v>
      </c>
      <c r="BF56" s="53">
        <f t="shared" si="18"/>
        <v>0</v>
      </c>
      <c r="BG56" s="19"/>
      <c r="BH56" s="19"/>
      <c r="BI56" s="19"/>
      <c r="BJ56" s="19"/>
      <c r="BK56" s="19"/>
    </row>
    <row r="57" spans="1:63" s="8" customFormat="1" ht="1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19"/>
      <c r="BD57" s="19"/>
      <c r="BE57" s="19"/>
      <c r="BF57" s="19"/>
      <c r="BG57" s="19"/>
      <c r="BH57" s="19"/>
      <c r="BI57" s="19"/>
      <c r="BJ57" s="19"/>
      <c r="BK57" s="19"/>
    </row>
    <row r="58" spans="1:63" x14ac:dyDescent="0.3">
      <c r="A58" s="146" t="s">
        <v>64</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row>
    <row r="59" spans="1:63" x14ac:dyDescent="0.3">
      <c r="A59" s="32" t="s">
        <v>76</v>
      </c>
      <c r="B59" s="32"/>
      <c r="C59" s="32"/>
      <c r="D59" s="32"/>
      <c r="E59" s="32"/>
      <c r="F59" s="32"/>
      <c r="G59" s="32"/>
      <c r="H59" s="32"/>
      <c r="I59" s="32"/>
      <c r="J59" s="32"/>
      <c r="K59" s="32"/>
      <c r="L59" s="32"/>
      <c r="M59" s="32"/>
      <c r="N59" s="32"/>
      <c r="O59" s="32"/>
      <c r="P59" s="32"/>
      <c r="Q59" s="32"/>
      <c r="R59" s="32"/>
      <c r="S59" s="32"/>
      <c r="T59" s="32"/>
      <c r="U59" s="32"/>
      <c r="V59" s="32"/>
      <c r="W59" s="32"/>
      <c r="X59" s="32"/>
    </row>
    <row r="60" spans="1:63" x14ac:dyDescent="0.3">
      <c r="A60" s="147"/>
      <c r="B60" s="147"/>
      <c r="C60" s="147"/>
      <c r="D60" s="147"/>
      <c r="E60" s="147"/>
      <c r="F60" s="147"/>
      <c r="G60" s="147"/>
      <c r="H60" s="147"/>
      <c r="I60" s="147"/>
      <c r="J60" s="147"/>
      <c r="K60" s="147"/>
      <c r="L60" s="147"/>
      <c r="M60" s="147"/>
      <c r="N60" s="147"/>
      <c r="O60" s="147"/>
      <c r="P60" s="147"/>
      <c r="Q60" s="147"/>
      <c r="R60" s="147"/>
      <c r="S60" s="147"/>
      <c r="T60" s="147"/>
      <c r="U60" s="147"/>
      <c r="V60" s="147"/>
      <c r="W60" s="147"/>
      <c r="X60" s="147"/>
    </row>
    <row r="61" spans="1:63" x14ac:dyDescent="0.3">
      <c r="A61" s="33" t="s">
        <v>65</v>
      </c>
    </row>
    <row r="62" spans="1:63" x14ac:dyDescent="0.3">
      <c r="A62" s="148" t="s">
        <v>66</v>
      </c>
      <c r="B62" s="148"/>
      <c r="C62" s="148"/>
      <c r="D62" s="148"/>
      <c r="E62" s="148"/>
      <c r="F62" s="148"/>
      <c r="G62" s="148"/>
      <c r="H62" s="148"/>
      <c r="I62" s="148"/>
      <c r="J62" s="148"/>
      <c r="K62" s="148"/>
      <c r="L62" s="148"/>
      <c r="M62" s="148"/>
      <c r="N62" s="148"/>
      <c r="O62" s="148"/>
      <c r="P62" s="148"/>
      <c r="Q62" s="148"/>
      <c r="R62" s="148"/>
      <c r="S62" s="148"/>
      <c r="T62" s="148"/>
      <c r="U62" s="148"/>
      <c r="V62" s="148"/>
      <c r="W62" s="148"/>
      <c r="X62" s="148"/>
    </row>
    <row r="64" spans="1:63" x14ac:dyDescent="0.3">
      <c r="A64" s="4" t="s">
        <v>67</v>
      </c>
      <c r="B64" s="34"/>
      <c r="C64" s="34"/>
      <c r="D64" s="34"/>
      <c r="E64" s="34"/>
      <c r="F64" s="34"/>
      <c r="G64" s="34"/>
      <c r="H64" s="34"/>
      <c r="I64" s="34"/>
      <c r="J64" s="34"/>
      <c r="K64" s="34"/>
      <c r="L64" s="34"/>
      <c r="M64" s="34"/>
      <c r="N64" s="34"/>
      <c r="O64" s="34"/>
      <c r="P64" s="34"/>
      <c r="Q64" s="34"/>
      <c r="R64" s="34"/>
      <c r="S64" s="34"/>
      <c r="T64" s="34"/>
      <c r="U64" s="34"/>
      <c r="V64" s="34"/>
      <c r="W64" s="34"/>
      <c r="X64" s="34"/>
    </row>
    <row r="65" spans="1:54" x14ac:dyDescent="0.3">
      <c r="A65" s="35" t="s">
        <v>68</v>
      </c>
      <c r="B65" s="34"/>
      <c r="C65" s="34"/>
      <c r="D65" s="34"/>
      <c r="E65" s="34"/>
      <c r="F65" s="34"/>
      <c r="G65" s="34"/>
      <c r="H65" s="34"/>
      <c r="I65" s="34"/>
      <c r="J65" s="34"/>
      <c r="K65" s="34"/>
      <c r="L65" s="34"/>
      <c r="M65" s="34"/>
      <c r="N65" s="34"/>
      <c r="O65" s="34"/>
      <c r="P65" s="34"/>
      <c r="Q65" s="34"/>
      <c r="R65" s="34"/>
      <c r="S65" s="34"/>
      <c r="T65" s="34"/>
      <c r="U65" s="34"/>
      <c r="V65" s="34"/>
      <c r="W65" s="34"/>
      <c r="X65" s="34"/>
    </row>
    <row r="67" spans="1:54" x14ac:dyDescent="0.3">
      <c r="A67" s="146" t="s">
        <v>69</v>
      </c>
      <c r="B67" s="146"/>
      <c r="C67" s="146"/>
      <c r="D67" s="146"/>
      <c r="E67" s="146"/>
      <c r="F67" s="146"/>
      <c r="G67" s="146"/>
      <c r="H67" s="146"/>
      <c r="I67" s="146"/>
      <c r="J67" s="146"/>
      <c r="K67" s="146"/>
      <c r="L67" s="146"/>
      <c r="M67" s="146"/>
      <c r="N67" s="146"/>
      <c r="O67" s="146"/>
      <c r="P67" s="146"/>
      <c r="Q67" s="146"/>
      <c r="R67" s="146"/>
      <c r="S67" s="146"/>
      <c r="T67" s="146"/>
      <c r="U67" s="146"/>
      <c r="V67" s="146"/>
      <c r="W67" s="146"/>
      <c r="X67" s="146"/>
    </row>
    <row r="68" spans="1:54" x14ac:dyDescent="0.3">
      <c r="A68" s="35"/>
      <c r="BB68" s="8"/>
    </row>
    <row r="69" spans="1:54" x14ac:dyDescent="0.3">
      <c r="A69" s="4" t="s">
        <v>70</v>
      </c>
      <c r="X69" s="36"/>
      <c r="BB69" s="37" t="s">
        <v>71</v>
      </c>
    </row>
    <row r="70" spans="1:54" x14ac:dyDescent="0.3">
      <c r="A70" s="35" t="s">
        <v>72</v>
      </c>
      <c r="X70" s="36"/>
      <c r="BB70" s="36" t="s">
        <v>73</v>
      </c>
    </row>
  </sheetData>
  <mergeCells count="12">
    <mergeCell ref="A58:X58"/>
    <mergeCell ref="A60:X60"/>
    <mergeCell ref="A62:X62"/>
    <mergeCell ref="A67:X67"/>
    <mergeCell ref="A1:BB1"/>
    <mergeCell ref="B5:BB5"/>
    <mergeCell ref="B6:H6"/>
    <mergeCell ref="T6:Z6"/>
    <mergeCell ref="AC6:AI6"/>
    <mergeCell ref="AL6:AR6"/>
    <mergeCell ref="AU6:BB6"/>
    <mergeCell ref="K6:R6"/>
  </mergeCells>
  <hyperlinks>
    <hyperlink ref="A65" r:id="rId1" xr:uid="{00000000-0004-0000-0000-000000000000}"/>
    <hyperlink ref="A70" r:id="rId2" xr:uid="{00000000-0004-0000-0000-000001000000}"/>
    <hyperlink ref="BB69" r:id="rId3" xr:uid="{00000000-0004-0000-0000-000002000000}"/>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AC701-38D9-466E-920B-C2887E4838AE}">
  <sheetPr codeName="Sheet8"/>
  <dimension ref="B2:R74"/>
  <sheetViews>
    <sheetView workbookViewId="0">
      <selection activeCell="I7" sqref="I7"/>
    </sheetView>
  </sheetViews>
  <sheetFormatPr defaultColWidth="8.77734375" defaultRowHeight="12.6" x14ac:dyDescent="0.25"/>
  <cols>
    <col min="1" max="15" width="8.77734375" style="75"/>
    <col min="16" max="16" width="13.5546875" style="75" bestFit="1" customWidth="1"/>
    <col min="17" max="16384" width="8.77734375" style="75"/>
  </cols>
  <sheetData>
    <row r="2" spans="2:18" x14ac:dyDescent="0.25">
      <c r="B2" s="74" t="s">
        <v>94</v>
      </c>
      <c r="C2" s="75" t="s">
        <v>95</v>
      </c>
    </row>
    <row r="3" spans="2:18" ht="14.4" x14ac:dyDescent="0.3">
      <c r="B3" s="76" t="s">
        <v>96</v>
      </c>
      <c r="C3" s="75" t="s">
        <v>97</v>
      </c>
    </row>
    <row r="4" spans="2:18" ht="14.4" x14ac:dyDescent="0.3">
      <c r="B4" s="76"/>
    </row>
    <row r="6" spans="2:18" ht="14.4" x14ac:dyDescent="0.3">
      <c r="B6" s="77" t="s">
        <v>98</v>
      </c>
      <c r="D6" s="77" t="s">
        <v>99</v>
      </c>
      <c r="F6" s="77" t="s">
        <v>100</v>
      </c>
      <c r="H6" s="78">
        <f>MAX(H8:H53)</f>
        <v>46</v>
      </c>
      <c r="I6" s="77" t="s">
        <v>101</v>
      </c>
      <c r="K6" s="77" t="s">
        <v>102</v>
      </c>
      <c r="M6" s="79"/>
      <c r="N6" s="80"/>
      <c r="O6" s="81"/>
      <c r="P6" s="80"/>
      <c r="Q6" s="80"/>
      <c r="R6" s="80"/>
    </row>
    <row r="7" spans="2:18" ht="14.4" x14ac:dyDescent="0.3">
      <c r="B7" s="82" t="s">
        <v>207</v>
      </c>
      <c r="D7" s="83" t="s">
        <v>208</v>
      </c>
      <c r="F7" s="83" t="s">
        <v>209</v>
      </c>
      <c r="H7" s="78">
        <v>47</v>
      </c>
      <c r="I7" s="74" t="e">
        <f>VLOOKUP(H7,H8:I53,2,FALSE)</f>
        <v>#N/A</v>
      </c>
      <c r="K7" s="83" t="str">
        <f>CONCATENATE("_",D7,".xlsx")</f>
        <v>_2019_20.xlsx</v>
      </c>
      <c r="M7" s="84"/>
      <c r="N7" s="80"/>
      <c r="O7" s="81"/>
      <c r="P7" s="80"/>
      <c r="Q7" s="80"/>
      <c r="R7" s="80"/>
    </row>
    <row r="8" spans="2:18" ht="14.4" x14ac:dyDescent="0.3">
      <c r="D8" s="85" t="str">
        <f>CONCATENATE(LEFT(D7,4),"-",RIGHT(D7,2))</f>
        <v>2019-20</v>
      </c>
      <c r="H8" s="75">
        <v>1</v>
      </c>
      <c r="I8" s="86" t="s">
        <v>17</v>
      </c>
      <c r="M8" s="87"/>
      <c r="N8" s="80"/>
      <c r="O8" s="80"/>
      <c r="P8" s="87"/>
      <c r="Q8" s="80"/>
      <c r="R8" s="80"/>
    </row>
    <row r="9" spans="2:18" ht="14.4" x14ac:dyDescent="0.3">
      <c r="D9" s="74" t="str">
        <f>CONCATENATE(LEFT(D7,2),RIGHT(D7,2))</f>
        <v>2020</v>
      </c>
      <c r="H9" s="75">
        <v>2</v>
      </c>
      <c r="I9" s="86" t="s">
        <v>18</v>
      </c>
      <c r="M9" s="87"/>
      <c r="N9" s="80"/>
      <c r="O9" s="80"/>
      <c r="P9" s="88"/>
      <c r="Q9" s="80"/>
      <c r="R9" s="80"/>
    </row>
    <row r="10" spans="2:18" ht="14.4" x14ac:dyDescent="0.3">
      <c r="H10" s="75">
        <v>3</v>
      </c>
      <c r="I10" s="86" t="s">
        <v>19</v>
      </c>
      <c r="M10" s="88"/>
      <c r="N10" s="80"/>
      <c r="O10" s="80"/>
      <c r="P10" s="88"/>
      <c r="Q10" s="80"/>
      <c r="R10" s="80"/>
    </row>
    <row r="11" spans="2:18" ht="14.4" x14ac:dyDescent="0.3">
      <c r="H11" s="75">
        <v>4</v>
      </c>
      <c r="I11" s="86" t="s">
        <v>20</v>
      </c>
      <c r="M11" s="88"/>
      <c r="N11" s="80"/>
      <c r="O11" s="80"/>
      <c r="P11" s="88"/>
      <c r="Q11" s="80"/>
      <c r="R11" s="80"/>
    </row>
    <row r="12" spans="2:18" ht="14.4" x14ac:dyDescent="0.3">
      <c r="H12" s="75">
        <v>5</v>
      </c>
      <c r="I12" s="86" t="s">
        <v>21</v>
      </c>
      <c r="M12" s="89"/>
      <c r="P12" s="89"/>
      <c r="R12" s="89"/>
    </row>
    <row r="13" spans="2:18" ht="14.4" x14ac:dyDescent="0.3">
      <c r="H13" s="75">
        <v>6</v>
      </c>
      <c r="I13" s="86" t="s">
        <v>22</v>
      </c>
      <c r="M13" s="90" t="s">
        <v>103</v>
      </c>
      <c r="O13" s="78">
        <f>MAX(O15:O19)</f>
        <v>4</v>
      </c>
      <c r="P13" s="77" t="s">
        <v>104</v>
      </c>
      <c r="Q13" s="77" t="s">
        <v>105</v>
      </c>
      <c r="R13" s="77" t="s">
        <v>106</v>
      </c>
    </row>
    <row r="14" spans="2:18" ht="14.4" x14ac:dyDescent="0.3">
      <c r="H14" s="75">
        <v>7</v>
      </c>
      <c r="I14" s="86" t="s">
        <v>23</v>
      </c>
      <c r="M14" s="91" t="s">
        <v>107</v>
      </c>
      <c r="O14" s="78">
        <v>5</v>
      </c>
      <c r="P14" s="74" t="e">
        <f>VLOOKUP(O14,O15:P19,2,FALSE)</f>
        <v>#N/A</v>
      </c>
      <c r="Q14" s="74" t="e">
        <f>VLOOKUP(P14,P15:Q19,2,FALSE)</f>
        <v>#N/A</v>
      </c>
      <c r="R14" s="74" t="e">
        <f>VLOOKUP(Q14,Q15:R19,2,FALSE)</f>
        <v>#N/A</v>
      </c>
    </row>
    <row r="15" spans="2:18" ht="14.4" x14ac:dyDescent="0.3">
      <c r="H15" s="75">
        <v>8</v>
      </c>
      <c r="I15" s="86" t="s">
        <v>24</v>
      </c>
      <c r="M15" s="87"/>
      <c r="O15" s="75">
        <v>1</v>
      </c>
      <c r="P15" s="76" t="s">
        <v>137</v>
      </c>
      <c r="Q15" s="75" t="s">
        <v>108</v>
      </c>
      <c r="R15" s="80" t="s">
        <v>7</v>
      </c>
    </row>
    <row r="16" spans="2:18" ht="14.4" x14ac:dyDescent="0.3">
      <c r="H16" s="75">
        <v>9</v>
      </c>
      <c r="I16" s="86" t="s">
        <v>25</v>
      </c>
      <c r="M16" s="87"/>
      <c r="O16" s="75">
        <v>2</v>
      </c>
      <c r="P16" s="76" t="s">
        <v>138</v>
      </c>
      <c r="Q16" s="75" t="s">
        <v>91</v>
      </c>
      <c r="R16" s="80" t="s">
        <v>7</v>
      </c>
    </row>
    <row r="17" spans="8:18" ht="14.4" x14ac:dyDescent="0.3">
      <c r="H17" s="75">
        <v>10</v>
      </c>
      <c r="I17" s="86" t="s">
        <v>26</v>
      </c>
      <c r="M17" s="87"/>
      <c r="O17" s="75">
        <v>3</v>
      </c>
      <c r="P17" s="76" t="s">
        <v>139</v>
      </c>
      <c r="Q17" s="75" t="s">
        <v>109</v>
      </c>
      <c r="R17" s="80" t="s">
        <v>7</v>
      </c>
    </row>
    <row r="18" spans="8:18" ht="14.4" x14ac:dyDescent="0.3">
      <c r="H18" s="75">
        <v>11</v>
      </c>
      <c r="I18" s="86" t="s">
        <v>27</v>
      </c>
      <c r="M18" s="87"/>
      <c r="O18" s="75">
        <v>4</v>
      </c>
      <c r="P18" s="76" t="s">
        <v>140</v>
      </c>
      <c r="Q18" s="75" t="s">
        <v>110</v>
      </c>
      <c r="R18" s="80" t="s">
        <v>7</v>
      </c>
    </row>
    <row r="19" spans="8:18" ht="14.4" x14ac:dyDescent="0.3">
      <c r="H19" s="75">
        <v>12</v>
      </c>
      <c r="I19" s="86" t="s">
        <v>29</v>
      </c>
      <c r="M19" s="87"/>
      <c r="P19" s="76"/>
      <c r="R19" s="80"/>
    </row>
    <row r="20" spans="8:18" ht="14.4" x14ac:dyDescent="0.3">
      <c r="H20" s="75">
        <v>13</v>
      </c>
      <c r="I20" s="86" t="s">
        <v>30</v>
      </c>
      <c r="M20" s="90" t="s">
        <v>103</v>
      </c>
      <c r="O20" s="78">
        <f>MAX(O22:O26)</f>
        <v>4</v>
      </c>
      <c r="P20" s="77" t="s">
        <v>111</v>
      </c>
      <c r="Q20" s="77" t="s">
        <v>112</v>
      </c>
      <c r="R20" s="77" t="s">
        <v>113</v>
      </c>
    </row>
    <row r="21" spans="8:18" ht="14.4" x14ac:dyDescent="0.3">
      <c r="H21" s="75">
        <v>14</v>
      </c>
      <c r="I21" s="86" t="s">
        <v>31</v>
      </c>
      <c r="M21" s="91" t="s">
        <v>107</v>
      </c>
      <c r="O21" s="78">
        <v>5</v>
      </c>
      <c r="P21" s="74" t="e">
        <f>VLOOKUP(O21,O22:P26,2,FALSE)</f>
        <v>#N/A</v>
      </c>
      <c r="Q21" s="74" t="e">
        <f>VLOOKUP(P21,P22:Q26,2,FALSE)</f>
        <v>#N/A</v>
      </c>
      <c r="R21" s="74" t="e">
        <f>VLOOKUP(Q21,Q22:R26,2,FALSE)</f>
        <v>#N/A</v>
      </c>
    </row>
    <row r="22" spans="8:18" ht="14.4" x14ac:dyDescent="0.3">
      <c r="H22" s="75">
        <v>15</v>
      </c>
      <c r="I22" s="86" t="s">
        <v>32</v>
      </c>
      <c r="M22" s="87"/>
      <c r="O22" s="75">
        <v>1</v>
      </c>
      <c r="P22" s="76" t="s">
        <v>141</v>
      </c>
      <c r="Q22" s="75" t="s">
        <v>108</v>
      </c>
      <c r="R22" s="80" t="s">
        <v>114</v>
      </c>
    </row>
    <row r="23" spans="8:18" ht="14.4" x14ac:dyDescent="0.3">
      <c r="H23" s="75">
        <v>16</v>
      </c>
      <c r="I23" s="86" t="s">
        <v>63</v>
      </c>
      <c r="M23" s="87"/>
      <c r="O23" s="75">
        <v>2</v>
      </c>
      <c r="P23" s="76" t="s">
        <v>142</v>
      </c>
      <c r="Q23" s="75" t="s">
        <v>91</v>
      </c>
      <c r="R23" s="80" t="s">
        <v>114</v>
      </c>
    </row>
    <row r="24" spans="8:18" ht="14.4" x14ac:dyDescent="0.3">
      <c r="H24" s="75">
        <v>17</v>
      </c>
      <c r="I24" s="86" t="s">
        <v>57</v>
      </c>
      <c r="M24" s="87"/>
      <c r="O24" s="75">
        <v>3</v>
      </c>
      <c r="P24" s="76" t="s">
        <v>143</v>
      </c>
      <c r="Q24" s="75" t="s">
        <v>109</v>
      </c>
      <c r="R24" s="80" t="s">
        <v>114</v>
      </c>
    </row>
    <row r="25" spans="8:18" ht="14.4" x14ac:dyDescent="0.3">
      <c r="H25" s="75">
        <v>18</v>
      </c>
      <c r="I25" s="86" t="s">
        <v>33</v>
      </c>
      <c r="M25" s="87"/>
      <c r="O25" s="75">
        <v>4</v>
      </c>
      <c r="P25" s="76" t="s">
        <v>144</v>
      </c>
      <c r="Q25" s="75" t="s">
        <v>110</v>
      </c>
      <c r="R25" s="80" t="s">
        <v>114</v>
      </c>
    </row>
    <row r="26" spans="8:18" ht="14.4" x14ac:dyDescent="0.3">
      <c r="H26" s="75">
        <v>19</v>
      </c>
      <c r="I26" s="86" t="s">
        <v>34</v>
      </c>
    </row>
    <row r="27" spans="8:18" ht="14.4" x14ac:dyDescent="0.3">
      <c r="H27" s="75">
        <v>20</v>
      </c>
      <c r="I27" s="86" t="s">
        <v>35</v>
      </c>
      <c r="M27" s="90" t="s">
        <v>103</v>
      </c>
      <c r="O27" s="78">
        <f>MAX(O29:O33)</f>
        <v>4</v>
      </c>
      <c r="P27" s="77" t="s">
        <v>119</v>
      </c>
      <c r="Q27" s="77" t="s">
        <v>120</v>
      </c>
      <c r="R27" s="77" t="s">
        <v>121</v>
      </c>
    </row>
    <row r="28" spans="8:18" ht="14.4" x14ac:dyDescent="0.3">
      <c r="H28" s="75">
        <v>21</v>
      </c>
      <c r="I28" s="86" t="s">
        <v>36</v>
      </c>
      <c r="M28" s="91" t="s">
        <v>107</v>
      </c>
      <c r="O28" s="78">
        <v>5</v>
      </c>
      <c r="P28" s="74" t="e">
        <f>VLOOKUP(O28,O29:P33,2,FALSE)</f>
        <v>#N/A</v>
      </c>
      <c r="Q28" s="74" t="e">
        <f>VLOOKUP(P28,P29:Q33,2,FALSE)</f>
        <v>#N/A</v>
      </c>
      <c r="R28" s="74" t="e">
        <f>VLOOKUP(Q28,Q29:R33,2,FALSE)</f>
        <v>#N/A</v>
      </c>
    </row>
    <row r="29" spans="8:18" ht="14.4" x14ac:dyDescent="0.3">
      <c r="H29" s="75">
        <v>22</v>
      </c>
      <c r="I29" s="86" t="s">
        <v>37</v>
      </c>
      <c r="M29" s="87"/>
      <c r="O29" s="75">
        <v>1</v>
      </c>
      <c r="P29" s="76" t="s">
        <v>145</v>
      </c>
      <c r="Q29" s="75" t="s">
        <v>108</v>
      </c>
      <c r="R29" s="80" t="s">
        <v>8</v>
      </c>
    </row>
    <row r="30" spans="8:18" ht="14.4" x14ac:dyDescent="0.3">
      <c r="H30" s="75">
        <v>23</v>
      </c>
      <c r="I30" s="86" t="s">
        <v>55</v>
      </c>
      <c r="M30" s="87"/>
      <c r="O30" s="75">
        <v>2</v>
      </c>
      <c r="P30" s="76" t="s">
        <v>146</v>
      </c>
      <c r="Q30" s="75" t="s">
        <v>91</v>
      </c>
      <c r="R30" s="80" t="s">
        <v>8</v>
      </c>
    </row>
    <row r="31" spans="8:18" ht="14.4" x14ac:dyDescent="0.3">
      <c r="H31" s="75">
        <v>24</v>
      </c>
      <c r="I31" s="86" t="s">
        <v>38</v>
      </c>
      <c r="M31" s="87"/>
      <c r="O31" s="75">
        <v>3</v>
      </c>
      <c r="P31" s="76" t="s">
        <v>147</v>
      </c>
      <c r="Q31" s="75" t="s">
        <v>109</v>
      </c>
      <c r="R31" s="80" t="s">
        <v>8</v>
      </c>
    </row>
    <row r="32" spans="8:18" ht="14.4" x14ac:dyDescent="0.3">
      <c r="H32" s="75">
        <v>25</v>
      </c>
      <c r="I32" s="86" t="s">
        <v>39</v>
      </c>
      <c r="M32" s="87"/>
      <c r="O32" s="75">
        <v>4</v>
      </c>
      <c r="P32" s="76" t="s">
        <v>148</v>
      </c>
      <c r="Q32" s="75" t="s">
        <v>110</v>
      </c>
      <c r="R32" s="80" t="s">
        <v>8</v>
      </c>
    </row>
    <row r="33" spans="8:18" ht="14.4" x14ac:dyDescent="0.3">
      <c r="H33" s="75">
        <v>26</v>
      </c>
      <c r="I33" s="86" t="s">
        <v>40</v>
      </c>
      <c r="M33" s="87"/>
      <c r="P33" s="76"/>
      <c r="R33" s="80"/>
    </row>
    <row r="34" spans="8:18" ht="14.4" x14ac:dyDescent="0.3">
      <c r="H34" s="75">
        <v>27</v>
      </c>
      <c r="I34" s="86" t="s">
        <v>41</v>
      </c>
      <c r="M34" s="90" t="s">
        <v>103</v>
      </c>
      <c r="O34" s="78">
        <f>MAX(O36:O40)</f>
        <v>4</v>
      </c>
      <c r="P34" s="77" t="s">
        <v>122</v>
      </c>
      <c r="Q34" s="77" t="s">
        <v>123</v>
      </c>
      <c r="R34" s="77" t="s">
        <v>124</v>
      </c>
    </row>
    <row r="35" spans="8:18" ht="14.4" x14ac:dyDescent="0.3">
      <c r="H35" s="75">
        <v>28</v>
      </c>
      <c r="I35" s="86" t="s">
        <v>58</v>
      </c>
      <c r="M35" s="91" t="s">
        <v>107</v>
      </c>
      <c r="O35" s="78">
        <v>5</v>
      </c>
      <c r="P35" s="74" t="e">
        <f>VLOOKUP(O35,O36:P40,2,FALSE)</f>
        <v>#N/A</v>
      </c>
      <c r="Q35" s="74" t="e">
        <f>VLOOKUP(P35,P36:Q40,2,FALSE)</f>
        <v>#N/A</v>
      </c>
      <c r="R35" s="74" t="e">
        <f>VLOOKUP(Q35,Q36:R40,2,FALSE)</f>
        <v>#N/A</v>
      </c>
    </row>
    <row r="36" spans="8:18" ht="14.4" x14ac:dyDescent="0.3">
      <c r="H36" s="75">
        <v>29</v>
      </c>
      <c r="I36" s="86" t="s">
        <v>42</v>
      </c>
      <c r="M36" s="87"/>
      <c r="O36" s="75">
        <v>1</v>
      </c>
      <c r="P36" s="76" t="s">
        <v>149</v>
      </c>
      <c r="Q36" s="75" t="s">
        <v>108</v>
      </c>
      <c r="R36" s="80" t="s">
        <v>115</v>
      </c>
    </row>
    <row r="37" spans="8:18" ht="14.4" x14ac:dyDescent="0.3">
      <c r="H37" s="75">
        <v>30</v>
      </c>
      <c r="I37" s="86" t="s">
        <v>44</v>
      </c>
      <c r="M37" s="87"/>
      <c r="O37" s="75">
        <v>2</v>
      </c>
      <c r="P37" s="76" t="s">
        <v>150</v>
      </c>
      <c r="Q37" s="75" t="s">
        <v>91</v>
      </c>
      <c r="R37" s="80" t="s">
        <v>115</v>
      </c>
    </row>
    <row r="38" spans="8:18" ht="14.4" x14ac:dyDescent="0.3">
      <c r="H38" s="75">
        <v>31</v>
      </c>
      <c r="I38" s="86" t="s">
        <v>45</v>
      </c>
      <c r="M38" s="87"/>
      <c r="O38" s="75">
        <v>3</v>
      </c>
      <c r="P38" s="76" t="s">
        <v>151</v>
      </c>
      <c r="Q38" s="75" t="s">
        <v>109</v>
      </c>
      <c r="R38" s="80" t="s">
        <v>115</v>
      </c>
    </row>
    <row r="39" spans="8:18" ht="14.4" x14ac:dyDescent="0.3">
      <c r="H39" s="75">
        <v>32</v>
      </c>
      <c r="I39" s="86" t="s">
        <v>46</v>
      </c>
      <c r="M39" s="87"/>
      <c r="O39" s="75">
        <v>4</v>
      </c>
      <c r="P39" s="76" t="s">
        <v>152</v>
      </c>
      <c r="Q39" s="75" t="s">
        <v>110</v>
      </c>
      <c r="R39" s="80" t="s">
        <v>115</v>
      </c>
    </row>
    <row r="40" spans="8:18" ht="14.4" x14ac:dyDescent="0.3">
      <c r="H40" s="75">
        <v>33</v>
      </c>
      <c r="I40" s="86" t="s">
        <v>47</v>
      </c>
      <c r="M40" s="87"/>
      <c r="N40" s="87"/>
      <c r="O40" s="87"/>
      <c r="P40" s="87"/>
      <c r="Q40" s="87"/>
      <c r="R40" s="87"/>
    </row>
    <row r="41" spans="8:18" ht="14.4" x14ac:dyDescent="0.3">
      <c r="H41" s="75">
        <v>34</v>
      </c>
      <c r="I41" s="86" t="s">
        <v>48</v>
      </c>
      <c r="M41" s="90" t="s">
        <v>103</v>
      </c>
      <c r="O41" s="78">
        <f>MAX(O43:O47)</f>
        <v>4</v>
      </c>
      <c r="P41" s="77" t="s">
        <v>125</v>
      </c>
      <c r="Q41" s="77" t="s">
        <v>126</v>
      </c>
      <c r="R41" s="77" t="s">
        <v>127</v>
      </c>
    </row>
    <row r="42" spans="8:18" ht="14.4" x14ac:dyDescent="0.3">
      <c r="H42" s="75">
        <v>35</v>
      </c>
      <c r="I42" s="86" t="s">
        <v>49</v>
      </c>
      <c r="M42" s="91" t="s">
        <v>107</v>
      </c>
      <c r="O42" s="78">
        <v>5</v>
      </c>
      <c r="P42" s="74" t="e">
        <f>VLOOKUP(O42,O43:P47,2,FALSE)</f>
        <v>#N/A</v>
      </c>
      <c r="Q42" s="74" t="e">
        <f>VLOOKUP(P42,P43:Q47,2,FALSE)</f>
        <v>#N/A</v>
      </c>
      <c r="R42" s="74" t="e">
        <f>VLOOKUP(Q42,Q43:R47,2,FALSE)</f>
        <v>#N/A</v>
      </c>
    </row>
    <row r="43" spans="8:18" ht="14.4" x14ac:dyDescent="0.3">
      <c r="H43" s="75">
        <v>36</v>
      </c>
      <c r="I43" s="86" t="s">
        <v>59</v>
      </c>
      <c r="M43" s="87"/>
      <c r="O43" s="75">
        <v>1</v>
      </c>
      <c r="P43" s="76" t="s">
        <v>153</v>
      </c>
      <c r="Q43" s="75" t="s">
        <v>108</v>
      </c>
      <c r="R43" s="80" t="s">
        <v>116</v>
      </c>
    </row>
    <row r="44" spans="8:18" ht="14.4" x14ac:dyDescent="0.3">
      <c r="H44" s="75">
        <v>37</v>
      </c>
      <c r="I44" s="86" t="s">
        <v>50</v>
      </c>
      <c r="M44" s="87"/>
      <c r="O44" s="75">
        <v>2</v>
      </c>
      <c r="P44" s="76" t="s">
        <v>154</v>
      </c>
      <c r="Q44" s="75" t="s">
        <v>91</v>
      </c>
      <c r="R44" s="80" t="s">
        <v>116</v>
      </c>
    </row>
    <row r="45" spans="8:18" ht="14.4" x14ac:dyDescent="0.3">
      <c r="H45" s="75">
        <v>38</v>
      </c>
      <c r="I45" s="86" t="s">
        <v>51</v>
      </c>
      <c r="M45" s="87"/>
      <c r="O45" s="75">
        <v>3</v>
      </c>
      <c r="P45" s="76" t="s">
        <v>155</v>
      </c>
      <c r="Q45" s="75" t="s">
        <v>109</v>
      </c>
      <c r="R45" s="80" t="s">
        <v>116</v>
      </c>
    </row>
    <row r="46" spans="8:18" ht="14.4" x14ac:dyDescent="0.3">
      <c r="H46" s="75">
        <v>39</v>
      </c>
      <c r="I46" s="86" t="s">
        <v>52</v>
      </c>
      <c r="M46" s="87"/>
      <c r="O46" s="75">
        <v>4</v>
      </c>
      <c r="P46" s="76" t="s">
        <v>156</v>
      </c>
      <c r="Q46" s="75" t="s">
        <v>110</v>
      </c>
      <c r="R46" s="80" t="s">
        <v>116</v>
      </c>
    </row>
    <row r="47" spans="8:18" ht="14.4" x14ac:dyDescent="0.3">
      <c r="H47" s="75">
        <v>40</v>
      </c>
      <c r="I47" s="86" t="s">
        <v>60</v>
      </c>
      <c r="M47" s="87"/>
      <c r="N47" s="87"/>
      <c r="O47" s="87"/>
      <c r="P47" s="87"/>
      <c r="Q47" s="87"/>
      <c r="R47" s="87"/>
    </row>
    <row r="48" spans="8:18" ht="14.4" x14ac:dyDescent="0.3">
      <c r="H48" s="75">
        <v>41</v>
      </c>
      <c r="I48" s="86" t="s">
        <v>53</v>
      </c>
      <c r="M48" s="90" t="s">
        <v>103</v>
      </c>
      <c r="O48" s="78">
        <f>MAX(O50:O54)</f>
        <v>4</v>
      </c>
      <c r="P48" s="77" t="s">
        <v>128</v>
      </c>
      <c r="Q48" s="77" t="s">
        <v>129</v>
      </c>
      <c r="R48" s="77" t="s">
        <v>130</v>
      </c>
    </row>
    <row r="49" spans="8:18" ht="14.4" x14ac:dyDescent="0.3">
      <c r="H49" s="75">
        <v>42</v>
      </c>
      <c r="I49" s="86" t="s">
        <v>61</v>
      </c>
      <c r="M49" s="91" t="s">
        <v>107</v>
      </c>
      <c r="O49" s="78">
        <v>5</v>
      </c>
      <c r="P49" s="74" t="e">
        <f>VLOOKUP(O49,O50:P54,2,FALSE)</f>
        <v>#N/A</v>
      </c>
      <c r="Q49" s="74" t="e">
        <f>VLOOKUP(P49,P50:Q54,2,FALSE)</f>
        <v>#N/A</v>
      </c>
      <c r="R49" s="74" t="e">
        <f>VLOOKUP(Q49,Q50:R54,2,FALSE)</f>
        <v>#N/A</v>
      </c>
    </row>
    <row r="50" spans="8:18" ht="14.4" x14ac:dyDescent="0.3">
      <c r="H50" s="75">
        <v>43</v>
      </c>
      <c r="I50" s="86" t="s">
        <v>54</v>
      </c>
      <c r="M50" s="87"/>
      <c r="O50" s="75">
        <v>1</v>
      </c>
      <c r="P50" s="76" t="s">
        <v>157</v>
      </c>
      <c r="Q50" s="75" t="s">
        <v>108</v>
      </c>
      <c r="R50" s="80" t="s">
        <v>80</v>
      </c>
    </row>
    <row r="51" spans="8:18" ht="14.4" x14ac:dyDescent="0.3">
      <c r="H51" s="75">
        <v>44</v>
      </c>
      <c r="I51" s="86" t="s">
        <v>62</v>
      </c>
      <c r="M51" s="87"/>
      <c r="O51" s="75">
        <v>2</v>
      </c>
      <c r="P51" s="76" t="s">
        <v>158</v>
      </c>
      <c r="Q51" s="75" t="s">
        <v>91</v>
      </c>
      <c r="R51" s="80" t="s">
        <v>80</v>
      </c>
    </row>
    <row r="52" spans="8:18" ht="14.4" x14ac:dyDescent="0.3">
      <c r="H52" s="75">
        <v>45</v>
      </c>
      <c r="I52" s="86" t="s">
        <v>28</v>
      </c>
      <c r="M52" s="87"/>
      <c r="O52" s="75">
        <v>3</v>
      </c>
      <c r="P52" s="76" t="s">
        <v>159</v>
      </c>
      <c r="Q52" s="75" t="s">
        <v>109</v>
      </c>
      <c r="R52" s="80" t="s">
        <v>80</v>
      </c>
    </row>
    <row r="53" spans="8:18" ht="14.4" x14ac:dyDescent="0.3">
      <c r="H53" s="75">
        <v>46</v>
      </c>
      <c r="I53" s="86" t="s">
        <v>43</v>
      </c>
      <c r="M53" s="87"/>
      <c r="O53" s="75">
        <v>4</v>
      </c>
      <c r="P53" s="76" t="s">
        <v>160</v>
      </c>
      <c r="Q53" s="75" t="s">
        <v>110</v>
      </c>
      <c r="R53" s="80" t="s">
        <v>80</v>
      </c>
    </row>
    <row r="54" spans="8:18" ht="14.4" x14ac:dyDescent="0.3">
      <c r="M54" s="89"/>
      <c r="P54" s="76"/>
      <c r="R54" s="80"/>
    </row>
    <row r="55" spans="8:18" ht="14.4" x14ac:dyDescent="0.3">
      <c r="M55" s="90" t="s">
        <v>103</v>
      </c>
      <c r="O55" s="78">
        <f>MAX(O57:O61)</f>
        <v>4</v>
      </c>
      <c r="P55" s="77" t="s">
        <v>131</v>
      </c>
      <c r="Q55" s="77" t="s">
        <v>132</v>
      </c>
      <c r="R55" s="77" t="s">
        <v>133</v>
      </c>
    </row>
    <row r="56" spans="8:18" ht="14.4" x14ac:dyDescent="0.3">
      <c r="M56" s="91" t="s">
        <v>107</v>
      </c>
      <c r="O56" s="78">
        <v>5</v>
      </c>
      <c r="P56" s="74" t="e">
        <f>VLOOKUP(O56,O57:P61,2,FALSE)</f>
        <v>#N/A</v>
      </c>
      <c r="Q56" s="74" t="e">
        <f>VLOOKUP(P56,P57:Q61,2,FALSE)</f>
        <v>#N/A</v>
      </c>
      <c r="R56" s="74" t="e">
        <f>VLOOKUP(Q56,Q57:R61,2,FALSE)</f>
        <v>#N/A</v>
      </c>
    </row>
    <row r="57" spans="8:18" ht="14.4" x14ac:dyDescent="0.3">
      <c r="M57" s="87"/>
      <c r="O57" s="75">
        <v>1</v>
      </c>
      <c r="P57" s="76" t="s">
        <v>161</v>
      </c>
      <c r="Q57" s="75" t="s">
        <v>108</v>
      </c>
      <c r="R57" s="80" t="s">
        <v>117</v>
      </c>
    </row>
    <row r="58" spans="8:18" ht="14.4" x14ac:dyDescent="0.3">
      <c r="M58" s="87"/>
      <c r="O58" s="75">
        <v>2</v>
      </c>
      <c r="P58" s="76" t="s">
        <v>162</v>
      </c>
      <c r="Q58" s="75" t="s">
        <v>91</v>
      </c>
      <c r="R58" s="80" t="s">
        <v>117</v>
      </c>
    </row>
    <row r="59" spans="8:18" ht="14.4" x14ac:dyDescent="0.3">
      <c r="M59" s="87"/>
      <c r="O59" s="75">
        <v>3</v>
      </c>
      <c r="P59" s="76" t="s">
        <v>163</v>
      </c>
      <c r="Q59" s="75" t="s">
        <v>109</v>
      </c>
      <c r="R59" s="80" t="s">
        <v>117</v>
      </c>
    </row>
    <row r="60" spans="8:18" ht="14.4" x14ac:dyDescent="0.3">
      <c r="M60" s="87"/>
      <c r="O60" s="75">
        <v>4</v>
      </c>
      <c r="P60" s="76" t="s">
        <v>164</v>
      </c>
      <c r="Q60" s="75" t="s">
        <v>110</v>
      </c>
      <c r="R60" s="80" t="s">
        <v>117</v>
      </c>
    </row>
    <row r="61" spans="8:18" ht="14.4" x14ac:dyDescent="0.3">
      <c r="O61" s="76"/>
    </row>
    <row r="62" spans="8:18" ht="14.4" x14ac:dyDescent="0.3">
      <c r="M62" s="90" t="s">
        <v>103</v>
      </c>
      <c r="O62" s="78">
        <f>MAX(O64:O68)</f>
        <v>4</v>
      </c>
      <c r="P62" s="77" t="s">
        <v>134</v>
      </c>
      <c r="Q62" s="77" t="s">
        <v>135</v>
      </c>
      <c r="R62" s="77" t="s">
        <v>136</v>
      </c>
    </row>
    <row r="63" spans="8:18" ht="14.4" x14ac:dyDescent="0.3">
      <c r="M63" s="91" t="s">
        <v>107</v>
      </c>
      <c r="O63" s="78">
        <v>5</v>
      </c>
      <c r="P63" s="74" t="e">
        <f>VLOOKUP(O63,O64:P68,2,FALSE)</f>
        <v>#N/A</v>
      </c>
      <c r="Q63" s="74" t="e">
        <f>VLOOKUP(P63,P64:Q68,2,FALSE)</f>
        <v>#N/A</v>
      </c>
      <c r="R63" s="74" t="e">
        <f>VLOOKUP(Q63,Q64:R68,2,FALSE)</f>
        <v>#N/A</v>
      </c>
    </row>
    <row r="64" spans="8:18" ht="14.4" x14ac:dyDescent="0.3">
      <c r="M64" s="87"/>
      <c r="O64" s="75">
        <v>1</v>
      </c>
      <c r="P64" s="76" t="s">
        <v>165</v>
      </c>
      <c r="Q64" s="75" t="s">
        <v>108</v>
      </c>
      <c r="R64" s="80" t="s">
        <v>118</v>
      </c>
    </row>
    <row r="65" spans="9:18" ht="14.4" x14ac:dyDescent="0.3">
      <c r="M65" s="87"/>
      <c r="O65" s="75">
        <v>2</v>
      </c>
      <c r="P65" s="76" t="s">
        <v>166</v>
      </c>
      <c r="Q65" s="75" t="s">
        <v>91</v>
      </c>
      <c r="R65" s="80" t="s">
        <v>118</v>
      </c>
    </row>
    <row r="66" spans="9:18" ht="14.4" x14ac:dyDescent="0.3">
      <c r="M66" s="87"/>
      <c r="O66" s="75">
        <v>3</v>
      </c>
      <c r="P66" s="76" t="s">
        <v>167</v>
      </c>
      <c r="Q66" s="75" t="s">
        <v>109</v>
      </c>
      <c r="R66" s="80" t="s">
        <v>118</v>
      </c>
    </row>
    <row r="67" spans="9:18" ht="14.4" x14ac:dyDescent="0.3">
      <c r="M67" s="87"/>
      <c r="O67" s="75">
        <v>4</v>
      </c>
      <c r="P67" s="76" t="s">
        <v>168</v>
      </c>
      <c r="Q67" s="75" t="s">
        <v>110</v>
      </c>
      <c r="R67" s="80" t="s">
        <v>118</v>
      </c>
    </row>
    <row r="74" spans="9:18" ht="14.4" x14ac:dyDescent="0.3">
      <c r="I74" s="86"/>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DFB5-E4AC-47E4-B994-ACDF2F7AA552}">
  <dimension ref="A1:K14"/>
  <sheetViews>
    <sheetView tabSelected="1" workbookViewId="0"/>
  </sheetViews>
  <sheetFormatPr defaultRowHeight="13.2" x14ac:dyDescent="0.25"/>
  <cols>
    <col min="1" max="1" width="74" style="104" bestFit="1" customWidth="1"/>
    <col min="2" max="255" width="9.44140625" style="104" customWidth="1"/>
    <col min="256" max="256" width="2.77734375" style="104" customWidth="1"/>
    <col min="257" max="257" width="74" style="104" bestFit="1" customWidth="1"/>
    <col min="258" max="511" width="9.44140625" style="104" customWidth="1"/>
    <col min="512" max="512" width="2.77734375" style="104" customWidth="1"/>
    <col min="513" max="513" width="74" style="104" bestFit="1" customWidth="1"/>
    <col min="514" max="767" width="9.44140625" style="104" customWidth="1"/>
    <col min="768" max="768" width="2.77734375" style="104" customWidth="1"/>
    <col min="769" max="769" width="74" style="104" bestFit="1" customWidth="1"/>
    <col min="770" max="1023" width="9.44140625" style="104" customWidth="1"/>
    <col min="1024" max="1024" width="2.77734375" style="104" customWidth="1"/>
    <col min="1025" max="1025" width="74" style="104" bestFit="1" customWidth="1"/>
    <col min="1026" max="1279" width="9.44140625" style="104" customWidth="1"/>
    <col min="1280" max="1280" width="2.77734375" style="104" customWidth="1"/>
    <col min="1281" max="1281" width="74" style="104" bestFit="1" customWidth="1"/>
    <col min="1282" max="1535" width="9.44140625" style="104" customWidth="1"/>
    <col min="1536" max="1536" width="2.77734375" style="104" customWidth="1"/>
    <col min="1537" max="1537" width="74" style="104" bestFit="1" customWidth="1"/>
    <col min="1538" max="1791" width="9.44140625" style="104" customWidth="1"/>
    <col min="1792" max="1792" width="2.77734375" style="104" customWidth="1"/>
    <col min="1793" max="1793" width="74" style="104" bestFit="1" customWidth="1"/>
    <col min="1794" max="2047" width="9.44140625" style="104" customWidth="1"/>
    <col min="2048" max="2048" width="2.77734375" style="104" customWidth="1"/>
    <col min="2049" max="2049" width="74" style="104" bestFit="1" customWidth="1"/>
    <col min="2050" max="2303" width="9.44140625" style="104" customWidth="1"/>
    <col min="2304" max="2304" width="2.77734375" style="104" customWidth="1"/>
    <col min="2305" max="2305" width="74" style="104" bestFit="1" customWidth="1"/>
    <col min="2306" max="2559" width="9.44140625" style="104" customWidth="1"/>
    <col min="2560" max="2560" width="2.77734375" style="104" customWidth="1"/>
    <col min="2561" max="2561" width="74" style="104" bestFit="1" customWidth="1"/>
    <col min="2562" max="2815" width="9.44140625" style="104" customWidth="1"/>
    <col min="2816" max="2816" width="2.77734375" style="104" customWidth="1"/>
    <col min="2817" max="2817" width="74" style="104" bestFit="1" customWidth="1"/>
    <col min="2818" max="3071" width="9.44140625" style="104" customWidth="1"/>
    <col min="3072" max="3072" width="2.77734375" style="104" customWidth="1"/>
    <col min="3073" max="3073" width="74" style="104" bestFit="1" customWidth="1"/>
    <col min="3074" max="3327" width="9.44140625" style="104" customWidth="1"/>
    <col min="3328" max="3328" width="2.77734375" style="104" customWidth="1"/>
    <col min="3329" max="3329" width="74" style="104" bestFit="1" customWidth="1"/>
    <col min="3330" max="3583" width="9.44140625" style="104" customWidth="1"/>
    <col min="3584" max="3584" width="2.77734375" style="104" customWidth="1"/>
    <col min="3585" max="3585" width="74" style="104" bestFit="1" customWidth="1"/>
    <col min="3586" max="3839" width="9.44140625" style="104" customWidth="1"/>
    <col min="3840" max="3840" width="2.77734375" style="104" customWidth="1"/>
    <col min="3841" max="3841" width="74" style="104" bestFit="1" customWidth="1"/>
    <col min="3842" max="4095" width="9.44140625" style="104" customWidth="1"/>
    <col min="4096" max="4096" width="2.77734375" style="104" customWidth="1"/>
    <col min="4097" max="4097" width="74" style="104" bestFit="1" customWidth="1"/>
    <col min="4098" max="4351" width="9.44140625" style="104" customWidth="1"/>
    <col min="4352" max="4352" width="2.77734375" style="104" customWidth="1"/>
    <col min="4353" max="4353" width="74" style="104" bestFit="1" customWidth="1"/>
    <col min="4354" max="4607" width="9.44140625" style="104" customWidth="1"/>
    <col min="4608" max="4608" width="2.77734375" style="104" customWidth="1"/>
    <col min="4609" max="4609" width="74" style="104" bestFit="1" customWidth="1"/>
    <col min="4610" max="4863" width="9.44140625" style="104" customWidth="1"/>
    <col min="4864" max="4864" width="2.77734375" style="104" customWidth="1"/>
    <col min="4865" max="4865" width="74" style="104" bestFit="1" customWidth="1"/>
    <col min="4866" max="5119" width="9.44140625" style="104" customWidth="1"/>
    <col min="5120" max="5120" width="2.77734375" style="104" customWidth="1"/>
    <col min="5121" max="5121" width="74" style="104" bestFit="1" customWidth="1"/>
    <col min="5122" max="5375" width="9.44140625" style="104" customWidth="1"/>
    <col min="5376" max="5376" width="2.77734375" style="104" customWidth="1"/>
    <col min="5377" max="5377" width="74" style="104" bestFit="1" customWidth="1"/>
    <col min="5378" max="5631" width="9.44140625" style="104" customWidth="1"/>
    <col min="5632" max="5632" width="2.77734375" style="104" customWidth="1"/>
    <col min="5633" max="5633" width="74" style="104" bestFit="1" customWidth="1"/>
    <col min="5634" max="5887" width="9.44140625" style="104" customWidth="1"/>
    <col min="5888" max="5888" width="2.77734375" style="104" customWidth="1"/>
    <col min="5889" max="5889" width="74" style="104" bestFit="1" customWidth="1"/>
    <col min="5890" max="6143" width="9.44140625" style="104" customWidth="1"/>
    <col min="6144" max="6144" width="2.77734375" style="104" customWidth="1"/>
    <col min="6145" max="6145" width="74" style="104" bestFit="1" customWidth="1"/>
    <col min="6146" max="6399" width="9.44140625" style="104" customWidth="1"/>
    <col min="6400" max="6400" width="2.77734375" style="104" customWidth="1"/>
    <col min="6401" max="6401" width="74" style="104" bestFit="1" customWidth="1"/>
    <col min="6402" max="6655" width="9.44140625" style="104" customWidth="1"/>
    <col min="6656" max="6656" width="2.77734375" style="104" customWidth="1"/>
    <col min="6657" max="6657" width="74" style="104" bestFit="1" customWidth="1"/>
    <col min="6658" max="6911" width="9.44140625" style="104" customWidth="1"/>
    <col min="6912" max="6912" width="2.77734375" style="104" customWidth="1"/>
    <col min="6913" max="6913" width="74" style="104" bestFit="1" customWidth="1"/>
    <col min="6914" max="7167" width="9.44140625" style="104" customWidth="1"/>
    <col min="7168" max="7168" width="2.77734375" style="104" customWidth="1"/>
    <col min="7169" max="7169" width="74" style="104" bestFit="1" customWidth="1"/>
    <col min="7170" max="7423" width="9.44140625" style="104" customWidth="1"/>
    <col min="7424" max="7424" width="2.77734375" style="104" customWidth="1"/>
    <col min="7425" max="7425" width="74" style="104" bestFit="1" customWidth="1"/>
    <col min="7426" max="7679" width="9.44140625" style="104" customWidth="1"/>
    <col min="7680" max="7680" width="2.77734375" style="104" customWidth="1"/>
    <col min="7681" max="7681" width="74" style="104" bestFit="1" customWidth="1"/>
    <col min="7682" max="7935" width="9.44140625" style="104" customWidth="1"/>
    <col min="7936" max="7936" width="2.77734375" style="104" customWidth="1"/>
    <col min="7937" max="7937" width="74" style="104" bestFit="1" customWidth="1"/>
    <col min="7938" max="8191" width="9.44140625" style="104" customWidth="1"/>
    <col min="8192" max="8192" width="2.77734375" style="104" customWidth="1"/>
    <col min="8193" max="8193" width="74" style="104" bestFit="1" customWidth="1"/>
    <col min="8194" max="8447" width="9.44140625" style="104" customWidth="1"/>
    <col min="8448" max="8448" width="2.77734375" style="104" customWidth="1"/>
    <col min="8449" max="8449" width="74" style="104" bestFit="1" customWidth="1"/>
    <col min="8450" max="8703" width="9.44140625" style="104" customWidth="1"/>
    <col min="8704" max="8704" width="2.77734375" style="104" customWidth="1"/>
    <col min="8705" max="8705" width="74" style="104" bestFit="1" customWidth="1"/>
    <col min="8706" max="8959" width="9.44140625" style="104" customWidth="1"/>
    <col min="8960" max="8960" width="2.77734375" style="104" customWidth="1"/>
    <col min="8961" max="8961" width="74" style="104" bestFit="1" customWidth="1"/>
    <col min="8962" max="9215" width="9.44140625" style="104" customWidth="1"/>
    <col min="9216" max="9216" width="2.77734375" style="104" customWidth="1"/>
    <col min="9217" max="9217" width="74" style="104" bestFit="1" customWidth="1"/>
    <col min="9218" max="9471" width="9.44140625" style="104" customWidth="1"/>
    <col min="9472" max="9472" width="2.77734375" style="104" customWidth="1"/>
    <col min="9473" max="9473" width="74" style="104" bestFit="1" customWidth="1"/>
    <col min="9474" max="9727" width="9.44140625" style="104" customWidth="1"/>
    <col min="9728" max="9728" width="2.77734375" style="104" customWidth="1"/>
    <col min="9729" max="9729" width="74" style="104" bestFit="1" customWidth="1"/>
    <col min="9730" max="9983" width="9.44140625" style="104" customWidth="1"/>
    <col min="9984" max="9984" width="2.77734375" style="104" customWidth="1"/>
    <col min="9985" max="9985" width="74" style="104" bestFit="1" customWidth="1"/>
    <col min="9986" max="10239" width="9.44140625" style="104" customWidth="1"/>
    <col min="10240" max="10240" width="2.77734375" style="104" customWidth="1"/>
    <col min="10241" max="10241" width="74" style="104" bestFit="1" customWidth="1"/>
    <col min="10242" max="10495" width="9.44140625" style="104" customWidth="1"/>
    <col min="10496" max="10496" width="2.77734375" style="104" customWidth="1"/>
    <col min="10497" max="10497" width="74" style="104" bestFit="1" customWidth="1"/>
    <col min="10498" max="10751" width="9.44140625" style="104" customWidth="1"/>
    <col min="10752" max="10752" width="2.77734375" style="104" customWidth="1"/>
    <col min="10753" max="10753" width="74" style="104" bestFit="1" customWidth="1"/>
    <col min="10754" max="11007" width="9.44140625" style="104" customWidth="1"/>
    <col min="11008" max="11008" width="2.77734375" style="104" customWidth="1"/>
    <col min="11009" max="11009" width="74" style="104" bestFit="1" customWidth="1"/>
    <col min="11010" max="11263" width="9.44140625" style="104" customWidth="1"/>
    <col min="11264" max="11264" width="2.77734375" style="104" customWidth="1"/>
    <col min="11265" max="11265" width="74" style="104" bestFit="1" customWidth="1"/>
    <col min="11266" max="11519" width="9.44140625" style="104" customWidth="1"/>
    <col min="11520" max="11520" width="2.77734375" style="104" customWidth="1"/>
    <col min="11521" max="11521" width="74" style="104" bestFit="1" customWidth="1"/>
    <col min="11522" max="11775" width="9.44140625" style="104" customWidth="1"/>
    <col min="11776" max="11776" width="2.77734375" style="104" customWidth="1"/>
    <col min="11777" max="11777" width="74" style="104" bestFit="1" customWidth="1"/>
    <col min="11778" max="12031" width="9.44140625" style="104" customWidth="1"/>
    <col min="12032" max="12032" width="2.77734375" style="104" customWidth="1"/>
    <col min="12033" max="12033" width="74" style="104" bestFit="1" customWidth="1"/>
    <col min="12034" max="12287" width="9.44140625" style="104" customWidth="1"/>
    <col min="12288" max="12288" width="2.77734375" style="104" customWidth="1"/>
    <col min="12289" max="12289" width="74" style="104" bestFit="1" customWidth="1"/>
    <col min="12290" max="12543" width="9.44140625" style="104" customWidth="1"/>
    <col min="12544" max="12544" width="2.77734375" style="104" customWidth="1"/>
    <col min="12545" max="12545" width="74" style="104" bestFit="1" customWidth="1"/>
    <col min="12546" max="12799" width="9.44140625" style="104" customWidth="1"/>
    <col min="12800" max="12800" width="2.77734375" style="104" customWidth="1"/>
    <col min="12801" max="12801" width="74" style="104" bestFit="1" customWidth="1"/>
    <col min="12802" max="13055" width="9.44140625" style="104" customWidth="1"/>
    <col min="13056" max="13056" width="2.77734375" style="104" customWidth="1"/>
    <col min="13057" max="13057" width="74" style="104" bestFit="1" customWidth="1"/>
    <col min="13058" max="13311" width="9.44140625" style="104" customWidth="1"/>
    <col min="13312" max="13312" width="2.77734375" style="104" customWidth="1"/>
    <col min="13313" max="13313" width="74" style="104" bestFit="1" customWidth="1"/>
    <col min="13314" max="13567" width="9.44140625" style="104" customWidth="1"/>
    <col min="13568" max="13568" width="2.77734375" style="104" customWidth="1"/>
    <col min="13569" max="13569" width="74" style="104" bestFit="1" customWidth="1"/>
    <col min="13570" max="13823" width="9.44140625" style="104" customWidth="1"/>
    <col min="13824" max="13824" width="2.77734375" style="104" customWidth="1"/>
    <col min="13825" max="13825" width="74" style="104" bestFit="1" customWidth="1"/>
    <col min="13826" max="14079" width="9.44140625" style="104" customWidth="1"/>
    <col min="14080" max="14080" width="2.77734375" style="104" customWidth="1"/>
    <col min="14081" max="14081" width="74" style="104" bestFit="1" customWidth="1"/>
    <col min="14082" max="14335" width="9.44140625" style="104" customWidth="1"/>
    <col min="14336" max="14336" width="2.77734375" style="104" customWidth="1"/>
    <col min="14337" max="14337" width="74" style="104" bestFit="1" customWidth="1"/>
    <col min="14338" max="14591" width="9.44140625" style="104" customWidth="1"/>
    <col min="14592" max="14592" width="2.77734375" style="104" customWidth="1"/>
    <col min="14593" max="14593" width="74" style="104" bestFit="1" customWidth="1"/>
    <col min="14594" max="14847" width="9.44140625" style="104" customWidth="1"/>
    <col min="14848" max="14848" width="2.77734375" style="104" customWidth="1"/>
    <col min="14849" max="14849" width="74" style="104" bestFit="1" customWidth="1"/>
    <col min="14850" max="15103" width="9.44140625" style="104" customWidth="1"/>
    <col min="15104" max="15104" width="2.77734375" style="104" customWidth="1"/>
    <col min="15105" max="15105" width="74" style="104" bestFit="1" customWidth="1"/>
    <col min="15106" max="15359" width="9.44140625" style="104" customWidth="1"/>
    <col min="15360" max="15360" width="2.77734375" style="104" customWidth="1"/>
    <col min="15361" max="15361" width="74" style="104" bestFit="1" customWidth="1"/>
    <col min="15362" max="15615" width="9.44140625" style="104" customWidth="1"/>
    <col min="15616" max="15616" width="2.77734375" style="104" customWidth="1"/>
    <col min="15617" max="15617" width="74" style="104" bestFit="1" customWidth="1"/>
    <col min="15618" max="15871" width="9.44140625" style="104" customWidth="1"/>
    <col min="15872" max="15872" width="2.77734375" style="104" customWidth="1"/>
    <col min="15873" max="15873" width="74" style="104" bestFit="1" customWidth="1"/>
    <col min="15874" max="16127" width="9.44140625" style="104" customWidth="1"/>
    <col min="16128" max="16128" width="2.77734375" style="104" customWidth="1"/>
    <col min="16129" max="16129" width="74" style="104" bestFit="1" customWidth="1"/>
    <col min="16130" max="16384" width="9.44140625" style="104" customWidth="1"/>
  </cols>
  <sheetData>
    <row r="1" spans="1:11" ht="84" customHeight="1" x14ac:dyDescent="0.25"/>
    <row r="2" spans="1:11" ht="22.8" x14ac:dyDescent="0.25">
      <c r="A2" s="105" t="s">
        <v>220</v>
      </c>
    </row>
    <row r="3" spans="1:11" ht="22.8" x14ac:dyDescent="0.25">
      <c r="A3" s="105" t="s">
        <v>221</v>
      </c>
    </row>
    <row r="4" spans="1:11" ht="45" customHeight="1" x14ac:dyDescent="0.3">
      <c r="A4" s="106" t="s">
        <v>238</v>
      </c>
      <c r="C4" s="107"/>
      <c r="K4" s="108"/>
    </row>
    <row r="5" spans="1:11" ht="32.25" customHeight="1" x14ac:dyDescent="0.25">
      <c r="A5" s="109" t="s">
        <v>222</v>
      </c>
      <c r="B5" s="109"/>
    </row>
    <row r="6" spans="1:11" ht="15" x14ac:dyDescent="0.25">
      <c r="A6" s="110" t="s">
        <v>223</v>
      </c>
      <c r="B6" s="109"/>
    </row>
    <row r="7" spans="1:11" ht="15.6" x14ac:dyDescent="0.3">
      <c r="A7" s="111" t="s">
        <v>224</v>
      </c>
      <c r="B7" s="112"/>
    </row>
    <row r="8" spans="1:11" ht="28.5" customHeight="1" x14ac:dyDescent="0.25">
      <c r="A8" s="109" t="s">
        <v>225</v>
      </c>
      <c r="B8" s="111"/>
    </row>
    <row r="9" spans="1:11" ht="15" x14ac:dyDescent="0.25">
      <c r="A9" s="109" t="s">
        <v>226</v>
      </c>
      <c r="B9" s="111"/>
    </row>
    <row r="10" spans="1:11" ht="30" customHeight="1" x14ac:dyDescent="0.25">
      <c r="A10" s="109" t="s">
        <v>227</v>
      </c>
    </row>
    <row r="11" spans="1:11" ht="15" x14ac:dyDescent="0.25">
      <c r="A11" s="113" t="s">
        <v>228</v>
      </c>
    </row>
    <row r="12" spans="1:11" ht="26.25" customHeight="1" x14ac:dyDescent="0.25">
      <c r="A12" s="109" t="s">
        <v>229</v>
      </c>
    </row>
    <row r="13" spans="1:11" ht="15" x14ac:dyDescent="0.25">
      <c r="A13" s="109" t="s">
        <v>242</v>
      </c>
    </row>
    <row r="14" spans="1:11" ht="15" x14ac:dyDescent="0.25">
      <c r="A14" s="113" t="s">
        <v>243</v>
      </c>
    </row>
  </sheetData>
  <hyperlinks>
    <hyperlink ref="A6" r:id="rId1" xr:uid="{D984F611-7A4B-4A13-A464-6D6BE845923E}"/>
    <hyperlink ref="A11" location="Contents!A1" display="Contents" xr:uid="{CE2B4722-DA9F-4D21-9C0D-9A14809F2EBF}"/>
    <hyperlink ref="A14" r:id="rId2" display="If you find any problems, or have any feedback, relating to accessibility please email us at firestatistics@homeoffice.gov.uk" xr:uid="{593082A6-4404-42BB-82FA-21BE40E19926}"/>
  </hyperlinks>
  <pageMargins left="0.70000000000000007" right="0.70000000000000007" top="0.75" bottom="0.75" header="0.30000000000000004" footer="0.30000000000000004"/>
  <pageSetup paperSize="9" fitToWidth="0" fitToHeight="0" orientation="landscape"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65401-798D-488D-ADF1-8DAAD1FD1657}">
  <dimension ref="A1:D25"/>
  <sheetViews>
    <sheetView workbookViewId="0">
      <selection activeCell="A4" sqref="A4"/>
    </sheetView>
  </sheetViews>
  <sheetFormatPr defaultColWidth="9.44140625" defaultRowHeight="13.8" x14ac:dyDescent="0.25"/>
  <cols>
    <col min="1" max="1" width="24.5546875" style="128" customWidth="1"/>
    <col min="2" max="2" width="106.21875" style="129" customWidth="1"/>
    <col min="3" max="3" width="25" style="128" customWidth="1"/>
    <col min="4" max="4" width="16.21875" style="128" customWidth="1"/>
    <col min="5" max="5" width="9.44140625" style="128" customWidth="1"/>
    <col min="6" max="16384" width="9.44140625" style="128"/>
  </cols>
  <sheetData>
    <row r="1" spans="1:4" s="115" customFormat="1" ht="15.6" customHeight="1" x14ac:dyDescent="0.25">
      <c r="A1" s="114" t="s">
        <v>220</v>
      </c>
      <c r="C1" s="116"/>
      <c r="D1" s="116"/>
    </row>
    <row r="2" spans="1:4" s="115" customFormat="1" ht="21.6" customHeight="1" x14ac:dyDescent="0.25">
      <c r="A2" s="114" t="s">
        <v>230</v>
      </c>
      <c r="C2" s="116"/>
      <c r="D2" s="116"/>
    </row>
    <row r="3" spans="1:4" s="117" customFormat="1" ht="18" customHeight="1" x14ac:dyDescent="0.2">
      <c r="A3" s="117" t="s">
        <v>231</v>
      </c>
      <c r="C3" s="118"/>
      <c r="D3" s="118"/>
    </row>
    <row r="4" spans="1:4" s="117" customFormat="1" ht="18" customHeight="1" x14ac:dyDescent="0.2">
      <c r="A4" s="119" t="s">
        <v>232</v>
      </c>
      <c r="C4" s="118"/>
      <c r="D4" s="118"/>
    </row>
    <row r="5" spans="1:4" s="122" customFormat="1" ht="24" customHeight="1" x14ac:dyDescent="0.3">
      <c r="A5" s="120" t="s">
        <v>233</v>
      </c>
      <c r="B5" s="120" t="s">
        <v>234</v>
      </c>
      <c r="C5" s="120" t="s">
        <v>235</v>
      </c>
      <c r="D5" s="121" t="s">
        <v>236</v>
      </c>
    </row>
    <row r="6" spans="1:4" s="126" customFormat="1" ht="12.75" customHeight="1" x14ac:dyDescent="0.2">
      <c r="A6" s="119" t="s">
        <v>240</v>
      </c>
      <c r="B6" s="123" t="s">
        <v>239</v>
      </c>
      <c r="C6" s="124" t="s">
        <v>237</v>
      </c>
      <c r="D6" s="125" t="s">
        <v>178</v>
      </c>
    </row>
    <row r="7" spans="1:4" s="126" customFormat="1" ht="13.95" customHeight="1" x14ac:dyDescent="0.2">
      <c r="A7" s="127"/>
      <c r="B7" s="123"/>
      <c r="C7" s="124"/>
      <c r="D7" s="125"/>
    </row>
    <row r="8" spans="1:4" s="126" customFormat="1" ht="12.75" customHeight="1" x14ac:dyDescent="0.2">
      <c r="A8" s="127"/>
      <c r="B8" s="123"/>
      <c r="C8" s="124"/>
      <c r="D8" s="125"/>
    </row>
    <row r="9" spans="1:4" s="126" customFormat="1" ht="13.95" customHeight="1" x14ac:dyDescent="0.2">
      <c r="A9" s="127"/>
      <c r="B9" s="123"/>
      <c r="C9" s="124"/>
      <c r="D9" s="125"/>
    </row>
    <row r="10" spans="1:4" s="122" customFormat="1" ht="14.4" x14ac:dyDescent="0.3">
      <c r="A10" s="128"/>
      <c r="B10" s="129"/>
      <c r="C10" s="130"/>
      <c r="D10" s="128"/>
    </row>
    <row r="11" spans="1:4" s="122" customFormat="1" ht="14.4" x14ac:dyDescent="0.3">
      <c r="A11" s="128"/>
      <c r="B11" s="129"/>
      <c r="C11" s="130"/>
      <c r="D11" s="128"/>
    </row>
    <row r="12" spans="1:4" s="122" customFormat="1" ht="14.4" x14ac:dyDescent="0.3">
      <c r="A12" s="128"/>
      <c r="B12" s="129"/>
      <c r="C12" s="130"/>
      <c r="D12" s="128"/>
    </row>
    <row r="13" spans="1:4" s="122" customFormat="1" ht="14.4" x14ac:dyDescent="0.3">
      <c r="A13" s="128"/>
      <c r="B13" s="129"/>
      <c r="C13" s="130"/>
      <c r="D13" s="128"/>
    </row>
    <row r="14" spans="1:4" s="122" customFormat="1" ht="14.4" x14ac:dyDescent="0.3">
      <c r="A14" s="128"/>
      <c r="B14" s="129"/>
      <c r="C14" s="130"/>
      <c r="D14" s="128"/>
    </row>
    <row r="15" spans="1:4" s="122" customFormat="1" ht="14.4" x14ac:dyDescent="0.3">
      <c r="A15" s="128"/>
      <c r="B15" s="129"/>
      <c r="C15" s="130"/>
      <c r="D15" s="128"/>
    </row>
    <row r="16" spans="1:4" s="122" customFormat="1" ht="14.4" x14ac:dyDescent="0.3">
      <c r="A16" s="128"/>
      <c r="B16" s="129"/>
      <c r="C16" s="130"/>
      <c r="D16" s="128"/>
    </row>
    <row r="17" spans="1:4" s="122" customFormat="1" ht="14.4" x14ac:dyDescent="0.3">
      <c r="A17" s="128"/>
      <c r="B17" s="129"/>
      <c r="C17" s="130"/>
      <c r="D17" s="128"/>
    </row>
    <row r="18" spans="1:4" s="122" customFormat="1" ht="14.4" x14ac:dyDescent="0.3">
      <c r="A18" s="128"/>
      <c r="B18" s="129"/>
      <c r="C18" s="130"/>
      <c r="D18" s="128"/>
    </row>
    <row r="19" spans="1:4" s="122" customFormat="1" ht="14.4" x14ac:dyDescent="0.3">
      <c r="A19" s="128"/>
      <c r="B19" s="129"/>
      <c r="C19" s="130"/>
      <c r="D19" s="128"/>
    </row>
    <row r="20" spans="1:4" s="122" customFormat="1" ht="14.4" x14ac:dyDescent="0.3">
      <c r="A20" s="128"/>
      <c r="B20" s="129"/>
      <c r="C20" s="130"/>
      <c r="D20" s="128"/>
    </row>
    <row r="21" spans="1:4" s="122" customFormat="1" ht="14.4" x14ac:dyDescent="0.3">
      <c r="A21" s="128"/>
      <c r="B21" s="129"/>
      <c r="C21" s="130"/>
      <c r="D21" s="128"/>
    </row>
    <row r="22" spans="1:4" s="122" customFormat="1" ht="14.4" x14ac:dyDescent="0.3">
      <c r="B22" s="129"/>
      <c r="C22" s="130"/>
      <c r="D22" s="128"/>
    </row>
    <row r="23" spans="1:4" s="122" customFormat="1" ht="14.4" x14ac:dyDescent="0.3">
      <c r="B23" s="129"/>
      <c r="C23" s="130"/>
      <c r="D23" s="128"/>
    </row>
    <row r="24" spans="1:4" s="122" customFormat="1" ht="14.4" x14ac:dyDescent="0.3">
      <c r="B24" s="129"/>
      <c r="C24" s="130"/>
      <c r="D24" s="128"/>
    </row>
    <row r="25" spans="1:4" s="122" customFormat="1" ht="14.4" x14ac:dyDescent="0.3">
      <c r="B25" s="129"/>
      <c r="C25" s="130"/>
      <c r="D25" s="128"/>
    </row>
  </sheetData>
  <hyperlinks>
    <hyperlink ref="A4" location="Cover_sheet!A1" display="Cover sheet" xr:uid="{2F223DB6-5A7B-47A5-9A80-4815F1BBC449}"/>
    <hyperlink ref="A6" location="FIRE1121!A1" display="FIRE1121" xr:uid="{CBB0F3BD-FFE4-401D-84BD-F0BD79F931F6}"/>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L80"/>
  <sheetViews>
    <sheetView zoomScaleNormal="100" workbookViewId="0">
      <pane ySplit="5" topLeftCell="A6" activePane="bottomLeft" state="frozen"/>
      <selection pane="bottomLeft"/>
    </sheetView>
  </sheetViews>
  <sheetFormatPr defaultColWidth="9.21875" defaultRowHeight="14.4" x14ac:dyDescent="0.3"/>
  <cols>
    <col min="1" max="1" width="50.77734375" style="4" customWidth="1"/>
    <col min="2" max="5" width="8.77734375" style="4" customWidth="1"/>
    <col min="6" max="6" width="9.77734375" style="4" customWidth="1"/>
    <col min="7" max="7" width="8.77734375" style="4" customWidth="1"/>
    <col min="8" max="8" width="9.77734375" style="4" customWidth="1"/>
    <col min="9" max="9" width="8.77734375" style="4" customWidth="1"/>
    <col min="10" max="10" width="2.77734375" style="4" customWidth="1"/>
    <col min="11" max="14" width="8.77734375" style="4" customWidth="1"/>
    <col min="15" max="15" width="9.77734375" style="4" customWidth="1"/>
    <col min="16" max="16" width="8.77734375" style="4" customWidth="1"/>
    <col min="17" max="17" width="9.77734375" style="4" customWidth="1"/>
    <col min="18" max="18" width="8.77734375" style="4" customWidth="1"/>
    <col min="19" max="19" width="2.77734375" style="4" customWidth="1"/>
    <col min="20" max="23" width="8.77734375" style="4" customWidth="1"/>
    <col min="24" max="24" width="11.77734375" style="4" customWidth="1"/>
    <col min="25" max="25" width="8.77734375" style="4" customWidth="1"/>
    <col min="26" max="26" width="11.77734375" style="4" customWidth="1"/>
    <col min="27" max="27" width="9.77734375" style="4" customWidth="1"/>
    <col min="28" max="28" width="2.77734375" style="4" customWidth="1"/>
    <col min="29" max="32" width="8.77734375" style="4" customWidth="1"/>
    <col min="33" max="33" width="9.77734375" style="4" customWidth="1"/>
    <col min="34" max="34" width="8.77734375" style="4" customWidth="1"/>
    <col min="35" max="35" width="9.77734375" style="4" customWidth="1"/>
    <col min="36" max="36" width="8.77734375" style="4" customWidth="1"/>
    <col min="37" max="37" width="2.77734375" style="4" customWidth="1"/>
    <col min="38" max="41" width="8.77734375" style="4" customWidth="1"/>
    <col min="42" max="42" width="9.77734375" style="4" customWidth="1"/>
    <col min="43" max="43" width="8.77734375" style="4" customWidth="1"/>
    <col min="44" max="44" width="9.77734375" style="4" customWidth="1"/>
    <col min="45" max="45" width="8.77734375" style="4" customWidth="1"/>
    <col min="46" max="46" width="2.77734375" style="4" customWidth="1"/>
    <col min="47" max="50" width="8.77734375" style="4" customWidth="1"/>
    <col min="51" max="51" width="11.77734375" style="4" customWidth="1"/>
    <col min="52" max="52" width="8.77734375" style="4" customWidth="1"/>
    <col min="53" max="53" width="11.77734375" style="4" customWidth="1"/>
    <col min="54" max="54" width="9.77734375" style="4" customWidth="1"/>
    <col min="55" max="55" width="9.21875" style="4"/>
    <col min="56" max="56" width="8.44140625" style="4" hidden="1" customWidth="1"/>
    <col min="57" max="16384" width="9.21875" style="4"/>
  </cols>
  <sheetData>
    <row r="1" spans="1:64" s="1" customFormat="1" ht="18.75" customHeight="1" x14ac:dyDescent="0.45">
      <c r="A1" s="131" t="s">
        <v>86</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row>
    <row r="2" spans="1:64" s="1" customFormat="1" ht="33.75" customHeight="1" x14ac:dyDescent="0.45">
      <c r="A2" s="21" t="s">
        <v>87</v>
      </c>
      <c r="B2" s="39"/>
      <c r="C2" s="39"/>
      <c r="D2" s="39"/>
      <c r="E2" s="39"/>
      <c r="F2" s="39"/>
      <c r="G2" s="39"/>
      <c r="H2" s="39"/>
      <c r="I2" s="39"/>
      <c r="J2" s="140" t="s">
        <v>244</v>
      </c>
      <c r="K2" s="39"/>
      <c r="L2" s="39"/>
      <c r="M2" s="44"/>
      <c r="N2" s="44"/>
      <c r="O2" s="44"/>
      <c r="P2" s="44"/>
      <c r="Q2" s="44"/>
      <c r="R2" s="44"/>
      <c r="S2" s="140" t="s">
        <v>244</v>
      </c>
      <c r="T2" s="44"/>
      <c r="U2" s="44"/>
      <c r="V2" s="44"/>
      <c r="W2" s="44"/>
      <c r="X2" s="44"/>
      <c r="Y2" s="44"/>
      <c r="Z2" s="44"/>
      <c r="AA2" s="44"/>
      <c r="AB2" s="140" t="s">
        <v>244</v>
      </c>
      <c r="AC2" s="44"/>
      <c r="AD2" s="44"/>
      <c r="AE2" s="44"/>
      <c r="AF2" s="44"/>
      <c r="AG2" s="44"/>
      <c r="AH2" s="44"/>
      <c r="AI2" s="44"/>
      <c r="AJ2" s="44"/>
      <c r="AK2" s="140" t="s">
        <v>244</v>
      </c>
      <c r="AL2" s="44"/>
      <c r="AM2" s="44"/>
      <c r="AN2" s="44"/>
      <c r="AO2" s="44"/>
      <c r="AP2" s="44"/>
      <c r="AQ2" s="44"/>
      <c r="AR2" s="44"/>
      <c r="AS2" s="44"/>
      <c r="AT2" s="140" t="s">
        <v>244</v>
      </c>
      <c r="AU2" s="44"/>
      <c r="AV2" s="44"/>
      <c r="AW2" s="44"/>
      <c r="AX2" s="44"/>
      <c r="AY2" s="44"/>
      <c r="AZ2" s="44"/>
      <c r="BA2" s="44"/>
      <c r="BB2" s="44"/>
    </row>
    <row r="3" spans="1:64" s="1" customFormat="1" ht="17.399999999999999" x14ac:dyDescent="0.45">
      <c r="A3" s="132" t="s">
        <v>210</v>
      </c>
      <c r="B3" s="102"/>
      <c r="C3" s="102"/>
      <c r="D3" s="102"/>
      <c r="E3" s="102"/>
      <c r="F3" s="102"/>
      <c r="G3" s="102"/>
      <c r="H3" s="102"/>
      <c r="I3" s="139"/>
      <c r="J3" s="140" t="s">
        <v>244</v>
      </c>
      <c r="K3" s="102"/>
      <c r="L3" s="102"/>
      <c r="M3" s="44"/>
      <c r="N3" s="44"/>
      <c r="O3" s="44"/>
      <c r="P3" s="44"/>
      <c r="Q3" s="44"/>
      <c r="R3" s="44"/>
      <c r="S3" s="140" t="s">
        <v>244</v>
      </c>
      <c r="T3" s="44"/>
      <c r="U3" s="44"/>
      <c r="V3" s="44"/>
      <c r="W3" s="44"/>
      <c r="X3" s="44"/>
      <c r="Y3" s="44"/>
      <c r="Z3" s="44"/>
      <c r="AA3" s="44"/>
      <c r="AB3" s="140" t="s">
        <v>244</v>
      </c>
      <c r="AC3" s="44"/>
      <c r="AD3" s="44"/>
      <c r="AE3" s="44"/>
      <c r="AF3" s="44"/>
      <c r="AG3" s="44"/>
      <c r="AH3" s="44"/>
      <c r="AI3" s="44"/>
      <c r="AJ3" s="44"/>
      <c r="AK3" s="140" t="s">
        <v>244</v>
      </c>
      <c r="AL3" s="44"/>
      <c r="AM3" s="44"/>
      <c r="AN3" s="44"/>
      <c r="AO3" s="44"/>
      <c r="AP3" s="44"/>
      <c r="AQ3" s="44"/>
      <c r="AR3" s="44"/>
      <c r="AS3" s="44"/>
      <c r="AT3" s="140" t="s">
        <v>244</v>
      </c>
      <c r="AU3" s="44"/>
      <c r="AV3" s="44"/>
      <c r="AW3" s="44"/>
      <c r="AX3" s="44"/>
      <c r="AY3" s="44"/>
      <c r="AZ3" s="44"/>
      <c r="BA3" s="44"/>
      <c r="BB3" s="44"/>
    </row>
    <row r="4" spans="1:64" s="8" customFormat="1" ht="15.75" customHeight="1" thickBot="1" x14ac:dyDescent="0.35">
      <c r="A4" s="4"/>
      <c r="E4" s="133" t="s">
        <v>91</v>
      </c>
      <c r="F4" s="133"/>
      <c r="G4" s="133"/>
      <c r="H4" s="133"/>
      <c r="I4" s="133"/>
      <c r="J4" s="140" t="s">
        <v>244</v>
      </c>
      <c r="L4" s="134"/>
      <c r="M4" s="134"/>
      <c r="N4" s="134" t="s">
        <v>206</v>
      </c>
      <c r="O4" s="134"/>
      <c r="P4" s="134"/>
      <c r="Q4" s="134"/>
      <c r="R4" s="134"/>
      <c r="S4" s="140" t="s">
        <v>244</v>
      </c>
      <c r="U4" s="135"/>
      <c r="V4" s="135"/>
      <c r="W4" s="135" t="s">
        <v>2</v>
      </c>
      <c r="X4" s="135"/>
      <c r="Y4" s="135"/>
      <c r="Z4" s="135"/>
      <c r="AA4" s="7"/>
      <c r="AB4" s="140" t="s">
        <v>244</v>
      </c>
      <c r="AD4" s="134"/>
      <c r="AE4" s="134"/>
      <c r="AF4" s="134" t="s">
        <v>92</v>
      </c>
      <c r="AG4" s="134"/>
      <c r="AH4" s="134"/>
      <c r="AI4" s="134"/>
      <c r="AJ4" s="40"/>
      <c r="AK4" s="140" t="s">
        <v>244</v>
      </c>
      <c r="AM4" s="134"/>
      <c r="AN4" s="134"/>
      <c r="AO4" s="134" t="s">
        <v>4</v>
      </c>
      <c r="AP4" s="134"/>
      <c r="AQ4" s="134"/>
      <c r="AR4" s="134"/>
      <c r="AS4" s="40"/>
      <c r="AT4" s="140" t="s">
        <v>244</v>
      </c>
      <c r="AV4" s="135"/>
      <c r="AW4" s="135"/>
      <c r="AX4" s="135" t="s">
        <v>5</v>
      </c>
      <c r="AY4" s="135"/>
      <c r="AZ4" s="135"/>
      <c r="BA4" s="135"/>
      <c r="BB4" s="135"/>
    </row>
    <row r="5" spans="1:64" s="15" customFormat="1" ht="58.2" thickBot="1" x14ac:dyDescent="0.35">
      <c r="A5" s="9" t="s">
        <v>6</v>
      </c>
      <c r="B5" s="10" t="s">
        <v>7</v>
      </c>
      <c r="C5" s="10" t="s">
        <v>8</v>
      </c>
      <c r="D5" s="10" t="s">
        <v>9</v>
      </c>
      <c r="E5" s="10" t="s">
        <v>10</v>
      </c>
      <c r="F5" s="10" t="s">
        <v>11</v>
      </c>
      <c r="G5" s="10" t="s">
        <v>12</v>
      </c>
      <c r="H5" s="14" t="s">
        <v>13</v>
      </c>
      <c r="I5" s="11" t="s">
        <v>14</v>
      </c>
      <c r="J5" s="140" t="s">
        <v>244</v>
      </c>
      <c r="K5" s="10" t="s">
        <v>7</v>
      </c>
      <c r="L5" s="10" t="s">
        <v>8</v>
      </c>
      <c r="M5" s="10" t="s">
        <v>9</v>
      </c>
      <c r="N5" s="10" t="s">
        <v>10</v>
      </c>
      <c r="O5" s="10" t="s">
        <v>11</v>
      </c>
      <c r="P5" s="10" t="s">
        <v>12</v>
      </c>
      <c r="Q5" s="14" t="s">
        <v>13</v>
      </c>
      <c r="R5" s="11" t="s">
        <v>14</v>
      </c>
      <c r="S5" s="140" t="s">
        <v>244</v>
      </c>
      <c r="T5" s="13" t="s">
        <v>7</v>
      </c>
      <c r="U5" s="13" t="s">
        <v>8</v>
      </c>
      <c r="V5" s="13" t="s">
        <v>9</v>
      </c>
      <c r="W5" s="13" t="s">
        <v>10</v>
      </c>
      <c r="X5" s="13" t="s">
        <v>11</v>
      </c>
      <c r="Y5" s="13" t="s">
        <v>12</v>
      </c>
      <c r="Z5" s="14" t="s">
        <v>13</v>
      </c>
      <c r="AA5" s="14" t="s">
        <v>14</v>
      </c>
      <c r="AB5" s="140" t="s">
        <v>244</v>
      </c>
      <c r="AC5" s="10" t="s">
        <v>7</v>
      </c>
      <c r="AD5" s="10" t="s">
        <v>8</v>
      </c>
      <c r="AE5" s="10" t="s">
        <v>9</v>
      </c>
      <c r="AF5" s="10" t="s">
        <v>10</v>
      </c>
      <c r="AG5" s="10" t="s">
        <v>11</v>
      </c>
      <c r="AH5" s="10" t="s">
        <v>12</v>
      </c>
      <c r="AI5" s="14" t="s">
        <v>13</v>
      </c>
      <c r="AJ5" s="11" t="s">
        <v>14</v>
      </c>
      <c r="AK5" s="140" t="s">
        <v>244</v>
      </c>
      <c r="AL5" s="10" t="s">
        <v>7</v>
      </c>
      <c r="AM5" s="10" t="s">
        <v>8</v>
      </c>
      <c r="AN5" s="10" t="s">
        <v>9</v>
      </c>
      <c r="AO5" s="10" t="s">
        <v>10</v>
      </c>
      <c r="AP5" s="10" t="s">
        <v>11</v>
      </c>
      <c r="AQ5" s="10" t="s">
        <v>12</v>
      </c>
      <c r="AR5" s="14" t="s">
        <v>13</v>
      </c>
      <c r="AS5" s="11" t="s">
        <v>14</v>
      </c>
      <c r="AT5" s="140" t="s">
        <v>244</v>
      </c>
      <c r="AU5" s="13" t="s">
        <v>7</v>
      </c>
      <c r="AV5" s="13" t="s">
        <v>8</v>
      </c>
      <c r="AW5" s="13" t="s">
        <v>9</v>
      </c>
      <c r="AX5" s="13" t="s">
        <v>10</v>
      </c>
      <c r="AY5" s="13" t="s">
        <v>11</v>
      </c>
      <c r="AZ5" s="13" t="s">
        <v>12</v>
      </c>
      <c r="BA5" s="14" t="s">
        <v>13</v>
      </c>
      <c r="BB5" s="14" t="s">
        <v>14</v>
      </c>
    </row>
    <row r="6" spans="1:64" s="8" customFormat="1" ht="15" customHeight="1" x14ac:dyDescent="0.3">
      <c r="A6" s="16" t="s">
        <v>15</v>
      </c>
      <c r="B6" s="22">
        <f ca="1">B7+B47</f>
        <v>958</v>
      </c>
      <c r="C6" s="22">
        <f t="shared" ref="C6:G6" ca="1" si="0">C7+C47</f>
        <v>51</v>
      </c>
      <c r="D6" s="22">
        <f t="shared" ca="1" si="0"/>
        <v>10</v>
      </c>
      <c r="E6" s="22">
        <f t="shared" ca="1" si="0"/>
        <v>24</v>
      </c>
      <c r="F6" s="22">
        <f t="shared" ca="1" si="0"/>
        <v>14</v>
      </c>
      <c r="G6" s="22">
        <f t="shared" ca="1" si="0"/>
        <v>175</v>
      </c>
      <c r="H6" s="100">
        <f ca="1">IF(SUM(B6:F6)=0,"-",(SUM(C6:F6)/SUM(B6:F6)))</f>
        <v>9.3661305581835386E-2</v>
      </c>
      <c r="I6" s="46">
        <f ca="1">IF(SUM(B6:G6)=0,"-",(G6/SUM(B6:G6)))</f>
        <v>0.14204545454545456</v>
      </c>
      <c r="J6" s="140" t="s">
        <v>244</v>
      </c>
      <c r="K6" s="22">
        <f t="shared" ref="K6:P6" ca="1" si="1">K7+K47</f>
        <v>1139</v>
      </c>
      <c r="L6" s="22">
        <f t="shared" ca="1" si="1"/>
        <v>10</v>
      </c>
      <c r="M6" s="22">
        <f t="shared" ca="1" si="1"/>
        <v>3</v>
      </c>
      <c r="N6" s="22">
        <f t="shared" ca="1" si="1"/>
        <v>5</v>
      </c>
      <c r="O6" s="22">
        <f t="shared" ca="1" si="1"/>
        <v>6</v>
      </c>
      <c r="P6" s="22">
        <f t="shared" ca="1" si="1"/>
        <v>450</v>
      </c>
      <c r="Q6" s="100">
        <f ca="1">IF(SUM(K6:O6)=0,"-",(SUM(L6:O6)/SUM(K6:O6)))</f>
        <v>2.063628546861565E-2</v>
      </c>
      <c r="R6" s="46">
        <f ca="1">IF(SUM(K6:P6)=0,"-",(P6/SUM(K6:P6)))</f>
        <v>0.27898326100433973</v>
      </c>
      <c r="S6" s="140" t="s">
        <v>244</v>
      </c>
      <c r="T6" s="17">
        <f ca="1">B6+K6</f>
        <v>2097</v>
      </c>
      <c r="U6" s="17">
        <f t="shared" ref="U6:Y21" ca="1" si="2">C6+L6</f>
        <v>61</v>
      </c>
      <c r="V6" s="17">
        <f t="shared" ca="1" si="2"/>
        <v>13</v>
      </c>
      <c r="W6" s="17">
        <f t="shared" ca="1" si="2"/>
        <v>29</v>
      </c>
      <c r="X6" s="17">
        <f t="shared" ca="1" si="2"/>
        <v>20</v>
      </c>
      <c r="Y6" s="17">
        <f t="shared" ca="1" si="2"/>
        <v>625</v>
      </c>
      <c r="Z6" s="101">
        <f ca="1">IF(SUM(T6:X6)=0,"-",(SUM(U6:X6)/SUM(T6:X6)))</f>
        <v>5.5405405405405408E-2</v>
      </c>
      <c r="AA6" s="100">
        <f ca="1">IF(SUM(T6:Y6)=0,"-",(Y6/SUM(T6:Y6)))</f>
        <v>0.21968365553602812</v>
      </c>
      <c r="AB6" s="140" t="s">
        <v>244</v>
      </c>
      <c r="AC6" s="22">
        <f t="shared" ref="AC6:AH6" ca="1" si="3">AC7+AC47</f>
        <v>101</v>
      </c>
      <c r="AD6" s="22">
        <f t="shared" ca="1" si="3"/>
        <v>1</v>
      </c>
      <c r="AE6" s="22">
        <f t="shared" ca="1" si="3"/>
        <v>1</v>
      </c>
      <c r="AF6" s="22">
        <f t="shared" ca="1" si="3"/>
        <v>1</v>
      </c>
      <c r="AG6" s="22">
        <f t="shared" ca="1" si="3"/>
        <v>1</v>
      </c>
      <c r="AH6" s="22">
        <f t="shared" ca="1" si="3"/>
        <v>14</v>
      </c>
      <c r="AI6" s="100">
        <f ca="1">IF(SUM(AC6:AG6)=0,"-",(SUM(AD6:AG6)/SUM(AC6:AG6)))</f>
        <v>3.8095238095238099E-2</v>
      </c>
      <c r="AJ6" s="46">
        <f ca="1">IF(SUM(AC6:AH6)=0,"-",(AH6/SUM(AC6:AH6)))</f>
        <v>0.11764705882352941</v>
      </c>
      <c r="AK6" s="140" t="s">
        <v>244</v>
      </c>
      <c r="AL6" s="22">
        <f t="shared" ref="AL6:AQ6" ca="1" si="4">AL7+AL47</f>
        <v>749</v>
      </c>
      <c r="AM6" s="22">
        <f t="shared" ca="1" si="4"/>
        <v>16</v>
      </c>
      <c r="AN6" s="22">
        <f t="shared" ca="1" si="4"/>
        <v>26</v>
      </c>
      <c r="AO6" s="22">
        <f t="shared" ca="1" si="4"/>
        <v>28</v>
      </c>
      <c r="AP6" s="22">
        <f t="shared" ca="1" si="4"/>
        <v>6</v>
      </c>
      <c r="AQ6" s="22">
        <f t="shared" ca="1" si="4"/>
        <v>259</v>
      </c>
      <c r="AR6" s="100">
        <f ca="1">IF(SUM(AL6:AP6)=0,"-",(SUM(AM6:AP6)/SUM(AL6:AP6)))</f>
        <v>9.2121212121212118E-2</v>
      </c>
      <c r="AS6" s="46">
        <f ca="1">IF(SUM(AL6:AQ6)=0,"-",(AQ6/SUM(AL6:AQ6)))</f>
        <v>0.238929889298893</v>
      </c>
      <c r="AT6" s="140" t="s">
        <v>244</v>
      </c>
      <c r="AU6" s="17">
        <f ca="1">AL6+AC6+T6</f>
        <v>2947</v>
      </c>
      <c r="AV6" s="17">
        <f t="shared" ref="AV6:AZ21" ca="1" si="5">AM6+AD6+U6</f>
        <v>78</v>
      </c>
      <c r="AW6" s="17">
        <f t="shared" ca="1" si="5"/>
        <v>40</v>
      </c>
      <c r="AX6" s="17">
        <f t="shared" ca="1" si="5"/>
        <v>58</v>
      </c>
      <c r="AY6" s="17">
        <f t="shared" ca="1" si="5"/>
        <v>27</v>
      </c>
      <c r="AZ6" s="17">
        <f t="shared" ca="1" si="5"/>
        <v>898</v>
      </c>
      <c r="BA6" s="100">
        <f ca="1">IF(SUM(AU6:AY6)=0,"-",(SUM(AV6:AY6)/SUM(AU6:AY6)))</f>
        <v>6.4444444444444443E-2</v>
      </c>
      <c r="BB6" s="100">
        <f ca="1">IF(SUM(AU6:AZ6)=0,"-",(AZ6/SUM(AU6:AZ6)))</f>
        <v>0.22183794466403162</v>
      </c>
      <c r="BC6" s="19"/>
      <c r="BD6" s="19"/>
      <c r="BE6" s="19"/>
      <c r="BF6" s="19"/>
      <c r="BG6" s="19"/>
      <c r="BH6" s="19"/>
      <c r="BI6" s="19"/>
      <c r="BJ6" s="19"/>
      <c r="BK6" s="19"/>
      <c r="BL6" s="20"/>
    </row>
    <row r="7" spans="1:64" s="8" customFormat="1" ht="15" customHeight="1" x14ac:dyDescent="0.3">
      <c r="A7" s="21" t="s">
        <v>16</v>
      </c>
      <c r="B7" s="22">
        <f t="shared" ref="B7:G7" ca="1" si="6">SUM(B8:B46)</f>
        <v>497</v>
      </c>
      <c r="C7" s="22">
        <f ca="1">SUM(C8:C46)</f>
        <v>20</v>
      </c>
      <c r="D7" s="22">
        <f t="shared" ca="1" si="6"/>
        <v>3</v>
      </c>
      <c r="E7" s="22">
        <f t="shared" ca="1" si="6"/>
        <v>4</v>
      </c>
      <c r="F7" s="22">
        <f t="shared" ca="1" si="6"/>
        <v>2</v>
      </c>
      <c r="G7" s="22">
        <f t="shared" ca="1" si="6"/>
        <v>140</v>
      </c>
      <c r="H7" s="100">
        <f t="shared" ref="H7:H54" ca="1" si="7">IF(SUM(B7:F7)=0,"-",(SUM(C7:F7)/SUM(B7:F7)))</f>
        <v>5.5133079847908745E-2</v>
      </c>
      <c r="I7" s="46">
        <f t="shared" ref="I7:I54" ca="1" si="8">IF(SUM(B7:G7)=0,"-",(G7/SUM(B7:G7)))</f>
        <v>0.21021021021021022</v>
      </c>
      <c r="J7" s="140" t="s">
        <v>244</v>
      </c>
      <c r="K7" s="22">
        <f t="shared" ref="K7:P7" ca="1" si="9">SUM(K8:K46)</f>
        <v>1065</v>
      </c>
      <c r="L7" s="22">
        <f t="shared" ca="1" si="9"/>
        <v>9</v>
      </c>
      <c r="M7" s="22">
        <f t="shared" ca="1" si="9"/>
        <v>3</v>
      </c>
      <c r="N7" s="22">
        <f t="shared" ca="1" si="9"/>
        <v>5</v>
      </c>
      <c r="O7" s="22">
        <f t="shared" ca="1" si="9"/>
        <v>6</v>
      </c>
      <c r="P7" s="22">
        <f t="shared" ca="1" si="9"/>
        <v>446</v>
      </c>
      <c r="Q7" s="100">
        <f t="shared" ref="Q7:Q54" ca="1" si="10">IF(SUM(K7:O7)=0,"-",(SUM(L7:O7)/SUM(K7:O7)))</f>
        <v>2.1139705882352942E-2</v>
      </c>
      <c r="R7" s="46">
        <f t="shared" ref="R7:R54" ca="1" si="11">IF(SUM(K7:P7)=0,"-",(P7/SUM(K7:P7)))</f>
        <v>0.29074315514993482</v>
      </c>
      <c r="S7" s="140" t="s">
        <v>244</v>
      </c>
      <c r="T7" s="22">
        <f ca="1">B7+K7</f>
        <v>1562</v>
      </c>
      <c r="U7" s="22">
        <f t="shared" ca="1" si="2"/>
        <v>29</v>
      </c>
      <c r="V7" s="22">
        <f t="shared" ca="1" si="2"/>
        <v>6</v>
      </c>
      <c r="W7" s="22">
        <f ca="1">E7+N7</f>
        <v>9</v>
      </c>
      <c r="X7" s="22">
        <f t="shared" ca="1" si="2"/>
        <v>8</v>
      </c>
      <c r="Y7" s="22">
        <f t="shared" ca="1" si="2"/>
        <v>586</v>
      </c>
      <c r="Z7" s="100">
        <f t="shared" ref="Z7:Z54" ca="1" si="12">IF(SUM(T7:X7)=0,"-",(SUM(U7:X7)/SUM(T7:X7)))</f>
        <v>3.2218091697645598E-2</v>
      </c>
      <c r="AA7" s="100">
        <f t="shared" ref="AA7:AA54" ca="1" si="13">IF(SUM(T7:Y7)=0,"-",(Y7/SUM(T7:Y7)))</f>
        <v>0.26636363636363636</v>
      </c>
      <c r="AB7" s="140" t="s">
        <v>244</v>
      </c>
      <c r="AC7" s="22">
        <f t="shared" ref="AC7:AH7" ca="1" si="14">SUM(AC8:AC46)</f>
        <v>76</v>
      </c>
      <c r="AD7" s="22">
        <f t="shared" ca="1" si="14"/>
        <v>0</v>
      </c>
      <c r="AE7" s="22">
        <f t="shared" ca="1" si="14"/>
        <v>1</v>
      </c>
      <c r="AF7" s="22">
        <f t="shared" ca="1" si="14"/>
        <v>0</v>
      </c>
      <c r="AG7" s="22">
        <f t="shared" ca="1" si="14"/>
        <v>0</v>
      </c>
      <c r="AH7" s="22">
        <f t="shared" ca="1" si="14"/>
        <v>11</v>
      </c>
      <c r="AI7" s="100">
        <f t="shared" ref="AI7:AI54" ca="1" si="15">IF(SUM(AC7:AG7)=0,"-",(SUM(AD7:AG7)/SUM(AC7:AG7)))</f>
        <v>1.2987012987012988E-2</v>
      </c>
      <c r="AJ7" s="46">
        <f t="shared" ref="AJ7:AJ54" ca="1" si="16">IF(SUM(AC7:AH7)=0,"-",(AH7/SUM(AC7:AH7)))</f>
        <v>0.125</v>
      </c>
      <c r="AK7" s="140" t="s">
        <v>244</v>
      </c>
      <c r="AL7" s="22">
        <f t="shared" ref="AL7:AQ7" ca="1" si="17">SUM(AL8:AL46)</f>
        <v>567</v>
      </c>
      <c r="AM7" s="22">
        <f t="shared" ca="1" si="17"/>
        <v>11</v>
      </c>
      <c r="AN7" s="22">
        <f t="shared" ca="1" si="17"/>
        <v>12</v>
      </c>
      <c r="AO7" s="22">
        <f t="shared" ca="1" si="17"/>
        <v>9</v>
      </c>
      <c r="AP7" s="22">
        <f t="shared" ca="1" si="17"/>
        <v>2</v>
      </c>
      <c r="AQ7" s="22">
        <f t="shared" ca="1" si="17"/>
        <v>237</v>
      </c>
      <c r="AR7" s="100">
        <f t="shared" ref="AR7:AR54" ca="1" si="18">IF(SUM(AL7:AP7)=0,"-",(SUM(AM7:AP7)/SUM(AL7:AP7)))</f>
        <v>5.6572379367720464E-2</v>
      </c>
      <c r="AS7" s="46">
        <f t="shared" ref="AS7:AS54" ca="1" si="19">IF(SUM(AL7:AQ7)=0,"-",(AQ7/SUM(AL7:AQ7)))</f>
        <v>0.28281622911694509</v>
      </c>
      <c r="AT7" s="140" t="s">
        <v>244</v>
      </c>
      <c r="AU7" s="22">
        <f t="shared" ref="AU7:AZ54" ca="1" si="20">AL7+AC7+T7</f>
        <v>2205</v>
      </c>
      <c r="AV7" s="22">
        <f t="shared" ca="1" si="5"/>
        <v>40</v>
      </c>
      <c r="AW7" s="22">
        <f t="shared" ca="1" si="5"/>
        <v>19</v>
      </c>
      <c r="AX7" s="22">
        <f t="shared" ca="1" si="5"/>
        <v>18</v>
      </c>
      <c r="AY7" s="22">
        <f t="shared" ca="1" si="5"/>
        <v>10</v>
      </c>
      <c r="AZ7" s="22">
        <f t="shared" ca="1" si="5"/>
        <v>834</v>
      </c>
      <c r="BA7" s="100">
        <f t="shared" ref="BA7:BA54" ca="1" si="21">IF(SUM(AU7:AY7)=0,"-",(SUM(AV7:AY7)/SUM(AU7:AY7)))</f>
        <v>3.7958115183246072E-2</v>
      </c>
      <c r="BB7" s="100">
        <f t="shared" ref="BB7:BB54" ca="1" si="22">IF(SUM(AU7:AZ7)=0,"-",(AZ7/SUM(AU7:AZ7)))</f>
        <v>0.2667946257197697</v>
      </c>
      <c r="BC7" s="19"/>
      <c r="BD7" s="19"/>
      <c r="BE7" s="19"/>
      <c r="BF7" s="19"/>
      <c r="BG7" s="19"/>
      <c r="BH7" s="19"/>
      <c r="BI7" s="19"/>
      <c r="BJ7" s="19"/>
      <c r="BK7" s="19"/>
    </row>
    <row r="8" spans="1:64" s="8" customFormat="1" ht="15" customHeight="1" x14ac:dyDescent="0.3">
      <c r="A8" s="2" t="s">
        <v>17</v>
      </c>
      <c r="B8" s="24">
        <f ca="1">ROUND(FIRE1121_raw!B10,0)</f>
        <v>18</v>
      </c>
      <c r="C8" s="24">
        <f ca="1">ROUND(FIRE1121_raw!C10,0)</f>
        <v>0</v>
      </c>
      <c r="D8" s="24">
        <f ca="1">ROUND(FIRE1121_raw!D10,0)</f>
        <v>0</v>
      </c>
      <c r="E8" s="24">
        <f ca="1">ROUND(FIRE1121_raw!E10,0)</f>
        <v>0</v>
      </c>
      <c r="F8" s="24">
        <f ca="1">ROUND(FIRE1121_raw!F10,0)</f>
        <v>0</v>
      </c>
      <c r="G8" s="24">
        <f ca="1">ROUND(FIRE1121_raw!G10,0)</f>
        <v>0</v>
      </c>
      <c r="H8" s="100">
        <f t="shared" ca="1" si="7"/>
        <v>0</v>
      </c>
      <c r="I8" s="46">
        <f t="shared" ca="1" si="8"/>
        <v>0</v>
      </c>
      <c r="J8" s="140" t="s">
        <v>244</v>
      </c>
      <c r="K8" s="24">
        <f ca="1">ROUND(FIRE1121_raw!K10,0)</f>
        <v>16</v>
      </c>
      <c r="L8" s="24">
        <f ca="1">ROUND(FIRE1121_raw!L10,0)</f>
        <v>0</v>
      </c>
      <c r="M8" s="24">
        <f ca="1">ROUND(FIRE1121_raw!M10,0)</f>
        <v>0</v>
      </c>
      <c r="N8" s="24">
        <f ca="1">ROUND(FIRE1121_raw!N10,0)</f>
        <v>0</v>
      </c>
      <c r="O8" s="24">
        <f ca="1">ROUND(FIRE1121_raw!O10,0)</f>
        <v>0</v>
      </c>
      <c r="P8" s="24">
        <f ca="1">ROUND(FIRE1121_raw!P10,0)</f>
        <v>9</v>
      </c>
      <c r="Q8" s="100">
        <f t="shared" ca="1" si="10"/>
        <v>0</v>
      </c>
      <c r="R8" s="46">
        <f t="shared" ca="1" si="11"/>
        <v>0.36</v>
      </c>
      <c r="S8" s="140" t="s">
        <v>244</v>
      </c>
      <c r="T8" s="22">
        <f t="shared" ref="T8:Y54" ca="1" si="23">B8+K8</f>
        <v>34</v>
      </c>
      <c r="U8" s="22">
        <f t="shared" ca="1" si="2"/>
        <v>0</v>
      </c>
      <c r="V8" s="22">
        <f t="shared" ca="1" si="2"/>
        <v>0</v>
      </c>
      <c r="W8" s="22">
        <f t="shared" ca="1" si="2"/>
        <v>0</v>
      </c>
      <c r="X8" s="22">
        <f t="shared" ca="1" si="2"/>
        <v>0</v>
      </c>
      <c r="Y8" s="22">
        <f t="shared" ca="1" si="2"/>
        <v>9</v>
      </c>
      <c r="Z8" s="100">
        <f t="shared" ca="1" si="12"/>
        <v>0</v>
      </c>
      <c r="AA8" s="100">
        <f t="shared" ca="1" si="13"/>
        <v>0.20930232558139536</v>
      </c>
      <c r="AB8" s="140" t="s">
        <v>244</v>
      </c>
      <c r="AC8" s="24">
        <f ca="1">ROUND(FIRE1121_raw!AC10,0)</f>
        <v>4</v>
      </c>
      <c r="AD8" s="24">
        <f ca="1">ROUND(FIRE1121_raw!AD10,0)</f>
        <v>0</v>
      </c>
      <c r="AE8" s="24">
        <f ca="1">ROUND(FIRE1121_raw!AE10,0)</f>
        <v>0</v>
      </c>
      <c r="AF8" s="24">
        <f ca="1">ROUND(FIRE1121_raw!AF10,0)</f>
        <v>0</v>
      </c>
      <c r="AG8" s="24">
        <f ca="1">ROUND(FIRE1121_raw!AG10,0)</f>
        <v>0</v>
      </c>
      <c r="AH8" s="24">
        <f ca="1">ROUND(FIRE1121_raw!AH10,0)</f>
        <v>0</v>
      </c>
      <c r="AI8" s="100">
        <f t="shared" ca="1" si="15"/>
        <v>0</v>
      </c>
      <c r="AJ8" s="46">
        <f t="shared" ca="1" si="16"/>
        <v>0</v>
      </c>
      <c r="AK8" s="140" t="s">
        <v>244</v>
      </c>
      <c r="AL8" s="24">
        <f ca="1">ROUND(FIRE1121_raw!AL10,0)</f>
        <v>22</v>
      </c>
      <c r="AM8" s="24">
        <f ca="1">ROUND(FIRE1121_raw!AM10,0)</f>
        <v>1</v>
      </c>
      <c r="AN8" s="24">
        <f ca="1">ROUND(FIRE1121_raw!AN10,0)</f>
        <v>0</v>
      </c>
      <c r="AO8" s="24">
        <f ca="1">ROUND(FIRE1121_raw!AO10,0)</f>
        <v>0</v>
      </c>
      <c r="AP8" s="24">
        <f ca="1">ROUND(FIRE1121_raw!AP10,0)</f>
        <v>0</v>
      </c>
      <c r="AQ8" s="24">
        <f ca="1">ROUND(FIRE1121_raw!AQ10,0)</f>
        <v>8</v>
      </c>
      <c r="AR8" s="100">
        <f t="shared" ca="1" si="18"/>
        <v>4.3478260869565216E-2</v>
      </c>
      <c r="AS8" s="46">
        <f t="shared" ca="1" si="19"/>
        <v>0.25806451612903225</v>
      </c>
      <c r="AT8" s="140" t="s">
        <v>244</v>
      </c>
      <c r="AU8" s="22">
        <f t="shared" ca="1" si="20"/>
        <v>60</v>
      </c>
      <c r="AV8" s="22">
        <f t="shared" ca="1" si="5"/>
        <v>1</v>
      </c>
      <c r="AW8" s="22">
        <f t="shared" ca="1" si="5"/>
        <v>0</v>
      </c>
      <c r="AX8" s="22">
        <f t="shared" ca="1" si="5"/>
        <v>0</v>
      </c>
      <c r="AY8" s="22">
        <f t="shared" ca="1" si="5"/>
        <v>0</v>
      </c>
      <c r="AZ8" s="22">
        <f t="shared" ca="1" si="5"/>
        <v>17</v>
      </c>
      <c r="BA8" s="100">
        <f t="shared" ca="1" si="21"/>
        <v>1.6393442622950821E-2</v>
      </c>
      <c r="BB8" s="100">
        <f t="shared" ca="1" si="22"/>
        <v>0.21794871794871795</v>
      </c>
      <c r="BC8" s="19"/>
      <c r="BD8" s="19"/>
      <c r="BE8" s="19"/>
      <c r="BF8" s="19"/>
      <c r="BG8" s="19"/>
      <c r="BH8" s="19"/>
      <c r="BI8" s="19"/>
      <c r="BJ8" s="19"/>
      <c r="BK8" s="19"/>
    </row>
    <row r="9" spans="1:64" s="8" customFormat="1" ht="15" customHeight="1" x14ac:dyDescent="0.3">
      <c r="A9" s="2" t="s">
        <v>18</v>
      </c>
      <c r="B9" s="24">
        <f ca="1">ROUND(FIRE1121_raw!B11,0)</f>
        <v>20</v>
      </c>
      <c r="C9" s="24">
        <f ca="1">ROUND(FIRE1121_raw!C11,0)</f>
        <v>0</v>
      </c>
      <c r="D9" s="24">
        <f ca="1">ROUND(FIRE1121_raw!D11,0)</f>
        <v>1</v>
      </c>
      <c r="E9" s="24">
        <f ca="1">ROUND(FIRE1121_raw!E11,0)</f>
        <v>0</v>
      </c>
      <c r="F9" s="24">
        <f ca="1">ROUND(FIRE1121_raw!F11,0)</f>
        <v>0</v>
      </c>
      <c r="G9" s="24">
        <f ca="1">ROUND(FIRE1121_raw!G11,0)</f>
        <v>0</v>
      </c>
      <c r="H9" s="100">
        <f t="shared" ca="1" si="7"/>
        <v>4.7619047619047616E-2</v>
      </c>
      <c r="I9" s="46">
        <f t="shared" ca="1" si="8"/>
        <v>0</v>
      </c>
      <c r="J9" s="140" t="s">
        <v>244</v>
      </c>
      <c r="K9" s="24">
        <f ca="1">ROUND(FIRE1121_raw!K11,0)</f>
        <v>23</v>
      </c>
      <c r="L9" s="24">
        <f ca="1">ROUND(FIRE1121_raw!L11,0)</f>
        <v>0</v>
      </c>
      <c r="M9" s="24">
        <f ca="1">ROUND(FIRE1121_raw!M11,0)</f>
        <v>0</v>
      </c>
      <c r="N9" s="24">
        <f ca="1">ROUND(FIRE1121_raw!N11,0)</f>
        <v>1</v>
      </c>
      <c r="O9" s="24">
        <f ca="1">ROUND(FIRE1121_raw!O11,0)</f>
        <v>0</v>
      </c>
      <c r="P9" s="24">
        <f ca="1">ROUND(FIRE1121_raw!P11,0)</f>
        <v>2</v>
      </c>
      <c r="Q9" s="100">
        <f t="shared" ca="1" si="10"/>
        <v>4.1666666666666664E-2</v>
      </c>
      <c r="R9" s="46">
        <f t="shared" ca="1" si="11"/>
        <v>7.6923076923076927E-2</v>
      </c>
      <c r="S9" s="140" t="s">
        <v>244</v>
      </c>
      <c r="T9" s="22">
        <f t="shared" ca="1" si="23"/>
        <v>43</v>
      </c>
      <c r="U9" s="22">
        <f t="shared" ca="1" si="2"/>
        <v>0</v>
      </c>
      <c r="V9" s="22">
        <f t="shared" ca="1" si="2"/>
        <v>1</v>
      </c>
      <c r="W9" s="22">
        <f t="shared" ca="1" si="2"/>
        <v>1</v>
      </c>
      <c r="X9" s="22">
        <f t="shared" ca="1" si="2"/>
        <v>0</v>
      </c>
      <c r="Y9" s="22">
        <f t="shared" ca="1" si="2"/>
        <v>2</v>
      </c>
      <c r="Z9" s="100">
        <f t="shared" ca="1" si="12"/>
        <v>4.4444444444444446E-2</v>
      </c>
      <c r="AA9" s="100">
        <f t="shared" ca="1" si="13"/>
        <v>4.2553191489361701E-2</v>
      </c>
      <c r="AB9" s="140" t="s">
        <v>244</v>
      </c>
      <c r="AC9" s="24">
        <f ca="1">ROUND(FIRE1121_raw!AC11,0)</f>
        <v>2</v>
      </c>
      <c r="AD9" s="24">
        <f ca="1">ROUND(FIRE1121_raw!AD11,0)</f>
        <v>0</v>
      </c>
      <c r="AE9" s="24">
        <f ca="1">ROUND(FIRE1121_raw!AE11,0)</f>
        <v>0</v>
      </c>
      <c r="AF9" s="24">
        <f ca="1">ROUND(FIRE1121_raw!AF11,0)</f>
        <v>0</v>
      </c>
      <c r="AG9" s="24">
        <f ca="1">ROUND(FIRE1121_raw!AG11,0)</f>
        <v>0</v>
      </c>
      <c r="AH9" s="24">
        <f ca="1">ROUND(FIRE1121_raw!AH11,0)</f>
        <v>1</v>
      </c>
      <c r="AI9" s="100">
        <f t="shared" ca="1" si="15"/>
        <v>0</v>
      </c>
      <c r="AJ9" s="46">
        <f t="shared" ca="1" si="16"/>
        <v>0.33333333333333331</v>
      </c>
      <c r="AK9" s="140" t="s">
        <v>244</v>
      </c>
      <c r="AL9" s="24">
        <f ca="1">ROUND(FIRE1121_raw!AL11,0)</f>
        <v>16</v>
      </c>
      <c r="AM9" s="24">
        <f ca="1">ROUND(FIRE1121_raw!AM11,0)</f>
        <v>0</v>
      </c>
      <c r="AN9" s="24">
        <f ca="1">ROUND(FIRE1121_raw!AN11,0)</f>
        <v>1</v>
      </c>
      <c r="AO9" s="24">
        <f ca="1">ROUND(FIRE1121_raw!AO11,0)</f>
        <v>2</v>
      </c>
      <c r="AP9" s="24">
        <f ca="1">ROUND(FIRE1121_raw!AP11,0)</f>
        <v>0</v>
      </c>
      <c r="AQ9" s="24">
        <f ca="1">ROUND(FIRE1121_raw!AQ11,0)</f>
        <v>1</v>
      </c>
      <c r="AR9" s="100">
        <f t="shared" ca="1" si="18"/>
        <v>0.15789473684210525</v>
      </c>
      <c r="AS9" s="46">
        <f t="shared" ca="1" si="19"/>
        <v>0.05</v>
      </c>
      <c r="AT9" s="140" t="s">
        <v>244</v>
      </c>
      <c r="AU9" s="22">
        <f t="shared" ca="1" si="20"/>
        <v>61</v>
      </c>
      <c r="AV9" s="22">
        <f t="shared" ca="1" si="5"/>
        <v>0</v>
      </c>
      <c r="AW9" s="22">
        <f t="shared" ca="1" si="5"/>
        <v>2</v>
      </c>
      <c r="AX9" s="22">
        <f t="shared" ca="1" si="5"/>
        <v>3</v>
      </c>
      <c r="AY9" s="22">
        <f t="shared" ca="1" si="5"/>
        <v>0</v>
      </c>
      <c r="AZ9" s="22">
        <f t="shared" ca="1" si="5"/>
        <v>4</v>
      </c>
      <c r="BA9" s="100">
        <f t="shared" ca="1" si="21"/>
        <v>7.575757575757576E-2</v>
      </c>
      <c r="BB9" s="100">
        <f t="shared" ca="1" si="22"/>
        <v>5.7142857142857141E-2</v>
      </c>
      <c r="BC9" s="19"/>
      <c r="BD9" s="19"/>
      <c r="BE9" s="19"/>
      <c r="BF9" s="19"/>
      <c r="BG9" s="19"/>
      <c r="BH9" s="19"/>
      <c r="BI9" s="19"/>
      <c r="BJ9" s="19"/>
      <c r="BK9" s="19"/>
    </row>
    <row r="10" spans="1:64" s="8" customFormat="1" ht="15" customHeight="1" x14ac:dyDescent="0.3">
      <c r="A10" s="2" t="s">
        <v>19</v>
      </c>
      <c r="B10" s="24">
        <f ca="1">ROUND(FIRE1121_raw!B12,0)</f>
        <v>22</v>
      </c>
      <c r="C10" s="24">
        <f ca="1">ROUND(FIRE1121_raw!C12,0)</f>
        <v>1</v>
      </c>
      <c r="D10" s="24">
        <f ca="1">ROUND(FIRE1121_raw!D12,0)</f>
        <v>0</v>
      </c>
      <c r="E10" s="24">
        <f ca="1">ROUND(FIRE1121_raw!E12,0)</f>
        <v>0</v>
      </c>
      <c r="F10" s="24">
        <f ca="1">ROUND(FIRE1121_raw!F12,0)</f>
        <v>0</v>
      </c>
      <c r="G10" s="24">
        <f ca="1">ROUND(FIRE1121_raw!G12,0)</f>
        <v>0</v>
      </c>
      <c r="H10" s="100">
        <f t="shared" ca="1" si="7"/>
        <v>4.3478260869565216E-2</v>
      </c>
      <c r="I10" s="46">
        <f t="shared" ca="1" si="8"/>
        <v>0</v>
      </c>
      <c r="J10" s="140" t="s">
        <v>244</v>
      </c>
      <c r="K10" s="24">
        <f ca="1">ROUND(FIRE1121_raw!K12,0)</f>
        <v>13</v>
      </c>
      <c r="L10" s="24">
        <f ca="1">ROUND(FIRE1121_raw!L12,0)</f>
        <v>0</v>
      </c>
      <c r="M10" s="24">
        <f ca="1">ROUND(FIRE1121_raw!M12,0)</f>
        <v>0</v>
      </c>
      <c r="N10" s="24">
        <f ca="1">ROUND(FIRE1121_raw!N12,0)</f>
        <v>0</v>
      </c>
      <c r="O10" s="24">
        <f ca="1">ROUND(FIRE1121_raw!O12,0)</f>
        <v>0</v>
      </c>
      <c r="P10" s="24">
        <f ca="1">ROUND(FIRE1121_raw!P12,0)</f>
        <v>0</v>
      </c>
      <c r="Q10" s="100">
        <f t="shared" ca="1" si="10"/>
        <v>0</v>
      </c>
      <c r="R10" s="46">
        <f t="shared" ca="1" si="11"/>
        <v>0</v>
      </c>
      <c r="S10" s="140" t="s">
        <v>244</v>
      </c>
      <c r="T10" s="22">
        <f t="shared" ca="1" si="23"/>
        <v>35</v>
      </c>
      <c r="U10" s="22">
        <f t="shared" ca="1" si="2"/>
        <v>1</v>
      </c>
      <c r="V10" s="22">
        <f t="shared" ca="1" si="2"/>
        <v>0</v>
      </c>
      <c r="W10" s="22">
        <f t="shared" ca="1" si="2"/>
        <v>0</v>
      </c>
      <c r="X10" s="22">
        <f t="shared" ca="1" si="2"/>
        <v>0</v>
      </c>
      <c r="Y10" s="22">
        <f t="shared" ca="1" si="2"/>
        <v>0</v>
      </c>
      <c r="Z10" s="100">
        <f t="shared" ca="1" si="12"/>
        <v>2.7777777777777776E-2</v>
      </c>
      <c r="AA10" s="100">
        <f t="shared" ca="1" si="13"/>
        <v>0</v>
      </c>
      <c r="AB10" s="140" t="s">
        <v>244</v>
      </c>
      <c r="AC10" s="24">
        <f ca="1">ROUND(FIRE1121_raw!AC12,0)</f>
        <v>2</v>
      </c>
      <c r="AD10" s="24">
        <f ca="1">ROUND(FIRE1121_raw!AD12,0)</f>
        <v>0</v>
      </c>
      <c r="AE10" s="24">
        <f ca="1">ROUND(FIRE1121_raw!AE12,0)</f>
        <v>0</v>
      </c>
      <c r="AF10" s="24">
        <f ca="1">ROUND(FIRE1121_raw!AF12,0)</f>
        <v>0</v>
      </c>
      <c r="AG10" s="24">
        <f ca="1">ROUND(FIRE1121_raw!AG12,0)</f>
        <v>0</v>
      </c>
      <c r="AH10" s="24">
        <f ca="1">ROUND(FIRE1121_raw!AH12,0)</f>
        <v>1</v>
      </c>
      <c r="AI10" s="100">
        <f t="shared" ca="1" si="15"/>
        <v>0</v>
      </c>
      <c r="AJ10" s="46">
        <f t="shared" ca="1" si="16"/>
        <v>0.33333333333333331</v>
      </c>
      <c r="AK10" s="140" t="s">
        <v>244</v>
      </c>
      <c r="AL10" s="24">
        <f ca="1">ROUND(FIRE1121_raw!AL12,0)</f>
        <v>26</v>
      </c>
      <c r="AM10" s="24">
        <f ca="1">ROUND(FIRE1121_raw!AM12,0)</f>
        <v>0</v>
      </c>
      <c r="AN10" s="24">
        <f ca="1">ROUND(FIRE1121_raw!AN12,0)</f>
        <v>1</v>
      </c>
      <c r="AO10" s="24">
        <f ca="1">ROUND(FIRE1121_raw!AO12,0)</f>
        <v>1</v>
      </c>
      <c r="AP10" s="24">
        <f ca="1">ROUND(FIRE1121_raw!AP12,0)</f>
        <v>0</v>
      </c>
      <c r="AQ10" s="24">
        <f ca="1">ROUND(FIRE1121_raw!AQ12,0)</f>
        <v>0</v>
      </c>
      <c r="AR10" s="100">
        <f t="shared" ca="1" si="18"/>
        <v>7.1428571428571425E-2</v>
      </c>
      <c r="AS10" s="46">
        <f t="shared" ca="1" si="19"/>
        <v>0</v>
      </c>
      <c r="AT10" s="140" t="s">
        <v>244</v>
      </c>
      <c r="AU10" s="22">
        <f t="shared" ca="1" si="20"/>
        <v>63</v>
      </c>
      <c r="AV10" s="22">
        <f t="shared" ca="1" si="5"/>
        <v>1</v>
      </c>
      <c r="AW10" s="22">
        <f t="shared" ca="1" si="5"/>
        <v>1</v>
      </c>
      <c r="AX10" s="22">
        <f t="shared" ca="1" si="5"/>
        <v>1</v>
      </c>
      <c r="AY10" s="22">
        <f t="shared" ca="1" si="5"/>
        <v>0</v>
      </c>
      <c r="AZ10" s="22">
        <f t="shared" ca="1" si="5"/>
        <v>1</v>
      </c>
      <c r="BA10" s="100">
        <f t="shared" ca="1" si="21"/>
        <v>4.5454545454545456E-2</v>
      </c>
      <c r="BB10" s="100">
        <f t="shared" ca="1" si="22"/>
        <v>1.4925373134328358E-2</v>
      </c>
      <c r="BC10" s="19"/>
      <c r="BD10" s="19"/>
      <c r="BE10" s="19"/>
      <c r="BF10" s="19"/>
      <c r="BG10" s="19"/>
      <c r="BH10" s="19"/>
      <c r="BI10" s="19"/>
      <c r="BJ10" s="19"/>
      <c r="BK10" s="19"/>
    </row>
    <row r="11" spans="1:64" s="8" customFormat="1" ht="15" customHeight="1" x14ac:dyDescent="0.3">
      <c r="A11" s="2" t="s">
        <v>20</v>
      </c>
      <c r="B11" s="24">
        <f ca="1">ROUND(FIRE1121_raw!B13,0)</f>
        <v>17</v>
      </c>
      <c r="C11" s="24">
        <f ca="1">ROUND(FIRE1121_raw!C13,0)</f>
        <v>0</v>
      </c>
      <c r="D11" s="24">
        <f ca="1">ROUND(FIRE1121_raw!D13,0)</f>
        <v>0</v>
      </c>
      <c r="E11" s="24">
        <f ca="1">ROUND(FIRE1121_raw!E13,0)</f>
        <v>0</v>
      </c>
      <c r="F11" s="24">
        <f ca="1">ROUND(FIRE1121_raw!F13,0)</f>
        <v>0</v>
      </c>
      <c r="G11" s="24">
        <f ca="1">ROUND(FIRE1121_raw!G13,0)</f>
        <v>4</v>
      </c>
      <c r="H11" s="100">
        <f t="shared" ca="1" si="7"/>
        <v>0</v>
      </c>
      <c r="I11" s="46">
        <f t="shared" ca="1" si="8"/>
        <v>0.19047619047619047</v>
      </c>
      <c r="J11" s="140" t="s">
        <v>244</v>
      </c>
      <c r="K11" s="24">
        <f ca="1">ROUND(FIRE1121_raw!K13,0)</f>
        <v>19</v>
      </c>
      <c r="L11" s="24">
        <f ca="1">ROUND(FIRE1121_raw!L13,0)</f>
        <v>0</v>
      </c>
      <c r="M11" s="24">
        <f ca="1">ROUND(FIRE1121_raw!M13,0)</f>
        <v>0</v>
      </c>
      <c r="N11" s="24">
        <f ca="1">ROUND(FIRE1121_raw!N13,0)</f>
        <v>0</v>
      </c>
      <c r="O11" s="24">
        <f ca="1">ROUND(FIRE1121_raw!O13,0)</f>
        <v>0</v>
      </c>
      <c r="P11" s="24">
        <f ca="1">ROUND(FIRE1121_raw!P13,0)</f>
        <v>2</v>
      </c>
      <c r="Q11" s="100">
        <f t="shared" ca="1" si="10"/>
        <v>0</v>
      </c>
      <c r="R11" s="46">
        <f t="shared" ca="1" si="11"/>
        <v>9.5238095238095233E-2</v>
      </c>
      <c r="S11" s="140" t="s">
        <v>244</v>
      </c>
      <c r="T11" s="22">
        <f t="shared" ca="1" si="23"/>
        <v>36</v>
      </c>
      <c r="U11" s="22">
        <f t="shared" ca="1" si="2"/>
        <v>0</v>
      </c>
      <c r="V11" s="22">
        <f t="shared" ca="1" si="2"/>
        <v>0</v>
      </c>
      <c r="W11" s="22">
        <f t="shared" ca="1" si="2"/>
        <v>0</v>
      </c>
      <c r="X11" s="22">
        <f t="shared" ca="1" si="2"/>
        <v>0</v>
      </c>
      <c r="Y11" s="22">
        <f t="shared" ca="1" si="2"/>
        <v>6</v>
      </c>
      <c r="Z11" s="100">
        <f t="shared" ca="1" si="12"/>
        <v>0</v>
      </c>
      <c r="AA11" s="100">
        <f t="shared" ca="1" si="13"/>
        <v>0.14285714285714285</v>
      </c>
      <c r="AB11" s="140" t="s">
        <v>244</v>
      </c>
      <c r="AC11" s="24">
        <f ca="1">ROUND(FIRE1121_raw!AC13,0)</f>
        <v>0</v>
      </c>
      <c r="AD11" s="24">
        <f ca="1">ROUND(FIRE1121_raw!AD13,0)</f>
        <v>0</v>
      </c>
      <c r="AE11" s="24">
        <f ca="1">ROUND(FIRE1121_raw!AE13,0)</f>
        <v>0</v>
      </c>
      <c r="AF11" s="24">
        <f ca="1">ROUND(FIRE1121_raw!AF13,0)</f>
        <v>0</v>
      </c>
      <c r="AG11" s="24">
        <f ca="1">ROUND(FIRE1121_raw!AG13,0)</f>
        <v>0</v>
      </c>
      <c r="AH11" s="24">
        <f ca="1">ROUND(FIRE1121_raw!AH13,0)</f>
        <v>0</v>
      </c>
      <c r="AI11" s="100" t="str">
        <f t="shared" ca="1" si="15"/>
        <v>-</v>
      </c>
      <c r="AJ11" s="46" t="str">
        <f t="shared" ca="1" si="16"/>
        <v>-</v>
      </c>
      <c r="AK11" s="140" t="s">
        <v>244</v>
      </c>
      <c r="AL11" s="24">
        <f ca="1">ROUND(FIRE1121_raw!AL13,0)</f>
        <v>15</v>
      </c>
      <c r="AM11" s="24">
        <f ca="1">ROUND(FIRE1121_raw!AM13,0)</f>
        <v>1</v>
      </c>
      <c r="AN11" s="24">
        <f ca="1">ROUND(FIRE1121_raw!AN13,0)</f>
        <v>2</v>
      </c>
      <c r="AO11" s="24">
        <f ca="1">ROUND(FIRE1121_raw!AO13,0)</f>
        <v>3</v>
      </c>
      <c r="AP11" s="24">
        <f ca="1">ROUND(FIRE1121_raw!AP13,0)</f>
        <v>0</v>
      </c>
      <c r="AQ11" s="24">
        <f ca="1">ROUND(FIRE1121_raw!AQ13,0)</f>
        <v>4</v>
      </c>
      <c r="AR11" s="100">
        <f t="shared" ca="1" si="18"/>
        <v>0.2857142857142857</v>
      </c>
      <c r="AS11" s="46">
        <f t="shared" ca="1" si="19"/>
        <v>0.16</v>
      </c>
      <c r="AT11" s="140" t="s">
        <v>244</v>
      </c>
      <c r="AU11" s="22">
        <f t="shared" ca="1" si="20"/>
        <v>51</v>
      </c>
      <c r="AV11" s="22">
        <f t="shared" ca="1" si="5"/>
        <v>1</v>
      </c>
      <c r="AW11" s="22">
        <f t="shared" ca="1" si="5"/>
        <v>2</v>
      </c>
      <c r="AX11" s="22">
        <f t="shared" ca="1" si="5"/>
        <v>3</v>
      </c>
      <c r="AY11" s="22">
        <f t="shared" ca="1" si="5"/>
        <v>0</v>
      </c>
      <c r="AZ11" s="22">
        <f t="shared" ca="1" si="5"/>
        <v>10</v>
      </c>
      <c r="BA11" s="100">
        <f t="shared" ca="1" si="21"/>
        <v>0.10526315789473684</v>
      </c>
      <c r="BB11" s="100">
        <f t="shared" ca="1" si="22"/>
        <v>0.14925373134328357</v>
      </c>
      <c r="BC11" s="19"/>
      <c r="BD11" s="19"/>
      <c r="BE11" s="19"/>
      <c r="BF11" s="19"/>
      <c r="BG11" s="19"/>
      <c r="BH11" s="19"/>
      <c r="BI11" s="19"/>
      <c r="BJ11" s="19"/>
      <c r="BK11" s="19"/>
    </row>
    <row r="12" spans="1:64" s="8" customFormat="1" ht="15" customHeight="1" x14ac:dyDescent="0.3">
      <c r="A12" s="2" t="s">
        <v>21</v>
      </c>
      <c r="B12" s="24">
        <f ca="1">ROUND(FIRE1121_raw!B14,0)</f>
        <v>7</v>
      </c>
      <c r="C12" s="24">
        <f ca="1">ROUND(FIRE1121_raw!C14,0)</f>
        <v>1</v>
      </c>
      <c r="D12" s="24">
        <f ca="1">ROUND(FIRE1121_raw!D14,0)</f>
        <v>0</v>
      </c>
      <c r="E12" s="24">
        <f ca="1">ROUND(FIRE1121_raw!E14,0)</f>
        <v>0</v>
      </c>
      <c r="F12" s="24">
        <f ca="1">ROUND(FIRE1121_raw!F14,0)</f>
        <v>0</v>
      </c>
      <c r="G12" s="24">
        <f ca="1">ROUND(FIRE1121_raw!G14,0)</f>
        <v>0</v>
      </c>
      <c r="H12" s="100">
        <f t="shared" ca="1" si="7"/>
        <v>0.125</v>
      </c>
      <c r="I12" s="46">
        <f t="shared" ca="1" si="8"/>
        <v>0</v>
      </c>
      <c r="J12" s="140" t="s">
        <v>244</v>
      </c>
      <c r="K12" s="24">
        <f ca="1">ROUND(FIRE1121_raw!K14,0)</f>
        <v>35</v>
      </c>
      <c r="L12" s="24">
        <f ca="1">ROUND(FIRE1121_raw!L14,0)</f>
        <v>0</v>
      </c>
      <c r="M12" s="24">
        <f ca="1">ROUND(FIRE1121_raw!M14,0)</f>
        <v>0</v>
      </c>
      <c r="N12" s="24">
        <f ca="1">ROUND(FIRE1121_raw!N14,0)</f>
        <v>0</v>
      </c>
      <c r="O12" s="24">
        <f ca="1">ROUND(FIRE1121_raw!O14,0)</f>
        <v>1</v>
      </c>
      <c r="P12" s="24">
        <f ca="1">ROUND(FIRE1121_raw!P14,0)</f>
        <v>0</v>
      </c>
      <c r="Q12" s="100">
        <f t="shared" ca="1" si="10"/>
        <v>2.7777777777777776E-2</v>
      </c>
      <c r="R12" s="46">
        <f t="shared" ca="1" si="11"/>
        <v>0</v>
      </c>
      <c r="S12" s="140" t="s">
        <v>244</v>
      </c>
      <c r="T12" s="22">
        <f t="shared" ca="1" si="23"/>
        <v>42</v>
      </c>
      <c r="U12" s="22">
        <f t="shared" ca="1" si="2"/>
        <v>1</v>
      </c>
      <c r="V12" s="22">
        <f t="shared" ca="1" si="2"/>
        <v>0</v>
      </c>
      <c r="W12" s="22">
        <f t="shared" ca="1" si="2"/>
        <v>0</v>
      </c>
      <c r="X12" s="22">
        <f t="shared" ca="1" si="2"/>
        <v>1</v>
      </c>
      <c r="Y12" s="22">
        <f t="shared" ca="1" si="2"/>
        <v>0</v>
      </c>
      <c r="Z12" s="100">
        <f t="shared" ca="1" si="12"/>
        <v>4.5454545454545456E-2</v>
      </c>
      <c r="AA12" s="100">
        <f t="shared" ca="1" si="13"/>
        <v>0</v>
      </c>
      <c r="AB12" s="140" t="s">
        <v>244</v>
      </c>
      <c r="AC12" s="24">
        <f ca="1">ROUND(FIRE1121_raw!AC14,0)</f>
        <v>3</v>
      </c>
      <c r="AD12" s="24">
        <f ca="1">ROUND(FIRE1121_raw!AD14,0)</f>
        <v>0</v>
      </c>
      <c r="AE12" s="24">
        <f ca="1">ROUND(FIRE1121_raw!AE14,0)</f>
        <v>1</v>
      </c>
      <c r="AF12" s="24">
        <f ca="1">ROUND(FIRE1121_raw!AF14,0)</f>
        <v>0</v>
      </c>
      <c r="AG12" s="24">
        <f ca="1">ROUND(FIRE1121_raw!AG14,0)</f>
        <v>0</v>
      </c>
      <c r="AH12" s="24">
        <f ca="1">ROUND(FIRE1121_raw!AH14,0)</f>
        <v>1</v>
      </c>
      <c r="AI12" s="100">
        <f t="shared" ca="1" si="15"/>
        <v>0.25</v>
      </c>
      <c r="AJ12" s="46">
        <f t="shared" ca="1" si="16"/>
        <v>0.2</v>
      </c>
      <c r="AK12" s="140" t="s">
        <v>244</v>
      </c>
      <c r="AL12" s="24">
        <f ca="1">ROUND(FIRE1121_raw!AL14,0)</f>
        <v>14</v>
      </c>
      <c r="AM12" s="24">
        <f ca="1">ROUND(FIRE1121_raw!AM14,0)</f>
        <v>0</v>
      </c>
      <c r="AN12" s="24">
        <f ca="1">ROUND(FIRE1121_raw!AN14,0)</f>
        <v>1</v>
      </c>
      <c r="AO12" s="24">
        <f ca="1">ROUND(FIRE1121_raw!AO14,0)</f>
        <v>0</v>
      </c>
      <c r="AP12" s="24">
        <f ca="1">ROUND(FIRE1121_raw!AP14,0)</f>
        <v>0</v>
      </c>
      <c r="AQ12" s="24">
        <f ca="1">ROUND(FIRE1121_raw!AQ14,0)</f>
        <v>3</v>
      </c>
      <c r="AR12" s="100">
        <f t="shared" ca="1" si="18"/>
        <v>6.6666666666666666E-2</v>
      </c>
      <c r="AS12" s="46">
        <f t="shared" ca="1" si="19"/>
        <v>0.16666666666666666</v>
      </c>
      <c r="AT12" s="140" t="s">
        <v>244</v>
      </c>
      <c r="AU12" s="22">
        <f t="shared" ca="1" si="20"/>
        <v>59</v>
      </c>
      <c r="AV12" s="22">
        <f t="shared" ca="1" si="5"/>
        <v>1</v>
      </c>
      <c r="AW12" s="22">
        <f t="shared" ca="1" si="5"/>
        <v>2</v>
      </c>
      <c r="AX12" s="22">
        <f t="shared" ca="1" si="5"/>
        <v>0</v>
      </c>
      <c r="AY12" s="22">
        <f t="shared" ca="1" si="5"/>
        <v>1</v>
      </c>
      <c r="AZ12" s="22">
        <f t="shared" ca="1" si="5"/>
        <v>4</v>
      </c>
      <c r="BA12" s="100">
        <f t="shared" ca="1" si="21"/>
        <v>6.3492063492063489E-2</v>
      </c>
      <c r="BB12" s="100">
        <f t="shared" ca="1" si="22"/>
        <v>5.9701492537313432E-2</v>
      </c>
      <c r="BC12" s="19"/>
      <c r="BD12" s="19"/>
      <c r="BE12" s="19"/>
      <c r="BF12" s="19"/>
      <c r="BG12" s="19"/>
      <c r="BH12" s="19"/>
      <c r="BI12" s="19"/>
      <c r="BJ12" s="19"/>
      <c r="BK12" s="19"/>
    </row>
    <row r="13" spans="1:64" s="8" customFormat="1" ht="15" customHeight="1" x14ac:dyDescent="0.3">
      <c r="A13" s="2" t="s">
        <v>22</v>
      </c>
      <c r="B13" s="24">
        <f ca="1">ROUND(FIRE1121_raw!B15,0)</f>
        <v>23</v>
      </c>
      <c r="C13" s="24">
        <f ca="1">ROUND(FIRE1121_raw!C15,0)</f>
        <v>0</v>
      </c>
      <c r="D13" s="24">
        <f ca="1">ROUND(FIRE1121_raw!D15,0)</f>
        <v>0</v>
      </c>
      <c r="E13" s="24">
        <f ca="1">ROUND(FIRE1121_raw!E15,0)</f>
        <v>0</v>
      </c>
      <c r="F13" s="24">
        <f ca="1">ROUND(FIRE1121_raw!F15,0)</f>
        <v>0</v>
      </c>
      <c r="G13" s="24">
        <f ca="1">ROUND(FIRE1121_raw!G15,0)</f>
        <v>0</v>
      </c>
      <c r="H13" s="100">
        <f t="shared" ca="1" si="7"/>
        <v>0</v>
      </c>
      <c r="I13" s="46">
        <f t="shared" ca="1" si="8"/>
        <v>0</v>
      </c>
      <c r="J13" s="140" t="s">
        <v>244</v>
      </c>
      <c r="K13" s="24">
        <f ca="1">ROUND(FIRE1121_raw!K15,0)</f>
        <v>35</v>
      </c>
      <c r="L13" s="24">
        <f ca="1">ROUND(FIRE1121_raw!L15,0)</f>
        <v>0</v>
      </c>
      <c r="M13" s="24">
        <f ca="1">ROUND(FIRE1121_raw!M15,0)</f>
        <v>0</v>
      </c>
      <c r="N13" s="24">
        <f ca="1">ROUND(FIRE1121_raw!N15,0)</f>
        <v>0</v>
      </c>
      <c r="O13" s="24">
        <f ca="1">ROUND(FIRE1121_raw!O15,0)</f>
        <v>0</v>
      </c>
      <c r="P13" s="24">
        <f ca="1">ROUND(FIRE1121_raw!P15,0)</f>
        <v>4</v>
      </c>
      <c r="Q13" s="100">
        <f t="shared" ca="1" si="10"/>
        <v>0</v>
      </c>
      <c r="R13" s="46">
        <f t="shared" ca="1" si="11"/>
        <v>0.10256410256410256</v>
      </c>
      <c r="S13" s="140" t="s">
        <v>244</v>
      </c>
      <c r="T13" s="22">
        <f t="shared" ca="1" si="23"/>
        <v>58</v>
      </c>
      <c r="U13" s="22">
        <f t="shared" ca="1" si="2"/>
        <v>0</v>
      </c>
      <c r="V13" s="22">
        <f t="shared" ca="1" si="2"/>
        <v>0</v>
      </c>
      <c r="W13" s="22">
        <f t="shared" ca="1" si="2"/>
        <v>0</v>
      </c>
      <c r="X13" s="22">
        <f t="shared" ca="1" si="2"/>
        <v>0</v>
      </c>
      <c r="Y13" s="22">
        <f t="shared" ca="1" si="2"/>
        <v>4</v>
      </c>
      <c r="Z13" s="100">
        <f t="shared" ca="1" si="12"/>
        <v>0</v>
      </c>
      <c r="AA13" s="100">
        <f t="shared" ca="1" si="13"/>
        <v>6.4516129032258063E-2</v>
      </c>
      <c r="AB13" s="140" t="s">
        <v>244</v>
      </c>
      <c r="AC13" s="24">
        <f ca="1">ROUND(FIRE1121_raw!AC15,0)</f>
        <v>0</v>
      </c>
      <c r="AD13" s="24">
        <f ca="1">ROUND(FIRE1121_raw!AD15,0)</f>
        <v>0</v>
      </c>
      <c r="AE13" s="24">
        <f ca="1">ROUND(FIRE1121_raw!AE15,0)</f>
        <v>0</v>
      </c>
      <c r="AF13" s="24">
        <f ca="1">ROUND(FIRE1121_raw!AF15,0)</f>
        <v>0</v>
      </c>
      <c r="AG13" s="24">
        <f ca="1">ROUND(FIRE1121_raw!AG15,0)</f>
        <v>0</v>
      </c>
      <c r="AH13" s="24">
        <f ca="1">ROUND(FIRE1121_raw!AH15,0)</f>
        <v>0</v>
      </c>
      <c r="AI13" s="100" t="str">
        <f t="shared" ca="1" si="15"/>
        <v>-</v>
      </c>
      <c r="AJ13" s="46" t="str">
        <f t="shared" ca="1" si="16"/>
        <v>-</v>
      </c>
      <c r="AK13" s="140" t="s">
        <v>244</v>
      </c>
      <c r="AL13" s="24">
        <f ca="1">ROUND(FIRE1121_raw!AL15,0)</f>
        <v>30</v>
      </c>
      <c r="AM13" s="24">
        <f ca="1">ROUND(FIRE1121_raw!AM15,0)</f>
        <v>1</v>
      </c>
      <c r="AN13" s="24">
        <f ca="1">ROUND(FIRE1121_raw!AN15,0)</f>
        <v>0</v>
      </c>
      <c r="AO13" s="24">
        <f ca="1">ROUND(FIRE1121_raw!AO15,0)</f>
        <v>0</v>
      </c>
      <c r="AP13" s="24">
        <f ca="1">ROUND(FIRE1121_raw!AP15,0)</f>
        <v>0</v>
      </c>
      <c r="AQ13" s="24">
        <f ca="1">ROUND(FIRE1121_raw!AQ15,0)</f>
        <v>0</v>
      </c>
      <c r="AR13" s="100">
        <f t="shared" ca="1" si="18"/>
        <v>3.2258064516129031E-2</v>
      </c>
      <c r="AS13" s="46">
        <f t="shared" ca="1" si="19"/>
        <v>0</v>
      </c>
      <c r="AT13" s="140" t="s">
        <v>244</v>
      </c>
      <c r="AU13" s="22">
        <f t="shared" ca="1" si="20"/>
        <v>88</v>
      </c>
      <c r="AV13" s="22">
        <f t="shared" ca="1" si="5"/>
        <v>1</v>
      </c>
      <c r="AW13" s="22">
        <f t="shared" ca="1" si="5"/>
        <v>0</v>
      </c>
      <c r="AX13" s="22">
        <f t="shared" ca="1" si="5"/>
        <v>0</v>
      </c>
      <c r="AY13" s="22">
        <f t="shared" ca="1" si="5"/>
        <v>0</v>
      </c>
      <c r="AZ13" s="22">
        <f t="shared" ca="1" si="5"/>
        <v>4</v>
      </c>
      <c r="BA13" s="100">
        <f t="shared" ca="1" si="21"/>
        <v>1.1235955056179775E-2</v>
      </c>
      <c r="BB13" s="100">
        <f t="shared" ca="1" si="22"/>
        <v>4.3010752688172046E-2</v>
      </c>
      <c r="BC13" s="19"/>
      <c r="BD13" s="19"/>
      <c r="BE13" s="19"/>
      <c r="BF13" s="19"/>
      <c r="BG13" s="19"/>
      <c r="BH13" s="19"/>
      <c r="BI13" s="19"/>
      <c r="BJ13" s="19"/>
      <c r="BK13" s="19"/>
    </row>
    <row r="14" spans="1:64" s="8" customFormat="1" ht="15" customHeight="1" x14ac:dyDescent="0.3">
      <c r="A14" s="2" t="s">
        <v>23</v>
      </c>
      <c r="B14" s="24">
        <f ca="1">ROUND(FIRE1121_raw!B16,0)</f>
        <v>31</v>
      </c>
      <c r="C14" s="24">
        <f ca="1">ROUND(FIRE1121_raw!C16,0)</f>
        <v>0</v>
      </c>
      <c r="D14" s="24">
        <f ca="1">ROUND(FIRE1121_raw!D16,0)</f>
        <v>0</v>
      </c>
      <c r="E14" s="24">
        <f ca="1">ROUND(FIRE1121_raw!E16,0)</f>
        <v>0</v>
      </c>
      <c r="F14" s="24">
        <f ca="1">ROUND(FIRE1121_raw!F16,0)</f>
        <v>1</v>
      </c>
      <c r="G14" s="24">
        <f ca="1">ROUND(FIRE1121_raw!G16,0)</f>
        <v>0</v>
      </c>
      <c r="H14" s="100">
        <f t="shared" ca="1" si="7"/>
        <v>3.125E-2</v>
      </c>
      <c r="I14" s="46">
        <f t="shared" ca="1" si="8"/>
        <v>0</v>
      </c>
      <c r="J14" s="140" t="s">
        <v>244</v>
      </c>
      <c r="K14" s="24">
        <f ca="1">ROUND(FIRE1121_raw!K16,0)</f>
        <v>7</v>
      </c>
      <c r="L14" s="24">
        <f ca="1">ROUND(FIRE1121_raw!L16,0)</f>
        <v>0</v>
      </c>
      <c r="M14" s="24">
        <f ca="1">ROUND(FIRE1121_raw!M16,0)</f>
        <v>0</v>
      </c>
      <c r="N14" s="24">
        <f ca="1">ROUND(FIRE1121_raw!N16,0)</f>
        <v>0</v>
      </c>
      <c r="O14" s="24">
        <f ca="1">ROUND(FIRE1121_raw!O16,0)</f>
        <v>0</v>
      </c>
      <c r="P14" s="24">
        <f ca="1">ROUND(FIRE1121_raw!P16,0)</f>
        <v>0</v>
      </c>
      <c r="Q14" s="100">
        <f t="shared" ca="1" si="10"/>
        <v>0</v>
      </c>
      <c r="R14" s="46">
        <f t="shared" ca="1" si="11"/>
        <v>0</v>
      </c>
      <c r="S14" s="140" t="s">
        <v>244</v>
      </c>
      <c r="T14" s="22">
        <f t="shared" ca="1" si="23"/>
        <v>38</v>
      </c>
      <c r="U14" s="22">
        <f t="shared" ca="1" si="2"/>
        <v>0</v>
      </c>
      <c r="V14" s="22">
        <f t="shared" ca="1" si="2"/>
        <v>0</v>
      </c>
      <c r="W14" s="22">
        <f t="shared" ca="1" si="2"/>
        <v>0</v>
      </c>
      <c r="X14" s="22">
        <f t="shared" ca="1" si="2"/>
        <v>1</v>
      </c>
      <c r="Y14" s="22">
        <f t="shared" ca="1" si="2"/>
        <v>0</v>
      </c>
      <c r="Z14" s="100">
        <f t="shared" ca="1" si="12"/>
        <v>2.564102564102564E-2</v>
      </c>
      <c r="AA14" s="100">
        <f t="shared" ca="1" si="13"/>
        <v>0</v>
      </c>
      <c r="AB14" s="140" t="s">
        <v>244</v>
      </c>
      <c r="AC14" s="24">
        <f ca="1">ROUND(FIRE1121_raw!AC16,0)</f>
        <v>4</v>
      </c>
      <c r="AD14" s="24">
        <f ca="1">ROUND(FIRE1121_raw!AD16,0)</f>
        <v>0</v>
      </c>
      <c r="AE14" s="24">
        <f ca="1">ROUND(FIRE1121_raw!AE16,0)</f>
        <v>0</v>
      </c>
      <c r="AF14" s="24">
        <f ca="1">ROUND(FIRE1121_raw!AF16,0)</f>
        <v>0</v>
      </c>
      <c r="AG14" s="24">
        <f ca="1">ROUND(FIRE1121_raw!AG16,0)</f>
        <v>0</v>
      </c>
      <c r="AH14" s="24">
        <f ca="1">ROUND(FIRE1121_raw!AH16,0)</f>
        <v>0</v>
      </c>
      <c r="AI14" s="100">
        <f t="shared" ca="1" si="15"/>
        <v>0</v>
      </c>
      <c r="AJ14" s="46">
        <f t="shared" ca="1" si="16"/>
        <v>0</v>
      </c>
      <c r="AK14" s="140" t="s">
        <v>244</v>
      </c>
      <c r="AL14" s="24">
        <f ca="1">ROUND(FIRE1121_raw!AL16,0)</f>
        <v>8</v>
      </c>
      <c r="AM14" s="24">
        <f ca="1">ROUND(FIRE1121_raw!AM16,0)</f>
        <v>0</v>
      </c>
      <c r="AN14" s="24">
        <f ca="1">ROUND(FIRE1121_raw!AN16,0)</f>
        <v>0</v>
      </c>
      <c r="AO14" s="24">
        <f ca="1">ROUND(FIRE1121_raw!AO16,0)</f>
        <v>0</v>
      </c>
      <c r="AP14" s="24">
        <f ca="1">ROUND(FIRE1121_raw!AP16,0)</f>
        <v>0</v>
      </c>
      <c r="AQ14" s="24">
        <f ca="1">ROUND(FIRE1121_raw!AQ16,0)</f>
        <v>0</v>
      </c>
      <c r="AR14" s="100">
        <f t="shared" ca="1" si="18"/>
        <v>0</v>
      </c>
      <c r="AS14" s="46">
        <f t="shared" ca="1" si="19"/>
        <v>0</v>
      </c>
      <c r="AT14" s="140" t="s">
        <v>244</v>
      </c>
      <c r="AU14" s="22">
        <f t="shared" ca="1" si="20"/>
        <v>50</v>
      </c>
      <c r="AV14" s="22">
        <f t="shared" ca="1" si="5"/>
        <v>0</v>
      </c>
      <c r="AW14" s="22">
        <f t="shared" ca="1" si="5"/>
        <v>0</v>
      </c>
      <c r="AX14" s="22">
        <f t="shared" ca="1" si="5"/>
        <v>0</v>
      </c>
      <c r="AY14" s="22">
        <f t="shared" ca="1" si="5"/>
        <v>1</v>
      </c>
      <c r="AZ14" s="22">
        <f t="shared" ca="1" si="5"/>
        <v>0</v>
      </c>
      <c r="BA14" s="100">
        <f t="shared" ca="1" si="21"/>
        <v>1.9607843137254902E-2</v>
      </c>
      <c r="BB14" s="100">
        <f t="shared" ca="1" si="22"/>
        <v>0</v>
      </c>
      <c r="BC14" s="19"/>
      <c r="BD14" s="19"/>
      <c r="BE14" s="19"/>
      <c r="BF14" s="19"/>
      <c r="BG14" s="19"/>
      <c r="BH14" s="19"/>
      <c r="BI14" s="19"/>
      <c r="BJ14" s="19"/>
      <c r="BK14" s="19"/>
    </row>
    <row r="15" spans="1:64" s="8" customFormat="1" ht="15" customHeight="1" x14ac:dyDescent="0.3">
      <c r="A15" s="2" t="s">
        <v>24</v>
      </c>
      <c r="B15" s="24">
        <f ca="1">ROUND(FIRE1121_raw!B17,0)</f>
        <v>0</v>
      </c>
      <c r="C15" s="24">
        <f ca="1">ROUND(FIRE1121_raw!C17,0)</f>
        <v>0</v>
      </c>
      <c r="D15" s="24">
        <f ca="1">ROUND(FIRE1121_raw!D17,0)</f>
        <v>0</v>
      </c>
      <c r="E15" s="24">
        <f ca="1">ROUND(FIRE1121_raw!E17,0)</f>
        <v>0</v>
      </c>
      <c r="F15" s="24">
        <f ca="1">ROUND(FIRE1121_raw!F17,0)</f>
        <v>0</v>
      </c>
      <c r="G15" s="24">
        <f ca="1">ROUND(FIRE1121_raw!G17,0)</f>
        <v>7</v>
      </c>
      <c r="H15" s="100" t="str">
        <f t="shared" ca="1" si="7"/>
        <v>-</v>
      </c>
      <c r="I15" s="46">
        <f t="shared" ca="1" si="8"/>
        <v>1</v>
      </c>
      <c r="J15" s="140" t="s">
        <v>244</v>
      </c>
      <c r="K15" s="24">
        <f ca="1">ROUND(FIRE1121_raw!K17,0)</f>
        <v>2</v>
      </c>
      <c r="L15" s="24">
        <f ca="1">ROUND(FIRE1121_raw!L17,0)</f>
        <v>0</v>
      </c>
      <c r="M15" s="24">
        <f ca="1">ROUND(FIRE1121_raw!M17,0)</f>
        <v>0</v>
      </c>
      <c r="N15" s="24">
        <f ca="1">ROUND(FIRE1121_raw!N17,0)</f>
        <v>0</v>
      </c>
      <c r="O15" s="24">
        <f ca="1">ROUND(FIRE1121_raw!O17,0)</f>
        <v>0</v>
      </c>
      <c r="P15" s="24">
        <f ca="1">ROUND(FIRE1121_raw!P17,0)</f>
        <v>38</v>
      </c>
      <c r="Q15" s="100">
        <f t="shared" ca="1" si="10"/>
        <v>0</v>
      </c>
      <c r="R15" s="46">
        <f t="shared" ca="1" si="11"/>
        <v>0.95</v>
      </c>
      <c r="S15" s="140" t="s">
        <v>244</v>
      </c>
      <c r="T15" s="22">
        <f t="shared" ca="1" si="23"/>
        <v>2</v>
      </c>
      <c r="U15" s="22">
        <f t="shared" ca="1" si="2"/>
        <v>0</v>
      </c>
      <c r="V15" s="22">
        <f t="shared" ca="1" si="2"/>
        <v>0</v>
      </c>
      <c r="W15" s="22">
        <f t="shared" ca="1" si="2"/>
        <v>0</v>
      </c>
      <c r="X15" s="22">
        <f t="shared" ca="1" si="2"/>
        <v>0</v>
      </c>
      <c r="Y15" s="22">
        <f t="shared" ca="1" si="2"/>
        <v>45</v>
      </c>
      <c r="Z15" s="100">
        <f t="shared" ca="1" si="12"/>
        <v>0</v>
      </c>
      <c r="AA15" s="100">
        <f t="shared" ca="1" si="13"/>
        <v>0.95744680851063835</v>
      </c>
      <c r="AB15" s="140" t="s">
        <v>244</v>
      </c>
      <c r="AC15" s="24">
        <f ca="1">ROUND(FIRE1121_raw!AC17,0)</f>
        <v>0</v>
      </c>
      <c r="AD15" s="24">
        <f ca="1">ROUND(FIRE1121_raw!AD17,0)</f>
        <v>0</v>
      </c>
      <c r="AE15" s="24">
        <f ca="1">ROUND(FIRE1121_raw!AE17,0)</f>
        <v>0</v>
      </c>
      <c r="AF15" s="24">
        <f ca="1">ROUND(FIRE1121_raw!AF17,0)</f>
        <v>0</v>
      </c>
      <c r="AG15" s="24">
        <f ca="1">ROUND(FIRE1121_raw!AG17,0)</f>
        <v>0</v>
      </c>
      <c r="AH15" s="24">
        <f ca="1">ROUND(FIRE1121_raw!AH17,0)</f>
        <v>1</v>
      </c>
      <c r="AI15" s="100" t="str">
        <f t="shared" ca="1" si="15"/>
        <v>-</v>
      </c>
      <c r="AJ15" s="46">
        <f t="shared" ca="1" si="16"/>
        <v>1</v>
      </c>
      <c r="AK15" s="140" t="s">
        <v>244</v>
      </c>
      <c r="AL15" s="24">
        <f ca="1">ROUND(FIRE1121_raw!AL17,0)</f>
        <v>2</v>
      </c>
      <c r="AM15" s="24">
        <f ca="1">ROUND(FIRE1121_raw!AM17,0)</f>
        <v>0</v>
      </c>
      <c r="AN15" s="24">
        <f ca="1">ROUND(FIRE1121_raw!AN17,0)</f>
        <v>0</v>
      </c>
      <c r="AO15" s="24">
        <f ca="1">ROUND(FIRE1121_raw!AO17,0)</f>
        <v>0</v>
      </c>
      <c r="AP15" s="24">
        <f ca="1">ROUND(FIRE1121_raw!AP17,0)</f>
        <v>0</v>
      </c>
      <c r="AQ15" s="24">
        <f ca="1">ROUND(FIRE1121_raw!AQ17,0)</f>
        <v>7</v>
      </c>
      <c r="AR15" s="100">
        <f t="shared" ca="1" si="18"/>
        <v>0</v>
      </c>
      <c r="AS15" s="46">
        <f t="shared" ca="1" si="19"/>
        <v>0.77777777777777779</v>
      </c>
      <c r="AT15" s="140" t="s">
        <v>244</v>
      </c>
      <c r="AU15" s="22">
        <f t="shared" ca="1" si="20"/>
        <v>4</v>
      </c>
      <c r="AV15" s="22">
        <f t="shared" ca="1" si="5"/>
        <v>0</v>
      </c>
      <c r="AW15" s="22">
        <f t="shared" ca="1" si="5"/>
        <v>0</v>
      </c>
      <c r="AX15" s="22">
        <f t="shared" ca="1" si="5"/>
        <v>0</v>
      </c>
      <c r="AY15" s="22">
        <f t="shared" ca="1" si="5"/>
        <v>0</v>
      </c>
      <c r="AZ15" s="22">
        <f t="shared" ca="1" si="5"/>
        <v>53</v>
      </c>
      <c r="BA15" s="100">
        <f t="shared" ca="1" si="21"/>
        <v>0</v>
      </c>
      <c r="BB15" s="100">
        <f t="shared" ca="1" si="22"/>
        <v>0.92982456140350878</v>
      </c>
      <c r="BC15" s="19"/>
      <c r="BD15" s="19"/>
      <c r="BE15" s="19"/>
      <c r="BF15" s="19"/>
      <c r="BG15" s="19"/>
      <c r="BH15" s="19"/>
      <c r="BI15" s="19"/>
      <c r="BJ15" s="19"/>
      <c r="BK15" s="19"/>
    </row>
    <row r="16" spans="1:64" s="8" customFormat="1" ht="15" customHeight="1" x14ac:dyDescent="0.3">
      <c r="A16" s="2" t="s">
        <v>25</v>
      </c>
      <c r="B16" s="24">
        <f ca="1">ROUND(FIRE1121_raw!B18,0)</f>
        <v>3</v>
      </c>
      <c r="C16" s="24">
        <f ca="1">ROUND(FIRE1121_raw!C18,0)</f>
        <v>0</v>
      </c>
      <c r="D16" s="24">
        <f ca="1">ROUND(FIRE1121_raw!D18,0)</f>
        <v>0</v>
      </c>
      <c r="E16" s="24">
        <f ca="1">ROUND(FIRE1121_raw!E18,0)</f>
        <v>0</v>
      </c>
      <c r="F16" s="24">
        <f ca="1">ROUND(FIRE1121_raw!F18,0)</f>
        <v>0</v>
      </c>
      <c r="G16" s="24">
        <f ca="1">ROUND(FIRE1121_raw!G18,0)</f>
        <v>9</v>
      </c>
      <c r="H16" s="100">
        <f t="shared" ca="1" si="7"/>
        <v>0</v>
      </c>
      <c r="I16" s="46">
        <f t="shared" ca="1" si="8"/>
        <v>0.75</v>
      </c>
      <c r="J16" s="140" t="s">
        <v>244</v>
      </c>
      <c r="K16" s="24">
        <f ca="1">ROUND(FIRE1121_raw!K18,0)</f>
        <v>1</v>
      </c>
      <c r="L16" s="24">
        <f ca="1">ROUND(FIRE1121_raw!L18,0)</f>
        <v>0</v>
      </c>
      <c r="M16" s="24">
        <f ca="1">ROUND(FIRE1121_raw!M18,0)</f>
        <v>0</v>
      </c>
      <c r="N16" s="24">
        <f ca="1">ROUND(FIRE1121_raw!N18,0)</f>
        <v>0</v>
      </c>
      <c r="O16" s="24">
        <f ca="1">ROUND(FIRE1121_raw!O18,0)</f>
        <v>0</v>
      </c>
      <c r="P16" s="24">
        <f ca="1">ROUND(FIRE1121_raw!P18,0)</f>
        <v>41</v>
      </c>
      <c r="Q16" s="100">
        <f t="shared" ca="1" si="10"/>
        <v>0</v>
      </c>
      <c r="R16" s="46">
        <f t="shared" ca="1" si="11"/>
        <v>0.97619047619047616</v>
      </c>
      <c r="S16" s="140" t="s">
        <v>244</v>
      </c>
      <c r="T16" s="22">
        <f t="shared" ca="1" si="23"/>
        <v>4</v>
      </c>
      <c r="U16" s="22">
        <f t="shared" ca="1" si="2"/>
        <v>0</v>
      </c>
      <c r="V16" s="22">
        <f t="shared" ca="1" si="2"/>
        <v>0</v>
      </c>
      <c r="W16" s="22">
        <f t="shared" ca="1" si="2"/>
        <v>0</v>
      </c>
      <c r="X16" s="22">
        <f t="shared" ca="1" si="2"/>
        <v>0</v>
      </c>
      <c r="Y16" s="22">
        <f t="shared" ca="1" si="2"/>
        <v>50</v>
      </c>
      <c r="Z16" s="100">
        <f t="shared" ca="1" si="12"/>
        <v>0</v>
      </c>
      <c r="AA16" s="100">
        <f t="shared" ca="1" si="13"/>
        <v>0.92592592592592593</v>
      </c>
      <c r="AB16" s="140" t="s">
        <v>244</v>
      </c>
      <c r="AC16" s="24">
        <f ca="1">ROUND(FIRE1121_raw!AC18,0)</f>
        <v>0</v>
      </c>
      <c r="AD16" s="24">
        <f ca="1">ROUND(FIRE1121_raw!AD18,0)</f>
        <v>0</v>
      </c>
      <c r="AE16" s="24">
        <f ca="1">ROUND(FIRE1121_raw!AE18,0)</f>
        <v>0</v>
      </c>
      <c r="AF16" s="24">
        <f ca="1">ROUND(FIRE1121_raw!AF18,0)</f>
        <v>0</v>
      </c>
      <c r="AG16" s="24">
        <f ca="1">ROUND(FIRE1121_raw!AG18,0)</f>
        <v>0</v>
      </c>
      <c r="AH16" s="24">
        <f ca="1">ROUND(FIRE1121_raw!AH18,0)</f>
        <v>0</v>
      </c>
      <c r="AI16" s="100" t="str">
        <f t="shared" ca="1" si="15"/>
        <v>-</v>
      </c>
      <c r="AJ16" s="46" t="str">
        <f t="shared" ca="1" si="16"/>
        <v>-</v>
      </c>
      <c r="AK16" s="140" t="s">
        <v>244</v>
      </c>
      <c r="AL16" s="24">
        <f ca="1">ROUND(FIRE1121_raw!AL18,0)</f>
        <v>11</v>
      </c>
      <c r="AM16" s="24">
        <f ca="1">ROUND(FIRE1121_raw!AM18,0)</f>
        <v>0</v>
      </c>
      <c r="AN16" s="24">
        <f ca="1">ROUND(FIRE1121_raw!AN18,0)</f>
        <v>1</v>
      </c>
      <c r="AO16" s="24">
        <f ca="1">ROUND(FIRE1121_raw!AO18,0)</f>
        <v>0</v>
      </c>
      <c r="AP16" s="24">
        <f ca="1">ROUND(FIRE1121_raw!AP18,0)</f>
        <v>0</v>
      </c>
      <c r="AQ16" s="24">
        <f ca="1">ROUND(FIRE1121_raw!AQ18,0)</f>
        <v>1</v>
      </c>
      <c r="AR16" s="100">
        <f t="shared" ca="1" si="18"/>
        <v>8.3333333333333329E-2</v>
      </c>
      <c r="AS16" s="46">
        <f t="shared" ca="1" si="19"/>
        <v>7.6923076923076927E-2</v>
      </c>
      <c r="AT16" s="140" t="s">
        <v>244</v>
      </c>
      <c r="AU16" s="22">
        <f t="shared" ca="1" si="20"/>
        <v>15</v>
      </c>
      <c r="AV16" s="22">
        <f t="shared" ca="1" si="5"/>
        <v>0</v>
      </c>
      <c r="AW16" s="22">
        <f t="shared" ca="1" si="5"/>
        <v>1</v>
      </c>
      <c r="AX16" s="22">
        <f t="shared" ca="1" si="5"/>
        <v>0</v>
      </c>
      <c r="AY16" s="22">
        <f t="shared" ca="1" si="5"/>
        <v>0</v>
      </c>
      <c r="AZ16" s="22">
        <f t="shared" ca="1" si="5"/>
        <v>51</v>
      </c>
      <c r="BA16" s="100">
        <f t="shared" ca="1" si="21"/>
        <v>6.25E-2</v>
      </c>
      <c r="BB16" s="100">
        <f t="shared" ca="1" si="22"/>
        <v>0.76119402985074625</v>
      </c>
      <c r="BC16" s="19"/>
      <c r="BD16" s="19"/>
      <c r="BE16" s="19"/>
      <c r="BF16" s="19"/>
      <c r="BG16" s="19"/>
      <c r="BH16" s="19"/>
      <c r="BI16" s="19"/>
      <c r="BJ16" s="19"/>
      <c r="BK16" s="19"/>
    </row>
    <row r="17" spans="1:63" s="8" customFormat="1" ht="15" customHeight="1" x14ac:dyDescent="0.3">
      <c r="A17" s="26" t="s">
        <v>26</v>
      </c>
      <c r="B17" s="24">
        <f ca="1">ROUND(FIRE1121_raw!B19,0)</f>
        <v>16</v>
      </c>
      <c r="C17" s="24">
        <f ca="1">ROUND(FIRE1121_raw!C19,0)</f>
        <v>0</v>
      </c>
      <c r="D17" s="24">
        <f ca="1">ROUND(FIRE1121_raw!D19,0)</f>
        <v>0</v>
      </c>
      <c r="E17" s="24">
        <f ca="1">ROUND(FIRE1121_raw!E19,0)</f>
        <v>0</v>
      </c>
      <c r="F17" s="24">
        <f ca="1">ROUND(FIRE1121_raw!F19,0)</f>
        <v>0</v>
      </c>
      <c r="G17" s="24">
        <f ca="1">ROUND(FIRE1121_raw!G19,0)</f>
        <v>0</v>
      </c>
      <c r="H17" s="100">
        <f t="shared" ca="1" si="7"/>
        <v>0</v>
      </c>
      <c r="I17" s="46">
        <f t="shared" ca="1" si="8"/>
        <v>0</v>
      </c>
      <c r="J17" s="140" t="s">
        <v>244</v>
      </c>
      <c r="K17" s="24">
        <f ca="1">ROUND(FIRE1121_raw!K19,0)</f>
        <v>42</v>
      </c>
      <c r="L17" s="24">
        <f ca="1">ROUND(FIRE1121_raw!L19,0)</f>
        <v>0</v>
      </c>
      <c r="M17" s="24">
        <f ca="1">ROUND(FIRE1121_raw!M19,0)</f>
        <v>0</v>
      </c>
      <c r="N17" s="24">
        <f ca="1">ROUND(FIRE1121_raw!N19,0)</f>
        <v>0</v>
      </c>
      <c r="O17" s="24">
        <f ca="1">ROUND(FIRE1121_raw!O19,0)</f>
        <v>0</v>
      </c>
      <c r="P17" s="24">
        <f ca="1">ROUND(FIRE1121_raw!P19,0)</f>
        <v>0</v>
      </c>
      <c r="Q17" s="100">
        <f t="shared" ca="1" si="10"/>
        <v>0</v>
      </c>
      <c r="R17" s="46">
        <f t="shared" ca="1" si="11"/>
        <v>0</v>
      </c>
      <c r="S17" s="140" t="s">
        <v>244</v>
      </c>
      <c r="T17" s="22">
        <f t="shared" ca="1" si="23"/>
        <v>58</v>
      </c>
      <c r="U17" s="22">
        <f t="shared" ca="1" si="2"/>
        <v>0</v>
      </c>
      <c r="V17" s="22">
        <f t="shared" ca="1" si="2"/>
        <v>0</v>
      </c>
      <c r="W17" s="22">
        <f t="shared" ca="1" si="2"/>
        <v>0</v>
      </c>
      <c r="X17" s="22">
        <f t="shared" ca="1" si="2"/>
        <v>0</v>
      </c>
      <c r="Y17" s="22">
        <f t="shared" ca="1" si="2"/>
        <v>0</v>
      </c>
      <c r="Z17" s="100">
        <f t="shared" ca="1" si="12"/>
        <v>0</v>
      </c>
      <c r="AA17" s="100">
        <f t="shared" ca="1" si="13"/>
        <v>0</v>
      </c>
      <c r="AB17" s="140" t="s">
        <v>244</v>
      </c>
      <c r="AC17" s="24">
        <f ca="1">ROUND(FIRE1121_raw!AC19,0)</f>
        <v>6</v>
      </c>
      <c r="AD17" s="24">
        <f ca="1">ROUND(FIRE1121_raw!AD19,0)</f>
        <v>0</v>
      </c>
      <c r="AE17" s="24">
        <f ca="1">ROUND(FIRE1121_raw!AE19,0)</f>
        <v>0</v>
      </c>
      <c r="AF17" s="24">
        <f ca="1">ROUND(FIRE1121_raw!AF19,0)</f>
        <v>0</v>
      </c>
      <c r="AG17" s="24">
        <f ca="1">ROUND(FIRE1121_raw!AG19,0)</f>
        <v>0</v>
      </c>
      <c r="AH17" s="24">
        <f ca="1">ROUND(FIRE1121_raw!AH19,0)</f>
        <v>0</v>
      </c>
      <c r="AI17" s="100">
        <f t="shared" ca="1" si="15"/>
        <v>0</v>
      </c>
      <c r="AJ17" s="46">
        <f t="shared" ca="1" si="16"/>
        <v>0</v>
      </c>
      <c r="AK17" s="140" t="s">
        <v>244</v>
      </c>
      <c r="AL17" s="24">
        <f ca="1">ROUND(FIRE1121_raw!AL19,0)</f>
        <v>12</v>
      </c>
      <c r="AM17" s="24">
        <f ca="1">ROUND(FIRE1121_raw!AM19,0)</f>
        <v>2</v>
      </c>
      <c r="AN17" s="24">
        <f ca="1">ROUND(FIRE1121_raw!AN19,0)</f>
        <v>0</v>
      </c>
      <c r="AO17" s="24">
        <f ca="1">ROUND(FIRE1121_raw!AO19,0)</f>
        <v>0</v>
      </c>
      <c r="AP17" s="24">
        <f ca="1">ROUND(FIRE1121_raw!AP19,0)</f>
        <v>0</v>
      </c>
      <c r="AQ17" s="24">
        <f ca="1">ROUND(FIRE1121_raw!AQ19,0)</f>
        <v>1</v>
      </c>
      <c r="AR17" s="100">
        <f t="shared" ca="1" si="18"/>
        <v>0.14285714285714285</v>
      </c>
      <c r="AS17" s="46">
        <f t="shared" ca="1" si="19"/>
        <v>6.6666666666666666E-2</v>
      </c>
      <c r="AT17" s="140" t="s">
        <v>244</v>
      </c>
      <c r="AU17" s="22">
        <f t="shared" ca="1" si="20"/>
        <v>76</v>
      </c>
      <c r="AV17" s="22">
        <f t="shared" ca="1" si="5"/>
        <v>2</v>
      </c>
      <c r="AW17" s="22">
        <f t="shared" ca="1" si="5"/>
        <v>0</v>
      </c>
      <c r="AX17" s="22">
        <f t="shared" ca="1" si="5"/>
        <v>0</v>
      </c>
      <c r="AY17" s="22">
        <f t="shared" ca="1" si="5"/>
        <v>0</v>
      </c>
      <c r="AZ17" s="22">
        <f t="shared" ca="1" si="5"/>
        <v>1</v>
      </c>
      <c r="BA17" s="100">
        <f t="shared" ca="1" si="21"/>
        <v>2.564102564102564E-2</v>
      </c>
      <c r="BB17" s="100">
        <f t="shared" ca="1" si="22"/>
        <v>1.2658227848101266E-2</v>
      </c>
      <c r="BC17" s="19"/>
      <c r="BD17" s="19"/>
      <c r="BE17" s="19"/>
      <c r="BF17" s="19"/>
      <c r="BG17" s="19"/>
      <c r="BH17" s="19"/>
      <c r="BI17" s="19"/>
      <c r="BJ17" s="19"/>
      <c r="BK17" s="19"/>
    </row>
    <row r="18" spans="1:63" s="8" customFormat="1" ht="15" customHeight="1" x14ac:dyDescent="0.3">
      <c r="A18" s="26" t="s">
        <v>27</v>
      </c>
      <c r="B18" s="24">
        <f ca="1">ROUND(FIRE1121_raw!B20,0)</f>
        <v>9</v>
      </c>
      <c r="C18" s="24">
        <f ca="1">ROUND(FIRE1121_raw!C20,0)</f>
        <v>0</v>
      </c>
      <c r="D18" s="24">
        <f ca="1">ROUND(FIRE1121_raw!D20,0)</f>
        <v>0</v>
      </c>
      <c r="E18" s="24">
        <f ca="1">ROUND(FIRE1121_raw!E20,0)</f>
        <v>0</v>
      </c>
      <c r="F18" s="24">
        <f ca="1">ROUND(FIRE1121_raw!F20,0)</f>
        <v>0</v>
      </c>
      <c r="G18" s="24">
        <f ca="1">ROUND(FIRE1121_raw!G20,0)</f>
        <v>0</v>
      </c>
      <c r="H18" s="100">
        <f t="shared" ca="1" si="7"/>
        <v>0</v>
      </c>
      <c r="I18" s="46">
        <f t="shared" ca="1" si="8"/>
        <v>0</v>
      </c>
      <c r="J18" s="140" t="s">
        <v>244</v>
      </c>
      <c r="K18" s="24">
        <f ca="1">ROUND(FIRE1121_raw!K20,0)</f>
        <v>127</v>
      </c>
      <c r="L18" s="24">
        <f ca="1">ROUND(FIRE1121_raw!L20,0)</f>
        <v>0</v>
      </c>
      <c r="M18" s="24">
        <f ca="1">ROUND(FIRE1121_raw!M20,0)</f>
        <v>0</v>
      </c>
      <c r="N18" s="24">
        <f ca="1">ROUND(FIRE1121_raw!N20,0)</f>
        <v>0</v>
      </c>
      <c r="O18" s="24">
        <f ca="1">ROUND(FIRE1121_raw!O20,0)</f>
        <v>0</v>
      </c>
      <c r="P18" s="24">
        <f ca="1">ROUND(FIRE1121_raw!P20,0)</f>
        <v>6</v>
      </c>
      <c r="Q18" s="100">
        <f t="shared" ca="1" si="10"/>
        <v>0</v>
      </c>
      <c r="R18" s="46">
        <f t="shared" ca="1" si="11"/>
        <v>4.5112781954887216E-2</v>
      </c>
      <c r="S18" s="140" t="s">
        <v>244</v>
      </c>
      <c r="T18" s="22">
        <f t="shared" ca="1" si="23"/>
        <v>136</v>
      </c>
      <c r="U18" s="22">
        <f t="shared" ca="1" si="2"/>
        <v>0</v>
      </c>
      <c r="V18" s="22">
        <f t="shared" ca="1" si="2"/>
        <v>0</v>
      </c>
      <c r="W18" s="22">
        <f t="shared" ca="1" si="2"/>
        <v>0</v>
      </c>
      <c r="X18" s="22">
        <f t="shared" ca="1" si="2"/>
        <v>0</v>
      </c>
      <c r="Y18" s="22">
        <f t="shared" ca="1" si="2"/>
        <v>6</v>
      </c>
      <c r="Z18" s="100">
        <f t="shared" ca="1" si="12"/>
        <v>0</v>
      </c>
      <c r="AA18" s="100">
        <f t="shared" ca="1" si="13"/>
        <v>4.2253521126760563E-2</v>
      </c>
      <c r="AB18" s="140" t="s">
        <v>244</v>
      </c>
      <c r="AC18" s="24">
        <f ca="1">ROUND(FIRE1121_raw!AC20,0)</f>
        <v>2</v>
      </c>
      <c r="AD18" s="24">
        <f ca="1">ROUND(FIRE1121_raw!AD20,0)</f>
        <v>0</v>
      </c>
      <c r="AE18" s="24">
        <f ca="1">ROUND(FIRE1121_raw!AE20,0)</f>
        <v>0</v>
      </c>
      <c r="AF18" s="24">
        <f ca="1">ROUND(FIRE1121_raw!AF20,0)</f>
        <v>0</v>
      </c>
      <c r="AG18" s="24">
        <f ca="1">ROUND(FIRE1121_raw!AG20,0)</f>
        <v>0</v>
      </c>
      <c r="AH18" s="24">
        <f ca="1">ROUND(FIRE1121_raw!AH20,0)</f>
        <v>0</v>
      </c>
      <c r="AI18" s="100">
        <f t="shared" ca="1" si="15"/>
        <v>0</v>
      </c>
      <c r="AJ18" s="46">
        <f t="shared" ca="1" si="16"/>
        <v>0</v>
      </c>
      <c r="AK18" s="140" t="s">
        <v>244</v>
      </c>
      <c r="AL18" s="24">
        <f ca="1">ROUND(FIRE1121_raw!AL20,0)</f>
        <v>25</v>
      </c>
      <c r="AM18" s="24">
        <f ca="1">ROUND(FIRE1121_raw!AM20,0)</f>
        <v>1</v>
      </c>
      <c r="AN18" s="24">
        <f ca="1">ROUND(FIRE1121_raw!AN20,0)</f>
        <v>1</v>
      </c>
      <c r="AO18" s="24">
        <f ca="1">ROUND(FIRE1121_raw!AO20,0)</f>
        <v>0</v>
      </c>
      <c r="AP18" s="24">
        <f ca="1">ROUND(FIRE1121_raw!AP20,0)</f>
        <v>0</v>
      </c>
      <c r="AQ18" s="24">
        <f ca="1">ROUND(FIRE1121_raw!AQ20,0)</f>
        <v>1</v>
      </c>
      <c r="AR18" s="100">
        <f t="shared" ca="1" si="18"/>
        <v>7.407407407407407E-2</v>
      </c>
      <c r="AS18" s="46">
        <f t="shared" ca="1" si="19"/>
        <v>3.5714285714285712E-2</v>
      </c>
      <c r="AT18" s="140" t="s">
        <v>244</v>
      </c>
      <c r="AU18" s="22">
        <f t="shared" ca="1" si="20"/>
        <v>163</v>
      </c>
      <c r="AV18" s="22">
        <f t="shared" ca="1" si="5"/>
        <v>1</v>
      </c>
      <c r="AW18" s="22">
        <f t="shared" ca="1" si="5"/>
        <v>1</v>
      </c>
      <c r="AX18" s="22">
        <f t="shared" ca="1" si="5"/>
        <v>0</v>
      </c>
      <c r="AY18" s="22">
        <f t="shared" ca="1" si="5"/>
        <v>0</v>
      </c>
      <c r="AZ18" s="22">
        <f t="shared" ca="1" si="5"/>
        <v>7</v>
      </c>
      <c r="BA18" s="100">
        <f t="shared" ca="1" si="21"/>
        <v>1.2121212121212121E-2</v>
      </c>
      <c r="BB18" s="100">
        <f t="shared" ca="1" si="22"/>
        <v>4.0697674418604654E-2</v>
      </c>
      <c r="BC18" s="19"/>
      <c r="BD18" s="19"/>
      <c r="BE18" s="19"/>
      <c r="BF18" s="19"/>
      <c r="BG18" s="19"/>
      <c r="BH18" s="19"/>
      <c r="BI18" s="19"/>
      <c r="BJ18" s="19"/>
      <c r="BK18" s="19"/>
    </row>
    <row r="19" spans="1:63" s="8" customFormat="1" ht="15" customHeight="1" x14ac:dyDescent="0.3">
      <c r="A19" s="2" t="s">
        <v>28</v>
      </c>
      <c r="B19" s="24">
        <f ca="1">ROUND(FIRE1121_raw!B21,0)</f>
        <v>10</v>
      </c>
      <c r="C19" s="24">
        <f ca="1">ROUND(FIRE1121_raw!C21,0)</f>
        <v>0</v>
      </c>
      <c r="D19" s="24">
        <f ca="1">ROUND(FIRE1121_raw!D21,0)</f>
        <v>0</v>
      </c>
      <c r="E19" s="24">
        <f ca="1">ROUND(FIRE1121_raw!E21,0)</f>
        <v>0</v>
      </c>
      <c r="F19" s="24">
        <f ca="1">ROUND(FIRE1121_raw!F21,0)</f>
        <v>0</v>
      </c>
      <c r="G19" s="24">
        <f ca="1">ROUND(FIRE1121_raw!G21,0)</f>
        <v>1</v>
      </c>
      <c r="H19" s="100">
        <f t="shared" ca="1" si="7"/>
        <v>0</v>
      </c>
      <c r="I19" s="46">
        <f t="shared" ca="1" si="8"/>
        <v>9.0909090909090912E-2</v>
      </c>
      <c r="J19" s="140" t="s">
        <v>244</v>
      </c>
      <c r="K19" s="24">
        <f ca="1">ROUND(FIRE1121_raw!K21,0)</f>
        <v>83</v>
      </c>
      <c r="L19" s="24">
        <f ca="1">ROUND(FIRE1121_raw!L21,0)</f>
        <v>1</v>
      </c>
      <c r="M19" s="24">
        <f ca="1">ROUND(FIRE1121_raw!M21,0)</f>
        <v>0</v>
      </c>
      <c r="N19" s="24">
        <f ca="1">ROUND(FIRE1121_raw!N21,0)</f>
        <v>0</v>
      </c>
      <c r="O19" s="24">
        <f ca="1">ROUND(FIRE1121_raw!O21,0)</f>
        <v>0</v>
      </c>
      <c r="P19" s="24">
        <f ca="1">ROUND(FIRE1121_raw!P21,0)</f>
        <v>15</v>
      </c>
      <c r="Q19" s="100">
        <f t="shared" ca="1" si="10"/>
        <v>1.1904761904761904E-2</v>
      </c>
      <c r="R19" s="46">
        <f t="shared" ca="1" si="11"/>
        <v>0.15151515151515152</v>
      </c>
      <c r="S19" s="140" t="s">
        <v>244</v>
      </c>
      <c r="T19" s="22">
        <f t="shared" ca="1" si="23"/>
        <v>93</v>
      </c>
      <c r="U19" s="22">
        <f t="shared" ca="1" si="2"/>
        <v>1</v>
      </c>
      <c r="V19" s="22">
        <f t="shared" ca="1" si="2"/>
        <v>0</v>
      </c>
      <c r="W19" s="22">
        <f t="shared" ca="1" si="2"/>
        <v>0</v>
      </c>
      <c r="X19" s="22">
        <f t="shared" ca="1" si="2"/>
        <v>0</v>
      </c>
      <c r="Y19" s="22">
        <f t="shared" ca="1" si="2"/>
        <v>16</v>
      </c>
      <c r="Z19" s="100">
        <f t="shared" ca="1" si="12"/>
        <v>1.0638297872340425E-2</v>
      </c>
      <c r="AA19" s="100">
        <f t="shared" ca="1" si="13"/>
        <v>0.14545454545454545</v>
      </c>
      <c r="AB19" s="140" t="s">
        <v>244</v>
      </c>
      <c r="AC19" s="24">
        <f ca="1">ROUND(FIRE1121_raw!AC21,0)</f>
        <v>5</v>
      </c>
      <c r="AD19" s="24">
        <f ca="1">ROUND(FIRE1121_raw!AD21,0)</f>
        <v>0</v>
      </c>
      <c r="AE19" s="24">
        <f ca="1">ROUND(FIRE1121_raw!AE21,0)</f>
        <v>0</v>
      </c>
      <c r="AF19" s="24">
        <f ca="1">ROUND(FIRE1121_raw!AF21,0)</f>
        <v>0</v>
      </c>
      <c r="AG19" s="24">
        <f ca="1">ROUND(FIRE1121_raw!AG21,0)</f>
        <v>0</v>
      </c>
      <c r="AH19" s="24">
        <f ca="1">ROUND(FIRE1121_raw!AH21,0)</f>
        <v>1</v>
      </c>
      <c r="AI19" s="100">
        <f t="shared" ca="1" si="15"/>
        <v>0</v>
      </c>
      <c r="AJ19" s="46">
        <f t="shared" ca="1" si="16"/>
        <v>0.16666666666666666</v>
      </c>
      <c r="AK19" s="140" t="s">
        <v>244</v>
      </c>
      <c r="AL19" s="24">
        <f ca="1">ROUND(FIRE1121_raw!AL21,0)</f>
        <v>60</v>
      </c>
      <c r="AM19" s="24">
        <f ca="1">ROUND(FIRE1121_raw!AM21,0)</f>
        <v>0</v>
      </c>
      <c r="AN19" s="24">
        <f ca="1">ROUND(FIRE1121_raw!AN21,0)</f>
        <v>0</v>
      </c>
      <c r="AO19" s="24">
        <f ca="1">ROUND(FIRE1121_raw!AO21,0)</f>
        <v>0</v>
      </c>
      <c r="AP19" s="24">
        <f ca="1">ROUND(FIRE1121_raw!AP21,0)</f>
        <v>0</v>
      </c>
      <c r="AQ19" s="24">
        <f ca="1">ROUND(FIRE1121_raw!AQ21,0)</f>
        <v>8</v>
      </c>
      <c r="AR19" s="100">
        <f t="shared" ca="1" si="18"/>
        <v>0</v>
      </c>
      <c r="AS19" s="46">
        <f t="shared" ca="1" si="19"/>
        <v>0.11764705882352941</v>
      </c>
      <c r="AT19" s="140" t="s">
        <v>244</v>
      </c>
      <c r="AU19" s="22">
        <f t="shared" ca="1" si="20"/>
        <v>158</v>
      </c>
      <c r="AV19" s="22">
        <f t="shared" ca="1" si="5"/>
        <v>1</v>
      </c>
      <c r="AW19" s="22">
        <f t="shared" ca="1" si="5"/>
        <v>0</v>
      </c>
      <c r="AX19" s="22">
        <f t="shared" ca="1" si="5"/>
        <v>0</v>
      </c>
      <c r="AY19" s="22">
        <f t="shared" ca="1" si="5"/>
        <v>0</v>
      </c>
      <c r="AZ19" s="22">
        <f t="shared" ca="1" si="5"/>
        <v>25</v>
      </c>
      <c r="BA19" s="100">
        <f t="shared" ca="1" si="21"/>
        <v>6.2893081761006293E-3</v>
      </c>
      <c r="BB19" s="100">
        <f t="shared" ca="1" si="22"/>
        <v>0.1358695652173913</v>
      </c>
      <c r="BC19" s="19"/>
      <c r="BD19" s="19"/>
      <c r="BE19" s="19"/>
      <c r="BF19" s="19"/>
      <c r="BG19" s="19"/>
      <c r="BH19" s="19"/>
      <c r="BI19" s="19"/>
      <c r="BJ19" s="19"/>
      <c r="BK19" s="19"/>
    </row>
    <row r="20" spans="1:63" s="8" customFormat="1" ht="15" customHeight="1" x14ac:dyDescent="0.3">
      <c r="A20" s="2" t="s">
        <v>29</v>
      </c>
      <c r="B20" s="24">
        <f ca="1">ROUND(FIRE1121_raw!B22,0)</f>
        <v>9</v>
      </c>
      <c r="C20" s="24">
        <f ca="1">ROUND(FIRE1121_raw!C22,0)</f>
        <v>0</v>
      </c>
      <c r="D20" s="24">
        <f ca="1">ROUND(FIRE1121_raw!D22,0)</f>
        <v>0</v>
      </c>
      <c r="E20" s="24">
        <f ca="1">ROUND(FIRE1121_raw!E22,0)</f>
        <v>0</v>
      </c>
      <c r="F20" s="24">
        <f ca="1">ROUND(FIRE1121_raw!F22,0)</f>
        <v>0</v>
      </c>
      <c r="G20" s="24">
        <f ca="1">ROUND(FIRE1121_raw!G22,0)</f>
        <v>8</v>
      </c>
      <c r="H20" s="100">
        <f t="shared" ca="1" si="7"/>
        <v>0</v>
      </c>
      <c r="I20" s="46">
        <f t="shared" ca="1" si="8"/>
        <v>0.47058823529411764</v>
      </c>
      <c r="J20" s="140" t="s">
        <v>244</v>
      </c>
      <c r="K20" s="24">
        <f ca="1">ROUND(FIRE1121_raw!K22,0)</f>
        <v>8</v>
      </c>
      <c r="L20" s="24">
        <f ca="1">ROUND(FIRE1121_raw!L22,0)</f>
        <v>0</v>
      </c>
      <c r="M20" s="24">
        <f ca="1">ROUND(FIRE1121_raw!M22,0)</f>
        <v>0</v>
      </c>
      <c r="N20" s="24">
        <f ca="1">ROUND(FIRE1121_raw!N22,0)</f>
        <v>0</v>
      </c>
      <c r="O20" s="24">
        <f ca="1">ROUND(FIRE1121_raw!O22,0)</f>
        <v>0</v>
      </c>
      <c r="P20" s="24">
        <f ca="1">ROUND(FIRE1121_raw!P22,0)</f>
        <v>20</v>
      </c>
      <c r="Q20" s="100">
        <f t="shared" ca="1" si="10"/>
        <v>0</v>
      </c>
      <c r="R20" s="46">
        <f t="shared" ca="1" si="11"/>
        <v>0.7142857142857143</v>
      </c>
      <c r="S20" s="140" t="s">
        <v>244</v>
      </c>
      <c r="T20" s="22">
        <f t="shared" ca="1" si="23"/>
        <v>17</v>
      </c>
      <c r="U20" s="22">
        <f t="shared" ca="1" si="2"/>
        <v>0</v>
      </c>
      <c r="V20" s="22">
        <f t="shared" ca="1" si="2"/>
        <v>0</v>
      </c>
      <c r="W20" s="22">
        <f t="shared" ca="1" si="2"/>
        <v>0</v>
      </c>
      <c r="X20" s="22">
        <f t="shared" ca="1" si="2"/>
        <v>0</v>
      </c>
      <c r="Y20" s="22">
        <f t="shared" ca="1" si="2"/>
        <v>28</v>
      </c>
      <c r="Z20" s="100">
        <f t="shared" ca="1" si="12"/>
        <v>0</v>
      </c>
      <c r="AA20" s="100">
        <f t="shared" ca="1" si="13"/>
        <v>0.62222222222222223</v>
      </c>
      <c r="AB20" s="140" t="s">
        <v>244</v>
      </c>
      <c r="AC20" s="24">
        <f ca="1">ROUND(FIRE1121_raw!AC22,0)</f>
        <v>0</v>
      </c>
      <c r="AD20" s="24">
        <f ca="1">ROUND(FIRE1121_raw!AD22,0)</f>
        <v>0</v>
      </c>
      <c r="AE20" s="24">
        <f ca="1">ROUND(FIRE1121_raw!AE22,0)</f>
        <v>0</v>
      </c>
      <c r="AF20" s="24">
        <f ca="1">ROUND(FIRE1121_raw!AF22,0)</f>
        <v>0</v>
      </c>
      <c r="AG20" s="24">
        <f ca="1">ROUND(FIRE1121_raw!AG22,0)</f>
        <v>0</v>
      </c>
      <c r="AH20" s="24">
        <f ca="1">ROUND(FIRE1121_raw!AH22,0)</f>
        <v>0</v>
      </c>
      <c r="AI20" s="100" t="str">
        <f t="shared" ca="1" si="15"/>
        <v>-</v>
      </c>
      <c r="AJ20" s="46" t="str">
        <f t="shared" ca="1" si="16"/>
        <v>-</v>
      </c>
      <c r="AK20" s="140" t="s">
        <v>244</v>
      </c>
      <c r="AL20" s="24">
        <f ca="1">ROUND(FIRE1121_raw!AL22,0)</f>
        <v>4</v>
      </c>
      <c r="AM20" s="24">
        <f ca="1">ROUND(FIRE1121_raw!AM22,0)</f>
        <v>0</v>
      </c>
      <c r="AN20" s="24">
        <f ca="1">ROUND(FIRE1121_raw!AN22,0)</f>
        <v>0</v>
      </c>
      <c r="AO20" s="24">
        <f ca="1">ROUND(FIRE1121_raw!AO22,0)</f>
        <v>0</v>
      </c>
      <c r="AP20" s="24">
        <f ca="1">ROUND(FIRE1121_raw!AP22,0)</f>
        <v>0</v>
      </c>
      <c r="AQ20" s="24">
        <f ca="1">ROUND(FIRE1121_raw!AQ22,0)</f>
        <v>6</v>
      </c>
      <c r="AR20" s="100">
        <f t="shared" ca="1" si="18"/>
        <v>0</v>
      </c>
      <c r="AS20" s="46">
        <f t="shared" ca="1" si="19"/>
        <v>0.6</v>
      </c>
      <c r="AT20" s="140" t="s">
        <v>244</v>
      </c>
      <c r="AU20" s="22">
        <f t="shared" ca="1" si="20"/>
        <v>21</v>
      </c>
      <c r="AV20" s="22">
        <f t="shared" ca="1" si="5"/>
        <v>0</v>
      </c>
      <c r="AW20" s="22">
        <f t="shared" ca="1" si="5"/>
        <v>0</v>
      </c>
      <c r="AX20" s="22">
        <f t="shared" ca="1" si="5"/>
        <v>0</v>
      </c>
      <c r="AY20" s="22">
        <f t="shared" ca="1" si="5"/>
        <v>0</v>
      </c>
      <c r="AZ20" s="22">
        <f t="shared" ca="1" si="5"/>
        <v>34</v>
      </c>
      <c r="BA20" s="100">
        <f t="shared" ca="1" si="21"/>
        <v>0</v>
      </c>
      <c r="BB20" s="100">
        <f t="shared" ca="1" si="22"/>
        <v>0.61818181818181817</v>
      </c>
      <c r="BC20" s="19"/>
      <c r="BD20" s="19"/>
      <c r="BE20" s="19"/>
      <c r="BF20" s="19"/>
      <c r="BG20" s="19"/>
      <c r="BH20" s="19"/>
      <c r="BI20" s="19"/>
      <c r="BJ20" s="19"/>
      <c r="BK20" s="19"/>
    </row>
    <row r="21" spans="1:63" s="8" customFormat="1" ht="15" customHeight="1" x14ac:dyDescent="0.3">
      <c r="A21" s="2" t="s">
        <v>30</v>
      </c>
      <c r="B21" s="24">
        <f ca="1">ROUND(FIRE1121_raw!B23,0)</f>
        <v>10</v>
      </c>
      <c r="C21" s="24">
        <f ca="1">ROUND(FIRE1121_raw!C23,0)</f>
        <v>0</v>
      </c>
      <c r="D21" s="24">
        <f ca="1">ROUND(FIRE1121_raw!D23,0)</f>
        <v>0</v>
      </c>
      <c r="E21" s="24">
        <f ca="1">ROUND(FIRE1121_raw!E23,0)</f>
        <v>0</v>
      </c>
      <c r="F21" s="24">
        <f ca="1">ROUND(FIRE1121_raw!F23,0)</f>
        <v>0</v>
      </c>
      <c r="G21" s="24">
        <f ca="1">ROUND(FIRE1121_raw!G23,0)</f>
        <v>5</v>
      </c>
      <c r="H21" s="100">
        <f t="shared" ca="1" si="7"/>
        <v>0</v>
      </c>
      <c r="I21" s="46">
        <f t="shared" ca="1" si="8"/>
        <v>0.33333333333333331</v>
      </c>
      <c r="J21" s="140" t="s">
        <v>244</v>
      </c>
      <c r="K21" s="24">
        <f ca="1">ROUND(FIRE1121_raw!K23,0)</f>
        <v>18</v>
      </c>
      <c r="L21" s="24">
        <f ca="1">ROUND(FIRE1121_raw!L23,0)</f>
        <v>2</v>
      </c>
      <c r="M21" s="24">
        <f ca="1">ROUND(FIRE1121_raw!M23,0)</f>
        <v>0</v>
      </c>
      <c r="N21" s="24">
        <f ca="1">ROUND(FIRE1121_raw!N23,0)</f>
        <v>0</v>
      </c>
      <c r="O21" s="24">
        <f ca="1">ROUND(FIRE1121_raw!O23,0)</f>
        <v>0</v>
      </c>
      <c r="P21" s="24">
        <f ca="1">ROUND(FIRE1121_raw!P23,0)</f>
        <v>6</v>
      </c>
      <c r="Q21" s="100">
        <f t="shared" ca="1" si="10"/>
        <v>0.1</v>
      </c>
      <c r="R21" s="46">
        <f t="shared" ca="1" si="11"/>
        <v>0.23076923076923078</v>
      </c>
      <c r="S21" s="140" t="s">
        <v>244</v>
      </c>
      <c r="T21" s="22">
        <f t="shared" ca="1" si="23"/>
        <v>28</v>
      </c>
      <c r="U21" s="22">
        <f t="shared" ca="1" si="2"/>
        <v>2</v>
      </c>
      <c r="V21" s="22">
        <f t="shared" ca="1" si="2"/>
        <v>0</v>
      </c>
      <c r="W21" s="22">
        <f t="shared" ca="1" si="2"/>
        <v>0</v>
      </c>
      <c r="X21" s="22">
        <f t="shared" ca="1" si="2"/>
        <v>0</v>
      </c>
      <c r="Y21" s="22">
        <f t="shared" ca="1" si="2"/>
        <v>11</v>
      </c>
      <c r="Z21" s="100">
        <f t="shared" ca="1" si="12"/>
        <v>6.6666666666666666E-2</v>
      </c>
      <c r="AA21" s="100">
        <f t="shared" ca="1" si="13"/>
        <v>0.26829268292682928</v>
      </c>
      <c r="AB21" s="140" t="s">
        <v>244</v>
      </c>
      <c r="AC21" s="24">
        <f ca="1">ROUND(FIRE1121_raw!AC23,0)</f>
        <v>4</v>
      </c>
      <c r="AD21" s="24">
        <f ca="1">ROUND(FIRE1121_raw!AD23,0)</f>
        <v>0</v>
      </c>
      <c r="AE21" s="24">
        <f ca="1">ROUND(FIRE1121_raw!AE23,0)</f>
        <v>0</v>
      </c>
      <c r="AF21" s="24">
        <f ca="1">ROUND(FIRE1121_raw!AF23,0)</f>
        <v>0</v>
      </c>
      <c r="AG21" s="24">
        <f ca="1">ROUND(FIRE1121_raw!AG23,0)</f>
        <v>0</v>
      </c>
      <c r="AH21" s="24">
        <f ca="1">ROUND(FIRE1121_raw!AH23,0)</f>
        <v>0</v>
      </c>
      <c r="AI21" s="100">
        <f t="shared" ca="1" si="15"/>
        <v>0</v>
      </c>
      <c r="AJ21" s="46">
        <f t="shared" ca="1" si="16"/>
        <v>0</v>
      </c>
      <c r="AK21" s="140" t="s">
        <v>244</v>
      </c>
      <c r="AL21" s="24">
        <f ca="1">ROUND(FIRE1121_raw!AL23,0)</f>
        <v>16</v>
      </c>
      <c r="AM21" s="24">
        <f ca="1">ROUND(FIRE1121_raw!AM23,0)</f>
        <v>1</v>
      </c>
      <c r="AN21" s="24">
        <f ca="1">ROUND(FIRE1121_raw!AN23,0)</f>
        <v>0</v>
      </c>
      <c r="AO21" s="24">
        <f ca="1">ROUND(FIRE1121_raw!AO23,0)</f>
        <v>0</v>
      </c>
      <c r="AP21" s="24">
        <f ca="1">ROUND(FIRE1121_raw!AP23,0)</f>
        <v>0</v>
      </c>
      <c r="AQ21" s="24">
        <f ca="1">ROUND(FIRE1121_raw!AQ23,0)</f>
        <v>2</v>
      </c>
      <c r="AR21" s="100">
        <f t="shared" ca="1" si="18"/>
        <v>5.8823529411764705E-2</v>
      </c>
      <c r="AS21" s="46">
        <f t="shared" ca="1" si="19"/>
        <v>0.10526315789473684</v>
      </c>
      <c r="AT21" s="140" t="s">
        <v>244</v>
      </c>
      <c r="AU21" s="22">
        <f t="shared" ca="1" si="20"/>
        <v>48</v>
      </c>
      <c r="AV21" s="22">
        <f t="shared" ca="1" si="5"/>
        <v>3</v>
      </c>
      <c r="AW21" s="22">
        <f t="shared" ca="1" si="5"/>
        <v>0</v>
      </c>
      <c r="AX21" s="22">
        <f t="shared" ca="1" si="5"/>
        <v>0</v>
      </c>
      <c r="AY21" s="22">
        <f t="shared" ca="1" si="5"/>
        <v>0</v>
      </c>
      <c r="AZ21" s="22">
        <f t="shared" ca="1" si="5"/>
        <v>13</v>
      </c>
      <c r="BA21" s="100">
        <f t="shared" ca="1" si="21"/>
        <v>5.8823529411764705E-2</v>
      </c>
      <c r="BB21" s="100">
        <f t="shared" ca="1" si="22"/>
        <v>0.203125</v>
      </c>
      <c r="BC21" s="19"/>
      <c r="BD21" s="19"/>
      <c r="BE21" s="19"/>
      <c r="BF21" s="19"/>
      <c r="BG21" s="19"/>
      <c r="BH21" s="19"/>
      <c r="BI21" s="19"/>
      <c r="BJ21" s="19"/>
      <c r="BK21" s="19"/>
    </row>
    <row r="22" spans="1:63" s="8" customFormat="1" ht="15" customHeight="1" x14ac:dyDescent="0.3">
      <c r="A22" s="2" t="s">
        <v>31</v>
      </c>
      <c r="B22" s="24">
        <f ca="1">ROUND(FIRE1121_raw!B24,0)</f>
        <v>24</v>
      </c>
      <c r="C22" s="24">
        <f ca="1">ROUND(FIRE1121_raw!C24,0)</f>
        <v>2</v>
      </c>
      <c r="D22" s="24">
        <f ca="1">ROUND(FIRE1121_raw!D24,0)</f>
        <v>0</v>
      </c>
      <c r="E22" s="24">
        <f ca="1">ROUND(FIRE1121_raw!E24,0)</f>
        <v>0</v>
      </c>
      <c r="F22" s="24">
        <f ca="1">ROUND(FIRE1121_raw!F24,0)</f>
        <v>0</v>
      </c>
      <c r="G22" s="24">
        <f ca="1">ROUND(FIRE1121_raw!G24,0)</f>
        <v>4</v>
      </c>
      <c r="H22" s="100">
        <f t="shared" ca="1" si="7"/>
        <v>7.6923076923076927E-2</v>
      </c>
      <c r="I22" s="46">
        <f t="shared" ca="1" si="8"/>
        <v>0.13333333333333333</v>
      </c>
      <c r="J22" s="140" t="s">
        <v>244</v>
      </c>
      <c r="K22" s="24">
        <f ca="1">ROUND(FIRE1121_raw!K24,0)</f>
        <v>44</v>
      </c>
      <c r="L22" s="24">
        <f ca="1">ROUND(FIRE1121_raw!L24,0)</f>
        <v>0</v>
      </c>
      <c r="M22" s="24">
        <f ca="1">ROUND(FIRE1121_raw!M24,0)</f>
        <v>0</v>
      </c>
      <c r="N22" s="24">
        <f ca="1">ROUND(FIRE1121_raw!N24,0)</f>
        <v>1</v>
      </c>
      <c r="O22" s="24">
        <f ca="1">ROUND(FIRE1121_raw!O24,0)</f>
        <v>0</v>
      </c>
      <c r="P22" s="24">
        <f ca="1">ROUND(FIRE1121_raw!P24,0)</f>
        <v>35</v>
      </c>
      <c r="Q22" s="100">
        <f t="shared" ca="1" si="10"/>
        <v>2.2222222222222223E-2</v>
      </c>
      <c r="R22" s="46">
        <f t="shared" ca="1" si="11"/>
        <v>0.4375</v>
      </c>
      <c r="S22" s="140" t="s">
        <v>244</v>
      </c>
      <c r="T22" s="22">
        <f t="shared" ca="1" si="23"/>
        <v>68</v>
      </c>
      <c r="U22" s="22">
        <f t="shared" ca="1" si="23"/>
        <v>2</v>
      </c>
      <c r="V22" s="22">
        <f t="shared" ca="1" si="23"/>
        <v>0</v>
      </c>
      <c r="W22" s="22">
        <f t="shared" ca="1" si="23"/>
        <v>1</v>
      </c>
      <c r="X22" s="22">
        <f t="shared" ca="1" si="23"/>
        <v>0</v>
      </c>
      <c r="Y22" s="22">
        <f t="shared" ca="1" si="23"/>
        <v>39</v>
      </c>
      <c r="Z22" s="100">
        <f t="shared" ca="1" si="12"/>
        <v>4.2253521126760563E-2</v>
      </c>
      <c r="AA22" s="100">
        <f t="shared" ca="1" si="13"/>
        <v>0.35454545454545455</v>
      </c>
      <c r="AB22" s="140" t="s">
        <v>244</v>
      </c>
      <c r="AC22" s="24">
        <f ca="1">ROUND(FIRE1121_raw!AC24,0)</f>
        <v>2</v>
      </c>
      <c r="AD22" s="24">
        <f ca="1">ROUND(FIRE1121_raw!AD24,0)</f>
        <v>0</v>
      </c>
      <c r="AE22" s="24">
        <f ca="1">ROUND(FIRE1121_raw!AE24,0)</f>
        <v>0</v>
      </c>
      <c r="AF22" s="24">
        <f ca="1">ROUND(FIRE1121_raw!AF24,0)</f>
        <v>0</v>
      </c>
      <c r="AG22" s="24">
        <f ca="1">ROUND(FIRE1121_raw!AG24,0)</f>
        <v>0</v>
      </c>
      <c r="AH22" s="24">
        <f ca="1">ROUND(FIRE1121_raw!AH24,0)</f>
        <v>0</v>
      </c>
      <c r="AI22" s="100">
        <f t="shared" ca="1" si="15"/>
        <v>0</v>
      </c>
      <c r="AJ22" s="46">
        <f t="shared" ca="1" si="16"/>
        <v>0</v>
      </c>
      <c r="AK22" s="140" t="s">
        <v>244</v>
      </c>
      <c r="AL22" s="24">
        <f ca="1">ROUND(FIRE1121_raw!AL24,0)</f>
        <v>38</v>
      </c>
      <c r="AM22" s="24">
        <f ca="1">ROUND(FIRE1121_raw!AM24,0)</f>
        <v>1</v>
      </c>
      <c r="AN22" s="24">
        <f ca="1">ROUND(FIRE1121_raw!AN24,0)</f>
        <v>0</v>
      </c>
      <c r="AO22" s="24">
        <f ca="1">ROUND(FIRE1121_raw!AO24,0)</f>
        <v>1</v>
      </c>
      <c r="AP22" s="24">
        <f ca="1">ROUND(FIRE1121_raw!AP24,0)</f>
        <v>1</v>
      </c>
      <c r="AQ22" s="24">
        <f ca="1">ROUND(FIRE1121_raw!AQ24,0)</f>
        <v>19</v>
      </c>
      <c r="AR22" s="100">
        <f t="shared" ca="1" si="18"/>
        <v>7.3170731707317069E-2</v>
      </c>
      <c r="AS22" s="46">
        <f t="shared" ca="1" si="19"/>
        <v>0.31666666666666665</v>
      </c>
      <c r="AT22" s="140" t="s">
        <v>244</v>
      </c>
      <c r="AU22" s="22">
        <f t="shared" ca="1" si="20"/>
        <v>108</v>
      </c>
      <c r="AV22" s="22">
        <f t="shared" ca="1" si="20"/>
        <v>3</v>
      </c>
      <c r="AW22" s="22">
        <f t="shared" ca="1" si="20"/>
        <v>0</v>
      </c>
      <c r="AX22" s="22">
        <f t="shared" ca="1" si="20"/>
        <v>2</v>
      </c>
      <c r="AY22" s="22">
        <f t="shared" ca="1" si="20"/>
        <v>1</v>
      </c>
      <c r="AZ22" s="22">
        <f t="shared" ca="1" si="20"/>
        <v>58</v>
      </c>
      <c r="BA22" s="100">
        <f t="shared" ca="1" si="21"/>
        <v>5.2631578947368418E-2</v>
      </c>
      <c r="BB22" s="100">
        <f t="shared" ca="1" si="22"/>
        <v>0.33720930232558138</v>
      </c>
      <c r="BC22" s="19"/>
      <c r="BD22" s="19"/>
      <c r="BE22" s="19"/>
      <c r="BF22" s="19"/>
      <c r="BG22" s="19"/>
      <c r="BH22" s="19"/>
      <c r="BI22" s="19"/>
      <c r="BJ22" s="19"/>
      <c r="BK22" s="19"/>
    </row>
    <row r="23" spans="1:63" s="8" customFormat="1" ht="15" customHeight="1" x14ac:dyDescent="0.3">
      <c r="A23" s="2" t="s">
        <v>32</v>
      </c>
      <c r="B23" s="24">
        <f ca="1">ROUND(FIRE1121_raw!B25,0)</f>
        <v>7</v>
      </c>
      <c r="C23" s="24">
        <f ca="1">ROUND(FIRE1121_raw!C25,0)</f>
        <v>0</v>
      </c>
      <c r="D23" s="24">
        <f ca="1">ROUND(FIRE1121_raw!D25,0)</f>
        <v>0</v>
      </c>
      <c r="E23" s="24">
        <f ca="1">ROUND(FIRE1121_raw!E25,0)</f>
        <v>0</v>
      </c>
      <c r="F23" s="24">
        <f ca="1">ROUND(FIRE1121_raw!F25,0)</f>
        <v>0</v>
      </c>
      <c r="G23" s="24">
        <f ca="1">ROUND(FIRE1121_raw!G25,0)</f>
        <v>1</v>
      </c>
      <c r="H23" s="100">
        <f t="shared" ca="1" si="7"/>
        <v>0</v>
      </c>
      <c r="I23" s="46">
        <f t="shared" ca="1" si="8"/>
        <v>0.125</v>
      </c>
      <c r="J23" s="140" t="s">
        <v>244</v>
      </c>
      <c r="K23" s="24">
        <f ca="1">ROUND(FIRE1121_raw!K25,0)</f>
        <v>10</v>
      </c>
      <c r="L23" s="24">
        <f ca="1">ROUND(FIRE1121_raw!L25,0)</f>
        <v>1</v>
      </c>
      <c r="M23" s="24">
        <f ca="1">ROUND(FIRE1121_raw!M25,0)</f>
        <v>0</v>
      </c>
      <c r="N23" s="24">
        <f ca="1">ROUND(FIRE1121_raw!N25,0)</f>
        <v>0</v>
      </c>
      <c r="O23" s="24">
        <f ca="1">ROUND(FIRE1121_raw!O25,0)</f>
        <v>0</v>
      </c>
      <c r="P23" s="24">
        <f ca="1">ROUND(FIRE1121_raw!P25,0)</f>
        <v>25</v>
      </c>
      <c r="Q23" s="100">
        <f t="shared" ca="1" si="10"/>
        <v>9.0909090909090912E-2</v>
      </c>
      <c r="R23" s="46">
        <f t="shared" ca="1" si="11"/>
        <v>0.69444444444444442</v>
      </c>
      <c r="S23" s="140" t="s">
        <v>244</v>
      </c>
      <c r="T23" s="22">
        <f t="shared" ca="1" si="23"/>
        <v>17</v>
      </c>
      <c r="U23" s="22">
        <f t="shared" ca="1" si="23"/>
        <v>1</v>
      </c>
      <c r="V23" s="22">
        <f t="shared" ca="1" si="23"/>
        <v>0</v>
      </c>
      <c r="W23" s="22">
        <f t="shared" ca="1" si="23"/>
        <v>0</v>
      </c>
      <c r="X23" s="22">
        <f t="shared" ca="1" si="23"/>
        <v>0</v>
      </c>
      <c r="Y23" s="22">
        <f t="shared" ca="1" si="23"/>
        <v>26</v>
      </c>
      <c r="Z23" s="100">
        <f t="shared" ca="1" si="12"/>
        <v>5.5555555555555552E-2</v>
      </c>
      <c r="AA23" s="100">
        <f t="shared" ca="1" si="13"/>
        <v>0.59090909090909094</v>
      </c>
      <c r="AB23" s="140" t="s">
        <v>244</v>
      </c>
      <c r="AC23" s="24">
        <f ca="1">ROUND(FIRE1121_raw!AC25,0)</f>
        <v>2</v>
      </c>
      <c r="AD23" s="24">
        <f ca="1">ROUND(FIRE1121_raw!AD25,0)</f>
        <v>0</v>
      </c>
      <c r="AE23" s="24">
        <f ca="1">ROUND(FIRE1121_raw!AE25,0)</f>
        <v>0</v>
      </c>
      <c r="AF23" s="24">
        <f ca="1">ROUND(FIRE1121_raw!AF25,0)</f>
        <v>0</v>
      </c>
      <c r="AG23" s="24">
        <f ca="1">ROUND(FIRE1121_raw!AG25,0)</f>
        <v>0</v>
      </c>
      <c r="AH23" s="24">
        <f ca="1">ROUND(FIRE1121_raw!AH25,0)</f>
        <v>0</v>
      </c>
      <c r="AI23" s="100">
        <f t="shared" ca="1" si="15"/>
        <v>0</v>
      </c>
      <c r="AJ23" s="46">
        <f t="shared" ca="1" si="16"/>
        <v>0</v>
      </c>
      <c r="AK23" s="140" t="s">
        <v>244</v>
      </c>
      <c r="AL23" s="24">
        <f ca="1">ROUND(FIRE1121_raw!AL25,0)</f>
        <v>6</v>
      </c>
      <c r="AM23" s="24">
        <f ca="1">ROUND(FIRE1121_raw!AM25,0)</f>
        <v>0</v>
      </c>
      <c r="AN23" s="24">
        <f ca="1">ROUND(FIRE1121_raw!AN25,0)</f>
        <v>0</v>
      </c>
      <c r="AO23" s="24">
        <f ca="1">ROUND(FIRE1121_raw!AO25,0)</f>
        <v>0</v>
      </c>
      <c r="AP23" s="24">
        <f ca="1">ROUND(FIRE1121_raw!AP25,0)</f>
        <v>0</v>
      </c>
      <c r="AQ23" s="24">
        <f ca="1">ROUND(FIRE1121_raw!AQ25,0)</f>
        <v>1</v>
      </c>
      <c r="AR23" s="100">
        <f t="shared" ca="1" si="18"/>
        <v>0</v>
      </c>
      <c r="AS23" s="46">
        <f t="shared" ca="1" si="19"/>
        <v>0.14285714285714285</v>
      </c>
      <c r="AT23" s="140" t="s">
        <v>244</v>
      </c>
      <c r="AU23" s="22">
        <f t="shared" ca="1" si="20"/>
        <v>25</v>
      </c>
      <c r="AV23" s="22">
        <f t="shared" ca="1" si="20"/>
        <v>1</v>
      </c>
      <c r="AW23" s="22">
        <f t="shared" ca="1" si="20"/>
        <v>0</v>
      </c>
      <c r="AX23" s="22">
        <f t="shared" ca="1" si="20"/>
        <v>0</v>
      </c>
      <c r="AY23" s="22">
        <f t="shared" ca="1" si="20"/>
        <v>0</v>
      </c>
      <c r="AZ23" s="22">
        <f t="shared" ca="1" si="20"/>
        <v>27</v>
      </c>
      <c r="BA23" s="100">
        <f t="shared" ca="1" si="21"/>
        <v>3.8461538461538464E-2</v>
      </c>
      <c r="BB23" s="100">
        <f t="shared" ca="1" si="22"/>
        <v>0.50943396226415094</v>
      </c>
      <c r="BC23" s="19"/>
      <c r="BD23" s="19"/>
      <c r="BE23" s="19"/>
      <c r="BF23" s="19"/>
      <c r="BG23" s="19"/>
      <c r="BH23" s="19"/>
      <c r="BI23" s="19"/>
      <c r="BJ23" s="19"/>
      <c r="BK23" s="19"/>
    </row>
    <row r="24" spans="1:63" s="8" customFormat="1" ht="15" customHeight="1" x14ac:dyDescent="0.3">
      <c r="A24" s="2" t="s">
        <v>33</v>
      </c>
      <c r="B24" s="24">
        <f ca="1">ROUND(FIRE1121_raw!B26,0)</f>
        <v>27</v>
      </c>
      <c r="C24" s="24">
        <f ca="1">ROUND(FIRE1121_raw!C26,0)</f>
        <v>0</v>
      </c>
      <c r="D24" s="24">
        <f ca="1">ROUND(FIRE1121_raw!D26,0)</f>
        <v>0</v>
      </c>
      <c r="E24" s="24">
        <f ca="1">ROUND(FIRE1121_raw!E26,0)</f>
        <v>1</v>
      </c>
      <c r="F24" s="24">
        <f ca="1">ROUND(FIRE1121_raw!F26,0)</f>
        <v>1</v>
      </c>
      <c r="G24" s="24">
        <f ca="1">ROUND(FIRE1121_raw!G26,0)</f>
        <v>0</v>
      </c>
      <c r="H24" s="100">
        <f t="shared" ca="1" si="7"/>
        <v>6.8965517241379309E-2</v>
      </c>
      <c r="I24" s="46">
        <f t="shared" ca="1" si="8"/>
        <v>0</v>
      </c>
      <c r="J24" s="140" t="s">
        <v>244</v>
      </c>
      <c r="K24" s="24">
        <f ca="1">ROUND(FIRE1121_raw!K26,0)</f>
        <v>67</v>
      </c>
      <c r="L24" s="24">
        <f ca="1">ROUND(FIRE1121_raw!L26,0)</f>
        <v>0</v>
      </c>
      <c r="M24" s="24">
        <f ca="1">ROUND(FIRE1121_raw!M26,0)</f>
        <v>0</v>
      </c>
      <c r="N24" s="24">
        <f ca="1">ROUND(FIRE1121_raw!N26,0)</f>
        <v>1</v>
      </c>
      <c r="O24" s="24">
        <f ca="1">ROUND(FIRE1121_raw!O26,0)</f>
        <v>1</v>
      </c>
      <c r="P24" s="24">
        <f ca="1">ROUND(FIRE1121_raw!P26,0)</f>
        <v>1</v>
      </c>
      <c r="Q24" s="100">
        <f t="shared" ca="1" si="10"/>
        <v>2.8985507246376812E-2</v>
      </c>
      <c r="R24" s="46">
        <f t="shared" ca="1" si="11"/>
        <v>1.4285714285714285E-2</v>
      </c>
      <c r="S24" s="140" t="s">
        <v>244</v>
      </c>
      <c r="T24" s="22">
        <f t="shared" ca="1" si="23"/>
        <v>94</v>
      </c>
      <c r="U24" s="22">
        <f t="shared" ca="1" si="23"/>
        <v>0</v>
      </c>
      <c r="V24" s="22">
        <f t="shared" ca="1" si="23"/>
        <v>0</v>
      </c>
      <c r="W24" s="22">
        <f t="shared" ca="1" si="23"/>
        <v>2</v>
      </c>
      <c r="X24" s="22">
        <f t="shared" ca="1" si="23"/>
        <v>2</v>
      </c>
      <c r="Y24" s="22">
        <f t="shared" ca="1" si="23"/>
        <v>1</v>
      </c>
      <c r="Z24" s="100">
        <f t="shared" ca="1" si="12"/>
        <v>4.0816326530612242E-2</v>
      </c>
      <c r="AA24" s="100">
        <f t="shared" ca="1" si="13"/>
        <v>1.0101010101010102E-2</v>
      </c>
      <c r="AB24" s="140" t="s">
        <v>244</v>
      </c>
      <c r="AC24" s="24">
        <f ca="1">ROUND(FIRE1121_raw!AC26,0)</f>
        <v>2</v>
      </c>
      <c r="AD24" s="24">
        <f ca="1">ROUND(FIRE1121_raw!AD26,0)</f>
        <v>0</v>
      </c>
      <c r="AE24" s="24">
        <f ca="1">ROUND(FIRE1121_raw!AE26,0)</f>
        <v>0</v>
      </c>
      <c r="AF24" s="24">
        <f ca="1">ROUND(FIRE1121_raw!AF26,0)</f>
        <v>0</v>
      </c>
      <c r="AG24" s="24">
        <f ca="1">ROUND(FIRE1121_raw!AG26,0)</f>
        <v>0</v>
      </c>
      <c r="AH24" s="24">
        <f ca="1">ROUND(FIRE1121_raw!AH26,0)</f>
        <v>0</v>
      </c>
      <c r="AI24" s="100">
        <f t="shared" ca="1" si="15"/>
        <v>0</v>
      </c>
      <c r="AJ24" s="46">
        <f t="shared" ca="1" si="16"/>
        <v>0</v>
      </c>
      <c r="AK24" s="140" t="s">
        <v>244</v>
      </c>
      <c r="AL24" s="24">
        <f ca="1">ROUND(FIRE1121_raw!AL26,0)</f>
        <v>48</v>
      </c>
      <c r="AM24" s="24">
        <f ca="1">ROUND(FIRE1121_raw!AM26,0)</f>
        <v>1</v>
      </c>
      <c r="AN24" s="24">
        <f ca="1">ROUND(FIRE1121_raw!AN26,0)</f>
        <v>1</v>
      </c>
      <c r="AO24" s="24">
        <f ca="1">ROUND(FIRE1121_raw!AO26,0)</f>
        <v>0</v>
      </c>
      <c r="AP24" s="24">
        <f ca="1">ROUND(FIRE1121_raw!AP26,0)</f>
        <v>1</v>
      </c>
      <c r="AQ24" s="24">
        <f ca="1">ROUND(FIRE1121_raw!AQ26,0)</f>
        <v>1</v>
      </c>
      <c r="AR24" s="100">
        <f t="shared" ca="1" si="18"/>
        <v>5.8823529411764705E-2</v>
      </c>
      <c r="AS24" s="46">
        <f t="shared" ca="1" si="19"/>
        <v>1.9230769230769232E-2</v>
      </c>
      <c r="AT24" s="140" t="s">
        <v>244</v>
      </c>
      <c r="AU24" s="22">
        <f t="shared" ca="1" si="20"/>
        <v>144</v>
      </c>
      <c r="AV24" s="22">
        <f t="shared" ca="1" si="20"/>
        <v>1</v>
      </c>
      <c r="AW24" s="22">
        <f t="shared" ca="1" si="20"/>
        <v>1</v>
      </c>
      <c r="AX24" s="22">
        <f t="shared" ca="1" si="20"/>
        <v>2</v>
      </c>
      <c r="AY24" s="22">
        <f t="shared" ca="1" si="20"/>
        <v>3</v>
      </c>
      <c r="AZ24" s="22">
        <f t="shared" ca="1" si="20"/>
        <v>2</v>
      </c>
      <c r="BA24" s="100">
        <f t="shared" ca="1" si="21"/>
        <v>4.6357615894039736E-2</v>
      </c>
      <c r="BB24" s="100">
        <f t="shared" ca="1" si="22"/>
        <v>1.3071895424836602E-2</v>
      </c>
      <c r="BC24" s="19"/>
      <c r="BD24" s="19"/>
      <c r="BE24" s="19"/>
      <c r="BF24" s="19"/>
      <c r="BG24" s="19"/>
      <c r="BH24" s="19"/>
      <c r="BI24" s="19"/>
      <c r="BJ24" s="19"/>
      <c r="BK24" s="19"/>
    </row>
    <row r="25" spans="1:63" s="8" customFormat="1" ht="15" customHeight="1" x14ac:dyDescent="0.3">
      <c r="A25" s="2" t="s">
        <v>34</v>
      </c>
      <c r="B25" s="24">
        <f ca="1">ROUND(FIRE1121_raw!B27,0)</f>
        <v>21</v>
      </c>
      <c r="C25" s="24">
        <f ca="1">ROUND(FIRE1121_raw!C27,0)</f>
        <v>0</v>
      </c>
      <c r="D25" s="24">
        <f ca="1">ROUND(FIRE1121_raw!D27,0)</f>
        <v>0</v>
      </c>
      <c r="E25" s="24">
        <f ca="1">ROUND(FIRE1121_raw!E27,0)</f>
        <v>0</v>
      </c>
      <c r="F25" s="24">
        <f ca="1">ROUND(FIRE1121_raw!F27,0)</f>
        <v>0</v>
      </c>
      <c r="G25" s="24">
        <f ca="1">ROUND(FIRE1121_raw!G27,0)</f>
        <v>2</v>
      </c>
      <c r="H25" s="100">
        <f t="shared" ca="1" si="7"/>
        <v>0</v>
      </c>
      <c r="I25" s="46">
        <f t="shared" ca="1" si="8"/>
        <v>8.6956521739130432E-2</v>
      </c>
      <c r="J25" s="140" t="s">
        <v>244</v>
      </c>
      <c r="K25" s="24">
        <f ca="1">ROUND(FIRE1121_raw!K27,0)</f>
        <v>38</v>
      </c>
      <c r="L25" s="24">
        <f ca="1">ROUND(FIRE1121_raw!L27,0)</f>
        <v>1</v>
      </c>
      <c r="M25" s="24">
        <f ca="1">ROUND(FIRE1121_raw!M27,0)</f>
        <v>0</v>
      </c>
      <c r="N25" s="24">
        <f ca="1">ROUND(FIRE1121_raw!N27,0)</f>
        <v>0</v>
      </c>
      <c r="O25" s="24">
        <f ca="1">ROUND(FIRE1121_raw!O27,0)</f>
        <v>1</v>
      </c>
      <c r="P25" s="24">
        <f ca="1">ROUND(FIRE1121_raw!P27,0)</f>
        <v>9</v>
      </c>
      <c r="Q25" s="100">
        <f t="shared" ca="1" si="10"/>
        <v>0.05</v>
      </c>
      <c r="R25" s="46">
        <f t="shared" ca="1" si="11"/>
        <v>0.18367346938775511</v>
      </c>
      <c r="S25" s="140" t="s">
        <v>244</v>
      </c>
      <c r="T25" s="22">
        <f t="shared" ca="1" si="23"/>
        <v>59</v>
      </c>
      <c r="U25" s="22">
        <f t="shared" ca="1" si="23"/>
        <v>1</v>
      </c>
      <c r="V25" s="22">
        <f t="shared" ca="1" si="23"/>
        <v>0</v>
      </c>
      <c r="W25" s="22">
        <f t="shared" ca="1" si="23"/>
        <v>0</v>
      </c>
      <c r="X25" s="22">
        <f t="shared" ca="1" si="23"/>
        <v>1</v>
      </c>
      <c r="Y25" s="22">
        <f t="shared" ca="1" si="23"/>
        <v>11</v>
      </c>
      <c r="Z25" s="100">
        <f t="shared" ca="1" si="12"/>
        <v>3.2786885245901641E-2</v>
      </c>
      <c r="AA25" s="100">
        <f t="shared" ca="1" si="13"/>
        <v>0.15277777777777779</v>
      </c>
      <c r="AB25" s="140" t="s">
        <v>244</v>
      </c>
      <c r="AC25" s="24">
        <f ca="1">ROUND(FIRE1121_raw!AC27,0)</f>
        <v>0</v>
      </c>
      <c r="AD25" s="24">
        <f ca="1">ROUND(FIRE1121_raw!AD27,0)</f>
        <v>0</v>
      </c>
      <c r="AE25" s="24">
        <f ca="1">ROUND(FIRE1121_raw!AE27,0)</f>
        <v>0</v>
      </c>
      <c r="AF25" s="24">
        <f ca="1">ROUND(FIRE1121_raw!AF27,0)</f>
        <v>0</v>
      </c>
      <c r="AG25" s="24">
        <f ca="1">ROUND(FIRE1121_raw!AG27,0)</f>
        <v>0</v>
      </c>
      <c r="AH25" s="24">
        <f ca="1">ROUND(FIRE1121_raw!AH27,0)</f>
        <v>0</v>
      </c>
      <c r="AI25" s="100" t="str">
        <f t="shared" ca="1" si="15"/>
        <v>-</v>
      </c>
      <c r="AJ25" s="46" t="str">
        <f t="shared" ca="1" si="16"/>
        <v>-</v>
      </c>
      <c r="AK25" s="140" t="s">
        <v>244</v>
      </c>
      <c r="AL25" s="24">
        <f ca="1">ROUND(FIRE1121_raw!AL27,0)</f>
        <v>20</v>
      </c>
      <c r="AM25" s="24">
        <f ca="1">ROUND(FIRE1121_raw!AM27,0)</f>
        <v>0</v>
      </c>
      <c r="AN25" s="24">
        <f ca="1">ROUND(FIRE1121_raw!AN27,0)</f>
        <v>0</v>
      </c>
      <c r="AO25" s="24">
        <f ca="1">ROUND(FIRE1121_raw!AO27,0)</f>
        <v>0</v>
      </c>
      <c r="AP25" s="24">
        <f ca="1">ROUND(FIRE1121_raw!AP27,0)</f>
        <v>0</v>
      </c>
      <c r="AQ25" s="24">
        <f ca="1">ROUND(FIRE1121_raw!AQ27,0)</f>
        <v>9</v>
      </c>
      <c r="AR25" s="100">
        <f t="shared" ca="1" si="18"/>
        <v>0</v>
      </c>
      <c r="AS25" s="46">
        <f t="shared" ca="1" si="19"/>
        <v>0.31034482758620691</v>
      </c>
      <c r="AT25" s="140" t="s">
        <v>244</v>
      </c>
      <c r="AU25" s="22">
        <f t="shared" ca="1" si="20"/>
        <v>79</v>
      </c>
      <c r="AV25" s="22">
        <f t="shared" ca="1" si="20"/>
        <v>1</v>
      </c>
      <c r="AW25" s="22">
        <f t="shared" ca="1" si="20"/>
        <v>0</v>
      </c>
      <c r="AX25" s="22">
        <f t="shared" ca="1" si="20"/>
        <v>0</v>
      </c>
      <c r="AY25" s="22">
        <f t="shared" ca="1" si="20"/>
        <v>1</v>
      </c>
      <c r="AZ25" s="22">
        <f t="shared" ca="1" si="20"/>
        <v>20</v>
      </c>
      <c r="BA25" s="100">
        <f t="shared" ca="1" si="21"/>
        <v>2.4691358024691357E-2</v>
      </c>
      <c r="BB25" s="100">
        <f t="shared" ca="1" si="22"/>
        <v>0.19801980198019803</v>
      </c>
      <c r="BC25" s="19"/>
      <c r="BD25" s="19"/>
      <c r="BE25" s="19"/>
      <c r="BF25" s="19"/>
      <c r="BG25" s="19"/>
      <c r="BH25" s="19"/>
      <c r="BI25" s="19"/>
      <c r="BJ25" s="19"/>
      <c r="BK25" s="19"/>
    </row>
    <row r="26" spans="1:63" s="8" customFormat="1" ht="15" customHeight="1" x14ac:dyDescent="0.3">
      <c r="A26" s="2" t="s">
        <v>35</v>
      </c>
      <c r="B26" s="24">
        <f ca="1">ROUND(FIRE1121_raw!B28,0)</f>
        <v>66</v>
      </c>
      <c r="C26" s="24">
        <f ca="1">ROUND(FIRE1121_raw!C28,0)</f>
        <v>6</v>
      </c>
      <c r="D26" s="24">
        <f ca="1">ROUND(FIRE1121_raw!D28,0)</f>
        <v>0</v>
      </c>
      <c r="E26" s="24">
        <f ca="1">ROUND(FIRE1121_raw!E28,0)</f>
        <v>2</v>
      </c>
      <c r="F26" s="24">
        <f ca="1">ROUND(FIRE1121_raw!F28,0)</f>
        <v>0</v>
      </c>
      <c r="G26" s="24">
        <f ca="1">ROUND(FIRE1121_raw!G28,0)</f>
        <v>0</v>
      </c>
      <c r="H26" s="100">
        <f t="shared" ca="1" si="7"/>
        <v>0.10810810810810811</v>
      </c>
      <c r="I26" s="46">
        <f t="shared" ca="1" si="8"/>
        <v>0</v>
      </c>
      <c r="J26" s="140" t="s">
        <v>244</v>
      </c>
      <c r="K26" s="24">
        <f ca="1">ROUND(FIRE1121_raw!K28,0)</f>
        <v>22</v>
      </c>
      <c r="L26" s="24">
        <f ca="1">ROUND(FIRE1121_raw!L28,0)</f>
        <v>0</v>
      </c>
      <c r="M26" s="24">
        <f ca="1">ROUND(FIRE1121_raw!M28,0)</f>
        <v>0</v>
      </c>
      <c r="N26" s="24">
        <f ca="1">ROUND(FIRE1121_raw!N28,0)</f>
        <v>0</v>
      </c>
      <c r="O26" s="24">
        <f ca="1">ROUND(FIRE1121_raw!O28,0)</f>
        <v>0</v>
      </c>
      <c r="P26" s="24">
        <f ca="1">ROUND(FIRE1121_raw!P28,0)</f>
        <v>0</v>
      </c>
      <c r="Q26" s="100">
        <f t="shared" ca="1" si="10"/>
        <v>0</v>
      </c>
      <c r="R26" s="46">
        <f t="shared" ca="1" si="11"/>
        <v>0</v>
      </c>
      <c r="S26" s="140" t="s">
        <v>244</v>
      </c>
      <c r="T26" s="22">
        <f t="shared" ca="1" si="23"/>
        <v>88</v>
      </c>
      <c r="U26" s="22">
        <f t="shared" ca="1" si="23"/>
        <v>6</v>
      </c>
      <c r="V26" s="22">
        <f t="shared" ca="1" si="23"/>
        <v>0</v>
      </c>
      <c r="W26" s="22">
        <f t="shared" ca="1" si="23"/>
        <v>2</v>
      </c>
      <c r="X26" s="22">
        <f t="shared" ca="1" si="23"/>
        <v>0</v>
      </c>
      <c r="Y26" s="22">
        <f t="shared" ca="1" si="23"/>
        <v>0</v>
      </c>
      <c r="Z26" s="100">
        <f t="shared" ca="1" si="12"/>
        <v>8.3333333333333329E-2</v>
      </c>
      <c r="AA26" s="100">
        <f t="shared" ca="1" si="13"/>
        <v>0</v>
      </c>
      <c r="AB26" s="140" t="s">
        <v>244</v>
      </c>
      <c r="AC26" s="24">
        <f ca="1">ROUND(FIRE1121_raw!AC28,0)</f>
        <v>7</v>
      </c>
      <c r="AD26" s="24">
        <f ca="1">ROUND(FIRE1121_raw!AD28,0)</f>
        <v>0</v>
      </c>
      <c r="AE26" s="24">
        <f ca="1">ROUND(FIRE1121_raw!AE28,0)</f>
        <v>0</v>
      </c>
      <c r="AF26" s="24">
        <f ca="1">ROUND(FIRE1121_raw!AF28,0)</f>
        <v>0</v>
      </c>
      <c r="AG26" s="24">
        <f ca="1">ROUND(FIRE1121_raw!AG28,0)</f>
        <v>0</v>
      </c>
      <c r="AH26" s="24">
        <f ca="1">ROUND(FIRE1121_raw!AH28,0)</f>
        <v>2</v>
      </c>
      <c r="AI26" s="100">
        <f t="shared" ca="1" si="15"/>
        <v>0</v>
      </c>
      <c r="AJ26" s="46">
        <f t="shared" ca="1" si="16"/>
        <v>0.22222222222222221</v>
      </c>
      <c r="AK26" s="140" t="s">
        <v>244</v>
      </c>
      <c r="AL26" s="24">
        <f ca="1">ROUND(FIRE1121_raw!AL28,0)</f>
        <v>24</v>
      </c>
      <c r="AM26" s="24">
        <f ca="1">ROUND(FIRE1121_raw!AM28,0)</f>
        <v>0</v>
      </c>
      <c r="AN26" s="24">
        <f ca="1">ROUND(FIRE1121_raw!AN28,0)</f>
        <v>1</v>
      </c>
      <c r="AO26" s="24">
        <f ca="1">ROUND(FIRE1121_raw!AO28,0)</f>
        <v>1</v>
      </c>
      <c r="AP26" s="24">
        <f ca="1">ROUND(FIRE1121_raw!AP28,0)</f>
        <v>0</v>
      </c>
      <c r="AQ26" s="24">
        <f ca="1">ROUND(FIRE1121_raw!AQ28,0)</f>
        <v>1</v>
      </c>
      <c r="AR26" s="100">
        <f t="shared" ca="1" si="18"/>
        <v>7.6923076923076927E-2</v>
      </c>
      <c r="AS26" s="46">
        <f t="shared" ca="1" si="19"/>
        <v>3.7037037037037035E-2</v>
      </c>
      <c r="AT26" s="140" t="s">
        <v>244</v>
      </c>
      <c r="AU26" s="22">
        <f t="shared" ca="1" si="20"/>
        <v>119</v>
      </c>
      <c r="AV26" s="22">
        <f t="shared" ca="1" si="20"/>
        <v>6</v>
      </c>
      <c r="AW26" s="22">
        <f t="shared" ca="1" si="20"/>
        <v>1</v>
      </c>
      <c r="AX26" s="22">
        <f t="shared" ca="1" si="20"/>
        <v>3</v>
      </c>
      <c r="AY26" s="22">
        <f t="shared" ca="1" si="20"/>
        <v>0</v>
      </c>
      <c r="AZ26" s="22">
        <f t="shared" ca="1" si="20"/>
        <v>3</v>
      </c>
      <c r="BA26" s="100">
        <f t="shared" ca="1" si="21"/>
        <v>7.7519379844961239E-2</v>
      </c>
      <c r="BB26" s="100">
        <f t="shared" ca="1" si="22"/>
        <v>2.2727272727272728E-2</v>
      </c>
      <c r="BC26" s="19"/>
      <c r="BD26" s="19"/>
      <c r="BE26" s="19"/>
      <c r="BF26" s="19"/>
      <c r="BG26" s="19"/>
      <c r="BH26" s="19"/>
      <c r="BI26" s="19"/>
      <c r="BJ26" s="19"/>
      <c r="BK26" s="19"/>
    </row>
    <row r="27" spans="1:63" s="8" customFormat="1" ht="15" customHeight="1" x14ac:dyDescent="0.3">
      <c r="A27" s="2" t="s">
        <v>36</v>
      </c>
      <c r="B27" s="24">
        <f ca="1">ROUND(FIRE1121_raw!B29,0)</f>
        <v>0</v>
      </c>
      <c r="C27" s="24">
        <f ca="1">ROUND(FIRE1121_raw!C29,0)</f>
        <v>0</v>
      </c>
      <c r="D27" s="24">
        <f ca="1">ROUND(FIRE1121_raw!D29,0)</f>
        <v>0</v>
      </c>
      <c r="E27" s="24">
        <f ca="1">ROUND(FIRE1121_raw!E29,0)</f>
        <v>0</v>
      </c>
      <c r="F27" s="24">
        <f ca="1">ROUND(FIRE1121_raw!F29,0)</f>
        <v>0</v>
      </c>
      <c r="G27" s="24">
        <f ca="1">ROUND(FIRE1121_raw!G29,0)</f>
        <v>0</v>
      </c>
      <c r="H27" s="100" t="str">
        <f t="shared" ca="1" si="7"/>
        <v>-</v>
      </c>
      <c r="I27" s="46" t="str">
        <f t="shared" ca="1" si="8"/>
        <v>-</v>
      </c>
      <c r="J27" s="140" t="s">
        <v>244</v>
      </c>
      <c r="K27" s="24">
        <f ca="1">ROUND(FIRE1121_raw!K29,0)</f>
        <v>25</v>
      </c>
      <c r="L27" s="24">
        <f ca="1">ROUND(FIRE1121_raw!L29,0)</f>
        <v>1</v>
      </c>
      <c r="M27" s="24">
        <f ca="1">ROUND(FIRE1121_raw!M29,0)</f>
        <v>0</v>
      </c>
      <c r="N27" s="24">
        <f ca="1">ROUND(FIRE1121_raw!N29,0)</f>
        <v>0</v>
      </c>
      <c r="O27" s="24">
        <f ca="1">ROUND(FIRE1121_raw!O29,0)</f>
        <v>0</v>
      </c>
      <c r="P27" s="24">
        <f ca="1">ROUND(FIRE1121_raw!P29,0)</f>
        <v>0</v>
      </c>
      <c r="Q27" s="100">
        <f t="shared" ca="1" si="10"/>
        <v>3.8461538461538464E-2</v>
      </c>
      <c r="R27" s="46">
        <f t="shared" ca="1" si="11"/>
        <v>0</v>
      </c>
      <c r="S27" s="140" t="s">
        <v>244</v>
      </c>
      <c r="T27" s="22">
        <f t="shared" ca="1" si="23"/>
        <v>25</v>
      </c>
      <c r="U27" s="22">
        <f t="shared" ca="1" si="23"/>
        <v>1</v>
      </c>
      <c r="V27" s="22">
        <f t="shared" ca="1" si="23"/>
        <v>0</v>
      </c>
      <c r="W27" s="22">
        <f t="shared" ca="1" si="23"/>
        <v>0</v>
      </c>
      <c r="X27" s="22">
        <f t="shared" ca="1" si="23"/>
        <v>0</v>
      </c>
      <c r="Y27" s="22">
        <f t="shared" ca="1" si="23"/>
        <v>0</v>
      </c>
      <c r="Z27" s="100">
        <f t="shared" ca="1" si="12"/>
        <v>3.8461538461538464E-2</v>
      </c>
      <c r="AA27" s="100">
        <f t="shared" ca="1" si="13"/>
        <v>0</v>
      </c>
      <c r="AB27" s="140" t="s">
        <v>244</v>
      </c>
      <c r="AC27" s="24">
        <f ca="1">ROUND(FIRE1121_raw!AC29,0)</f>
        <v>2</v>
      </c>
      <c r="AD27" s="24">
        <f ca="1">ROUND(FIRE1121_raw!AD29,0)</f>
        <v>0</v>
      </c>
      <c r="AE27" s="24">
        <f ca="1">ROUND(FIRE1121_raw!AE29,0)</f>
        <v>0</v>
      </c>
      <c r="AF27" s="24">
        <f ca="1">ROUND(FIRE1121_raw!AF29,0)</f>
        <v>0</v>
      </c>
      <c r="AG27" s="24">
        <f ca="1">ROUND(FIRE1121_raw!AG29,0)</f>
        <v>0</v>
      </c>
      <c r="AH27" s="24">
        <f ca="1">ROUND(FIRE1121_raw!AH29,0)</f>
        <v>0</v>
      </c>
      <c r="AI27" s="100">
        <f t="shared" ca="1" si="15"/>
        <v>0</v>
      </c>
      <c r="AJ27" s="46">
        <f t="shared" ca="1" si="16"/>
        <v>0</v>
      </c>
      <c r="AK27" s="140" t="s">
        <v>244</v>
      </c>
      <c r="AL27" s="24">
        <f ca="1">ROUND(FIRE1121_raw!AL29,0)</f>
        <v>16</v>
      </c>
      <c r="AM27" s="24">
        <f ca="1">ROUND(FIRE1121_raw!AM29,0)</f>
        <v>0</v>
      </c>
      <c r="AN27" s="24">
        <f ca="1">ROUND(FIRE1121_raw!AN29,0)</f>
        <v>0</v>
      </c>
      <c r="AO27" s="24">
        <f ca="1">ROUND(FIRE1121_raw!AO29,0)</f>
        <v>0</v>
      </c>
      <c r="AP27" s="24">
        <f ca="1">ROUND(FIRE1121_raw!AP29,0)</f>
        <v>0</v>
      </c>
      <c r="AQ27" s="24">
        <f ca="1">ROUND(FIRE1121_raw!AQ29,0)</f>
        <v>0</v>
      </c>
      <c r="AR27" s="100">
        <f t="shared" ca="1" si="18"/>
        <v>0</v>
      </c>
      <c r="AS27" s="46">
        <f t="shared" ca="1" si="19"/>
        <v>0</v>
      </c>
      <c r="AT27" s="140" t="s">
        <v>244</v>
      </c>
      <c r="AU27" s="22">
        <f t="shared" ca="1" si="20"/>
        <v>43</v>
      </c>
      <c r="AV27" s="22">
        <f t="shared" ca="1" si="20"/>
        <v>1</v>
      </c>
      <c r="AW27" s="22">
        <f t="shared" ca="1" si="20"/>
        <v>0</v>
      </c>
      <c r="AX27" s="22">
        <f t="shared" ca="1" si="20"/>
        <v>0</v>
      </c>
      <c r="AY27" s="22">
        <f t="shared" ca="1" si="20"/>
        <v>0</v>
      </c>
      <c r="AZ27" s="22">
        <f t="shared" ca="1" si="20"/>
        <v>0</v>
      </c>
      <c r="BA27" s="100">
        <f t="shared" ca="1" si="21"/>
        <v>2.2727272727272728E-2</v>
      </c>
      <c r="BB27" s="100">
        <f t="shared" ca="1" si="22"/>
        <v>0</v>
      </c>
      <c r="BC27" s="19"/>
      <c r="BD27" s="19"/>
      <c r="BE27" s="19"/>
      <c r="BF27" s="19"/>
      <c r="BG27" s="19"/>
      <c r="BH27" s="19"/>
      <c r="BI27" s="19"/>
      <c r="BJ27" s="19"/>
      <c r="BK27" s="19"/>
    </row>
    <row r="28" spans="1:63" s="8" customFormat="1" ht="15" customHeight="1" x14ac:dyDescent="0.3">
      <c r="A28" s="2" t="s">
        <v>37</v>
      </c>
      <c r="B28" s="24">
        <f ca="1">ROUND(FIRE1121_raw!B30,0)</f>
        <v>0</v>
      </c>
      <c r="C28" s="24">
        <f ca="1">ROUND(FIRE1121_raw!C30,0)</f>
        <v>0</v>
      </c>
      <c r="D28" s="24">
        <f ca="1">ROUND(FIRE1121_raw!D30,0)</f>
        <v>0</v>
      </c>
      <c r="E28" s="24">
        <f ca="1">ROUND(FIRE1121_raw!E30,0)</f>
        <v>0</v>
      </c>
      <c r="F28" s="24">
        <f ca="1">ROUND(FIRE1121_raw!F30,0)</f>
        <v>0</v>
      </c>
      <c r="G28" s="24">
        <f ca="1">ROUND(FIRE1121_raw!G30,0)</f>
        <v>0</v>
      </c>
      <c r="H28" s="100" t="str">
        <f t="shared" ca="1" si="7"/>
        <v>-</v>
      </c>
      <c r="I28" s="46" t="str">
        <f t="shared" ca="1" si="8"/>
        <v>-</v>
      </c>
      <c r="J28" s="140" t="s">
        <v>244</v>
      </c>
      <c r="K28" s="24">
        <f ca="1">ROUND(FIRE1121_raw!K30,0)</f>
        <v>14</v>
      </c>
      <c r="L28" s="24">
        <f ca="1">ROUND(FIRE1121_raw!L30,0)</f>
        <v>0</v>
      </c>
      <c r="M28" s="24">
        <f ca="1">ROUND(FIRE1121_raw!M30,0)</f>
        <v>0</v>
      </c>
      <c r="N28" s="24">
        <f ca="1">ROUND(FIRE1121_raw!N30,0)</f>
        <v>0</v>
      </c>
      <c r="O28" s="24">
        <f ca="1">ROUND(FIRE1121_raw!O30,0)</f>
        <v>0</v>
      </c>
      <c r="P28" s="24">
        <f ca="1">ROUND(FIRE1121_raw!P30,0)</f>
        <v>2</v>
      </c>
      <c r="Q28" s="100">
        <f t="shared" ca="1" si="10"/>
        <v>0</v>
      </c>
      <c r="R28" s="46">
        <f t="shared" ca="1" si="11"/>
        <v>0.125</v>
      </c>
      <c r="S28" s="140" t="s">
        <v>244</v>
      </c>
      <c r="T28" s="22">
        <f t="shared" ca="1" si="23"/>
        <v>14</v>
      </c>
      <c r="U28" s="22">
        <f t="shared" ca="1" si="23"/>
        <v>0</v>
      </c>
      <c r="V28" s="22">
        <f t="shared" ca="1" si="23"/>
        <v>0</v>
      </c>
      <c r="W28" s="22">
        <f t="shared" ca="1" si="23"/>
        <v>0</v>
      </c>
      <c r="X28" s="22">
        <f t="shared" ca="1" si="23"/>
        <v>0</v>
      </c>
      <c r="Y28" s="22">
        <f t="shared" ca="1" si="23"/>
        <v>2</v>
      </c>
      <c r="Z28" s="100">
        <f t="shared" ca="1" si="12"/>
        <v>0</v>
      </c>
      <c r="AA28" s="100">
        <f t="shared" ca="1" si="13"/>
        <v>0.125</v>
      </c>
      <c r="AB28" s="140" t="s">
        <v>244</v>
      </c>
      <c r="AC28" s="24">
        <f ca="1">ROUND(FIRE1121_raw!AC30,0)</f>
        <v>0</v>
      </c>
      <c r="AD28" s="24">
        <f ca="1">ROUND(FIRE1121_raw!AD30,0)</f>
        <v>0</v>
      </c>
      <c r="AE28" s="24">
        <f ca="1">ROUND(FIRE1121_raw!AE30,0)</f>
        <v>0</v>
      </c>
      <c r="AF28" s="24">
        <f ca="1">ROUND(FIRE1121_raw!AF30,0)</f>
        <v>0</v>
      </c>
      <c r="AG28" s="24">
        <f ca="1">ROUND(FIRE1121_raw!AG30,0)</f>
        <v>0</v>
      </c>
      <c r="AH28" s="24">
        <f ca="1">ROUND(FIRE1121_raw!AH30,0)</f>
        <v>0</v>
      </c>
      <c r="AI28" s="100" t="str">
        <f t="shared" ca="1" si="15"/>
        <v>-</v>
      </c>
      <c r="AJ28" s="46" t="str">
        <f t="shared" ca="1" si="16"/>
        <v>-</v>
      </c>
      <c r="AK28" s="140" t="s">
        <v>244</v>
      </c>
      <c r="AL28" s="24">
        <f ca="1">ROUND(FIRE1121_raw!AL30,0)</f>
        <v>0</v>
      </c>
      <c r="AM28" s="24">
        <f ca="1">ROUND(FIRE1121_raw!AM30,0)</f>
        <v>0</v>
      </c>
      <c r="AN28" s="24">
        <f ca="1">ROUND(FIRE1121_raw!AN30,0)</f>
        <v>0</v>
      </c>
      <c r="AO28" s="24">
        <f ca="1">ROUND(FIRE1121_raw!AO30,0)</f>
        <v>0</v>
      </c>
      <c r="AP28" s="24">
        <f ca="1">ROUND(FIRE1121_raw!AP30,0)</f>
        <v>0</v>
      </c>
      <c r="AQ28" s="24">
        <f ca="1">ROUND(FIRE1121_raw!AQ30,0)</f>
        <v>0</v>
      </c>
      <c r="AR28" s="100" t="str">
        <f t="shared" ca="1" si="18"/>
        <v>-</v>
      </c>
      <c r="AS28" s="46" t="str">
        <f t="shared" ca="1" si="19"/>
        <v>-</v>
      </c>
      <c r="AT28" s="140" t="s">
        <v>244</v>
      </c>
      <c r="AU28" s="22">
        <f t="shared" ca="1" si="20"/>
        <v>14</v>
      </c>
      <c r="AV28" s="22">
        <f t="shared" ca="1" si="20"/>
        <v>0</v>
      </c>
      <c r="AW28" s="22">
        <f t="shared" ca="1" si="20"/>
        <v>0</v>
      </c>
      <c r="AX28" s="22">
        <f t="shared" ca="1" si="20"/>
        <v>0</v>
      </c>
      <c r="AY28" s="22">
        <f t="shared" ca="1" si="20"/>
        <v>0</v>
      </c>
      <c r="AZ28" s="22">
        <f t="shared" ca="1" si="20"/>
        <v>2</v>
      </c>
      <c r="BA28" s="100">
        <f t="shared" ca="1" si="21"/>
        <v>0</v>
      </c>
      <c r="BB28" s="100">
        <f t="shared" ca="1" si="22"/>
        <v>0.125</v>
      </c>
      <c r="BC28" s="19"/>
      <c r="BD28" s="19"/>
      <c r="BE28" s="19"/>
      <c r="BF28" s="19"/>
      <c r="BG28" s="19"/>
      <c r="BH28" s="19"/>
      <c r="BI28" s="19"/>
      <c r="BJ28" s="19"/>
      <c r="BK28" s="19"/>
    </row>
    <row r="29" spans="1:63" s="8" customFormat="1" ht="15" customHeight="1" x14ac:dyDescent="0.3">
      <c r="A29" s="3" t="s">
        <v>38</v>
      </c>
      <c r="B29" s="24">
        <f ca="1">ROUND(FIRE1121_raw!B31,0)</f>
        <v>4</v>
      </c>
      <c r="C29" s="24">
        <f ca="1">ROUND(FIRE1121_raw!C31,0)</f>
        <v>0</v>
      </c>
      <c r="D29" s="24">
        <f ca="1">ROUND(FIRE1121_raw!D31,0)</f>
        <v>0</v>
      </c>
      <c r="E29" s="24">
        <f ca="1">ROUND(FIRE1121_raw!E31,0)</f>
        <v>0</v>
      </c>
      <c r="F29" s="24">
        <f ca="1">ROUND(FIRE1121_raw!F31,0)</f>
        <v>0</v>
      </c>
      <c r="G29" s="24">
        <f ca="1">ROUND(FIRE1121_raw!G31,0)</f>
        <v>14</v>
      </c>
      <c r="H29" s="100">
        <f t="shared" ca="1" si="7"/>
        <v>0</v>
      </c>
      <c r="I29" s="46">
        <f t="shared" ca="1" si="8"/>
        <v>0.77777777777777779</v>
      </c>
      <c r="J29" s="140" t="s">
        <v>244</v>
      </c>
      <c r="K29" s="24">
        <f ca="1">ROUND(FIRE1121_raw!K31,0)</f>
        <v>6</v>
      </c>
      <c r="L29" s="24">
        <f ca="1">ROUND(FIRE1121_raw!L31,0)</f>
        <v>0</v>
      </c>
      <c r="M29" s="24">
        <f ca="1">ROUND(FIRE1121_raw!M31,0)</f>
        <v>0</v>
      </c>
      <c r="N29" s="24">
        <f ca="1">ROUND(FIRE1121_raw!N31,0)</f>
        <v>0</v>
      </c>
      <c r="O29" s="24">
        <f ca="1">ROUND(FIRE1121_raw!O31,0)</f>
        <v>0</v>
      </c>
      <c r="P29" s="24">
        <f ca="1">ROUND(FIRE1121_raw!P31,0)</f>
        <v>92</v>
      </c>
      <c r="Q29" s="100">
        <f t="shared" ca="1" si="10"/>
        <v>0</v>
      </c>
      <c r="R29" s="46">
        <f t="shared" ca="1" si="11"/>
        <v>0.93877551020408168</v>
      </c>
      <c r="S29" s="140" t="s">
        <v>244</v>
      </c>
      <c r="T29" s="22">
        <f t="shared" ca="1" si="23"/>
        <v>10</v>
      </c>
      <c r="U29" s="22">
        <f t="shared" ca="1" si="23"/>
        <v>0</v>
      </c>
      <c r="V29" s="22">
        <f t="shared" ca="1" si="23"/>
        <v>0</v>
      </c>
      <c r="W29" s="22">
        <f t="shared" ca="1" si="23"/>
        <v>0</v>
      </c>
      <c r="X29" s="22">
        <f t="shared" ca="1" si="23"/>
        <v>0</v>
      </c>
      <c r="Y29" s="22">
        <f t="shared" ca="1" si="23"/>
        <v>106</v>
      </c>
      <c r="Z29" s="100">
        <f t="shared" ca="1" si="12"/>
        <v>0</v>
      </c>
      <c r="AA29" s="100">
        <f t="shared" ca="1" si="13"/>
        <v>0.91379310344827591</v>
      </c>
      <c r="AB29" s="140" t="s">
        <v>244</v>
      </c>
      <c r="AC29" s="24">
        <f ca="1">ROUND(FIRE1121_raw!AC31,0)</f>
        <v>0</v>
      </c>
      <c r="AD29" s="24">
        <f ca="1">ROUND(FIRE1121_raw!AD31,0)</f>
        <v>0</v>
      </c>
      <c r="AE29" s="24">
        <f ca="1">ROUND(FIRE1121_raw!AE31,0)</f>
        <v>0</v>
      </c>
      <c r="AF29" s="24">
        <f ca="1">ROUND(FIRE1121_raw!AF31,0)</f>
        <v>0</v>
      </c>
      <c r="AG29" s="24">
        <f ca="1">ROUND(FIRE1121_raw!AG31,0)</f>
        <v>0</v>
      </c>
      <c r="AH29" s="24">
        <f ca="1">ROUND(FIRE1121_raw!AH31,0)</f>
        <v>0</v>
      </c>
      <c r="AI29" s="100" t="str">
        <f t="shared" ca="1" si="15"/>
        <v>-</v>
      </c>
      <c r="AJ29" s="46" t="str">
        <f t="shared" ca="1" si="16"/>
        <v>-</v>
      </c>
      <c r="AK29" s="140" t="s">
        <v>244</v>
      </c>
      <c r="AL29" s="24">
        <f ca="1">ROUND(FIRE1121_raw!AL31,0)</f>
        <v>12</v>
      </c>
      <c r="AM29" s="24">
        <f ca="1">ROUND(FIRE1121_raw!AM31,0)</f>
        <v>1</v>
      </c>
      <c r="AN29" s="24">
        <f ca="1">ROUND(FIRE1121_raw!AN31,0)</f>
        <v>0</v>
      </c>
      <c r="AO29" s="24">
        <f ca="1">ROUND(FIRE1121_raw!AO31,0)</f>
        <v>0</v>
      </c>
      <c r="AP29" s="24">
        <f ca="1">ROUND(FIRE1121_raw!AP31,0)</f>
        <v>0</v>
      </c>
      <c r="AQ29" s="24">
        <f ca="1">ROUND(FIRE1121_raw!AQ31,0)</f>
        <v>32</v>
      </c>
      <c r="AR29" s="100">
        <f t="shared" ca="1" si="18"/>
        <v>7.6923076923076927E-2</v>
      </c>
      <c r="AS29" s="46">
        <f t="shared" ca="1" si="19"/>
        <v>0.71111111111111114</v>
      </c>
      <c r="AT29" s="140" t="s">
        <v>244</v>
      </c>
      <c r="AU29" s="22">
        <f t="shared" ca="1" si="20"/>
        <v>22</v>
      </c>
      <c r="AV29" s="22">
        <f t="shared" ca="1" si="20"/>
        <v>1</v>
      </c>
      <c r="AW29" s="22">
        <f t="shared" ca="1" si="20"/>
        <v>0</v>
      </c>
      <c r="AX29" s="22">
        <f t="shared" ca="1" si="20"/>
        <v>0</v>
      </c>
      <c r="AY29" s="22">
        <f t="shared" ca="1" si="20"/>
        <v>0</v>
      </c>
      <c r="AZ29" s="22">
        <f t="shared" ca="1" si="20"/>
        <v>138</v>
      </c>
      <c r="BA29" s="100">
        <f t="shared" ca="1" si="21"/>
        <v>4.3478260869565216E-2</v>
      </c>
      <c r="BB29" s="100">
        <f t="shared" ca="1" si="22"/>
        <v>0.8571428571428571</v>
      </c>
      <c r="BC29" s="19"/>
      <c r="BD29" s="19"/>
      <c r="BE29" s="19"/>
      <c r="BF29" s="19"/>
      <c r="BG29" s="19"/>
      <c r="BH29" s="19"/>
      <c r="BI29" s="19"/>
      <c r="BJ29" s="19"/>
      <c r="BK29" s="19"/>
    </row>
    <row r="30" spans="1:63" s="8" customFormat="1" ht="15" customHeight="1" x14ac:dyDescent="0.3">
      <c r="A30" s="3" t="s">
        <v>39</v>
      </c>
      <c r="B30" s="24">
        <f ca="1">ROUND(FIRE1121_raw!B32,0)</f>
        <v>16</v>
      </c>
      <c r="C30" s="24">
        <f ca="1">ROUND(FIRE1121_raw!C32,0)</f>
        <v>1</v>
      </c>
      <c r="D30" s="24">
        <f ca="1">ROUND(FIRE1121_raw!D32,0)</f>
        <v>1</v>
      </c>
      <c r="E30" s="24">
        <f ca="1">ROUND(FIRE1121_raw!E32,0)</f>
        <v>0</v>
      </c>
      <c r="F30" s="24">
        <f ca="1">ROUND(FIRE1121_raw!F32,0)</f>
        <v>0</v>
      </c>
      <c r="G30" s="24">
        <f ca="1">ROUND(FIRE1121_raw!G32,0)</f>
        <v>0</v>
      </c>
      <c r="H30" s="100">
        <f t="shared" ca="1" si="7"/>
        <v>0.1111111111111111</v>
      </c>
      <c r="I30" s="46">
        <f t="shared" ca="1" si="8"/>
        <v>0</v>
      </c>
      <c r="J30" s="140" t="s">
        <v>244</v>
      </c>
      <c r="K30" s="24">
        <f ca="1">ROUND(FIRE1121_raw!K32,0)</f>
        <v>67</v>
      </c>
      <c r="L30" s="24">
        <f ca="1">ROUND(FIRE1121_raw!L32,0)</f>
        <v>0</v>
      </c>
      <c r="M30" s="24">
        <f ca="1">ROUND(FIRE1121_raw!M32,0)</f>
        <v>0</v>
      </c>
      <c r="N30" s="24">
        <f ca="1">ROUND(FIRE1121_raw!N32,0)</f>
        <v>0</v>
      </c>
      <c r="O30" s="24">
        <f ca="1">ROUND(FIRE1121_raw!O32,0)</f>
        <v>0</v>
      </c>
      <c r="P30" s="24">
        <f ca="1">ROUND(FIRE1121_raw!P32,0)</f>
        <v>5</v>
      </c>
      <c r="Q30" s="100">
        <f t="shared" ca="1" si="10"/>
        <v>0</v>
      </c>
      <c r="R30" s="46">
        <f t="shared" ca="1" si="11"/>
        <v>6.9444444444444448E-2</v>
      </c>
      <c r="S30" s="140" t="s">
        <v>244</v>
      </c>
      <c r="T30" s="22">
        <f t="shared" ca="1" si="23"/>
        <v>83</v>
      </c>
      <c r="U30" s="22">
        <f t="shared" ca="1" si="23"/>
        <v>1</v>
      </c>
      <c r="V30" s="22">
        <f t="shared" ca="1" si="23"/>
        <v>1</v>
      </c>
      <c r="W30" s="22">
        <f t="shared" ca="1" si="23"/>
        <v>0</v>
      </c>
      <c r="X30" s="22">
        <f t="shared" ca="1" si="23"/>
        <v>0</v>
      </c>
      <c r="Y30" s="22">
        <f t="shared" ca="1" si="23"/>
        <v>5</v>
      </c>
      <c r="Z30" s="100">
        <f t="shared" ca="1" si="12"/>
        <v>2.3529411764705882E-2</v>
      </c>
      <c r="AA30" s="100">
        <f t="shared" ca="1" si="13"/>
        <v>5.5555555555555552E-2</v>
      </c>
      <c r="AB30" s="140" t="s">
        <v>244</v>
      </c>
      <c r="AC30" s="24">
        <f ca="1">ROUND(FIRE1121_raw!AC32,0)</f>
        <v>0</v>
      </c>
      <c r="AD30" s="24">
        <f ca="1">ROUND(FIRE1121_raw!AD32,0)</f>
        <v>0</v>
      </c>
      <c r="AE30" s="24">
        <f ca="1">ROUND(FIRE1121_raw!AE32,0)</f>
        <v>0</v>
      </c>
      <c r="AF30" s="24">
        <f ca="1">ROUND(FIRE1121_raw!AF32,0)</f>
        <v>0</v>
      </c>
      <c r="AG30" s="24">
        <f ca="1">ROUND(FIRE1121_raw!AG32,0)</f>
        <v>0</v>
      </c>
      <c r="AH30" s="24">
        <f ca="1">ROUND(FIRE1121_raw!AH32,0)</f>
        <v>0</v>
      </c>
      <c r="AI30" s="100" t="str">
        <f t="shared" ca="1" si="15"/>
        <v>-</v>
      </c>
      <c r="AJ30" s="46" t="str">
        <f t="shared" ca="1" si="16"/>
        <v>-</v>
      </c>
      <c r="AK30" s="140" t="s">
        <v>244</v>
      </c>
      <c r="AL30" s="24">
        <f ca="1">ROUND(FIRE1121_raw!AL32,0)</f>
        <v>18</v>
      </c>
      <c r="AM30" s="24">
        <f ca="1">ROUND(FIRE1121_raw!AM32,0)</f>
        <v>0</v>
      </c>
      <c r="AN30" s="24">
        <f ca="1">ROUND(FIRE1121_raw!AN32,0)</f>
        <v>0</v>
      </c>
      <c r="AO30" s="24">
        <f ca="1">ROUND(FIRE1121_raw!AO32,0)</f>
        <v>0</v>
      </c>
      <c r="AP30" s="24">
        <f ca="1">ROUND(FIRE1121_raw!AP32,0)</f>
        <v>0</v>
      </c>
      <c r="AQ30" s="24">
        <f ca="1">ROUND(FIRE1121_raw!AQ32,0)</f>
        <v>0</v>
      </c>
      <c r="AR30" s="100">
        <f t="shared" ca="1" si="18"/>
        <v>0</v>
      </c>
      <c r="AS30" s="46">
        <f t="shared" ca="1" si="19"/>
        <v>0</v>
      </c>
      <c r="AT30" s="140" t="s">
        <v>244</v>
      </c>
      <c r="AU30" s="22">
        <f t="shared" ca="1" si="20"/>
        <v>101</v>
      </c>
      <c r="AV30" s="22">
        <f t="shared" ca="1" si="20"/>
        <v>1</v>
      </c>
      <c r="AW30" s="22">
        <f t="shared" ca="1" si="20"/>
        <v>1</v>
      </c>
      <c r="AX30" s="22">
        <f t="shared" ca="1" si="20"/>
        <v>0</v>
      </c>
      <c r="AY30" s="22">
        <f t="shared" ca="1" si="20"/>
        <v>0</v>
      </c>
      <c r="AZ30" s="22">
        <f t="shared" ca="1" si="20"/>
        <v>5</v>
      </c>
      <c r="BA30" s="100">
        <f t="shared" ca="1" si="21"/>
        <v>1.9417475728155338E-2</v>
      </c>
      <c r="BB30" s="100">
        <f t="shared" ca="1" si="22"/>
        <v>4.6296296296296294E-2</v>
      </c>
      <c r="BC30" s="19"/>
      <c r="BD30" s="19"/>
      <c r="BE30" s="19"/>
      <c r="BF30" s="19"/>
      <c r="BG30" s="19"/>
      <c r="BH30" s="19"/>
      <c r="BI30" s="19"/>
      <c r="BJ30" s="19"/>
      <c r="BK30" s="19"/>
    </row>
    <row r="31" spans="1:63" s="8" customFormat="1" ht="15" customHeight="1" x14ac:dyDescent="0.3">
      <c r="A31" s="2" t="s">
        <v>40</v>
      </c>
      <c r="B31" s="24">
        <f ca="1">ROUND(FIRE1121_raw!B33,0)</f>
        <v>14</v>
      </c>
      <c r="C31" s="24">
        <f ca="1">ROUND(FIRE1121_raw!C33,0)</f>
        <v>4</v>
      </c>
      <c r="D31" s="24">
        <f ca="1">ROUND(FIRE1121_raw!D33,0)</f>
        <v>0</v>
      </c>
      <c r="E31" s="24">
        <f ca="1">ROUND(FIRE1121_raw!E33,0)</f>
        <v>0</v>
      </c>
      <c r="F31" s="24">
        <f ca="1">ROUND(FIRE1121_raw!F33,0)</f>
        <v>0</v>
      </c>
      <c r="G31" s="24">
        <f ca="1">ROUND(FIRE1121_raw!G33,0)</f>
        <v>4</v>
      </c>
      <c r="H31" s="100">
        <f t="shared" ca="1" si="7"/>
        <v>0.22222222222222221</v>
      </c>
      <c r="I31" s="46">
        <f t="shared" ca="1" si="8"/>
        <v>0.18181818181818182</v>
      </c>
      <c r="J31" s="140" t="s">
        <v>244</v>
      </c>
      <c r="K31" s="24">
        <f ca="1">ROUND(FIRE1121_raw!K33,0)</f>
        <v>15</v>
      </c>
      <c r="L31" s="24">
        <f ca="1">ROUND(FIRE1121_raw!L33,0)</f>
        <v>0</v>
      </c>
      <c r="M31" s="24">
        <f ca="1">ROUND(FIRE1121_raw!M33,0)</f>
        <v>0</v>
      </c>
      <c r="N31" s="24">
        <f ca="1">ROUND(FIRE1121_raw!N33,0)</f>
        <v>0</v>
      </c>
      <c r="O31" s="24">
        <f ca="1">ROUND(FIRE1121_raw!O33,0)</f>
        <v>0</v>
      </c>
      <c r="P31" s="24">
        <f ca="1">ROUND(FIRE1121_raw!P33,0)</f>
        <v>6</v>
      </c>
      <c r="Q31" s="100">
        <f t="shared" ca="1" si="10"/>
        <v>0</v>
      </c>
      <c r="R31" s="46">
        <f t="shared" ca="1" si="11"/>
        <v>0.2857142857142857</v>
      </c>
      <c r="S31" s="140" t="s">
        <v>244</v>
      </c>
      <c r="T31" s="22">
        <f t="shared" ca="1" si="23"/>
        <v>29</v>
      </c>
      <c r="U31" s="22">
        <f t="shared" ca="1" si="23"/>
        <v>4</v>
      </c>
      <c r="V31" s="22">
        <f t="shared" ca="1" si="23"/>
        <v>0</v>
      </c>
      <c r="W31" s="22">
        <f t="shared" ca="1" si="23"/>
        <v>0</v>
      </c>
      <c r="X31" s="22">
        <f t="shared" ca="1" si="23"/>
        <v>0</v>
      </c>
      <c r="Y31" s="22">
        <f t="shared" ca="1" si="23"/>
        <v>10</v>
      </c>
      <c r="Z31" s="100">
        <f t="shared" ca="1" si="12"/>
        <v>0.12121212121212122</v>
      </c>
      <c r="AA31" s="100">
        <f t="shared" ca="1" si="13"/>
        <v>0.23255813953488372</v>
      </c>
      <c r="AB31" s="140" t="s">
        <v>244</v>
      </c>
      <c r="AC31" s="24">
        <f ca="1">ROUND(FIRE1121_raw!AC33,0)</f>
        <v>2</v>
      </c>
      <c r="AD31" s="24">
        <f ca="1">ROUND(FIRE1121_raw!AD33,0)</f>
        <v>0</v>
      </c>
      <c r="AE31" s="24">
        <f ca="1">ROUND(FIRE1121_raw!AE33,0)</f>
        <v>0</v>
      </c>
      <c r="AF31" s="24">
        <f ca="1">ROUND(FIRE1121_raw!AF33,0)</f>
        <v>0</v>
      </c>
      <c r="AG31" s="24">
        <f ca="1">ROUND(FIRE1121_raw!AG33,0)</f>
        <v>0</v>
      </c>
      <c r="AH31" s="24">
        <f ca="1">ROUND(FIRE1121_raw!AH33,0)</f>
        <v>0</v>
      </c>
      <c r="AI31" s="100">
        <f t="shared" ca="1" si="15"/>
        <v>0</v>
      </c>
      <c r="AJ31" s="46">
        <f t="shared" ca="1" si="16"/>
        <v>0</v>
      </c>
      <c r="AK31" s="140" t="s">
        <v>244</v>
      </c>
      <c r="AL31" s="24">
        <f ca="1">ROUND(FIRE1121_raw!AL33,0)</f>
        <v>6</v>
      </c>
      <c r="AM31" s="24">
        <f ca="1">ROUND(FIRE1121_raw!AM33,0)</f>
        <v>0</v>
      </c>
      <c r="AN31" s="24">
        <f ca="1">ROUND(FIRE1121_raw!AN33,0)</f>
        <v>2</v>
      </c>
      <c r="AO31" s="24">
        <f ca="1">ROUND(FIRE1121_raw!AO33,0)</f>
        <v>0</v>
      </c>
      <c r="AP31" s="24">
        <f ca="1">ROUND(FIRE1121_raw!AP33,0)</f>
        <v>0</v>
      </c>
      <c r="AQ31" s="24">
        <f ca="1">ROUND(FIRE1121_raw!AQ33,0)</f>
        <v>6</v>
      </c>
      <c r="AR31" s="100">
        <f t="shared" ca="1" si="18"/>
        <v>0.25</v>
      </c>
      <c r="AS31" s="46">
        <f t="shared" ca="1" si="19"/>
        <v>0.42857142857142855</v>
      </c>
      <c r="AT31" s="140" t="s">
        <v>244</v>
      </c>
      <c r="AU31" s="22">
        <f t="shared" ca="1" si="20"/>
        <v>37</v>
      </c>
      <c r="AV31" s="22">
        <f t="shared" ca="1" si="20"/>
        <v>4</v>
      </c>
      <c r="AW31" s="22">
        <f t="shared" ca="1" si="20"/>
        <v>2</v>
      </c>
      <c r="AX31" s="22">
        <f t="shared" ca="1" si="20"/>
        <v>0</v>
      </c>
      <c r="AY31" s="22">
        <f t="shared" ca="1" si="20"/>
        <v>0</v>
      </c>
      <c r="AZ31" s="22">
        <f t="shared" ca="1" si="20"/>
        <v>16</v>
      </c>
      <c r="BA31" s="100">
        <f t="shared" ca="1" si="21"/>
        <v>0.13953488372093023</v>
      </c>
      <c r="BB31" s="100">
        <f t="shared" ca="1" si="22"/>
        <v>0.2711864406779661</v>
      </c>
      <c r="BC31" s="19"/>
      <c r="BD31" s="19"/>
      <c r="BE31" s="19"/>
      <c r="BF31" s="19"/>
      <c r="BG31" s="19"/>
      <c r="BH31" s="19"/>
      <c r="BI31" s="19"/>
      <c r="BJ31" s="19"/>
      <c r="BK31" s="19"/>
    </row>
    <row r="32" spans="1:63" s="8" customFormat="1" ht="15" customHeight="1" x14ac:dyDescent="0.3">
      <c r="A32" s="3" t="s">
        <v>41</v>
      </c>
      <c r="B32" s="24">
        <f ca="1">ROUND(FIRE1121_raw!B34,0)</f>
        <v>10</v>
      </c>
      <c r="C32" s="24">
        <f ca="1">ROUND(FIRE1121_raw!C34,0)</f>
        <v>1</v>
      </c>
      <c r="D32" s="24">
        <f ca="1">ROUND(FIRE1121_raw!D34,0)</f>
        <v>0</v>
      </c>
      <c r="E32" s="24">
        <f ca="1">ROUND(FIRE1121_raw!E34,0)</f>
        <v>0</v>
      </c>
      <c r="F32" s="24">
        <f ca="1">ROUND(FIRE1121_raw!F34,0)</f>
        <v>0</v>
      </c>
      <c r="G32" s="24">
        <f ca="1">ROUND(FIRE1121_raw!G34,0)</f>
        <v>0</v>
      </c>
      <c r="H32" s="100">
        <f t="shared" ca="1" si="7"/>
        <v>9.0909090909090912E-2</v>
      </c>
      <c r="I32" s="46">
        <f t="shared" ca="1" si="8"/>
        <v>0</v>
      </c>
      <c r="J32" s="140" t="s">
        <v>244</v>
      </c>
      <c r="K32" s="24">
        <f ca="1">ROUND(FIRE1121_raw!K34,0)</f>
        <v>64</v>
      </c>
      <c r="L32" s="24">
        <f ca="1">ROUND(FIRE1121_raw!L34,0)</f>
        <v>1</v>
      </c>
      <c r="M32" s="24">
        <f ca="1">ROUND(FIRE1121_raw!M34,0)</f>
        <v>0</v>
      </c>
      <c r="N32" s="24">
        <f ca="1">ROUND(FIRE1121_raw!N34,0)</f>
        <v>0</v>
      </c>
      <c r="O32" s="24">
        <f ca="1">ROUND(FIRE1121_raw!O34,0)</f>
        <v>0</v>
      </c>
      <c r="P32" s="24">
        <f ca="1">ROUND(FIRE1121_raw!P34,0)</f>
        <v>0</v>
      </c>
      <c r="Q32" s="100">
        <f t="shared" ca="1" si="10"/>
        <v>1.5384615384615385E-2</v>
      </c>
      <c r="R32" s="46">
        <f t="shared" ca="1" si="11"/>
        <v>0</v>
      </c>
      <c r="S32" s="140" t="s">
        <v>244</v>
      </c>
      <c r="T32" s="22">
        <f t="shared" ca="1" si="23"/>
        <v>74</v>
      </c>
      <c r="U32" s="22">
        <f t="shared" ca="1" si="23"/>
        <v>2</v>
      </c>
      <c r="V32" s="22">
        <f t="shared" ca="1" si="23"/>
        <v>0</v>
      </c>
      <c r="W32" s="22">
        <f t="shared" ca="1" si="23"/>
        <v>0</v>
      </c>
      <c r="X32" s="22">
        <f t="shared" ca="1" si="23"/>
        <v>0</v>
      </c>
      <c r="Y32" s="22">
        <f t="shared" ca="1" si="23"/>
        <v>0</v>
      </c>
      <c r="Z32" s="100">
        <f t="shared" ca="1" si="12"/>
        <v>2.6315789473684209E-2</v>
      </c>
      <c r="AA32" s="100">
        <f t="shared" ca="1" si="13"/>
        <v>0</v>
      </c>
      <c r="AB32" s="140" t="s">
        <v>244</v>
      </c>
      <c r="AC32" s="24">
        <f ca="1">ROUND(FIRE1121_raw!AC34,0)</f>
        <v>4</v>
      </c>
      <c r="AD32" s="24">
        <f ca="1">ROUND(FIRE1121_raw!AD34,0)</f>
        <v>0</v>
      </c>
      <c r="AE32" s="24">
        <f ca="1">ROUND(FIRE1121_raw!AE34,0)</f>
        <v>0</v>
      </c>
      <c r="AF32" s="24">
        <f ca="1">ROUND(FIRE1121_raw!AF34,0)</f>
        <v>0</v>
      </c>
      <c r="AG32" s="24">
        <f ca="1">ROUND(FIRE1121_raw!AG34,0)</f>
        <v>0</v>
      </c>
      <c r="AH32" s="24">
        <f ca="1">ROUND(FIRE1121_raw!AH34,0)</f>
        <v>0</v>
      </c>
      <c r="AI32" s="100">
        <f t="shared" ca="1" si="15"/>
        <v>0</v>
      </c>
      <c r="AJ32" s="46">
        <f t="shared" ca="1" si="16"/>
        <v>0</v>
      </c>
      <c r="AK32" s="140" t="s">
        <v>244</v>
      </c>
      <c r="AL32" s="24">
        <f ca="1">ROUND(FIRE1121_raw!AL34,0)</f>
        <v>6</v>
      </c>
      <c r="AM32" s="24">
        <f ca="1">ROUND(FIRE1121_raw!AM34,0)</f>
        <v>0</v>
      </c>
      <c r="AN32" s="24">
        <f ca="1">ROUND(FIRE1121_raw!AN34,0)</f>
        <v>0</v>
      </c>
      <c r="AO32" s="24">
        <f ca="1">ROUND(FIRE1121_raw!AO34,0)</f>
        <v>0</v>
      </c>
      <c r="AP32" s="24">
        <f ca="1">ROUND(FIRE1121_raw!AP34,0)</f>
        <v>0</v>
      </c>
      <c r="AQ32" s="24">
        <f ca="1">ROUND(FIRE1121_raw!AQ34,0)</f>
        <v>0</v>
      </c>
      <c r="AR32" s="100">
        <f t="shared" ca="1" si="18"/>
        <v>0</v>
      </c>
      <c r="AS32" s="46">
        <f t="shared" ca="1" si="19"/>
        <v>0</v>
      </c>
      <c r="AT32" s="140" t="s">
        <v>244</v>
      </c>
      <c r="AU32" s="22">
        <f t="shared" ca="1" si="20"/>
        <v>84</v>
      </c>
      <c r="AV32" s="22">
        <f t="shared" ca="1" si="20"/>
        <v>2</v>
      </c>
      <c r="AW32" s="22">
        <f t="shared" ca="1" si="20"/>
        <v>0</v>
      </c>
      <c r="AX32" s="22">
        <f t="shared" ca="1" si="20"/>
        <v>0</v>
      </c>
      <c r="AY32" s="22">
        <f t="shared" ca="1" si="20"/>
        <v>0</v>
      </c>
      <c r="AZ32" s="22">
        <f t="shared" ca="1" si="20"/>
        <v>0</v>
      </c>
      <c r="BA32" s="100">
        <f t="shared" ca="1" si="21"/>
        <v>2.3255813953488372E-2</v>
      </c>
      <c r="BB32" s="100">
        <f t="shared" ca="1" si="22"/>
        <v>0</v>
      </c>
      <c r="BC32" s="19"/>
      <c r="BD32" s="19"/>
      <c r="BE32" s="19"/>
      <c r="BF32" s="19"/>
      <c r="BG32" s="19"/>
      <c r="BH32" s="19"/>
      <c r="BI32" s="19"/>
      <c r="BJ32" s="19"/>
      <c r="BK32" s="19"/>
    </row>
    <row r="33" spans="1:63" s="8" customFormat="1" ht="15" customHeight="1" x14ac:dyDescent="0.3">
      <c r="A33" s="3" t="s">
        <v>42</v>
      </c>
      <c r="B33" s="24">
        <f ca="1">ROUND(FIRE1121_raw!B35,0)</f>
        <v>0</v>
      </c>
      <c r="C33" s="24">
        <f ca="1">ROUND(FIRE1121_raw!C35,0)</f>
        <v>0</v>
      </c>
      <c r="D33" s="24">
        <f ca="1">ROUND(FIRE1121_raw!D35,0)</f>
        <v>0</v>
      </c>
      <c r="E33" s="24">
        <f ca="1">ROUND(FIRE1121_raw!E35,0)</f>
        <v>0</v>
      </c>
      <c r="F33" s="24">
        <f ca="1">ROUND(FIRE1121_raw!F35,0)</f>
        <v>0</v>
      </c>
      <c r="G33" s="24">
        <f ca="1">ROUND(FIRE1121_raw!G35,0)</f>
        <v>11</v>
      </c>
      <c r="H33" s="100" t="str">
        <f t="shared" ca="1" si="7"/>
        <v>-</v>
      </c>
      <c r="I33" s="46">
        <f t="shared" ca="1" si="8"/>
        <v>1</v>
      </c>
      <c r="J33" s="140" t="s">
        <v>244</v>
      </c>
      <c r="K33" s="24">
        <f ca="1">ROUND(FIRE1121_raw!K35,0)</f>
        <v>38</v>
      </c>
      <c r="L33" s="24">
        <f ca="1">ROUND(FIRE1121_raw!L35,0)</f>
        <v>0</v>
      </c>
      <c r="M33" s="24">
        <f ca="1">ROUND(FIRE1121_raw!M35,0)</f>
        <v>0</v>
      </c>
      <c r="N33" s="24">
        <f ca="1">ROUND(FIRE1121_raw!N35,0)</f>
        <v>2</v>
      </c>
      <c r="O33" s="24">
        <f ca="1">ROUND(FIRE1121_raw!O35,0)</f>
        <v>0</v>
      </c>
      <c r="P33" s="24">
        <f ca="1">ROUND(FIRE1121_raw!P35,0)</f>
        <v>3</v>
      </c>
      <c r="Q33" s="100">
        <f t="shared" ca="1" si="10"/>
        <v>0.05</v>
      </c>
      <c r="R33" s="46">
        <f t="shared" ca="1" si="11"/>
        <v>6.9767441860465115E-2</v>
      </c>
      <c r="S33" s="140" t="s">
        <v>244</v>
      </c>
      <c r="T33" s="22">
        <f t="shared" ca="1" si="23"/>
        <v>38</v>
      </c>
      <c r="U33" s="22">
        <f t="shared" ca="1" si="23"/>
        <v>0</v>
      </c>
      <c r="V33" s="22">
        <f t="shared" ca="1" si="23"/>
        <v>0</v>
      </c>
      <c r="W33" s="22">
        <f t="shared" ca="1" si="23"/>
        <v>2</v>
      </c>
      <c r="X33" s="22">
        <f t="shared" ca="1" si="23"/>
        <v>0</v>
      </c>
      <c r="Y33" s="22">
        <f t="shared" ca="1" si="23"/>
        <v>14</v>
      </c>
      <c r="Z33" s="100">
        <f t="shared" ca="1" si="12"/>
        <v>0.05</v>
      </c>
      <c r="AA33" s="100">
        <f t="shared" ca="1" si="13"/>
        <v>0.25925925925925924</v>
      </c>
      <c r="AB33" s="140" t="s">
        <v>244</v>
      </c>
      <c r="AC33" s="24">
        <f ca="1">ROUND(FIRE1121_raw!AC35,0)</f>
        <v>1</v>
      </c>
      <c r="AD33" s="24">
        <f ca="1">ROUND(FIRE1121_raw!AD35,0)</f>
        <v>0</v>
      </c>
      <c r="AE33" s="24">
        <f ca="1">ROUND(FIRE1121_raw!AE35,0)</f>
        <v>0</v>
      </c>
      <c r="AF33" s="24">
        <f ca="1">ROUND(FIRE1121_raw!AF35,0)</f>
        <v>0</v>
      </c>
      <c r="AG33" s="24">
        <f ca="1">ROUND(FIRE1121_raw!AG35,0)</f>
        <v>0</v>
      </c>
      <c r="AH33" s="24">
        <f ca="1">ROUND(FIRE1121_raw!AH35,0)</f>
        <v>0</v>
      </c>
      <c r="AI33" s="100">
        <f t="shared" ca="1" si="15"/>
        <v>0</v>
      </c>
      <c r="AJ33" s="46">
        <f t="shared" ca="1" si="16"/>
        <v>0</v>
      </c>
      <c r="AK33" s="140" t="s">
        <v>244</v>
      </c>
      <c r="AL33" s="24">
        <f ca="1">ROUND(FIRE1121_raw!AL35,0)</f>
        <v>4</v>
      </c>
      <c r="AM33" s="24">
        <f ca="1">ROUND(FIRE1121_raw!AM35,0)</f>
        <v>0</v>
      </c>
      <c r="AN33" s="24">
        <f ca="1">ROUND(FIRE1121_raw!AN35,0)</f>
        <v>0</v>
      </c>
      <c r="AO33" s="24">
        <f ca="1">ROUND(FIRE1121_raw!AO35,0)</f>
        <v>0</v>
      </c>
      <c r="AP33" s="24">
        <f ca="1">ROUND(FIRE1121_raw!AP35,0)</f>
        <v>0</v>
      </c>
      <c r="AQ33" s="24">
        <f ca="1">ROUND(FIRE1121_raw!AQ35,0)</f>
        <v>79</v>
      </c>
      <c r="AR33" s="100">
        <f t="shared" ca="1" si="18"/>
        <v>0</v>
      </c>
      <c r="AS33" s="46">
        <f t="shared" ca="1" si="19"/>
        <v>0.95180722891566261</v>
      </c>
      <c r="AT33" s="140" t="s">
        <v>244</v>
      </c>
      <c r="AU33" s="22">
        <f t="shared" ca="1" si="20"/>
        <v>43</v>
      </c>
      <c r="AV33" s="22">
        <f t="shared" ca="1" si="20"/>
        <v>0</v>
      </c>
      <c r="AW33" s="22">
        <f t="shared" ca="1" si="20"/>
        <v>0</v>
      </c>
      <c r="AX33" s="22">
        <f t="shared" ca="1" si="20"/>
        <v>2</v>
      </c>
      <c r="AY33" s="22">
        <f t="shared" ca="1" si="20"/>
        <v>0</v>
      </c>
      <c r="AZ33" s="22">
        <f t="shared" ca="1" si="20"/>
        <v>93</v>
      </c>
      <c r="BA33" s="100">
        <f t="shared" ca="1" si="21"/>
        <v>4.4444444444444446E-2</v>
      </c>
      <c r="BB33" s="100">
        <f t="shared" ca="1" si="22"/>
        <v>0.67391304347826086</v>
      </c>
      <c r="BC33" s="19"/>
      <c r="BD33" s="19"/>
      <c r="BE33" s="19"/>
      <c r="BF33" s="19"/>
      <c r="BG33" s="19"/>
      <c r="BH33" s="19"/>
      <c r="BI33" s="19"/>
      <c r="BJ33" s="19"/>
      <c r="BK33" s="19"/>
    </row>
    <row r="34" spans="1:63" s="8" customFormat="1" ht="15" customHeight="1" x14ac:dyDescent="0.3">
      <c r="A34" s="2" t="s">
        <v>43</v>
      </c>
      <c r="B34" s="24">
        <f ca="1">ROUND(FIRE1121_raw!B36,0)</f>
        <v>0</v>
      </c>
      <c r="C34" s="24">
        <f ca="1">ROUND(FIRE1121_raw!C36,0)</f>
        <v>0</v>
      </c>
      <c r="D34" s="24">
        <f ca="1">ROUND(FIRE1121_raw!D36,0)</f>
        <v>0</v>
      </c>
      <c r="E34" s="24">
        <f ca="1">ROUND(FIRE1121_raw!E36,0)</f>
        <v>0</v>
      </c>
      <c r="F34" s="24">
        <f ca="1">ROUND(FIRE1121_raw!F36,0)</f>
        <v>0</v>
      </c>
      <c r="G34" s="24">
        <f ca="1">ROUND(FIRE1121_raw!G36,0)</f>
        <v>0</v>
      </c>
      <c r="H34" s="100" t="str">
        <f t="shared" ca="1" si="7"/>
        <v>-</v>
      </c>
      <c r="I34" s="46" t="str">
        <f t="shared" ca="1" si="8"/>
        <v>-</v>
      </c>
      <c r="J34" s="140" t="s">
        <v>244</v>
      </c>
      <c r="K34" s="24">
        <f ca="1">ROUND(FIRE1121_raw!K36,0)</f>
        <v>0</v>
      </c>
      <c r="L34" s="24">
        <f ca="1">ROUND(FIRE1121_raw!L36,0)</f>
        <v>0</v>
      </c>
      <c r="M34" s="24">
        <f ca="1">ROUND(FIRE1121_raw!M36,0)</f>
        <v>0</v>
      </c>
      <c r="N34" s="24">
        <f ca="1">ROUND(FIRE1121_raw!N36,0)</f>
        <v>0</v>
      </c>
      <c r="O34" s="24">
        <f ca="1">ROUND(FIRE1121_raw!O36,0)</f>
        <v>0</v>
      </c>
      <c r="P34" s="24">
        <f ca="1">ROUND(FIRE1121_raw!P36,0)</f>
        <v>0</v>
      </c>
      <c r="Q34" s="100" t="str">
        <f t="shared" ca="1" si="10"/>
        <v>-</v>
      </c>
      <c r="R34" s="46" t="str">
        <f t="shared" ca="1" si="11"/>
        <v>-</v>
      </c>
      <c r="S34" s="140" t="s">
        <v>244</v>
      </c>
      <c r="T34" s="22">
        <f t="shared" ca="1" si="23"/>
        <v>0</v>
      </c>
      <c r="U34" s="22">
        <f t="shared" ca="1" si="23"/>
        <v>0</v>
      </c>
      <c r="V34" s="22">
        <f t="shared" ca="1" si="23"/>
        <v>0</v>
      </c>
      <c r="W34" s="22">
        <f t="shared" ca="1" si="23"/>
        <v>0</v>
      </c>
      <c r="X34" s="22">
        <f t="shared" ca="1" si="23"/>
        <v>0</v>
      </c>
      <c r="Y34" s="22">
        <f t="shared" ca="1" si="23"/>
        <v>0</v>
      </c>
      <c r="Z34" s="100" t="str">
        <f t="shared" ca="1" si="12"/>
        <v>-</v>
      </c>
      <c r="AA34" s="100" t="str">
        <f t="shared" ca="1" si="13"/>
        <v>-</v>
      </c>
      <c r="AB34" s="140" t="s">
        <v>244</v>
      </c>
      <c r="AC34" s="24">
        <f ca="1">ROUND(FIRE1121_raw!AC36,0)</f>
        <v>11</v>
      </c>
      <c r="AD34" s="24">
        <f ca="1">ROUND(FIRE1121_raw!AD36,0)</f>
        <v>0</v>
      </c>
      <c r="AE34" s="24">
        <f ca="1">ROUND(FIRE1121_raw!AE36,0)</f>
        <v>0</v>
      </c>
      <c r="AF34" s="24">
        <f ca="1">ROUND(FIRE1121_raw!AF36,0)</f>
        <v>0</v>
      </c>
      <c r="AG34" s="24">
        <f ca="1">ROUND(FIRE1121_raw!AG36,0)</f>
        <v>0</v>
      </c>
      <c r="AH34" s="24">
        <f ca="1">ROUND(FIRE1121_raw!AH36,0)</f>
        <v>0</v>
      </c>
      <c r="AI34" s="100">
        <f t="shared" ca="1" si="15"/>
        <v>0</v>
      </c>
      <c r="AJ34" s="46">
        <f t="shared" ca="1" si="16"/>
        <v>0</v>
      </c>
      <c r="AK34" s="140" t="s">
        <v>244</v>
      </c>
      <c r="AL34" s="24">
        <f ca="1">ROUND(FIRE1121_raw!AL36,0)</f>
        <v>0</v>
      </c>
      <c r="AM34" s="24">
        <f ca="1">ROUND(FIRE1121_raw!AM36,0)</f>
        <v>0</v>
      </c>
      <c r="AN34" s="24">
        <f ca="1">ROUND(FIRE1121_raw!AN36,0)</f>
        <v>0</v>
      </c>
      <c r="AO34" s="24">
        <f ca="1">ROUND(FIRE1121_raw!AO36,0)</f>
        <v>0</v>
      </c>
      <c r="AP34" s="24">
        <f ca="1">ROUND(FIRE1121_raw!AP36,0)</f>
        <v>0</v>
      </c>
      <c r="AQ34" s="24">
        <f ca="1">ROUND(FIRE1121_raw!AQ36,0)</f>
        <v>0</v>
      </c>
      <c r="AR34" s="100" t="str">
        <f t="shared" ca="1" si="18"/>
        <v>-</v>
      </c>
      <c r="AS34" s="46" t="str">
        <f t="shared" ca="1" si="19"/>
        <v>-</v>
      </c>
      <c r="AT34" s="140" t="s">
        <v>244</v>
      </c>
      <c r="AU34" s="22">
        <f t="shared" ca="1" si="20"/>
        <v>11</v>
      </c>
      <c r="AV34" s="22">
        <f t="shared" ca="1" si="20"/>
        <v>0</v>
      </c>
      <c r="AW34" s="22">
        <f t="shared" ca="1" si="20"/>
        <v>0</v>
      </c>
      <c r="AX34" s="22">
        <f t="shared" ca="1" si="20"/>
        <v>0</v>
      </c>
      <c r="AY34" s="22">
        <f t="shared" ca="1" si="20"/>
        <v>0</v>
      </c>
      <c r="AZ34" s="22">
        <f t="shared" ca="1" si="20"/>
        <v>0</v>
      </c>
      <c r="BA34" s="100">
        <f t="shared" ca="1" si="21"/>
        <v>0</v>
      </c>
      <c r="BB34" s="100">
        <f t="shared" ca="1" si="22"/>
        <v>0</v>
      </c>
      <c r="BC34" s="19"/>
      <c r="BD34" s="19"/>
      <c r="BE34" s="19"/>
      <c r="BF34" s="19"/>
      <c r="BG34" s="19"/>
      <c r="BH34" s="19"/>
      <c r="BI34" s="19"/>
      <c r="BJ34" s="19"/>
      <c r="BK34" s="19"/>
    </row>
    <row r="35" spans="1:63" s="8" customFormat="1" ht="15" customHeight="1" x14ac:dyDescent="0.3">
      <c r="A35" s="3" t="s">
        <v>44</v>
      </c>
      <c r="B35" s="24">
        <f ca="1">ROUND(FIRE1121_raw!B37,0)</f>
        <v>18</v>
      </c>
      <c r="C35" s="24">
        <f ca="1">ROUND(FIRE1121_raw!C37,0)</f>
        <v>2</v>
      </c>
      <c r="D35" s="24">
        <f ca="1">ROUND(FIRE1121_raw!D37,0)</f>
        <v>0</v>
      </c>
      <c r="E35" s="24">
        <f ca="1">ROUND(FIRE1121_raw!E37,0)</f>
        <v>0</v>
      </c>
      <c r="F35" s="24">
        <f ca="1">ROUND(FIRE1121_raw!F37,0)</f>
        <v>0</v>
      </c>
      <c r="G35" s="24">
        <f ca="1">ROUND(FIRE1121_raw!G37,0)</f>
        <v>1</v>
      </c>
      <c r="H35" s="100">
        <f t="shared" ca="1" si="7"/>
        <v>0.1</v>
      </c>
      <c r="I35" s="46">
        <f t="shared" ca="1" si="8"/>
        <v>4.7619047619047616E-2</v>
      </c>
      <c r="J35" s="140" t="s">
        <v>244</v>
      </c>
      <c r="K35" s="24">
        <f ca="1">ROUND(FIRE1121_raw!K37,0)</f>
        <v>35</v>
      </c>
      <c r="L35" s="24">
        <f ca="1">ROUND(FIRE1121_raw!L37,0)</f>
        <v>0</v>
      </c>
      <c r="M35" s="24">
        <f ca="1">ROUND(FIRE1121_raw!M37,0)</f>
        <v>1</v>
      </c>
      <c r="N35" s="24">
        <f ca="1">ROUND(FIRE1121_raw!N37,0)</f>
        <v>0</v>
      </c>
      <c r="O35" s="24">
        <f ca="1">ROUND(FIRE1121_raw!O37,0)</f>
        <v>0</v>
      </c>
      <c r="P35" s="24">
        <f ca="1">ROUND(FIRE1121_raw!P37,0)</f>
        <v>7</v>
      </c>
      <c r="Q35" s="100">
        <f t="shared" ca="1" si="10"/>
        <v>2.7777777777777776E-2</v>
      </c>
      <c r="R35" s="46">
        <f t="shared" ca="1" si="11"/>
        <v>0.16279069767441862</v>
      </c>
      <c r="S35" s="140" t="s">
        <v>244</v>
      </c>
      <c r="T35" s="22">
        <f t="shared" ca="1" si="23"/>
        <v>53</v>
      </c>
      <c r="U35" s="22">
        <f t="shared" ca="1" si="23"/>
        <v>2</v>
      </c>
      <c r="V35" s="22">
        <f t="shared" ca="1" si="23"/>
        <v>1</v>
      </c>
      <c r="W35" s="22">
        <f t="shared" ca="1" si="23"/>
        <v>0</v>
      </c>
      <c r="X35" s="22">
        <f t="shared" ca="1" si="23"/>
        <v>0</v>
      </c>
      <c r="Y35" s="22">
        <f t="shared" ca="1" si="23"/>
        <v>8</v>
      </c>
      <c r="Z35" s="100">
        <f t="shared" ca="1" si="12"/>
        <v>5.3571428571428568E-2</v>
      </c>
      <c r="AA35" s="100">
        <f t="shared" ca="1" si="13"/>
        <v>0.125</v>
      </c>
      <c r="AB35" s="140" t="s">
        <v>244</v>
      </c>
      <c r="AC35" s="24">
        <f ca="1">ROUND(FIRE1121_raw!AC37,0)</f>
        <v>3</v>
      </c>
      <c r="AD35" s="24">
        <f ca="1">ROUND(FIRE1121_raw!AD37,0)</f>
        <v>0</v>
      </c>
      <c r="AE35" s="24">
        <f ca="1">ROUND(FIRE1121_raw!AE37,0)</f>
        <v>0</v>
      </c>
      <c r="AF35" s="24">
        <f ca="1">ROUND(FIRE1121_raw!AF37,0)</f>
        <v>0</v>
      </c>
      <c r="AG35" s="24">
        <f ca="1">ROUND(FIRE1121_raw!AG37,0)</f>
        <v>0</v>
      </c>
      <c r="AH35" s="24">
        <f ca="1">ROUND(FIRE1121_raw!AH37,0)</f>
        <v>0</v>
      </c>
      <c r="AI35" s="100">
        <f t="shared" ca="1" si="15"/>
        <v>0</v>
      </c>
      <c r="AJ35" s="46">
        <f t="shared" ca="1" si="16"/>
        <v>0</v>
      </c>
      <c r="AK35" s="140" t="s">
        <v>244</v>
      </c>
      <c r="AL35" s="24">
        <f ca="1">ROUND(FIRE1121_raw!AL37,0)</f>
        <v>5</v>
      </c>
      <c r="AM35" s="24">
        <f ca="1">ROUND(FIRE1121_raw!AM37,0)</f>
        <v>1</v>
      </c>
      <c r="AN35" s="24">
        <f ca="1">ROUND(FIRE1121_raw!AN37,0)</f>
        <v>0</v>
      </c>
      <c r="AO35" s="24">
        <f ca="1">ROUND(FIRE1121_raw!AO37,0)</f>
        <v>0</v>
      </c>
      <c r="AP35" s="24">
        <f ca="1">ROUND(FIRE1121_raw!AP37,0)</f>
        <v>0</v>
      </c>
      <c r="AQ35" s="24">
        <f ca="1">ROUND(FIRE1121_raw!AQ37,0)</f>
        <v>0</v>
      </c>
      <c r="AR35" s="100">
        <f t="shared" ca="1" si="18"/>
        <v>0.16666666666666666</v>
      </c>
      <c r="AS35" s="46">
        <f t="shared" ca="1" si="19"/>
        <v>0</v>
      </c>
      <c r="AT35" s="140" t="s">
        <v>244</v>
      </c>
      <c r="AU35" s="22">
        <f t="shared" ca="1" si="20"/>
        <v>61</v>
      </c>
      <c r="AV35" s="22">
        <f t="shared" ca="1" si="20"/>
        <v>3</v>
      </c>
      <c r="AW35" s="22">
        <f t="shared" ca="1" si="20"/>
        <v>1</v>
      </c>
      <c r="AX35" s="22">
        <f t="shared" ca="1" si="20"/>
        <v>0</v>
      </c>
      <c r="AY35" s="22">
        <f t="shared" ca="1" si="20"/>
        <v>0</v>
      </c>
      <c r="AZ35" s="22">
        <f t="shared" ca="1" si="20"/>
        <v>8</v>
      </c>
      <c r="BA35" s="100">
        <f t="shared" ca="1" si="21"/>
        <v>6.1538461538461542E-2</v>
      </c>
      <c r="BB35" s="100">
        <f t="shared" ca="1" si="22"/>
        <v>0.1095890410958904</v>
      </c>
      <c r="BC35" s="19"/>
      <c r="BD35" s="19"/>
      <c r="BE35" s="19"/>
      <c r="BF35" s="19"/>
      <c r="BG35" s="19"/>
      <c r="BH35" s="19"/>
      <c r="BI35" s="19"/>
      <c r="BJ35" s="19"/>
      <c r="BK35" s="19"/>
    </row>
    <row r="36" spans="1:63" s="8" customFormat="1" ht="15" customHeight="1" x14ac:dyDescent="0.3">
      <c r="A36" s="3" t="s">
        <v>45</v>
      </c>
      <c r="B36" s="24">
        <f ca="1">ROUND(FIRE1121_raw!B38,0)</f>
        <v>13</v>
      </c>
      <c r="C36" s="24">
        <f ca="1">ROUND(FIRE1121_raw!C38,0)</f>
        <v>0</v>
      </c>
      <c r="D36" s="24">
        <f ca="1">ROUND(FIRE1121_raw!D38,0)</f>
        <v>0</v>
      </c>
      <c r="E36" s="24">
        <f ca="1">ROUND(FIRE1121_raw!E38,0)</f>
        <v>0</v>
      </c>
      <c r="F36" s="24">
        <f ca="1">ROUND(FIRE1121_raw!F38,0)</f>
        <v>0</v>
      </c>
      <c r="G36" s="24">
        <f ca="1">ROUND(FIRE1121_raw!G38,0)</f>
        <v>25</v>
      </c>
      <c r="H36" s="100">
        <f t="shared" ca="1" si="7"/>
        <v>0</v>
      </c>
      <c r="I36" s="46">
        <f t="shared" ca="1" si="8"/>
        <v>0.65789473684210531</v>
      </c>
      <c r="J36" s="140" t="s">
        <v>244</v>
      </c>
      <c r="K36" s="24">
        <f ca="1">ROUND(FIRE1121_raw!K38,0)</f>
        <v>14</v>
      </c>
      <c r="L36" s="24">
        <f ca="1">ROUND(FIRE1121_raw!L38,0)</f>
        <v>0</v>
      </c>
      <c r="M36" s="24">
        <f ca="1">ROUND(FIRE1121_raw!M38,0)</f>
        <v>0</v>
      </c>
      <c r="N36" s="24">
        <f ca="1">ROUND(FIRE1121_raw!N38,0)</f>
        <v>0</v>
      </c>
      <c r="O36" s="24">
        <f ca="1">ROUND(FIRE1121_raw!O38,0)</f>
        <v>0</v>
      </c>
      <c r="P36" s="24">
        <f ca="1">ROUND(FIRE1121_raw!P38,0)</f>
        <v>31</v>
      </c>
      <c r="Q36" s="100">
        <f t="shared" ca="1" si="10"/>
        <v>0</v>
      </c>
      <c r="R36" s="46">
        <f t="shared" ca="1" si="11"/>
        <v>0.68888888888888888</v>
      </c>
      <c r="S36" s="140" t="s">
        <v>244</v>
      </c>
      <c r="T36" s="22">
        <f t="shared" ca="1" si="23"/>
        <v>27</v>
      </c>
      <c r="U36" s="22">
        <f t="shared" ca="1" si="23"/>
        <v>0</v>
      </c>
      <c r="V36" s="22">
        <f t="shared" ca="1" si="23"/>
        <v>0</v>
      </c>
      <c r="W36" s="22">
        <f t="shared" ca="1" si="23"/>
        <v>0</v>
      </c>
      <c r="X36" s="22">
        <f t="shared" ca="1" si="23"/>
        <v>0</v>
      </c>
      <c r="Y36" s="22">
        <f t="shared" ca="1" si="23"/>
        <v>56</v>
      </c>
      <c r="Z36" s="100">
        <f t="shared" ca="1" si="12"/>
        <v>0</v>
      </c>
      <c r="AA36" s="100">
        <f t="shared" ca="1" si="13"/>
        <v>0.67469879518072284</v>
      </c>
      <c r="AB36" s="140" t="s">
        <v>244</v>
      </c>
      <c r="AC36" s="24">
        <f ca="1">ROUND(FIRE1121_raw!AC38,0)</f>
        <v>1</v>
      </c>
      <c r="AD36" s="24">
        <f ca="1">ROUND(FIRE1121_raw!AD38,0)</f>
        <v>0</v>
      </c>
      <c r="AE36" s="24">
        <f ca="1">ROUND(FIRE1121_raw!AE38,0)</f>
        <v>0</v>
      </c>
      <c r="AF36" s="24">
        <f ca="1">ROUND(FIRE1121_raw!AF38,0)</f>
        <v>0</v>
      </c>
      <c r="AG36" s="24">
        <f ca="1">ROUND(FIRE1121_raw!AG38,0)</f>
        <v>0</v>
      </c>
      <c r="AH36" s="24">
        <f ca="1">ROUND(FIRE1121_raw!AH38,0)</f>
        <v>2</v>
      </c>
      <c r="AI36" s="100">
        <f t="shared" ca="1" si="15"/>
        <v>0</v>
      </c>
      <c r="AJ36" s="46">
        <f t="shared" ca="1" si="16"/>
        <v>0.66666666666666663</v>
      </c>
      <c r="AK36" s="140" t="s">
        <v>244</v>
      </c>
      <c r="AL36" s="24">
        <f ca="1">ROUND(FIRE1121_raw!AL38,0)</f>
        <v>6</v>
      </c>
      <c r="AM36" s="24">
        <f ca="1">ROUND(FIRE1121_raw!AM38,0)</f>
        <v>0</v>
      </c>
      <c r="AN36" s="24">
        <f ca="1">ROUND(FIRE1121_raw!AN38,0)</f>
        <v>0</v>
      </c>
      <c r="AO36" s="24">
        <f ca="1">ROUND(FIRE1121_raw!AO38,0)</f>
        <v>0</v>
      </c>
      <c r="AP36" s="24">
        <f ca="1">ROUND(FIRE1121_raw!AP38,0)</f>
        <v>0</v>
      </c>
      <c r="AQ36" s="24">
        <f ca="1">ROUND(FIRE1121_raw!AQ38,0)</f>
        <v>14</v>
      </c>
      <c r="AR36" s="100">
        <f t="shared" ca="1" si="18"/>
        <v>0</v>
      </c>
      <c r="AS36" s="46">
        <f t="shared" ca="1" si="19"/>
        <v>0.7</v>
      </c>
      <c r="AT36" s="140" t="s">
        <v>244</v>
      </c>
      <c r="AU36" s="22">
        <f t="shared" ca="1" si="20"/>
        <v>34</v>
      </c>
      <c r="AV36" s="22">
        <f t="shared" ca="1" si="20"/>
        <v>0</v>
      </c>
      <c r="AW36" s="22">
        <f t="shared" ca="1" si="20"/>
        <v>0</v>
      </c>
      <c r="AX36" s="22">
        <f t="shared" ca="1" si="20"/>
        <v>0</v>
      </c>
      <c r="AY36" s="22">
        <f t="shared" ca="1" si="20"/>
        <v>0</v>
      </c>
      <c r="AZ36" s="22">
        <f t="shared" ca="1" si="20"/>
        <v>72</v>
      </c>
      <c r="BA36" s="100">
        <f t="shared" ca="1" si="21"/>
        <v>0</v>
      </c>
      <c r="BB36" s="100">
        <f t="shared" ca="1" si="22"/>
        <v>0.67924528301886788</v>
      </c>
      <c r="BC36" s="19"/>
      <c r="BD36" s="19"/>
      <c r="BE36" s="19"/>
      <c r="BF36" s="19"/>
      <c r="BG36" s="19"/>
      <c r="BH36" s="19"/>
      <c r="BI36" s="19"/>
      <c r="BJ36" s="19"/>
      <c r="BK36" s="19"/>
    </row>
    <row r="37" spans="1:63" s="8" customFormat="1" ht="15" customHeight="1" x14ac:dyDescent="0.3">
      <c r="A37" s="3" t="s">
        <v>46</v>
      </c>
      <c r="B37" s="24">
        <f ca="1">ROUND(FIRE1121_raw!B39,0)</f>
        <v>0</v>
      </c>
      <c r="C37" s="24">
        <f ca="1">ROUND(FIRE1121_raw!C39,0)</f>
        <v>0</v>
      </c>
      <c r="D37" s="24">
        <f ca="1">ROUND(FIRE1121_raw!D39,0)</f>
        <v>0</v>
      </c>
      <c r="E37" s="24">
        <f ca="1">ROUND(FIRE1121_raw!E39,0)</f>
        <v>0</v>
      </c>
      <c r="F37" s="24">
        <f ca="1">ROUND(FIRE1121_raw!F39,0)</f>
        <v>0</v>
      </c>
      <c r="G37" s="24">
        <f ca="1">ROUND(FIRE1121_raw!G39,0)</f>
        <v>13</v>
      </c>
      <c r="H37" s="100" t="str">
        <f t="shared" ca="1" si="7"/>
        <v>-</v>
      </c>
      <c r="I37" s="46">
        <f t="shared" ca="1" si="8"/>
        <v>1</v>
      </c>
      <c r="J37" s="140" t="s">
        <v>244</v>
      </c>
      <c r="K37" s="24">
        <f ca="1">ROUND(FIRE1121_raw!K39,0)</f>
        <v>0</v>
      </c>
      <c r="L37" s="24">
        <f ca="1">ROUND(FIRE1121_raw!L39,0)</f>
        <v>0</v>
      </c>
      <c r="M37" s="24">
        <f ca="1">ROUND(FIRE1121_raw!M39,0)</f>
        <v>0</v>
      </c>
      <c r="N37" s="24">
        <f ca="1">ROUND(FIRE1121_raw!N39,0)</f>
        <v>0</v>
      </c>
      <c r="O37" s="24">
        <f ca="1">ROUND(FIRE1121_raw!O39,0)</f>
        <v>0</v>
      </c>
      <c r="P37" s="24">
        <f ca="1">ROUND(FIRE1121_raw!P39,0)</f>
        <v>14</v>
      </c>
      <c r="Q37" s="100" t="str">
        <f t="shared" ca="1" si="10"/>
        <v>-</v>
      </c>
      <c r="R37" s="46">
        <f t="shared" ca="1" si="11"/>
        <v>1</v>
      </c>
      <c r="S37" s="140" t="s">
        <v>244</v>
      </c>
      <c r="T37" s="22">
        <f t="shared" ca="1" si="23"/>
        <v>0</v>
      </c>
      <c r="U37" s="22">
        <f t="shared" ca="1" si="23"/>
        <v>0</v>
      </c>
      <c r="V37" s="22">
        <f t="shared" ca="1" si="23"/>
        <v>0</v>
      </c>
      <c r="W37" s="22">
        <f t="shared" ca="1" si="23"/>
        <v>0</v>
      </c>
      <c r="X37" s="22">
        <f t="shared" ca="1" si="23"/>
        <v>0</v>
      </c>
      <c r="Y37" s="22">
        <f t="shared" ca="1" si="23"/>
        <v>27</v>
      </c>
      <c r="Z37" s="100" t="str">
        <f t="shared" ca="1" si="12"/>
        <v>-</v>
      </c>
      <c r="AA37" s="100">
        <f t="shared" ca="1" si="13"/>
        <v>1</v>
      </c>
      <c r="AB37" s="140" t="s">
        <v>244</v>
      </c>
      <c r="AC37" s="24">
        <f ca="1">ROUND(FIRE1121_raw!AC39,0)</f>
        <v>1</v>
      </c>
      <c r="AD37" s="24">
        <f ca="1">ROUND(FIRE1121_raw!AD39,0)</f>
        <v>0</v>
      </c>
      <c r="AE37" s="24">
        <f ca="1">ROUND(FIRE1121_raw!AE39,0)</f>
        <v>0</v>
      </c>
      <c r="AF37" s="24">
        <f ca="1">ROUND(FIRE1121_raw!AF39,0)</f>
        <v>0</v>
      </c>
      <c r="AG37" s="24">
        <f ca="1">ROUND(FIRE1121_raw!AG39,0)</f>
        <v>0</v>
      </c>
      <c r="AH37" s="24">
        <f ca="1">ROUND(FIRE1121_raw!AH39,0)</f>
        <v>0</v>
      </c>
      <c r="AI37" s="100">
        <f t="shared" ca="1" si="15"/>
        <v>0</v>
      </c>
      <c r="AJ37" s="46">
        <f t="shared" ca="1" si="16"/>
        <v>0</v>
      </c>
      <c r="AK37" s="140" t="s">
        <v>244</v>
      </c>
      <c r="AL37" s="24">
        <f ca="1">ROUND(FIRE1121_raw!AL39,0)</f>
        <v>3</v>
      </c>
      <c r="AM37" s="24">
        <f ca="1">ROUND(FIRE1121_raw!AM39,0)</f>
        <v>0</v>
      </c>
      <c r="AN37" s="24">
        <f ca="1">ROUND(FIRE1121_raw!AN39,0)</f>
        <v>0</v>
      </c>
      <c r="AO37" s="24">
        <f ca="1">ROUND(FIRE1121_raw!AO39,0)</f>
        <v>0</v>
      </c>
      <c r="AP37" s="24">
        <f ca="1">ROUND(FIRE1121_raw!AP39,0)</f>
        <v>0</v>
      </c>
      <c r="AQ37" s="24">
        <f ca="1">ROUND(FIRE1121_raw!AQ39,0)</f>
        <v>0</v>
      </c>
      <c r="AR37" s="100">
        <f t="shared" ca="1" si="18"/>
        <v>0</v>
      </c>
      <c r="AS37" s="46">
        <f t="shared" ca="1" si="19"/>
        <v>0</v>
      </c>
      <c r="AT37" s="140" t="s">
        <v>244</v>
      </c>
      <c r="AU37" s="22">
        <f t="shared" ca="1" si="20"/>
        <v>4</v>
      </c>
      <c r="AV37" s="22">
        <f t="shared" ca="1" si="20"/>
        <v>0</v>
      </c>
      <c r="AW37" s="22">
        <f t="shared" ca="1" si="20"/>
        <v>0</v>
      </c>
      <c r="AX37" s="22">
        <f t="shared" ca="1" si="20"/>
        <v>0</v>
      </c>
      <c r="AY37" s="22">
        <f t="shared" ca="1" si="20"/>
        <v>0</v>
      </c>
      <c r="AZ37" s="22">
        <f t="shared" ca="1" si="20"/>
        <v>27</v>
      </c>
      <c r="BA37" s="100">
        <f t="shared" ca="1" si="21"/>
        <v>0</v>
      </c>
      <c r="BB37" s="100">
        <f t="shared" ca="1" si="22"/>
        <v>0.87096774193548387</v>
      </c>
      <c r="BC37" s="19"/>
      <c r="BD37" s="19"/>
      <c r="BE37" s="19"/>
      <c r="BF37" s="19"/>
      <c r="BG37" s="19"/>
      <c r="BH37" s="19"/>
      <c r="BI37" s="19"/>
      <c r="BJ37" s="19"/>
      <c r="BK37" s="19"/>
    </row>
    <row r="38" spans="1:63" s="8" customFormat="1" ht="15" customHeight="1" x14ac:dyDescent="0.3">
      <c r="A38" s="2" t="s">
        <v>47</v>
      </c>
      <c r="B38" s="24">
        <f ca="1">ROUND(FIRE1121_raw!B40,0)</f>
        <v>6</v>
      </c>
      <c r="C38" s="24">
        <f ca="1">ROUND(FIRE1121_raw!C40,0)</f>
        <v>1</v>
      </c>
      <c r="D38" s="24">
        <f ca="1">ROUND(FIRE1121_raw!D40,0)</f>
        <v>0</v>
      </c>
      <c r="E38" s="24">
        <f ca="1">ROUND(FIRE1121_raw!E40,0)</f>
        <v>1</v>
      </c>
      <c r="F38" s="24">
        <f ca="1">ROUND(FIRE1121_raw!F40,0)</f>
        <v>0</v>
      </c>
      <c r="G38" s="24">
        <f ca="1">ROUND(FIRE1121_raw!G40,0)</f>
        <v>0</v>
      </c>
      <c r="H38" s="100">
        <f t="shared" ca="1" si="7"/>
        <v>0.25</v>
      </c>
      <c r="I38" s="46">
        <f t="shared" ca="1" si="8"/>
        <v>0</v>
      </c>
      <c r="J38" s="140" t="s">
        <v>244</v>
      </c>
      <c r="K38" s="24">
        <f ca="1">ROUND(FIRE1121_raw!K40,0)</f>
        <v>14</v>
      </c>
      <c r="L38" s="24">
        <f ca="1">ROUND(FIRE1121_raw!L40,0)</f>
        <v>1</v>
      </c>
      <c r="M38" s="24">
        <f ca="1">ROUND(FIRE1121_raw!M40,0)</f>
        <v>0</v>
      </c>
      <c r="N38" s="24">
        <f ca="1">ROUND(FIRE1121_raw!N40,0)</f>
        <v>0</v>
      </c>
      <c r="O38" s="24">
        <f ca="1">ROUND(FIRE1121_raw!O40,0)</f>
        <v>0</v>
      </c>
      <c r="P38" s="24">
        <f ca="1">ROUND(FIRE1121_raw!P40,0)</f>
        <v>0</v>
      </c>
      <c r="Q38" s="100">
        <f t="shared" ca="1" si="10"/>
        <v>6.6666666666666666E-2</v>
      </c>
      <c r="R38" s="46">
        <f t="shared" ca="1" si="11"/>
        <v>0</v>
      </c>
      <c r="S38" s="140" t="s">
        <v>244</v>
      </c>
      <c r="T38" s="22">
        <f t="shared" ca="1" si="23"/>
        <v>20</v>
      </c>
      <c r="U38" s="22">
        <f t="shared" ca="1" si="23"/>
        <v>2</v>
      </c>
      <c r="V38" s="22">
        <f t="shared" ca="1" si="23"/>
        <v>0</v>
      </c>
      <c r="W38" s="22">
        <f t="shared" ca="1" si="23"/>
        <v>1</v>
      </c>
      <c r="X38" s="22">
        <f t="shared" ca="1" si="23"/>
        <v>0</v>
      </c>
      <c r="Y38" s="22">
        <f t="shared" ca="1" si="23"/>
        <v>0</v>
      </c>
      <c r="Z38" s="100">
        <f t="shared" ca="1" si="12"/>
        <v>0.13043478260869565</v>
      </c>
      <c r="AA38" s="100">
        <f t="shared" ca="1" si="13"/>
        <v>0</v>
      </c>
      <c r="AB38" s="140" t="s">
        <v>244</v>
      </c>
      <c r="AC38" s="24">
        <f ca="1">ROUND(FIRE1121_raw!AC40,0)</f>
        <v>0</v>
      </c>
      <c r="AD38" s="24">
        <f ca="1">ROUND(FIRE1121_raw!AD40,0)</f>
        <v>0</v>
      </c>
      <c r="AE38" s="24">
        <f ca="1">ROUND(FIRE1121_raw!AE40,0)</f>
        <v>0</v>
      </c>
      <c r="AF38" s="24">
        <f ca="1">ROUND(FIRE1121_raw!AF40,0)</f>
        <v>0</v>
      </c>
      <c r="AG38" s="24">
        <f ca="1">ROUND(FIRE1121_raw!AG40,0)</f>
        <v>0</v>
      </c>
      <c r="AH38" s="24">
        <f ca="1">ROUND(FIRE1121_raw!AH40,0)</f>
        <v>0</v>
      </c>
      <c r="AI38" s="100" t="str">
        <f t="shared" ca="1" si="15"/>
        <v>-</v>
      </c>
      <c r="AJ38" s="46" t="str">
        <f t="shared" ca="1" si="16"/>
        <v>-</v>
      </c>
      <c r="AK38" s="140" t="s">
        <v>244</v>
      </c>
      <c r="AL38" s="24">
        <f ca="1">ROUND(FIRE1121_raw!AL40,0)</f>
        <v>15</v>
      </c>
      <c r="AM38" s="24">
        <f ca="1">ROUND(FIRE1121_raw!AM40,0)</f>
        <v>0</v>
      </c>
      <c r="AN38" s="24">
        <f ca="1">ROUND(FIRE1121_raw!AN40,0)</f>
        <v>1</v>
      </c>
      <c r="AO38" s="24">
        <f ca="1">ROUND(FIRE1121_raw!AO40,0)</f>
        <v>0</v>
      </c>
      <c r="AP38" s="24">
        <f ca="1">ROUND(FIRE1121_raw!AP40,0)</f>
        <v>0</v>
      </c>
      <c r="AQ38" s="24">
        <f ca="1">ROUND(FIRE1121_raw!AQ40,0)</f>
        <v>7</v>
      </c>
      <c r="AR38" s="100">
        <f t="shared" ca="1" si="18"/>
        <v>6.25E-2</v>
      </c>
      <c r="AS38" s="46">
        <f t="shared" ca="1" si="19"/>
        <v>0.30434782608695654</v>
      </c>
      <c r="AT38" s="140" t="s">
        <v>244</v>
      </c>
      <c r="AU38" s="22">
        <f t="shared" ca="1" si="20"/>
        <v>35</v>
      </c>
      <c r="AV38" s="22">
        <f t="shared" ca="1" si="20"/>
        <v>2</v>
      </c>
      <c r="AW38" s="22">
        <f t="shared" ca="1" si="20"/>
        <v>1</v>
      </c>
      <c r="AX38" s="22">
        <f t="shared" ca="1" si="20"/>
        <v>1</v>
      </c>
      <c r="AY38" s="22">
        <f t="shared" ca="1" si="20"/>
        <v>0</v>
      </c>
      <c r="AZ38" s="22">
        <f t="shared" ca="1" si="20"/>
        <v>7</v>
      </c>
      <c r="BA38" s="100">
        <f t="shared" ca="1" si="21"/>
        <v>0.10256410256410256</v>
      </c>
      <c r="BB38" s="100">
        <f t="shared" ca="1" si="22"/>
        <v>0.15217391304347827</v>
      </c>
      <c r="BC38" s="19"/>
      <c r="BD38" s="19"/>
      <c r="BE38" s="19"/>
      <c r="BF38" s="19"/>
      <c r="BG38" s="19"/>
      <c r="BH38" s="19"/>
      <c r="BI38" s="19"/>
      <c r="BJ38" s="19"/>
      <c r="BK38" s="19"/>
    </row>
    <row r="39" spans="1:63" s="8" customFormat="1" ht="15" customHeight="1" x14ac:dyDescent="0.3">
      <c r="A39" s="2" t="s">
        <v>48</v>
      </c>
      <c r="B39" s="24">
        <f ca="1">ROUND(FIRE1121_raw!B41,0)</f>
        <v>14</v>
      </c>
      <c r="C39" s="24">
        <f ca="1">ROUND(FIRE1121_raw!C41,0)</f>
        <v>0</v>
      </c>
      <c r="D39" s="24">
        <f ca="1">ROUND(FIRE1121_raw!D41,0)</f>
        <v>0</v>
      </c>
      <c r="E39" s="24">
        <f ca="1">ROUND(FIRE1121_raw!E41,0)</f>
        <v>0</v>
      </c>
      <c r="F39" s="24">
        <f ca="1">ROUND(FIRE1121_raw!F41,0)</f>
        <v>0</v>
      </c>
      <c r="G39" s="24">
        <f ca="1">ROUND(FIRE1121_raw!G41,0)</f>
        <v>4</v>
      </c>
      <c r="H39" s="100">
        <f t="shared" ca="1" si="7"/>
        <v>0</v>
      </c>
      <c r="I39" s="46">
        <f t="shared" ca="1" si="8"/>
        <v>0.22222222222222221</v>
      </c>
      <c r="J39" s="140" t="s">
        <v>244</v>
      </c>
      <c r="K39" s="24">
        <f ca="1">ROUND(FIRE1121_raw!K41,0)</f>
        <v>53</v>
      </c>
      <c r="L39" s="24">
        <f ca="1">ROUND(FIRE1121_raw!L41,0)</f>
        <v>1</v>
      </c>
      <c r="M39" s="24">
        <f ca="1">ROUND(FIRE1121_raw!M41,0)</f>
        <v>0</v>
      </c>
      <c r="N39" s="24">
        <f ca="1">ROUND(FIRE1121_raw!N41,0)</f>
        <v>0</v>
      </c>
      <c r="O39" s="24">
        <f ca="1">ROUND(FIRE1121_raw!O41,0)</f>
        <v>1</v>
      </c>
      <c r="P39" s="24">
        <f ca="1">ROUND(FIRE1121_raw!P41,0)</f>
        <v>5</v>
      </c>
      <c r="Q39" s="100">
        <f t="shared" ca="1" si="10"/>
        <v>3.6363636363636362E-2</v>
      </c>
      <c r="R39" s="46">
        <f t="shared" ca="1" si="11"/>
        <v>8.3333333333333329E-2</v>
      </c>
      <c r="S39" s="140" t="s">
        <v>244</v>
      </c>
      <c r="T39" s="22">
        <f t="shared" ca="1" si="23"/>
        <v>67</v>
      </c>
      <c r="U39" s="22">
        <f t="shared" ca="1" si="23"/>
        <v>1</v>
      </c>
      <c r="V39" s="22">
        <f t="shared" ca="1" si="23"/>
        <v>0</v>
      </c>
      <c r="W39" s="22">
        <f t="shared" ca="1" si="23"/>
        <v>0</v>
      </c>
      <c r="X39" s="22">
        <f t="shared" ca="1" si="23"/>
        <v>1</v>
      </c>
      <c r="Y39" s="22">
        <f t="shared" ca="1" si="23"/>
        <v>9</v>
      </c>
      <c r="Z39" s="100">
        <f t="shared" ca="1" si="12"/>
        <v>2.8985507246376812E-2</v>
      </c>
      <c r="AA39" s="100">
        <f t="shared" ca="1" si="13"/>
        <v>0.11538461538461539</v>
      </c>
      <c r="AB39" s="140" t="s">
        <v>244</v>
      </c>
      <c r="AC39" s="24">
        <f ca="1">ROUND(FIRE1121_raw!AC41,0)</f>
        <v>0</v>
      </c>
      <c r="AD39" s="24">
        <f ca="1">ROUND(FIRE1121_raw!AD41,0)</f>
        <v>0</v>
      </c>
      <c r="AE39" s="24">
        <f ca="1">ROUND(FIRE1121_raw!AE41,0)</f>
        <v>0</v>
      </c>
      <c r="AF39" s="24">
        <f ca="1">ROUND(FIRE1121_raw!AF41,0)</f>
        <v>0</v>
      </c>
      <c r="AG39" s="24">
        <f ca="1">ROUND(FIRE1121_raw!AG41,0)</f>
        <v>0</v>
      </c>
      <c r="AH39" s="24">
        <f ca="1">ROUND(FIRE1121_raw!AH41,0)</f>
        <v>0</v>
      </c>
      <c r="AI39" s="100" t="str">
        <f t="shared" ca="1" si="15"/>
        <v>-</v>
      </c>
      <c r="AJ39" s="46" t="str">
        <f t="shared" ca="1" si="16"/>
        <v>-</v>
      </c>
      <c r="AK39" s="140" t="s">
        <v>244</v>
      </c>
      <c r="AL39" s="24">
        <f ca="1">ROUND(FIRE1121_raw!AL41,0)</f>
        <v>13</v>
      </c>
      <c r="AM39" s="24">
        <f ca="1">ROUND(FIRE1121_raw!AM41,0)</f>
        <v>0</v>
      </c>
      <c r="AN39" s="24">
        <f ca="1">ROUND(FIRE1121_raw!AN41,0)</f>
        <v>0</v>
      </c>
      <c r="AO39" s="24">
        <f ca="1">ROUND(FIRE1121_raw!AO41,0)</f>
        <v>0</v>
      </c>
      <c r="AP39" s="24">
        <f ca="1">ROUND(FIRE1121_raw!AP41,0)</f>
        <v>0</v>
      </c>
      <c r="AQ39" s="24">
        <f ca="1">ROUND(FIRE1121_raw!AQ41,0)</f>
        <v>2</v>
      </c>
      <c r="AR39" s="100">
        <f t="shared" ca="1" si="18"/>
        <v>0</v>
      </c>
      <c r="AS39" s="46">
        <f t="shared" ca="1" si="19"/>
        <v>0.13333333333333333</v>
      </c>
      <c r="AT39" s="140" t="s">
        <v>244</v>
      </c>
      <c r="AU39" s="22">
        <f t="shared" ca="1" si="20"/>
        <v>80</v>
      </c>
      <c r="AV39" s="22">
        <f t="shared" ca="1" si="20"/>
        <v>1</v>
      </c>
      <c r="AW39" s="22">
        <f t="shared" ca="1" si="20"/>
        <v>0</v>
      </c>
      <c r="AX39" s="22">
        <f t="shared" ca="1" si="20"/>
        <v>0</v>
      </c>
      <c r="AY39" s="22">
        <f t="shared" ca="1" si="20"/>
        <v>1</v>
      </c>
      <c r="AZ39" s="22">
        <f t="shared" ca="1" si="20"/>
        <v>11</v>
      </c>
      <c r="BA39" s="100">
        <f t="shared" ca="1" si="21"/>
        <v>2.4390243902439025E-2</v>
      </c>
      <c r="BB39" s="100">
        <f t="shared" ca="1" si="22"/>
        <v>0.11827956989247312</v>
      </c>
      <c r="BC39" s="19"/>
      <c r="BD39" s="19"/>
      <c r="BE39" s="19"/>
      <c r="BF39" s="19"/>
      <c r="BG39" s="19"/>
      <c r="BH39" s="19"/>
      <c r="BI39" s="19"/>
      <c r="BJ39" s="19"/>
      <c r="BK39" s="19"/>
    </row>
    <row r="40" spans="1:63" s="8" customFormat="1" ht="15" customHeight="1" x14ac:dyDescent="0.3">
      <c r="A40" s="2" t="s">
        <v>49</v>
      </c>
      <c r="B40" s="24">
        <f ca="1">ROUND(FIRE1121_raw!B42,0)</f>
        <v>7</v>
      </c>
      <c r="C40" s="24">
        <f ca="1">ROUND(FIRE1121_raw!C42,0)</f>
        <v>1</v>
      </c>
      <c r="D40" s="24">
        <f ca="1">ROUND(FIRE1121_raw!D42,0)</f>
        <v>0</v>
      </c>
      <c r="E40" s="24">
        <f ca="1">ROUND(FIRE1121_raw!E42,0)</f>
        <v>0</v>
      </c>
      <c r="F40" s="24">
        <f ca="1">ROUND(FIRE1121_raw!F42,0)</f>
        <v>0</v>
      </c>
      <c r="G40" s="24">
        <f ca="1">ROUND(FIRE1121_raw!G42,0)</f>
        <v>2</v>
      </c>
      <c r="H40" s="100">
        <f t="shared" ca="1" si="7"/>
        <v>0.125</v>
      </c>
      <c r="I40" s="46">
        <f t="shared" ca="1" si="8"/>
        <v>0.2</v>
      </c>
      <c r="J40" s="140" t="s">
        <v>244</v>
      </c>
      <c r="K40" s="24">
        <f ca="1">ROUND(FIRE1121_raw!K42,0)</f>
        <v>14</v>
      </c>
      <c r="L40" s="24">
        <f ca="1">ROUND(FIRE1121_raw!L42,0)</f>
        <v>0</v>
      </c>
      <c r="M40" s="24">
        <f ca="1">ROUND(FIRE1121_raw!M42,0)</f>
        <v>1</v>
      </c>
      <c r="N40" s="24">
        <f ca="1">ROUND(FIRE1121_raw!N42,0)</f>
        <v>0</v>
      </c>
      <c r="O40" s="24">
        <f ca="1">ROUND(FIRE1121_raw!O42,0)</f>
        <v>1</v>
      </c>
      <c r="P40" s="24">
        <f ca="1">ROUND(FIRE1121_raw!P42,0)</f>
        <v>9</v>
      </c>
      <c r="Q40" s="100">
        <f t="shared" ca="1" si="10"/>
        <v>0.125</v>
      </c>
      <c r="R40" s="46">
        <f t="shared" ca="1" si="11"/>
        <v>0.36</v>
      </c>
      <c r="S40" s="140" t="s">
        <v>244</v>
      </c>
      <c r="T40" s="22">
        <f t="shared" ca="1" si="23"/>
        <v>21</v>
      </c>
      <c r="U40" s="22">
        <f t="shared" ca="1" si="23"/>
        <v>1</v>
      </c>
      <c r="V40" s="22">
        <f t="shared" ca="1" si="23"/>
        <v>1</v>
      </c>
      <c r="W40" s="22">
        <f t="shared" ca="1" si="23"/>
        <v>0</v>
      </c>
      <c r="X40" s="22">
        <f t="shared" ca="1" si="23"/>
        <v>1</v>
      </c>
      <c r="Y40" s="22">
        <f t="shared" ca="1" si="23"/>
        <v>11</v>
      </c>
      <c r="Z40" s="100">
        <f t="shared" ca="1" si="12"/>
        <v>0.125</v>
      </c>
      <c r="AA40" s="100">
        <f t="shared" ca="1" si="13"/>
        <v>0.31428571428571428</v>
      </c>
      <c r="AB40" s="140" t="s">
        <v>244</v>
      </c>
      <c r="AC40" s="24">
        <f ca="1">ROUND(FIRE1121_raw!AC42,0)</f>
        <v>1</v>
      </c>
      <c r="AD40" s="24">
        <f ca="1">ROUND(FIRE1121_raw!AD42,0)</f>
        <v>0</v>
      </c>
      <c r="AE40" s="24">
        <f ca="1">ROUND(FIRE1121_raw!AE42,0)</f>
        <v>0</v>
      </c>
      <c r="AF40" s="24">
        <f ca="1">ROUND(FIRE1121_raw!AF42,0)</f>
        <v>0</v>
      </c>
      <c r="AG40" s="24">
        <f ca="1">ROUND(FIRE1121_raw!AG42,0)</f>
        <v>0</v>
      </c>
      <c r="AH40" s="24">
        <f ca="1">ROUND(FIRE1121_raw!AH42,0)</f>
        <v>2</v>
      </c>
      <c r="AI40" s="100">
        <f t="shared" ca="1" si="15"/>
        <v>0</v>
      </c>
      <c r="AJ40" s="46">
        <f t="shared" ca="1" si="16"/>
        <v>0.66666666666666663</v>
      </c>
      <c r="AK40" s="140" t="s">
        <v>244</v>
      </c>
      <c r="AL40" s="24">
        <f ca="1">ROUND(FIRE1121_raw!AL42,0)</f>
        <v>7</v>
      </c>
      <c r="AM40" s="24">
        <f ca="1">ROUND(FIRE1121_raw!AM42,0)</f>
        <v>0</v>
      </c>
      <c r="AN40" s="24">
        <f ca="1">ROUND(FIRE1121_raw!AN42,0)</f>
        <v>0</v>
      </c>
      <c r="AO40" s="24">
        <f ca="1">ROUND(FIRE1121_raw!AO42,0)</f>
        <v>0</v>
      </c>
      <c r="AP40" s="24">
        <f ca="1">ROUND(FIRE1121_raw!AP42,0)</f>
        <v>0</v>
      </c>
      <c r="AQ40" s="24">
        <f ca="1">ROUND(FIRE1121_raw!AQ42,0)</f>
        <v>5</v>
      </c>
      <c r="AR40" s="100">
        <f t="shared" ca="1" si="18"/>
        <v>0</v>
      </c>
      <c r="AS40" s="46">
        <f t="shared" ca="1" si="19"/>
        <v>0.41666666666666669</v>
      </c>
      <c r="AT40" s="140" t="s">
        <v>244</v>
      </c>
      <c r="AU40" s="22">
        <f t="shared" ca="1" si="20"/>
        <v>29</v>
      </c>
      <c r="AV40" s="22">
        <f t="shared" ca="1" si="20"/>
        <v>1</v>
      </c>
      <c r="AW40" s="22">
        <f t="shared" ca="1" si="20"/>
        <v>1</v>
      </c>
      <c r="AX40" s="22">
        <f t="shared" ca="1" si="20"/>
        <v>0</v>
      </c>
      <c r="AY40" s="22">
        <f t="shared" ca="1" si="20"/>
        <v>1</v>
      </c>
      <c r="AZ40" s="22">
        <f t="shared" ca="1" si="20"/>
        <v>18</v>
      </c>
      <c r="BA40" s="100">
        <f t="shared" ca="1" si="21"/>
        <v>9.375E-2</v>
      </c>
      <c r="BB40" s="100">
        <f t="shared" ca="1" si="22"/>
        <v>0.36</v>
      </c>
      <c r="BC40" s="19"/>
      <c r="BD40" s="19"/>
      <c r="BE40" s="19"/>
      <c r="BF40" s="19"/>
      <c r="BG40" s="19"/>
      <c r="BH40" s="19"/>
      <c r="BI40" s="19"/>
      <c r="BJ40" s="19"/>
      <c r="BK40" s="19"/>
    </row>
    <row r="41" spans="1:63" s="8" customFormat="1" ht="15" customHeight="1" x14ac:dyDescent="0.3">
      <c r="A41" s="2" t="s">
        <v>50</v>
      </c>
      <c r="B41" s="24">
        <f ca="1">ROUND(FIRE1121_raw!B43,0)</f>
        <v>3</v>
      </c>
      <c r="C41" s="24">
        <f ca="1">ROUND(FIRE1121_raw!C43,0)</f>
        <v>0</v>
      </c>
      <c r="D41" s="24">
        <f ca="1">ROUND(FIRE1121_raw!D43,0)</f>
        <v>0</v>
      </c>
      <c r="E41" s="24">
        <f ca="1">ROUND(FIRE1121_raw!E43,0)</f>
        <v>0</v>
      </c>
      <c r="F41" s="24">
        <f ca="1">ROUND(FIRE1121_raw!F43,0)</f>
        <v>0</v>
      </c>
      <c r="G41" s="24">
        <f ca="1">ROUND(FIRE1121_raw!G43,0)</f>
        <v>0</v>
      </c>
      <c r="H41" s="100">
        <f t="shared" ca="1" si="7"/>
        <v>0</v>
      </c>
      <c r="I41" s="46">
        <f t="shared" ca="1" si="8"/>
        <v>0</v>
      </c>
      <c r="J41" s="140" t="s">
        <v>244</v>
      </c>
      <c r="K41" s="24">
        <f ca="1">ROUND(FIRE1121_raw!K43,0)</f>
        <v>43</v>
      </c>
      <c r="L41" s="24">
        <f ca="1">ROUND(FIRE1121_raw!L43,0)</f>
        <v>0</v>
      </c>
      <c r="M41" s="24">
        <f ca="1">ROUND(FIRE1121_raw!M43,0)</f>
        <v>1</v>
      </c>
      <c r="N41" s="24">
        <f ca="1">ROUND(FIRE1121_raw!N43,0)</f>
        <v>0</v>
      </c>
      <c r="O41" s="24">
        <f ca="1">ROUND(FIRE1121_raw!O43,0)</f>
        <v>0</v>
      </c>
      <c r="P41" s="24">
        <f ca="1">ROUND(FIRE1121_raw!P43,0)</f>
        <v>0</v>
      </c>
      <c r="Q41" s="100">
        <f t="shared" ca="1" si="10"/>
        <v>2.2727272727272728E-2</v>
      </c>
      <c r="R41" s="46">
        <f t="shared" ca="1" si="11"/>
        <v>0</v>
      </c>
      <c r="S41" s="140" t="s">
        <v>244</v>
      </c>
      <c r="T41" s="22">
        <f t="shared" ca="1" si="23"/>
        <v>46</v>
      </c>
      <c r="U41" s="22">
        <f t="shared" ca="1" si="23"/>
        <v>0</v>
      </c>
      <c r="V41" s="22">
        <f t="shared" ca="1" si="23"/>
        <v>1</v>
      </c>
      <c r="W41" s="22">
        <f t="shared" ca="1" si="23"/>
        <v>0</v>
      </c>
      <c r="X41" s="22">
        <f t="shared" ca="1" si="23"/>
        <v>0</v>
      </c>
      <c r="Y41" s="22">
        <f t="shared" ca="1" si="23"/>
        <v>0</v>
      </c>
      <c r="Z41" s="100">
        <f t="shared" ca="1" si="12"/>
        <v>2.1276595744680851E-2</v>
      </c>
      <c r="AA41" s="100">
        <f t="shared" ca="1" si="13"/>
        <v>0</v>
      </c>
      <c r="AB41" s="140" t="s">
        <v>244</v>
      </c>
      <c r="AC41" s="24">
        <f ca="1">ROUND(FIRE1121_raw!AC43,0)</f>
        <v>0</v>
      </c>
      <c r="AD41" s="24">
        <f ca="1">ROUND(FIRE1121_raw!AD43,0)</f>
        <v>0</v>
      </c>
      <c r="AE41" s="24">
        <f ca="1">ROUND(FIRE1121_raw!AE43,0)</f>
        <v>0</v>
      </c>
      <c r="AF41" s="24">
        <f ca="1">ROUND(FIRE1121_raw!AF43,0)</f>
        <v>0</v>
      </c>
      <c r="AG41" s="24">
        <f ca="1">ROUND(FIRE1121_raw!AG43,0)</f>
        <v>0</v>
      </c>
      <c r="AH41" s="24">
        <f ca="1">ROUND(FIRE1121_raw!AH43,0)</f>
        <v>0</v>
      </c>
      <c r="AI41" s="100" t="str">
        <f t="shared" ca="1" si="15"/>
        <v>-</v>
      </c>
      <c r="AJ41" s="46" t="str">
        <f t="shared" ca="1" si="16"/>
        <v>-</v>
      </c>
      <c r="AK41" s="140" t="s">
        <v>244</v>
      </c>
      <c r="AL41" s="24">
        <f ca="1">ROUND(FIRE1121_raw!AL43,0)</f>
        <v>25</v>
      </c>
      <c r="AM41" s="24">
        <f ca="1">ROUND(FIRE1121_raw!AM43,0)</f>
        <v>0</v>
      </c>
      <c r="AN41" s="24">
        <f ca="1">ROUND(FIRE1121_raw!AN43,0)</f>
        <v>0</v>
      </c>
      <c r="AO41" s="24">
        <f ca="1">ROUND(FIRE1121_raw!AO43,0)</f>
        <v>0</v>
      </c>
      <c r="AP41" s="24">
        <f ca="1">ROUND(FIRE1121_raw!AP43,0)</f>
        <v>0</v>
      </c>
      <c r="AQ41" s="24">
        <f ca="1">ROUND(FIRE1121_raw!AQ43,0)</f>
        <v>0</v>
      </c>
      <c r="AR41" s="100">
        <f t="shared" ca="1" si="18"/>
        <v>0</v>
      </c>
      <c r="AS41" s="46">
        <f t="shared" ca="1" si="19"/>
        <v>0</v>
      </c>
      <c r="AT41" s="140" t="s">
        <v>244</v>
      </c>
      <c r="AU41" s="22">
        <f t="shared" ca="1" si="20"/>
        <v>71</v>
      </c>
      <c r="AV41" s="22">
        <f t="shared" ca="1" si="20"/>
        <v>0</v>
      </c>
      <c r="AW41" s="22">
        <f t="shared" ca="1" si="20"/>
        <v>1</v>
      </c>
      <c r="AX41" s="22">
        <f t="shared" ca="1" si="20"/>
        <v>0</v>
      </c>
      <c r="AY41" s="22">
        <f t="shared" ca="1" si="20"/>
        <v>0</v>
      </c>
      <c r="AZ41" s="22">
        <f t="shared" ca="1" si="20"/>
        <v>0</v>
      </c>
      <c r="BA41" s="100">
        <f t="shared" ca="1" si="21"/>
        <v>1.3888888888888888E-2</v>
      </c>
      <c r="BB41" s="100">
        <f t="shared" ca="1" si="22"/>
        <v>0</v>
      </c>
      <c r="BC41" s="19"/>
      <c r="BD41" s="19"/>
      <c r="BE41" s="19"/>
      <c r="BF41" s="19"/>
      <c r="BG41" s="19"/>
      <c r="BH41" s="19"/>
      <c r="BI41" s="19"/>
      <c r="BJ41" s="19"/>
      <c r="BK41" s="19"/>
    </row>
    <row r="42" spans="1:63" s="8" customFormat="1" ht="15" customHeight="1" x14ac:dyDescent="0.3">
      <c r="A42" s="2" t="s">
        <v>51</v>
      </c>
      <c r="B42" s="24">
        <f ca="1">ROUND(FIRE1121_raw!B44,0)</f>
        <v>2</v>
      </c>
      <c r="C42" s="24">
        <f ca="1">ROUND(FIRE1121_raw!C44,0)</f>
        <v>0</v>
      </c>
      <c r="D42" s="24">
        <f ca="1">ROUND(FIRE1121_raw!D44,0)</f>
        <v>0</v>
      </c>
      <c r="E42" s="24">
        <f ca="1">ROUND(FIRE1121_raw!E44,0)</f>
        <v>0</v>
      </c>
      <c r="F42" s="24">
        <f ca="1">ROUND(FIRE1121_raw!F44,0)</f>
        <v>0</v>
      </c>
      <c r="G42" s="24">
        <f ca="1">ROUND(FIRE1121_raw!G44,0)</f>
        <v>4</v>
      </c>
      <c r="H42" s="100">
        <f t="shared" ca="1" si="7"/>
        <v>0</v>
      </c>
      <c r="I42" s="46">
        <f t="shared" ca="1" si="8"/>
        <v>0.66666666666666663</v>
      </c>
      <c r="J42" s="140" t="s">
        <v>244</v>
      </c>
      <c r="K42" s="24">
        <f ca="1">ROUND(FIRE1121_raw!K44,0)</f>
        <v>1</v>
      </c>
      <c r="L42" s="24">
        <f ca="1">ROUND(FIRE1121_raw!L44,0)</f>
        <v>0</v>
      </c>
      <c r="M42" s="24">
        <f ca="1">ROUND(FIRE1121_raw!M44,0)</f>
        <v>0</v>
      </c>
      <c r="N42" s="24">
        <f ca="1">ROUND(FIRE1121_raw!N44,0)</f>
        <v>0</v>
      </c>
      <c r="O42" s="24">
        <f ca="1">ROUND(FIRE1121_raw!O44,0)</f>
        <v>0</v>
      </c>
      <c r="P42" s="24">
        <f ca="1">ROUND(FIRE1121_raw!P44,0)</f>
        <v>42</v>
      </c>
      <c r="Q42" s="100">
        <f t="shared" ca="1" si="10"/>
        <v>0</v>
      </c>
      <c r="R42" s="46">
        <f t="shared" ca="1" si="11"/>
        <v>0.97674418604651159</v>
      </c>
      <c r="S42" s="140" t="s">
        <v>244</v>
      </c>
      <c r="T42" s="22">
        <f t="shared" ca="1" si="23"/>
        <v>3</v>
      </c>
      <c r="U42" s="22">
        <f t="shared" ca="1" si="23"/>
        <v>0</v>
      </c>
      <c r="V42" s="22">
        <f t="shared" ca="1" si="23"/>
        <v>0</v>
      </c>
      <c r="W42" s="22">
        <f t="shared" ca="1" si="23"/>
        <v>0</v>
      </c>
      <c r="X42" s="22">
        <f t="shared" ca="1" si="23"/>
        <v>0</v>
      </c>
      <c r="Y42" s="22">
        <f t="shared" ca="1" si="23"/>
        <v>46</v>
      </c>
      <c r="Z42" s="100">
        <f t="shared" ca="1" si="12"/>
        <v>0</v>
      </c>
      <c r="AA42" s="100">
        <f t="shared" ca="1" si="13"/>
        <v>0.93877551020408168</v>
      </c>
      <c r="AB42" s="140" t="s">
        <v>244</v>
      </c>
      <c r="AC42" s="24">
        <f ca="1">ROUND(FIRE1121_raw!AC44,0)</f>
        <v>0</v>
      </c>
      <c r="AD42" s="24">
        <f ca="1">ROUND(FIRE1121_raw!AD44,0)</f>
        <v>0</v>
      </c>
      <c r="AE42" s="24">
        <f ca="1">ROUND(FIRE1121_raw!AE44,0)</f>
        <v>0</v>
      </c>
      <c r="AF42" s="24">
        <f ca="1">ROUND(FIRE1121_raw!AF44,0)</f>
        <v>0</v>
      </c>
      <c r="AG42" s="24">
        <f ca="1">ROUND(FIRE1121_raw!AG44,0)</f>
        <v>0</v>
      </c>
      <c r="AH42" s="24">
        <f ca="1">ROUND(FIRE1121_raw!AH44,0)</f>
        <v>0</v>
      </c>
      <c r="AI42" s="100" t="str">
        <f t="shared" ca="1" si="15"/>
        <v>-</v>
      </c>
      <c r="AJ42" s="46" t="str">
        <f t="shared" ca="1" si="16"/>
        <v>-</v>
      </c>
      <c r="AK42" s="140" t="s">
        <v>244</v>
      </c>
      <c r="AL42" s="24">
        <f ca="1">ROUND(FIRE1121_raw!AL44,0)</f>
        <v>4</v>
      </c>
      <c r="AM42" s="24">
        <f ca="1">ROUND(FIRE1121_raw!AM44,0)</f>
        <v>0</v>
      </c>
      <c r="AN42" s="24">
        <f ca="1">ROUND(FIRE1121_raw!AN44,0)</f>
        <v>0</v>
      </c>
      <c r="AO42" s="24">
        <f ca="1">ROUND(FIRE1121_raw!AO44,0)</f>
        <v>0</v>
      </c>
      <c r="AP42" s="24">
        <f ca="1">ROUND(FIRE1121_raw!AP44,0)</f>
        <v>0</v>
      </c>
      <c r="AQ42" s="24">
        <f ca="1">ROUND(FIRE1121_raw!AQ44,0)</f>
        <v>2</v>
      </c>
      <c r="AR42" s="100">
        <f t="shared" ca="1" si="18"/>
        <v>0</v>
      </c>
      <c r="AS42" s="46">
        <f t="shared" ca="1" si="19"/>
        <v>0.33333333333333331</v>
      </c>
      <c r="AT42" s="140" t="s">
        <v>244</v>
      </c>
      <c r="AU42" s="22">
        <f t="shared" ca="1" si="20"/>
        <v>7</v>
      </c>
      <c r="AV42" s="22">
        <f t="shared" ca="1" si="20"/>
        <v>0</v>
      </c>
      <c r="AW42" s="22">
        <f t="shared" ca="1" si="20"/>
        <v>0</v>
      </c>
      <c r="AX42" s="22">
        <f t="shared" ca="1" si="20"/>
        <v>0</v>
      </c>
      <c r="AY42" s="22">
        <f t="shared" ca="1" si="20"/>
        <v>0</v>
      </c>
      <c r="AZ42" s="22">
        <f t="shared" ca="1" si="20"/>
        <v>48</v>
      </c>
      <c r="BA42" s="100">
        <f t="shared" ca="1" si="21"/>
        <v>0</v>
      </c>
      <c r="BB42" s="100">
        <f t="shared" ca="1" si="22"/>
        <v>0.87272727272727268</v>
      </c>
      <c r="BC42" s="19"/>
      <c r="BD42" s="19"/>
      <c r="BE42" s="19"/>
      <c r="BF42" s="19"/>
      <c r="BG42" s="19"/>
      <c r="BH42" s="19"/>
      <c r="BI42" s="19"/>
      <c r="BJ42" s="19"/>
      <c r="BK42" s="19"/>
    </row>
    <row r="43" spans="1:63" s="8" customFormat="1" ht="15" customHeight="1" x14ac:dyDescent="0.3">
      <c r="A43" s="2" t="s">
        <v>52</v>
      </c>
      <c r="B43" s="24">
        <f ca="1">ROUND(FIRE1121_raw!B45,0)</f>
        <v>35</v>
      </c>
      <c r="C43" s="24">
        <f ca="1">ROUND(FIRE1121_raw!C45,0)</f>
        <v>0</v>
      </c>
      <c r="D43" s="24">
        <f ca="1">ROUND(FIRE1121_raw!D45,0)</f>
        <v>0</v>
      </c>
      <c r="E43" s="24">
        <f ca="1">ROUND(FIRE1121_raw!E45,0)</f>
        <v>0</v>
      </c>
      <c r="F43" s="24">
        <f ca="1">ROUND(FIRE1121_raw!F45,0)</f>
        <v>0</v>
      </c>
      <c r="G43" s="24">
        <f ca="1">ROUND(FIRE1121_raw!G45,0)</f>
        <v>0</v>
      </c>
      <c r="H43" s="100">
        <f t="shared" ca="1" si="7"/>
        <v>0</v>
      </c>
      <c r="I43" s="46">
        <f t="shared" ca="1" si="8"/>
        <v>0</v>
      </c>
      <c r="J43" s="140" t="s">
        <v>244</v>
      </c>
      <c r="K43" s="24">
        <f ca="1">ROUND(FIRE1121_raw!K45,0)</f>
        <v>8</v>
      </c>
      <c r="L43" s="24">
        <f ca="1">ROUND(FIRE1121_raw!L45,0)</f>
        <v>0</v>
      </c>
      <c r="M43" s="24">
        <f ca="1">ROUND(FIRE1121_raw!M45,0)</f>
        <v>0</v>
      </c>
      <c r="N43" s="24">
        <f ca="1">ROUND(FIRE1121_raw!N45,0)</f>
        <v>0</v>
      </c>
      <c r="O43" s="24">
        <f ca="1">ROUND(FIRE1121_raw!O45,0)</f>
        <v>0</v>
      </c>
      <c r="P43" s="24">
        <f ca="1">ROUND(FIRE1121_raw!P45,0)</f>
        <v>0</v>
      </c>
      <c r="Q43" s="100">
        <f t="shared" ca="1" si="10"/>
        <v>0</v>
      </c>
      <c r="R43" s="46">
        <f t="shared" ca="1" si="11"/>
        <v>0</v>
      </c>
      <c r="S43" s="140" t="s">
        <v>244</v>
      </c>
      <c r="T43" s="22">
        <f t="shared" ca="1" si="23"/>
        <v>43</v>
      </c>
      <c r="U43" s="22">
        <f t="shared" ca="1" si="23"/>
        <v>0</v>
      </c>
      <c r="V43" s="22">
        <f t="shared" ca="1" si="23"/>
        <v>0</v>
      </c>
      <c r="W43" s="22">
        <f t="shared" ca="1" si="23"/>
        <v>0</v>
      </c>
      <c r="X43" s="22">
        <f t="shared" ca="1" si="23"/>
        <v>0</v>
      </c>
      <c r="Y43" s="22">
        <f t="shared" ca="1" si="23"/>
        <v>0</v>
      </c>
      <c r="Z43" s="100">
        <f t="shared" ca="1" si="12"/>
        <v>0</v>
      </c>
      <c r="AA43" s="100">
        <f t="shared" ca="1" si="13"/>
        <v>0</v>
      </c>
      <c r="AB43" s="140" t="s">
        <v>244</v>
      </c>
      <c r="AC43" s="24">
        <f ca="1">ROUND(FIRE1121_raw!AC45,0)</f>
        <v>3</v>
      </c>
      <c r="AD43" s="24">
        <f ca="1">ROUND(FIRE1121_raw!AD45,0)</f>
        <v>0</v>
      </c>
      <c r="AE43" s="24">
        <f ca="1">ROUND(FIRE1121_raw!AE45,0)</f>
        <v>0</v>
      </c>
      <c r="AF43" s="24">
        <f ca="1">ROUND(FIRE1121_raw!AF45,0)</f>
        <v>0</v>
      </c>
      <c r="AG43" s="24">
        <f ca="1">ROUND(FIRE1121_raw!AG45,0)</f>
        <v>0</v>
      </c>
      <c r="AH43" s="24">
        <f ca="1">ROUND(FIRE1121_raw!AH45,0)</f>
        <v>0</v>
      </c>
      <c r="AI43" s="100">
        <f t="shared" ca="1" si="15"/>
        <v>0</v>
      </c>
      <c r="AJ43" s="46">
        <f t="shared" ca="1" si="16"/>
        <v>0</v>
      </c>
      <c r="AK43" s="140" t="s">
        <v>244</v>
      </c>
      <c r="AL43" s="24">
        <f ca="1">ROUND(FIRE1121_raw!AL45,0)</f>
        <v>14</v>
      </c>
      <c r="AM43" s="24">
        <f ca="1">ROUND(FIRE1121_raw!AM45,0)</f>
        <v>0</v>
      </c>
      <c r="AN43" s="24">
        <f ca="1">ROUND(FIRE1121_raw!AN45,0)</f>
        <v>0</v>
      </c>
      <c r="AO43" s="24">
        <f ca="1">ROUND(FIRE1121_raw!AO45,0)</f>
        <v>1</v>
      </c>
      <c r="AP43" s="24">
        <f ca="1">ROUND(FIRE1121_raw!AP45,0)</f>
        <v>0</v>
      </c>
      <c r="AQ43" s="24">
        <f ca="1">ROUND(FIRE1121_raw!AQ45,0)</f>
        <v>1</v>
      </c>
      <c r="AR43" s="100">
        <f t="shared" ca="1" si="18"/>
        <v>6.6666666666666666E-2</v>
      </c>
      <c r="AS43" s="46">
        <f t="shared" ca="1" si="19"/>
        <v>6.25E-2</v>
      </c>
      <c r="AT43" s="140" t="s">
        <v>244</v>
      </c>
      <c r="AU43" s="22">
        <f t="shared" ca="1" si="20"/>
        <v>60</v>
      </c>
      <c r="AV43" s="22">
        <f t="shared" ca="1" si="20"/>
        <v>0</v>
      </c>
      <c r="AW43" s="22">
        <f t="shared" ca="1" si="20"/>
        <v>0</v>
      </c>
      <c r="AX43" s="22">
        <f t="shared" ca="1" si="20"/>
        <v>1</v>
      </c>
      <c r="AY43" s="22">
        <f t="shared" ca="1" si="20"/>
        <v>0</v>
      </c>
      <c r="AZ43" s="22">
        <f t="shared" ca="1" si="20"/>
        <v>1</v>
      </c>
      <c r="BA43" s="100">
        <f t="shared" ca="1" si="21"/>
        <v>1.6393442622950821E-2</v>
      </c>
      <c r="BB43" s="100">
        <f t="shared" ca="1" si="22"/>
        <v>1.6129032258064516E-2</v>
      </c>
      <c r="BC43" s="19"/>
      <c r="BD43" s="19"/>
      <c r="BE43" s="19"/>
      <c r="BF43" s="19"/>
      <c r="BG43" s="19"/>
      <c r="BH43" s="19"/>
      <c r="BI43" s="19"/>
      <c r="BJ43" s="19"/>
      <c r="BK43" s="19"/>
    </row>
    <row r="44" spans="1:63" s="8" customFormat="1" ht="15" customHeight="1" x14ac:dyDescent="0.3">
      <c r="A44" s="2" t="s">
        <v>53</v>
      </c>
      <c r="B44" s="24">
        <f ca="1">ROUND(FIRE1121_raw!B46,0)</f>
        <v>13</v>
      </c>
      <c r="C44" s="24">
        <f ca="1">ROUND(FIRE1121_raw!C46,0)</f>
        <v>0</v>
      </c>
      <c r="D44" s="24">
        <f ca="1">ROUND(FIRE1121_raw!D46,0)</f>
        <v>1</v>
      </c>
      <c r="E44" s="24">
        <f ca="1">ROUND(FIRE1121_raw!E46,0)</f>
        <v>0</v>
      </c>
      <c r="F44" s="24">
        <f ca="1">ROUND(FIRE1121_raw!F46,0)</f>
        <v>0</v>
      </c>
      <c r="G44" s="24">
        <f ca="1">ROUND(FIRE1121_raw!G46,0)</f>
        <v>10</v>
      </c>
      <c r="H44" s="100">
        <f t="shared" ca="1" si="7"/>
        <v>7.1428571428571425E-2</v>
      </c>
      <c r="I44" s="46">
        <f t="shared" ca="1" si="8"/>
        <v>0.41666666666666669</v>
      </c>
      <c r="J44" s="140" t="s">
        <v>244</v>
      </c>
      <c r="K44" s="24">
        <f ca="1">ROUND(FIRE1121_raw!K46,0)</f>
        <v>11</v>
      </c>
      <c r="L44" s="24">
        <f ca="1">ROUND(FIRE1121_raw!L46,0)</f>
        <v>0</v>
      </c>
      <c r="M44" s="24">
        <f ca="1">ROUND(FIRE1121_raw!M46,0)</f>
        <v>0</v>
      </c>
      <c r="N44" s="24">
        <f ca="1">ROUND(FIRE1121_raw!N46,0)</f>
        <v>0</v>
      </c>
      <c r="O44" s="24">
        <f ca="1">ROUND(FIRE1121_raw!O46,0)</f>
        <v>0</v>
      </c>
      <c r="P44" s="24">
        <f ca="1">ROUND(FIRE1121_raw!P46,0)</f>
        <v>4</v>
      </c>
      <c r="Q44" s="100">
        <f t="shared" ca="1" si="10"/>
        <v>0</v>
      </c>
      <c r="R44" s="46">
        <f t="shared" ca="1" si="11"/>
        <v>0.26666666666666666</v>
      </c>
      <c r="S44" s="140" t="s">
        <v>244</v>
      </c>
      <c r="T44" s="22">
        <f t="shared" ca="1" si="23"/>
        <v>24</v>
      </c>
      <c r="U44" s="22">
        <f t="shared" ca="1" si="23"/>
        <v>0</v>
      </c>
      <c r="V44" s="22">
        <f t="shared" ca="1" si="23"/>
        <v>1</v>
      </c>
      <c r="W44" s="22">
        <f t="shared" ca="1" si="23"/>
        <v>0</v>
      </c>
      <c r="X44" s="22">
        <f t="shared" ca="1" si="23"/>
        <v>0</v>
      </c>
      <c r="Y44" s="22">
        <f t="shared" ca="1" si="23"/>
        <v>14</v>
      </c>
      <c r="Z44" s="100">
        <f t="shared" ca="1" si="12"/>
        <v>0.04</v>
      </c>
      <c r="AA44" s="100">
        <f t="shared" ca="1" si="13"/>
        <v>0.35897435897435898</v>
      </c>
      <c r="AB44" s="140" t="s">
        <v>244</v>
      </c>
      <c r="AC44" s="24">
        <f ca="1">ROUND(FIRE1121_raw!AC46,0)</f>
        <v>2</v>
      </c>
      <c r="AD44" s="24">
        <f ca="1">ROUND(FIRE1121_raw!AD46,0)</f>
        <v>0</v>
      </c>
      <c r="AE44" s="24">
        <f ca="1">ROUND(FIRE1121_raw!AE46,0)</f>
        <v>0</v>
      </c>
      <c r="AF44" s="24">
        <f ca="1">ROUND(FIRE1121_raw!AF46,0)</f>
        <v>0</v>
      </c>
      <c r="AG44" s="24">
        <f ca="1">ROUND(FIRE1121_raw!AG46,0)</f>
        <v>0</v>
      </c>
      <c r="AH44" s="24">
        <f ca="1">ROUND(FIRE1121_raw!AH46,0)</f>
        <v>0</v>
      </c>
      <c r="AI44" s="100">
        <f t="shared" ca="1" si="15"/>
        <v>0</v>
      </c>
      <c r="AJ44" s="46">
        <f t="shared" ca="1" si="16"/>
        <v>0</v>
      </c>
      <c r="AK44" s="140" t="s">
        <v>244</v>
      </c>
      <c r="AL44" s="24">
        <f ca="1">ROUND(FIRE1121_raw!AL46,0)</f>
        <v>15</v>
      </c>
      <c r="AM44" s="24">
        <f ca="1">ROUND(FIRE1121_raw!AM46,0)</f>
        <v>0</v>
      </c>
      <c r="AN44" s="24">
        <f ca="1">ROUND(FIRE1121_raw!AN46,0)</f>
        <v>0</v>
      </c>
      <c r="AO44" s="24">
        <f ca="1">ROUND(FIRE1121_raw!AO46,0)</f>
        <v>0</v>
      </c>
      <c r="AP44" s="24">
        <f ca="1">ROUND(FIRE1121_raw!AP46,0)</f>
        <v>0</v>
      </c>
      <c r="AQ44" s="24">
        <f ca="1">ROUND(FIRE1121_raw!AQ46,0)</f>
        <v>3</v>
      </c>
      <c r="AR44" s="100">
        <f t="shared" ca="1" si="18"/>
        <v>0</v>
      </c>
      <c r="AS44" s="46">
        <f t="shared" ca="1" si="19"/>
        <v>0.16666666666666666</v>
      </c>
      <c r="AT44" s="140" t="s">
        <v>244</v>
      </c>
      <c r="AU44" s="22">
        <f t="shared" ca="1" si="20"/>
        <v>41</v>
      </c>
      <c r="AV44" s="22">
        <f t="shared" ca="1" si="20"/>
        <v>0</v>
      </c>
      <c r="AW44" s="22">
        <f t="shared" ca="1" si="20"/>
        <v>1</v>
      </c>
      <c r="AX44" s="22">
        <f t="shared" ca="1" si="20"/>
        <v>0</v>
      </c>
      <c r="AY44" s="22">
        <f t="shared" ca="1" si="20"/>
        <v>0</v>
      </c>
      <c r="AZ44" s="22">
        <f t="shared" ca="1" si="20"/>
        <v>17</v>
      </c>
      <c r="BA44" s="100">
        <f t="shared" ca="1" si="21"/>
        <v>2.3809523809523808E-2</v>
      </c>
      <c r="BB44" s="100">
        <f t="shared" ca="1" si="22"/>
        <v>0.28813559322033899</v>
      </c>
      <c r="BC44" s="19"/>
      <c r="BD44" s="19"/>
      <c r="BE44" s="19"/>
      <c r="BF44" s="19"/>
      <c r="BG44" s="19"/>
      <c r="BH44" s="19"/>
      <c r="BI44" s="19"/>
      <c r="BJ44" s="19"/>
      <c r="BK44" s="19"/>
    </row>
    <row r="45" spans="1:63" s="8" customFormat="1" ht="15" customHeight="1" x14ac:dyDescent="0.3">
      <c r="A45" s="2" t="s">
        <v>54</v>
      </c>
      <c r="B45" s="24">
        <f ca="1">ROUND(FIRE1121_raw!B47,0)</f>
        <v>2</v>
      </c>
      <c r="C45" s="24">
        <f ca="1">ROUND(FIRE1121_raw!C47,0)</f>
        <v>0</v>
      </c>
      <c r="D45" s="24">
        <f ca="1">ROUND(FIRE1121_raw!D47,0)</f>
        <v>0</v>
      </c>
      <c r="E45" s="24">
        <f ca="1">ROUND(FIRE1121_raw!E47,0)</f>
        <v>0</v>
      </c>
      <c r="F45" s="24">
        <f ca="1">ROUND(FIRE1121_raw!F47,0)</f>
        <v>0</v>
      </c>
      <c r="G45" s="24">
        <f ca="1">ROUND(FIRE1121_raw!G47,0)</f>
        <v>11</v>
      </c>
      <c r="H45" s="100">
        <f t="shared" ca="1" si="7"/>
        <v>0</v>
      </c>
      <c r="I45" s="46">
        <f t="shared" ca="1" si="8"/>
        <v>0.84615384615384615</v>
      </c>
      <c r="J45" s="140" t="s">
        <v>244</v>
      </c>
      <c r="K45" s="24">
        <f ca="1">ROUND(FIRE1121_raw!K47,0)</f>
        <v>30</v>
      </c>
      <c r="L45" s="24">
        <f ca="1">ROUND(FIRE1121_raw!L47,0)</f>
        <v>0</v>
      </c>
      <c r="M45" s="24">
        <f ca="1">ROUND(FIRE1121_raw!M47,0)</f>
        <v>0</v>
      </c>
      <c r="N45" s="24">
        <f ca="1">ROUND(FIRE1121_raw!N47,0)</f>
        <v>0</v>
      </c>
      <c r="O45" s="24">
        <f ca="1">ROUND(FIRE1121_raw!O47,0)</f>
        <v>1</v>
      </c>
      <c r="P45" s="24">
        <f ca="1">ROUND(FIRE1121_raw!P47,0)</f>
        <v>13</v>
      </c>
      <c r="Q45" s="100">
        <f t="shared" ca="1" si="10"/>
        <v>3.2258064516129031E-2</v>
      </c>
      <c r="R45" s="46">
        <f t="shared" ca="1" si="11"/>
        <v>0.29545454545454547</v>
      </c>
      <c r="S45" s="140" t="s">
        <v>244</v>
      </c>
      <c r="T45" s="22">
        <f t="shared" ca="1" si="23"/>
        <v>32</v>
      </c>
      <c r="U45" s="22">
        <f t="shared" ca="1" si="23"/>
        <v>0</v>
      </c>
      <c r="V45" s="22">
        <f t="shared" ca="1" si="23"/>
        <v>0</v>
      </c>
      <c r="W45" s="22">
        <f t="shared" ca="1" si="23"/>
        <v>0</v>
      </c>
      <c r="X45" s="22">
        <f t="shared" ca="1" si="23"/>
        <v>1</v>
      </c>
      <c r="Y45" s="22">
        <f t="shared" ca="1" si="23"/>
        <v>24</v>
      </c>
      <c r="Z45" s="100">
        <f t="shared" ca="1" si="12"/>
        <v>3.0303030303030304E-2</v>
      </c>
      <c r="AA45" s="100">
        <f t="shared" ca="1" si="13"/>
        <v>0.42105263157894735</v>
      </c>
      <c r="AB45" s="140" t="s">
        <v>244</v>
      </c>
      <c r="AC45" s="24">
        <f ca="1">ROUND(FIRE1121_raw!AC47,0)</f>
        <v>0</v>
      </c>
      <c r="AD45" s="24">
        <f ca="1">ROUND(FIRE1121_raw!AD47,0)</f>
        <v>0</v>
      </c>
      <c r="AE45" s="24">
        <f ca="1">ROUND(FIRE1121_raw!AE47,0)</f>
        <v>0</v>
      </c>
      <c r="AF45" s="24">
        <f ca="1">ROUND(FIRE1121_raw!AF47,0)</f>
        <v>0</v>
      </c>
      <c r="AG45" s="24">
        <f ca="1">ROUND(FIRE1121_raw!AG47,0)</f>
        <v>0</v>
      </c>
      <c r="AH45" s="24">
        <f ca="1">ROUND(FIRE1121_raw!AH47,0)</f>
        <v>0</v>
      </c>
      <c r="AI45" s="100" t="str">
        <f t="shared" ca="1" si="15"/>
        <v>-</v>
      </c>
      <c r="AJ45" s="46" t="str">
        <f t="shared" ca="1" si="16"/>
        <v>-</v>
      </c>
      <c r="AK45" s="140" t="s">
        <v>244</v>
      </c>
      <c r="AL45" s="24">
        <f ca="1">ROUND(FIRE1121_raw!AL47,0)</f>
        <v>1</v>
      </c>
      <c r="AM45" s="24">
        <f ca="1">ROUND(FIRE1121_raw!AM47,0)</f>
        <v>0</v>
      </c>
      <c r="AN45" s="24">
        <f ca="1">ROUND(FIRE1121_raw!AN47,0)</f>
        <v>0</v>
      </c>
      <c r="AO45" s="24">
        <f ca="1">ROUND(FIRE1121_raw!AO47,0)</f>
        <v>0</v>
      </c>
      <c r="AP45" s="24">
        <f ca="1">ROUND(FIRE1121_raw!AP47,0)</f>
        <v>0</v>
      </c>
      <c r="AQ45" s="24">
        <f ca="1">ROUND(FIRE1121_raw!AQ47,0)</f>
        <v>13</v>
      </c>
      <c r="AR45" s="100">
        <f t="shared" ca="1" si="18"/>
        <v>0</v>
      </c>
      <c r="AS45" s="46">
        <f t="shared" ca="1" si="19"/>
        <v>0.9285714285714286</v>
      </c>
      <c r="AT45" s="140" t="s">
        <v>244</v>
      </c>
      <c r="AU45" s="22">
        <f t="shared" ca="1" si="20"/>
        <v>33</v>
      </c>
      <c r="AV45" s="22">
        <f t="shared" ca="1" si="20"/>
        <v>0</v>
      </c>
      <c r="AW45" s="22">
        <f t="shared" ca="1" si="20"/>
        <v>0</v>
      </c>
      <c r="AX45" s="22">
        <f t="shared" ca="1" si="20"/>
        <v>0</v>
      </c>
      <c r="AY45" s="22">
        <f t="shared" ca="1" si="20"/>
        <v>1</v>
      </c>
      <c r="AZ45" s="22">
        <f t="shared" ca="1" si="20"/>
        <v>37</v>
      </c>
      <c r="BA45" s="100">
        <f t="shared" ca="1" si="21"/>
        <v>2.9411764705882353E-2</v>
      </c>
      <c r="BB45" s="100">
        <f t="shared" ca="1" si="22"/>
        <v>0.52112676056338025</v>
      </c>
      <c r="BC45" s="19"/>
      <c r="BD45" s="19"/>
      <c r="BE45" s="19"/>
      <c r="BF45" s="19"/>
      <c r="BG45" s="19"/>
      <c r="BH45" s="19"/>
      <c r="BI45" s="19"/>
      <c r="BJ45" s="19"/>
      <c r="BK45" s="19"/>
    </row>
    <row r="46" spans="1:63" s="8" customFormat="1" ht="15" customHeight="1" x14ac:dyDescent="0.3">
      <c r="A46" s="2" t="s">
        <v>55</v>
      </c>
      <c r="B46" s="24">
        <f ca="1">ROUND(FIRE1121_raw!B48,0)</f>
        <v>0</v>
      </c>
      <c r="C46" s="24">
        <f ca="1">ROUND(FIRE1121_raw!C48,0)</f>
        <v>0</v>
      </c>
      <c r="D46" s="24">
        <f ca="1">ROUND(FIRE1121_raw!D48,0)</f>
        <v>0</v>
      </c>
      <c r="E46" s="24">
        <f ca="1">ROUND(FIRE1121_raw!E48,0)</f>
        <v>0</v>
      </c>
      <c r="F46" s="24">
        <f ca="1">ROUND(FIRE1121_raw!F48,0)</f>
        <v>0</v>
      </c>
      <c r="G46" s="24">
        <f ca="1">ROUND(FIRE1121_raw!G48,0)</f>
        <v>0</v>
      </c>
      <c r="H46" s="100" t="str">
        <f t="shared" ca="1" si="7"/>
        <v>-</v>
      </c>
      <c r="I46" s="46" t="str">
        <f t="shared" ca="1" si="8"/>
        <v>-</v>
      </c>
      <c r="J46" s="140" t="s">
        <v>244</v>
      </c>
      <c r="K46" s="24">
        <f ca="1">ROUND(FIRE1121_raw!K48,0)</f>
        <v>3</v>
      </c>
      <c r="L46" s="24">
        <f ca="1">ROUND(FIRE1121_raw!L48,0)</f>
        <v>0</v>
      </c>
      <c r="M46" s="24">
        <f ca="1">ROUND(FIRE1121_raw!M48,0)</f>
        <v>0</v>
      </c>
      <c r="N46" s="24">
        <f ca="1">ROUND(FIRE1121_raw!N48,0)</f>
        <v>0</v>
      </c>
      <c r="O46" s="24">
        <f ca="1">ROUND(FIRE1121_raw!O48,0)</f>
        <v>0</v>
      </c>
      <c r="P46" s="24">
        <f ca="1">ROUND(FIRE1121_raw!P48,0)</f>
        <v>0</v>
      </c>
      <c r="Q46" s="100">
        <f t="shared" ca="1" si="10"/>
        <v>0</v>
      </c>
      <c r="R46" s="46">
        <f t="shared" ca="1" si="11"/>
        <v>0</v>
      </c>
      <c r="S46" s="140" t="s">
        <v>244</v>
      </c>
      <c r="T46" s="22">
        <f t="shared" ca="1" si="23"/>
        <v>3</v>
      </c>
      <c r="U46" s="22">
        <f t="shared" ca="1" si="23"/>
        <v>0</v>
      </c>
      <c r="V46" s="22">
        <f t="shared" ca="1" si="23"/>
        <v>0</v>
      </c>
      <c r="W46" s="22">
        <f t="shared" ca="1" si="23"/>
        <v>0</v>
      </c>
      <c r="X46" s="22">
        <f t="shared" ca="1" si="23"/>
        <v>0</v>
      </c>
      <c r="Y46" s="22">
        <f t="shared" ca="1" si="23"/>
        <v>0</v>
      </c>
      <c r="Z46" s="100">
        <f t="shared" ca="1" si="12"/>
        <v>0</v>
      </c>
      <c r="AA46" s="100">
        <f t="shared" ca="1" si="13"/>
        <v>0</v>
      </c>
      <c r="AB46" s="140" t="s">
        <v>244</v>
      </c>
      <c r="AC46" s="24">
        <f ca="1">ROUND(FIRE1121_raw!AC48,0)</f>
        <v>0</v>
      </c>
      <c r="AD46" s="24">
        <f ca="1">ROUND(FIRE1121_raw!AD48,0)</f>
        <v>0</v>
      </c>
      <c r="AE46" s="24">
        <f ca="1">ROUND(FIRE1121_raw!AE48,0)</f>
        <v>0</v>
      </c>
      <c r="AF46" s="24">
        <f ca="1">ROUND(FIRE1121_raw!AF48,0)</f>
        <v>0</v>
      </c>
      <c r="AG46" s="24">
        <f ca="1">ROUND(FIRE1121_raw!AG48,0)</f>
        <v>0</v>
      </c>
      <c r="AH46" s="24">
        <f ca="1">ROUND(FIRE1121_raw!AH48,0)</f>
        <v>0</v>
      </c>
      <c r="AI46" s="100" t="str">
        <f t="shared" ca="1" si="15"/>
        <v>-</v>
      </c>
      <c r="AJ46" s="46" t="str">
        <f t="shared" ca="1" si="16"/>
        <v>-</v>
      </c>
      <c r="AK46" s="140" t="s">
        <v>244</v>
      </c>
      <c r="AL46" s="24">
        <f ca="1">ROUND(FIRE1121_raw!AL48,0)</f>
        <v>0</v>
      </c>
      <c r="AM46" s="24">
        <f ca="1">ROUND(FIRE1121_raw!AM48,0)</f>
        <v>0</v>
      </c>
      <c r="AN46" s="24">
        <f ca="1">ROUND(FIRE1121_raw!AN48,0)</f>
        <v>0</v>
      </c>
      <c r="AO46" s="24">
        <f ca="1">ROUND(FIRE1121_raw!AO48,0)</f>
        <v>0</v>
      </c>
      <c r="AP46" s="24">
        <f ca="1">ROUND(FIRE1121_raw!AP48,0)</f>
        <v>0</v>
      </c>
      <c r="AQ46" s="24">
        <f ca="1">ROUND(FIRE1121_raw!AQ48,0)</f>
        <v>0</v>
      </c>
      <c r="AR46" s="100" t="str">
        <f t="shared" ca="1" si="18"/>
        <v>-</v>
      </c>
      <c r="AS46" s="46" t="str">
        <f t="shared" ca="1" si="19"/>
        <v>-</v>
      </c>
      <c r="AT46" s="140" t="s">
        <v>244</v>
      </c>
      <c r="AU46" s="22">
        <f t="shared" ca="1" si="20"/>
        <v>3</v>
      </c>
      <c r="AV46" s="22">
        <f t="shared" ca="1" si="20"/>
        <v>0</v>
      </c>
      <c r="AW46" s="22">
        <f t="shared" ca="1" si="20"/>
        <v>0</v>
      </c>
      <c r="AX46" s="22">
        <f t="shared" ca="1" si="20"/>
        <v>0</v>
      </c>
      <c r="AY46" s="22">
        <f t="shared" ca="1" si="20"/>
        <v>0</v>
      </c>
      <c r="AZ46" s="22">
        <f t="shared" ca="1" si="20"/>
        <v>0</v>
      </c>
      <c r="BA46" s="100">
        <f t="shared" ca="1" si="21"/>
        <v>0</v>
      </c>
      <c r="BB46" s="100">
        <f t="shared" ca="1" si="22"/>
        <v>0</v>
      </c>
      <c r="BC46" s="19"/>
      <c r="BD46" s="19"/>
      <c r="BE46" s="19"/>
      <c r="BF46" s="19"/>
      <c r="BG46" s="19"/>
      <c r="BH46" s="19"/>
      <c r="BI46" s="19"/>
      <c r="BJ46" s="19"/>
      <c r="BK46" s="19"/>
    </row>
    <row r="47" spans="1:63" s="8" customFormat="1" ht="15" customHeight="1" x14ac:dyDescent="0.3">
      <c r="A47" s="21" t="s">
        <v>56</v>
      </c>
      <c r="B47" s="22">
        <f t="shared" ref="B47:G47" ca="1" si="24">SUM(B48:B54)</f>
        <v>461</v>
      </c>
      <c r="C47" s="22">
        <f t="shared" ca="1" si="24"/>
        <v>31</v>
      </c>
      <c r="D47" s="22">
        <f t="shared" ca="1" si="24"/>
        <v>7</v>
      </c>
      <c r="E47" s="22">
        <f t="shared" ca="1" si="24"/>
        <v>20</v>
      </c>
      <c r="F47" s="22">
        <f t="shared" ca="1" si="24"/>
        <v>12</v>
      </c>
      <c r="G47" s="22">
        <f t="shared" ca="1" si="24"/>
        <v>35</v>
      </c>
      <c r="H47" s="100">
        <f t="shared" ca="1" si="7"/>
        <v>0.13182674199623351</v>
      </c>
      <c r="I47" s="46">
        <f t="shared" ca="1" si="8"/>
        <v>6.1837455830388695E-2</v>
      </c>
      <c r="J47" s="140" t="s">
        <v>244</v>
      </c>
      <c r="K47" s="22">
        <f t="shared" ref="K47:P47" ca="1" si="25">SUM(K48:K54)</f>
        <v>74</v>
      </c>
      <c r="L47" s="22">
        <f t="shared" ca="1" si="25"/>
        <v>1</v>
      </c>
      <c r="M47" s="22">
        <f t="shared" ca="1" si="25"/>
        <v>0</v>
      </c>
      <c r="N47" s="22">
        <f t="shared" ca="1" si="25"/>
        <v>0</v>
      </c>
      <c r="O47" s="22">
        <f t="shared" ca="1" si="25"/>
        <v>0</v>
      </c>
      <c r="P47" s="22">
        <f t="shared" ca="1" si="25"/>
        <v>4</v>
      </c>
      <c r="Q47" s="100">
        <f t="shared" ca="1" si="10"/>
        <v>1.3333333333333334E-2</v>
      </c>
      <c r="R47" s="46">
        <f t="shared" ca="1" si="11"/>
        <v>5.0632911392405063E-2</v>
      </c>
      <c r="S47" s="140" t="s">
        <v>244</v>
      </c>
      <c r="T47" s="22">
        <f t="shared" ca="1" si="23"/>
        <v>535</v>
      </c>
      <c r="U47" s="22">
        <f t="shared" ca="1" si="23"/>
        <v>32</v>
      </c>
      <c r="V47" s="22">
        <f t="shared" ca="1" si="23"/>
        <v>7</v>
      </c>
      <c r="W47" s="22">
        <f ca="1">E47+N47</f>
        <v>20</v>
      </c>
      <c r="X47" s="22">
        <f t="shared" ca="1" si="23"/>
        <v>12</v>
      </c>
      <c r="Y47" s="22">
        <f t="shared" ca="1" si="23"/>
        <v>39</v>
      </c>
      <c r="Z47" s="100">
        <f t="shared" ca="1" si="12"/>
        <v>0.11716171617161716</v>
      </c>
      <c r="AA47" s="100">
        <f t="shared" ca="1" si="13"/>
        <v>6.0465116279069767E-2</v>
      </c>
      <c r="AB47" s="140" t="s">
        <v>244</v>
      </c>
      <c r="AC47" s="22">
        <f t="shared" ref="AC47:AH47" ca="1" si="26">SUM(AC48:AC54)</f>
        <v>25</v>
      </c>
      <c r="AD47" s="22">
        <f t="shared" ca="1" si="26"/>
        <v>1</v>
      </c>
      <c r="AE47" s="22">
        <f t="shared" ca="1" si="26"/>
        <v>0</v>
      </c>
      <c r="AF47" s="22">
        <f t="shared" ca="1" si="26"/>
        <v>1</v>
      </c>
      <c r="AG47" s="22">
        <f t="shared" ca="1" si="26"/>
        <v>1</v>
      </c>
      <c r="AH47" s="22">
        <f t="shared" ca="1" si="26"/>
        <v>3</v>
      </c>
      <c r="AI47" s="100">
        <f t="shared" ca="1" si="15"/>
        <v>0.10714285714285714</v>
      </c>
      <c r="AJ47" s="46">
        <f t="shared" ca="1" si="16"/>
        <v>9.6774193548387094E-2</v>
      </c>
      <c r="AK47" s="140" t="s">
        <v>244</v>
      </c>
      <c r="AL47" s="22">
        <f t="shared" ref="AL47:AQ47" ca="1" si="27">SUM(AL48:AL54)</f>
        <v>182</v>
      </c>
      <c r="AM47" s="22">
        <f t="shared" ca="1" si="27"/>
        <v>5</v>
      </c>
      <c r="AN47" s="22">
        <f t="shared" ca="1" si="27"/>
        <v>14</v>
      </c>
      <c r="AO47" s="22">
        <f t="shared" ca="1" si="27"/>
        <v>19</v>
      </c>
      <c r="AP47" s="22">
        <f t="shared" ca="1" si="27"/>
        <v>4</v>
      </c>
      <c r="AQ47" s="22">
        <f t="shared" ca="1" si="27"/>
        <v>22</v>
      </c>
      <c r="AR47" s="100">
        <f t="shared" ca="1" si="18"/>
        <v>0.1875</v>
      </c>
      <c r="AS47" s="46">
        <f t="shared" ca="1" si="19"/>
        <v>8.943089430894309E-2</v>
      </c>
      <c r="AT47" s="140" t="s">
        <v>244</v>
      </c>
      <c r="AU47" s="22">
        <f t="shared" ca="1" si="20"/>
        <v>742</v>
      </c>
      <c r="AV47" s="22">
        <f t="shared" ca="1" si="20"/>
        <v>38</v>
      </c>
      <c r="AW47" s="22">
        <f t="shared" ca="1" si="20"/>
        <v>21</v>
      </c>
      <c r="AX47" s="22">
        <f t="shared" ca="1" si="20"/>
        <v>40</v>
      </c>
      <c r="AY47" s="22">
        <f t="shared" ca="1" si="20"/>
        <v>17</v>
      </c>
      <c r="AZ47" s="22">
        <f t="shared" ca="1" si="20"/>
        <v>64</v>
      </c>
      <c r="BA47" s="100">
        <f t="shared" ca="1" si="21"/>
        <v>0.1351981351981352</v>
      </c>
      <c r="BB47" s="100">
        <f t="shared" ca="1" si="22"/>
        <v>6.9414316702819959E-2</v>
      </c>
      <c r="BC47" s="19"/>
      <c r="BD47" s="19"/>
      <c r="BE47" s="19"/>
      <c r="BF47" s="19"/>
      <c r="BG47" s="19"/>
      <c r="BH47" s="19"/>
      <c r="BI47" s="19"/>
      <c r="BJ47" s="19"/>
      <c r="BK47" s="19"/>
    </row>
    <row r="48" spans="1:63" s="8" customFormat="1" ht="15" customHeight="1" x14ac:dyDescent="0.3">
      <c r="A48" s="2" t="s">
        <v>57</v>
      </c>
      <c r="B48" s="24">
        <f ca="1">ROUND(FIRE1121_raw!B50,0)</f>
        <v>58</v>
      </c>
      <c r="C48" s="24">
        <f ca="1">ROUND(FIRE1121_raw!C50,0)</f>
        <v>3</v>
      </c>
      <c r="D48" s="24">
        <f ca="1">ROUND(FIRE1121_raw!D50,0)</f>
        <v>0</v>
      </c>
      <c r="E48" s="24">
        <f ca="1">ROUND(FIRE1121_raw!E50,0)</f>
        <v>0</v>
      </c>
      <c r="F48" s="24">
        <f ca="1">ROUND(FIRE1121_raw!F50,0)</f>
        <v>1</v>
      </c>
      <c r="G48" s="24">
        <f ca="1">ROUND(FIRE1121_raw!G50,0)</f>
        <v>9</v>
      </c>
      <c r="H48" s="100">
        <f t="shared" ca="1" si="7"/>
        <v>6.4516129032258063E-2</v>
      </c>
      <c r="I48" s="46">
        <f t="shared" ca="1" si="8"/>
        <v>0.12676056338028169</v>
      </c>
      <c r="J48" s="140" t="s">
        <v>244</v>
      </c>
      <c r="K48" s="24">
        <f ca="1">ROUND(FIRE1121_raw!K50,0)</f>
        <v>0</v>
      </c>
      <c r="L48" s="24">
        <f ca="1">ROUND(FIRE1121_raw!L50,0)</f>
        <v>0</v>
      </c>
      <c r="M48" s="24">
        <f ca="1">ROUND(FIRE1121_raw!M50,0)</f>
        <v>0</v>
      </c>
      <c r="N48" s="24">
        <f ca="1">ROUND(FIRE1121_raw!N50,0)</f>
        <v>0</v>
      </c>
      <c r="O48" s="24">
        <f ca="1">ROUND(FIRE1121_raw!O50,0)</f>
        <v>0</v>
      </c>
      <c r="P48" s="24">
        <f ca="1">ROUND(FIRE1121_raw!P50,0)</f>
        <v>0</v>
      </c>
      <c r="Q48" s="100" t="str">
        <f t="shared" ca="1" si="10"/>
        <v>-</v>
      </c>
      <c r="R48" s="46" t="str">
        <f t="shared" ca="1" si="11"/>
        <v>-</v>
      </c>
      <c r="S48" s="140" t="s">
        <v>244</v>
      </c>
      <c r="T48" s="22">
        <f t="shared" ca="1" si="23"/>
        <v>58</v>
      </c>
      <c r="U48" s="22">
        <f t="shared" ca="1" si="23"/>
        <v>3</v>
      </c>
      <c r="V48" s="22">
        <f t="shared" ca="1" si="23"/>
        <v>0</v>
      </c>
      <c r="W48" s="22">
        <f t="shared" ca="1" si="23"/>
        <v>0</v>
      </c>
      <c r="X48" s="22">
        <f t="shared" ca="1" si="23"/>
        <v>1</v>
      </c>
      <c r="Y48" s="22">
        <f t="shared" ca="1" si="23"/>
        <v>9</v>
      </c>
      <c r="Z48" s="100">
        <f t="shared" ca="1" si="12"/>
        <v>6.4516129032258063E-2</v>
      </c>
      <c r="AA48" s="100">
        <f t="shared" ca="1" si="13"/>
        <v>0.12676056338028169</v>
      </c>
      <c r="AB48" s="140" t="s">
        <v>244</v>
      </c>
      <c r="AC48" s="24">
        <f ca="1">ROUND(FIRE1121_raw!AC50,0)</f>
        <v>0</v>
      </c>
      <c r="AD48" s="24">
        <f ca="1">ROUND(FIRE1121_raw!AD50,0)</f>
        <v>0</v>
      </c>
      <c r="AE48" s="24">
        <f ca="1">ROUND(FIRE1121_raw!AE50,0)</f>
        <v>0</v>
      </c>
      <c r="AF48" s="24">
        <f ca="1">ROUND(FIRE1121_raw!AF50,0)</f>
        <v>0</v>
      </c>
      <c r="AG48" s="24">
        <f ca="1">ROUND(FIRE1121_raw!AG50,0)</f>
        <v>0</v>
      </c>
      <c r="AH48" s="24">
        <f ca="1">ROUND(FIRE1121_raw!AH50,0)</f>
        <v>0</v>
      </c>
      <c r="AI48" s="100" t="str">
        <f t="shared" ca="1" si="15"/>
        <v>-</v>
      </c>
      <c r="AJ48" s="46" t="str">
        <f t="shared" ca="1" si="16"/>
        <v>-</v>
      </c>
      <c r="AK48" s="140" t="s">
        <v>244</v>
      </c>
      <c r="AL48" s="24">
        <f ca="1">ROUND(FIRE1121_raw!AL50,0)</f>
        <v>4</v>
      </c>
      <c r="AM48" s="24">
        <f ca="1">ROUND(FIRE1121_raw!AM50,0)</f>
        <v>0</v>
      </c>
      <c r="AN48" s="24">
        <f ca="1">ROUND(FIRE1121_raw!AN50,0)</f>
        <v>0</v>
      </c>
      <c r="AO48" s="24">
        <f ca="1">ROUND(FIRE1121_raw!AO50,0)</f>
        <v>0</v>
      </c>
      <c r="AP48" s="24">
        <f ca="1">ROUND(FIRE1121_raw!AP50,0)</f>
        <v>0</v>
      </c>
      <c r="AQ48" s="24">
        <f ca="1">ROUND(FIRE1121_raw!AQ50,0)</f>
        <v>0</v>
      </c>
      <c r="AR48" s="100">
        <f t="shared" ca="1" si="18"/>
        <v>0</v>
      </c>
      <c r="AS48" s="46">
        <f t="shared" ca="1" si="19"/>
        <v>0</v>
      </c>
      <c r="AT48" s="140" t="s">
        <v>244</v>
      </c>
      <c r="AU48" s="22">
        <f t="shared" ca="1" si="20"/>
        <v>62</v>
      </c>
      <c r="AV48" s="22">
        <f t="shared" ca="1" si="20"/>
        <v>3</v>
      </c>
      <c r="AW48" s="22">
        <f t="shared" ca="1" si="20"/>
        <v>0</v>
      </c>
      <c r="AX48" s="22">
        <f t="shared" ca="1" si="20"/>
        <v>0</v>
      </c>
      <c r="AY48" s="22">
        <f t="shared" ca="1" si="20"/>
        <v>1</v>
      </c>
      <c r="AZ48" s="22">
        <f t="shared" ca="1" si="20"/>
        <v>9</v>
      </c>
      <c r="BA48" s="100">
        <f t="shared" ca="1" si="21"/>
        <v>6.0606060606060608E-2</v>
      </c>
      <c r="BB48" s="100">
        <f t="shared" ca="1" si="22"/>
        <v>0.12</v>
      </c>
      <c r="BC48" s="19"/>
      <c r="BD48" s="19"/>
      <c r="BE48" s="19"/>
      <c r="BF48" s="19"/>
      <c r="BG48" s="19"/>
      <c r="BH48" s="19"/>
      <c r="BI48" s="19"/>
      <c r="BJ48" s="19"/>
      <c r="BK48" s="19"/>
    </row>
    <row r="49" spans="1:63" s="8" customFormat="1" ht="15" customHeight="1" x14ac:dyDescent="0.3">
      <c r="A49" s="2" t="s">
        <v>58</v>
      </c>
      <c r="B49" s="24">
        <f ca="1">ROUND(FIRE1121_raw!B51,0)</f>
        <v>66</v>
      </c>
      <c r="C49" s="24">
        <f ca="1">ROUND(FIRE1121_raw!C51,0)</f>
        <v>2</v>
      </c>
      <c r="D49" s="24">
        <f ca="1">ROUND(FIRE1121_raw!D51,0)</f>
        <v>0</v>
      </c>
      <c r="E49" s="24">
        <f ca="1">ROUND(FIRE1121_raw!E51,0)</f>
        <v>0</v>
      </c>
      <c r="F49" s="24">
        <f ca="1">ROUND(FIRE1121_raw!F51,0)</f>
        <v>0</v>
      </c>
      <c r="G49" s="24">
        <f ca="1">ROUND(FIRE1121_raw!G51,0)</f>
        <v>5</v>
      </c>
      <c r="H49" s="100">
        <f t="shared" ca="1" si="7"/>
        <v>2.9411764705882353E-2</v>
      </c>
      <c r="I49" s="46">
        <f t="shared" ca="1" si="8"/>
        <v>6.8493150684931503E-2</v>
      </c>
      <c r="J49" s="140" t="s">
        <v>244</v>
      </c>
      <c r="K49" s="24">
        <f ca="1">ROUND(FIRE1121_raw!K51,0)</f>
        <v>41</v>
      </c>
      <c r="L49" s="24">
        <f ca="1">ROUND(FIRE1121_raw!L51,0)</f>
        <v>1</v>
      </c>
      <c r="M49" s="24">
        <f ca="1">ROUND(FIRE1121_raw!M51,0)</f>
        <v>0</v>
      </c>
      <c r="N49" s="24">
        <f ca="1">ROUND(FIRE1121_raw!N51,0)</f>
        <v>0</v>
      </c>
      <c r="O49" s="24">
        <f ca="1">ROUND(FIRE1121_raw!O51,0)</f>
        <v>0</v>
      </c>
      <c r="P49" s="24">
        <f ca="1">ROUND(FIRE1121_raw!P51,0)</f>
        <v>3</v>
      </c>
      <c r="Q49" s="100">
        <f t="shared" ca="1" si="10"/>
        <v>2.3809523809523808E-2</v>
      </c>
      <c r="R49" s="46">
        <f t="shared" ca="1" si="11"/>
        <v>6.6666666666666666E-2</v>
      </c>
      <c r="S49" s="140" t="s">
        <v>244</v>
      </c>
      <c r="T49" s="22">
        <f t="shared" ca="1" si="23"/>
        <v>107</v>
      </c>
      <c r="U49" s="22">
        <f t="shared" ca="1" si="23"/>
        <v>3</v>
      </c>
      <c r="V49" s="22">
        <f t="shared" ca="1" si="23"/>
        <v>0</v>
      </c>
      <c r="W49" s="22">
        <f t="shared" ca="1" si="23"/>
        <v>0</v>
      </c>
      <c r="X49" s="22">
        <f t="shared" ca="1" si="23"/>
        <v>0</v>
      </c>
      <c r="Y49" s="22">
        <f t="shared" ca="1" si="23"/>
        <v>8</v>
      </c>
      <c r="Z49" s="100">
        <f t="shared" ca="1" si="12"/>
        <v>2.7272727272727271E-2</v>
      </c>
      <c r="AA49" s="100">
        <f t="shared" ca="1" si="13"/>
        <v>6.7796610169491525E-2</v>
      </c>
      <c r="AB49" s="140" t="s">
        <v>244</v>
      </c>
      <c r="AC49" s="24">
        <f ca="1">ROUND(FIRE1121_raw!AC51,0)</f>
        <v>6</v>
      </c>
      <c r="AD49" s="24">
        <f ca="1">ROUND(FIRE1121_raw!AD51,0)</f>
        <v>0</v>
      </c>
      <c r="AE49" s="24">
        <f ca="1">ROUND(FIRE1121_raw!AE51,0)</f>
        <v>0</v>
      </c>
      <c r="AF49" s="24">
        <f ca="1">ROUND(FIRE1121_raw!AF51,0)</f>
        <v>0</v>
      </c>
      <c r="AG49" s="24">
        <f ca="1">ROUND(FIRE1121_raw!AG51,0)</f>
        <v>0</v>
      </c>
      <c r="AH49" s="24">
        <f ca="1">ROUND(FIRE1121_raw!AH51,0)</f>
        <v>0</v>
      </c>
      <c r="AI49" s="100">
        <f t="shared" ca="1" si="15"/>
        <v>0</v>
      </c>
      <c r="AJ49" s="46">
        <f t="shared" ca="1" si="16"/>
        <v>0</v>
      </c>
      <c r="AK49" s="140" t="s">
        <v>244</v>
      </c>
      <c r="AL49" s="24">
        <f ca="1">ROUND(FIRE1121_raw!AL51,0)</f>
        <v>10</v>
      </c>
      <c r="AM49" s="24">
        <f ca="1">ROUND(FIRE1121_raw!AM51,0)</f>
        <v>0</v>
      </c>
      <c r="AN49" s="24">
        <f ca="1">ROUND(FIRE1121_raw!AN51,0)</f>
        <v>0</v>
      </c>
      <c r="AO49" s="24">
        <f ca="1">ROUND(FIRE1121_raw!AO51,0)</f>
        <v>1</v>
      </c>
      <c r="AP49" s="24">
        <f ca="1">ROUND(FIRE1121_raw!AP51,0)</f>
        <v>0</v>
      </c>
      <c r="AQ49" s="24">
        <f ca="1">ROUND(FIRE1121_raw!AQ51,0)</f>
        <v>0</v>
      </c>
      <c r="AR49" s="100">
        <f t="shared" ca="1" si="18"/>
        <v>9.0909090909090912E-2</v>
      </c>
      <c r="AS49" s="46">
        <f t="shared" ca="1" si="19"/>
        <v>0</v>
      </c>
      <c r="AT49" s="140" t="s">
        <v>244</v>
      </c>
      <c r="AU49" s="22">
        <f t="shared" ca="1" si="20"/>
        <v>123</v>
      </c>
      <c r="AV49" s="22">
        <f t="shared" ca="1" si="20"/>
        <v>3</v>
      </c>
      <c r="AW49" s="22">
        <f t="shared" ca="1" si="20"/>
        <v>0</v>
      </c>
      <c r="AX49" s="22">
        <f t="shared" ca="1" si="20"/>
        <v>1</v>
      </c>
      <c r="AY49" s="22">
        <f t="shared" ca="1" si="20"/>
        <v>0</v>
      </c>
      <c r="AZ49" s="22">
        <f t="shared" ca="1" si="20"/>
        <v>8</v>
      </c>
      <c r="BA49" s="100">
        <f t="shared" ca="1" si="21"/>
        <v>3.1496062992125984E-2</v>
      </c>
      <c r="BB49" s="100">
        <f t="shared" ca="1" si="22"/>
        <v>5.9259259259259262E-2</v>
      </c>
      <c r="BC49" s="19"/>
      <c r="BD49" s="19"/>
      <c r="BE49" s="19"/>
      <c r="BF49" s="19"/>
      <c r="BG49" s="19"/>
      <c r="BH49" s="19"/>
      <c r="BI49" s="19"/>
      <c r="BJ49" s="19"/>
      <c r="BK49" s="19"/>
    </row>
    <row r="50" spans="1:63" s="8" customFormat="1" ht="15" customHeight="1" x14ac:dyDescent="0.3">
      <c r="A50" s="2" t="s">
        <v>59</v>
      </c>
      <c r="B50" s="24">
        <f ca="1">ROUND(FIRE1121_raw!B52,0)</f>
        <v>0</v>
      </c>
      <c r="C50" s="24">
        <f ca="1">ROUND(FIRE1121_raw!C52,0)</f>
        <v>0</v>
      </c>
      <c r="D50" s="24">
        <f ca="1">ROUND(FIRE1121_raw!D52,0)</f>
        <v>0</v>
      </c>
      <c r="E50" s="24">
        <f ca="1">ROUND(FIRE1121_raw!E52,0)</f>
        <v>0</v>
      </c>
      <c r="F50" s="24">
        <f ca="1">ROUND(FIRE1121_raw!F52,0)</f>
        <v>0</v>
      </c>
      <c r="G50" s="24">
        <f ca="1">ROUND(FIRE1121_raw!G52,0)</f>
        <v>0</v>
      </c>
      <c r="H50" s="100" t="str">
        <f t="shared" ca="1" si="7"/>
        <v>-</v>
      </c>
      <c r="I50" s="46" t="str">
        <f t="shared" ca="1" si="8"/>
        <v>-</v>
      </c>
      <c r="J50" s="140" t="s">
        <v>244</v>
      </c>
      <c r="K50" s="24">
        <f ca="1">ROUND(FIRE1121_raw!K52,0)</f>
        <v>4</v>
      </c>
      <c r="L50" s="24">
        <f ca="1">ROUND(FIRE1121_raw!L52,0)</f>
        <v>0</v>
      </c>
      <c r="M50" s="24">
        <f ca="1">ROUND(FIRE1121_raw!M52,0)</f>
        <v>0</v>
      </c>
      <c r="N50" s="24">
        <f ca="1">ROUND(FIRE1121_raw!N52,0)</f>
        <v>0</v>
      </c>
      <c r="O50" s="24">
        <f ca="1">ROUND(FIRE1121_raw!O52,0)</f>
        <v>0</v>
      </c>
      <c r="P50" s="24">
        <f ca="1">ROUND(FIRE1121_raw!P52,0)</f>
        <v>0</v>
      </c>
      <c r="Q50" s="100">
        <f t="shared" ca="1" si="10"/>
        <v>0</v>
      </c>
      <c r="R50" s="46">
        <f t="shared" ca="1" si="11"/>
        <v>0</v>
      </c>
      <c r="S50" s="140" t="s">
        <v>244</v>
      </c>
      <c r="T50" s="22">
        <f t="shared" ca="1" si="23"/>
        <v>4</v>
      </c>
      <c r="U50" s="22">
        <f t="shared" ca="1" si="23"/>
        <v>0</v>
      </c>
      <c r="V50" s="22">
        <f t="shared" ca="1" si="23"/>
        <v>0</v>
      </c>
      <c r="W50" s="22">
        <f t="shared" ca="1" si="23"/>
        <v>0</v>
      </c>
      <c r="X50" s="22">
        <f t="shared" ca="1" si="23"/>
        <v>0</v>
      </c>
      <c r="Y50" s="22">
        <f t="shared" ca="1" si="23"/>
        <v>0</v>
      </c>
      <c r="Z50" s="100">
        <f t="shared" ca="1" si="12"/>
        <v>0</v>
      </c>
      <c r="AA50" s="100">
        <f t="shared" ca="1" si="13"/>
        <v>0</v>
      </c>
      <c r="AB50" s="140" t="s">
        <v>244</v>
      </c>
      <c r="AC50" s="24">
        <f ca="1">ROUND(FIRE1121_raw!AC52,0)</f>
        <v>1</v>
      </c>
      <c r="AD50" s="24">
        <f ca="1">ROUND(FIRE1121_raw!AD52,0)</f>
        <v>0</v>
      </c>
      <c r="AE50" s="24">
        <f ca="1">ROUND(FIRE1121_raw!AE52,0)</f>
        <v>0</v>
      </c>
      <c r="AF50" s="24">
        <f ca="1">ROUND(FIRE1121_raw!AF52,0)</f>
        <v>0</v>
      </c>
      <c r="AG50" s="24">
        <f ca="1">ROUND(FIRE1121_raw!AG52,0)</f>
        <v>0</v>
      </c>
      <c r="AH50" s="24">
        <f ca="1">ROUND(FIRE1121_raw!AH52,0)</f>
        <v>0</v>
      </c>
      <c r="AI50" s="100">
        <f t="shared" ca="1" si="15"/>
        <v>0</v>
      </c>
      <c r="AJ50" s="46">
        <f t="shared" ca="1" si="16"/>
        <v>0</v>
      </c>
      <c r="AK50" s="140" t="s">
        <v>244</v>
      </c>
      <c r="AL50" s="24">
        <f ca="1">ROUND(FIRE1121_raw!AL52,0)</f>
        <v>15</v>
      </c>
      <c r="AM50" s="24">
        <f ca="1">ROUND(FIRE1121_raw!AM52,0)</f>
        <v>0</v>
      </c>
      <c r="AN50" s="24">
        <f ca="1">ROUND(FIRE1121_raw!AN52,0)</f>
        <v>0</v>
      </c>
      <c r="AO50" s="24">
        <f ca="1">ROUND(FIRE1121_raw!AO52,0)</f>
        <v>1</v>
      </c>
      <c r="AP50" s="24">
        <f ca="1">ROUND(FIRE1121_raw!AP52,0)</f>
        <v>0</v>
      </c>
      <c r="AQ50" s="24">
        <f ca="1">ROUND(FIRE1121_raw!AQ52,0)</f>
        <v>0</v>
      </c>
      <c r="AR50" s="100">
        <f t="shared" ca="1" si="18"/>
        <v>6.25E-2</v>
      </c>
      <c r="AS50" s="46">
        <f t="shared" ca="1" si="19"/>
        <v>0</v>
      </c>
      <c r="AT50" s="140" t="s">
        <v>244</v>
      </c>
      <c r="AU50" s="22">
        <f t="shared" ca="1" si="20"/>
        <v>20</v>
      </c>
      <c r="AV50" s="22">
        <f t="shared" ca="1" si="20"/>
        <v>0</v>
      </c>
      <c r="AW50" s="22">
        <f t="shared" ca="1" si="20"/>
        <v>0</v>
      </c>
      <c r="AX50" s="22">
        <f t="shared" ca="1" si="20"/>
        <v>1</v>
      </c>
      <c r="AY50" s="22">
        <f t="shared" ca="1" si="20"/>
        <v>0</v>
      </c>
      <c r="AZ50" s="22">
        <f t="shared" ca="1" si="20"/>
        <v>0</v>
      </c>
      <c r="BA50" s="100">
        <f t="shared" ca="1" si="21"/>
        <v>4.7619047619047616E-2</v>
      </c>
      <c r="BB50" s="100">
        <f t="shared" ca="1" si="22"/>
        <v>0</v>
      </c>
      <c r="BC50" s="19"/>
      <c r="BD50" s="19"/>
      <c r="BE50" s="19"/>
      <c r="BF50" s="19"/>
      <c r="BG50" s="19"/>
      <c r="BH50" s="19"/>
      <c r="BI50" s="19"/>
      <c r="BJ50" s="19"/>
      <c r="BK50" s="19"/>
    </row>
    <row r="51" spans="1:63" s="8" customFormat="1" ht="15" customHeight="1" x14ac:dyDescent="0.3">
      <c r="A51" s="2" t="s">
        <v>60</v>
      </c>
      <c r="B51" s="24">
        <f ca="1">ROUND(FIRE1121_raw!B53,0)</f>
        <v>15</v>
      </c>
      <c r="C51" s="24">
        <f ca="1">ROUND(FIRE1121_raw!C53,0)</f>
        <v>1</v>
      </c>
      <c r="D51" s="24">
        <f ca="1">ROUND(FIRE1121_raw!D53,0)</f>
        <v>0</v>
      </c>
      <c r="E51" s="24">
        <f ca="1">ROUND(FIRE1121_raw!E53,0)</f>
        <v>0</v>
      </c>
      <c r="F51" s="24">
        <f ca="1">ROUND(FIRE1121_raw!F53,0)</f>
        <v>0</v>
      </c>
      <c r="G51" s="24">
        <f ca="1">ROUND(FIRE1121_raw!G53,0)</f>
        <v>0</v>
      </c>
      <c r="H51" s="100">
        <f t="shared" ca="1" si="7"/>
        <v>6.25E-2</v>
      </c>
      <c r="I51" s="46">
        <f t="shared" ca="1" si="8"/>
        <v>0</v>
      </c>
      <c r="J51" s="140" t="s">
        <v>244</v>
      </c>
      <c r="K51" s="24">
        <f ca="1">ROUND(FIRE1121_raw!K53,0)</f>
        <v>4</v>
      </c>
      <c r="L51" s="24">
        <f ca="1">ROUND(FIRE1121_raw!L53,0)</f>
        <v>0</v>
      </c>
      <c r="M51" s="24">
        <f ca="1">ROUND(FIRE1121_raw!M53,0)</f>
        <v>0</v>
      </c>
      <c r="N51" s="24">
        <f ca="1">ROUND(FIRE1121_raw!N53,0)</f>
        <v>0</v>
      </c>
      <c r="O51" s="24">
        <f ca="1">ROUND(FIRE1121_raw!O53,0)</f>
        <v>0</v>
      </c>
      <c r="P51" s="24">
        <f ca="1">ROUND(FIRE1121_raw!P53,0)</f>
        <v>0</v>
      </c>
      <c r="Q51" s="100">
        <f t="shared" ca="1" si="10"/>
        <v>0</v>
      </c>
      <c r="R51" s="46">
        <f t="shared" ca="1" si="11"/>
        <v>0</v>
      </c>
      <c r="S51" s="140" t="s">
        <v>244</v>
      </c>
      <c r="T51" s="22">
        <f t="shared" ca="1" si="23"/>
        <v>19</v>
      </c>
      <c r="U51" s="22">
        <f t="shared" ca="1" si="23"/>
        <v>1</v>
      </c>
      <c r="V51" s="22">
        <f t="shared" ca="1" si="23"/>
        <v>0</v>
      </c>
      <c r="W51" s="22">
        <f t="shared" ca="1" si="23"/>
        <v>0</v>
      </c>
      <c r="X51" s="22">
        <f t="shared" ca="1" si="23"/>
        <v>0</v>
      </c>
      <c r="Y51" s="22">
        <f t="shared" ca="1" si="23"/>
        <v>0</v>
      </c>
      <c r="Z51" s="100">
        <f t="shared" ca="1" si="12"/>
        <v>0.05</v>
      </c>
      <c r="AA51" s="100">
        <f t="shared" ca="1" si="13"/>
        <v>0</v>
      </c>
      <c r="AB51" s="140" t="s">
        <v>244</v>
      </c>
      <c r="AC51" s="24">
        <f ca="1">ROUND(FIRE1121_raw!AC53,0)</f>
        <v>1</v>
      </c>
      <c r="AD51" s="24">
        <f ca="1">ROUND(FIRE1121_raw!AD53,0)</f>
        <v>0</v>
      </c>
      <c r="AE51" s="24">
        <f ca="1">ROUND(FIRE1121_raw!AE53,0)</f>
        <v>0</v>
      </c>
      <c r="AF51" s="24">
        <f ca="1">ROUND(FIRE1121_raw!AF53,0)</f>
        <v>0</v>
      </c>
      <c r="AG51" s="24">
        <f ca="1">ROUND(FIRE1121_raw!AG53,0)</f>
        <v>0</v>
      </c>
      <c r="AH51" s="24">
        <f ca="1">ROUND(FIRE1121_raw!AH53,0)</f>
        <v>0</v>
      </c>
      <c r="AI51" s="100">
        <f t="shared" ca="1" si="15"/>
        <v>0</v>
      </c>
      <c r="AJ51" s="46">
        <f t="shared" ca="1" si="16"/>
        <v>0</v>
      </c>
      <c r="AK51" s="140" t="s">
        <v>244</v>
      </c>
      <c r="AL51" s="24">
        <f ca="1">ROUND(FIRE1121_raw!AL53,0)</f>
        <v>26</v>
      </c>
      <c r="AM51" s="24">
        <f ca="1">ROUND(FIRE1121_raw!AM53,0)</f>
        <v>0</v>
      </c>
      <c r="AN51" s="24">
        <f ca="1">ROUND(FIRE1121_raw!AN53,0)</f>
        <v>0</v>
      </c>
      <c r="AO51" s="24">
        <f ca="1">ROUND(FIRE1121_raw!AO53,0)</f>
        <v>0</v>
      </c>
      <c r="AP51" s="24">
        <f ca="1">ROUND(FIRE1121_raw!AP53,0)</f>
        <v>0</v>
      </c>
      <c r="AQ51" s="24">
        <f ca="1">ROUND(FIRE1121_raw!AQ53,0)</f>
        <v>0</v>
      </c>
      <c r="AR51" s="100">
        <f t="shared" ca="1" si="18"/>
        <v>0</v>
      </c>
      <c r="AS51" s="46">
        <f t="shared" ca="1" si="19"/>
        <v>0</v>
      </c>
      <c r="AT51" s="140" t="s">
        <v>244</v>
      </c>
      <c r="AU51" s="22">
        <f t="shared" ca="1" si="20"/>
        <v>46</v>
      </c>
      <c r="AV51" s="22">
        <f t="shared" ca="1" si="20"/>
        <v>1</v>
      </c>
      <c r="AW51" s="22">
        <f t="shared" ca="1" si="20"/>
        <v>0</v>
      </c>
      <c r="AX51" s="22">
        <f t="shared" ca="1" si="20"/>
        <v>0</v>
      </c>
      <c r="AY51" s="22">
        <f t="shared" ca="1" si="20"/>
        <v>0</v>
      </c>
      <c r="AZ51" s="22">
        <f t="shared" ca="1" si="20"/>
        <v>0</v>
      </c>
      <c r="BA51" s="100">
        <f t="shared" ca="1" si="21"/>
        <v>2.1276595744680851E-2</v>
      </c>
      <c r="BB51" s="100">
        <f t="shared" ca="1" si="22"/>
        <v>0</v>
      </c>
      <c r="BC51" s="19"/>
      <c r="BD51" s="19"/>
      <c r="BE51" s="19"/>
      <c r="BF51" s="19"/>
      <c r="BG51" s="19"/>
      <c r="BH51" s="19"/>
      <c r="BI51" s="19"/>
      <c r="BJ51" s="19"/>
      <c r="BK51" s="19"/>
    </row>
    <row r="52" spans="1:63" s="8" customFormat="1" ht="15" customHeight="1" x14ac:dyDescent="0.3">
      <c r="A52" s="2" t="s">
        <v>61</v>
      </c>
      <c r="B52" s="24">
        <f ca="1">ROUND(FIRE1121_raw!B54,0)</f>
        <v>52</v>
      </c>
      <c r="C52" s="24">
        <f ca="1">ROUND(FIRE1121_raw!C54,0)</f>
        <v>12</v>
      </c>
      <c r="D52" s="24">
        <f ca="1">ROUND(FIRE1121_raw!D54,0)</f>
        <v>2</v>
      </c>
      <c r="E52" s="24">
        <f ca="1">ROUND(FIRE1121_raw!E54,0)</f>
        <v>7</v>
      </c>
      <c r="F52" s="24">
        <f ca="1">ROUND(FIRE1121_raw!F54,0)</f>
        <v>1</v>
      </c>
      <c r="G52" s="24">
        <f ca="1">ROUND(FIRE1121_raw!G54,0)</f>
        <v>0</v>
      </c>
      <c r="H52" s="100">
        <f t="shared" ca="1" si="7"/>
        <v>0.29729729729729731</v>
      </c>
      <c r="I52" s="46">
        <f t="shared" ca="1" si="8"/>
        <v>0</v>
      </c>
      <c r="J52" s="140" t="s">
        <v>244</v>
      </c>
      <c r="K52" s="24">
        <f ca="1">ROUND(FIRE1121_raw!K54,0)</f>
        <v>0</v>
      </c>
      <c r="L52" s="24">
        <f ca="1">ROUND(FIRE1121_raw!L54,0)</f>
        <v>0</v>
      </c>
      <c r="M52" s="24">
        <f ca="1">ROUND(FIRE1121_raw!M54,0)</f>
        <v>0</v>
      </c>
      <c r="N52" s="24">
        <f ca="1">ROUND(FIRE1121_raw!N54,0)</f>
        <v>0</v>
      </c>
      <c r="O52" s="24">
        <f ca="1">ROUND(FIRE1121_raw!O54,0)</f>
        <v>0</v>
      </c>
      <c r="P52" s="24">
        <f ca="1">ROUND(FIRE1121_raw!P54,0)</f>
        <v>0</v>
      </c>
      <c r="Q52" s="100" t="str">
        <f t="shared" ca="1" si="10"/>
        <v>-</v>
      </c>
      <c r="R52" s="46" t="str">
        <f t="shared" ca="1" si="11"/>
        <v>-</v>
      </c>
      <c r="S52" s="140" t="s">
        <v>244</v>
      </c>
      <c r="T52" s="22">
        <f t="shared" ca="1" si="23"/>
        <v>52</v>
      </c>
      <c r="U52" s="22">
        <f t="shared" ca="1" si="23"/>
        <v>12</v>
      </c>
      <c r="V52" s="22">
        <f t="shared" ca="1" si="23"/>
        <v>2</v>
      </c>
      <c r="W52" s="22">
        <f t="shared" ca="1" si="23"/>
        <v>7</v>
      </c>
      <c r="X52" s="22">
        <f t="shared" ca="1" si="23"/>
        <v>1</v>
      </c>
      <c r="Y52" s="22">
        <f t="shared" ca="1" si="23"/>
        <v>0</v>
      </c>
      <c r="Z52" s="100">
        <f t="shared" ca="1" si="12"/>
        <v>0.29729729729729731</v>
      </c>
      <c r="AA52" s="100">
        <f t="shared" ca="1" si="13"/>
        <v>0</v>
      </c>
      <c r="AB52" s="140" t="s">
        <v>244</v>
      </c>
      <c r="AC52" s="24">
        <f ca="1">ROUND(FIRE1121_raw!AC54,0)</f>
        <v>6</v>
      </c>
      <c r="AD52" s="24">
        <f ca="1">ROUND(FIRE1121_raw!AD54,0)</f>
        <v>0</v>
      </c>
      <c r="AE52" s="24">
        <f ca="1">ROUND(FIRE1121_raw!AE54,0)</f>
        <v>0</v>
      </c>
      <c r="AF52" s="24">
        <f ca="1">ROUND(FIRE1121_raw!AF54,0)</f>
        <v>0</v>
      </c>
      <c r="AG52" s="24">
        <f ca="1">ROUND(FIRE1121_raw!AG54,0)</f>
        <v>0</v>
      </c>
      <c r="AH52" s="24">
        <f ca="1">ROUND(FIRE1121_raw!AH54,0)</f>
        <v>3</v>
      </c>
      <c r="AI52" s="100">
        <f t="shared" ca="1" si="15"/>
        <v>0</v>
      </c>
      <c r="AJ52" s="46">
        <f t="shared" ca="1" si="16"/>
        <v>0.33333333333333331</v>
      </c>
      <c r="AK52" s="140" t="s">
        <v>244</v>
      </c>
      <c r="AL52" s="24">
        <f ca="1">ROUND(FIRE1121_raw!AL54,0)</f>
        <v>18</v>
      </c>
      <c r="AM52" s="24">
        <f ca="1">ROUND(FIRE1121_raw!AM54,0)</f>
        <v>0</v>
      </c>
      <c r="AN52" s="24">
        <f ca="1">ROUND(FIRE1121_raw!AN54,0)</f>
        <v>6</v>
      </c>
      <c r="AO52" s="24">
        <f ca="1">ROUND(FIRE1121_raw!AO54,0)</f>
        <v>4</v>
      </c>
      <c r="AP52" s="24">
        <f ca="1">ROUND(FIRE1121_raw!AP54,0)</f>
        <v>0</v>
      </c>
      <c r="AQ52" s="24">
        <f ca="1">ROUND(FIRE1121_raw!AQ54,0)</f>
        <v>12</v>
      </c>
      <c r="AR52" s="100">
        <f t="shared" ca="1" si="18"/>
        <v>0.35714285714285715</v>
      </c>
      <c r="AS52" s="46">
        <f t="shared" ca="1" si="19"/>
        <v>0.3</v>
      </c>
      <c r="AT52" s="140" t="s">
        <v>244</v>
      </c>
      <c r="AU52" s="22">
        <f t="shared" ca="1" si="20"/>
        <v>76</v>
      </c>
      <c r="AV52" s="22">
        <f t="shared" ca="1" si="20"/>
        <v>12</v>
      </c>
      <c r="AW52" s="22">
        <f t="shared" ca="1" si="20"/>
        <v>8</v>
      </c>
      <c r="AX52" s="22">
        <f t="shared" ca="1" si="20"/>
        <v>11</v>
      </c>
      <c r="AY52" s="22">
        <f t="shared" ca="1" si="20"/>
        <v>1</v>
      </c>
      <c r="AZ52" s="22">
        <f t="shared" ca="1" si="20"/>
        <v>15</v>
      </c>
      <c r="BA52" s="100">
        <f t="shared" ca="1" si="21"/>
        <v>0.29629629629629628</v>
      </c>
      <c r="BB52" s="100">
        <f t="shared" ca="1" si="22"/>
        <v>0.12195121951219512</v>
      </c>
      <c r="BC52" s="19"/>
      <c r="BD52" s="19"/>
      <c r="BE52" s="19"/>
      <c r="BF52" s="19"/>
      <c r="BG52" s="19"/>
      <c r="BH52" s="19"/>
      <c r="BI52" s="19"/>
      <c r="BJ52" s="19"/>
      <c r="BK52" s="19"/>
    </row>
    <row r="53" spans="1:63" s="8" customFormat="1" ht="15" customHeight="1" x14ac:dyDescent="0.3">
      <c r="A53" s="2" t="s">
        <v>62</v>
      </c>
      <c r="B53" s="24">
        <f ca="1">ROUND(FIRE1121_raw!B55,0)</f>
        <v>24</v>
      </c>
      <c r="C53" s="24">
        <f ca="1">ROUND(FIRE1121_raw!C55,0)</f>
        <v>1</v>
      </c>
      <c r="D53" s="24">
        <f ca="1">ROUND(FIRE1121_raw!D55,0)</f>
        <v>0</v>
      </c>
      <c r="E53" s="24">
        <f ca="1">ROUND(FIRE1121_raw!E55,0)</f>
        <v>0</v>
      </c>
      <c r="F53" s="24">
        <f ca="1">ROUND(FIRE1121_raw!F55,0)</f>
        <v>2</v>
      </c>
      <c r="G53" s="24">
        <f ca="1">ROUND(FIRE1121_raw!G55,0)</f>
        <v>14</v>
      </c>
      <c r="H53" s="100">
        <f t="shared" ca="1" si="7"/>
        <v>0.1111111111111111</v>
      </c>
      <c r="I53" s="46">
        <f t="shared" ca="1" si="8"/>
        <v>0.34146341463414637</v>
      </c>
      <c r="J53" s="140" t="s">
        <v>244</v>
      </c>
      <c r="K53" s="24">
        <f ca="1">ROUND(FIRE1121_raw!K55,0)</f>
        <v>25</v>
      </c>
      <c r="L53" s="24">
        <f ca="1">ROUND(FIRE1121_raw!L55,0)</f>
        <v>0</v>
      </c>
      <c r="M53" s="24">
        <f ca="1">ROUND(FIRE1121_raw!M55,0)</f>
        <v>0</v>
      </c>
      <c r="N53" s="24">
        <f ca="1">ROUND(FIRE1121_raw!N55,0)</f>
        <v>0</v>
      </c>
      <c r="O53" s="24">
        <f ca="1">ROUND(FIRE1121_raw!O55,0)</f>
        <v>0</v>
      </c>
      <c r="P53" s="24">
        <f ca="1">ROUND(FIRE1121_raw!P55,0)</f>
        <v>1</v>
      </c>
      <c r="Q53" s="100">
        <f t="shared" ca="1" si="10"/>
        <v>0</v>
      </c>
      <c r="R53" s="46">
        <f t="shared" ca="1" si="11"/>
        <v>3.8461538461538464E-2</v>
      </c>
      <c r="S53" s="140" t="s">
        <v>244</v>
      </c>
      <c r="T53" s="22">
        <f t="shared" ca="1" si="23"/>
        <v>49</v>
      </c>
      <c r="U53" s="22">
        <f t="shared" ca="1" si="23"/>
        <v>1</v>
      </c>
      <c r="V53" s="22">
        <f t="shared" ca="1" si="23"/>
        <v>0</v>
      </c>
      <c r="W53" s="22">
        <f t="shared" ca="1" si="23"/>
        <v>0</v>
      </c>
      <c r="X53" s="22">
        <f t="shared" ca="1" si="23"/>
        <v>2</v>
      </c>
      <c r="Y53" s="22">
        <f t="shared" ca="1" si="23"/>
        <v>15</v>
      </c>
      <c r="Z53" s="100">
        <f t="shared" ca="1" si="12"/>
        <v>5.7692307692307696E-2</v>
      </c>
      <c r="AA53" s="100">
        <f t="shared" ca="1" si="13"/>
        <v>0.22388059701492538</v>
      </c>
      <c r="AB53" s="140" t="s">
        <v>244</v>
      </c>
      <c r="AC53" s="24">
        <f ca="1">ROUND(FIRE1121_raw!AC55,0)</f>
        <v>1</v>
      </c>
      <c r="AD53" s="24">
        <f ca="1">ROUND(FIRE1121_raw!AD55,0)</f>
        <v>0</v>
      </c>
      <c r="AE53" s="24">
        <f ca="1">ROUND(FIRE1121_raw!AE55,0)</f>
        <v>0</v>
      </c>
      <c r="AF53" s="24">
        <f ca="1">ROUND(FIRE1121_raw!AF55,0)</f>
        <v>0</v>
      </c>
      <c r="AG53" s="24">
        <f ca="1">ROUND(FIRE1121_raw!AG55,0)</f>
        <v>0</v>
      </c>
      <c r="AH53" s="24">
        <f ca="1">ROUND(FIRE1121_raw!AH55,0)</f>
        <v>0</v>
      </c>
      <c r="AI53" s="100">
        <f t="shared" ca="1" si="15"/>
        <v>0</v>
      </c>
      <c r="AJ53" s="46">
        <f t="shared" ca="1" si="16"/>
        <v>0</v>
      </c>
      <c r="AK53" s="140" t="s">
        <v>244</v>
      </c>
      <c r="AL53" s="24">
        <f ca="1">ROUND(FIRE1121_raw!AL55,0)</f>
        <v>11</v>
      </c>
      <c r="AM53" s="24">
        <f ca="1">ROUND(FIRE1121_raw!AM55,0)</f>
        <v>0</v>
      </c>
      <c r="AN53" s="24">
        <f ca="1">ROUND(FIRE1121_raw!AN55,0)</f>
        <v>1</v>
      </c>
      <c r="AO53" s="24">
        <f ca="1">ROUND(FIRE1121_raw!AO55,0)</f>
        <v>0</v>
      </c>
      <c r="AP53" s="24">
        <f ca="1">ROUND(FIRE1121_raw!AP55,0)</f>
        <v>0</v>
      </c>
      <c r="AQ53" s="24">
        <f ca="1">ROUND(FIRE1121_raw!AQ55,0)</f>
        <v>5</v>
      </c>
      <c r="AR53" s="100">
        <f t="shared" ca="1" si="18"/>
        <v>8.3333333333333329E-2</v>
      </c>
      <c r="AS53" s="46">
        <f t="shared" ca="1" si="19"/>
        <v>0.29411764705882354</v>
      </c>
      <c r="AT53" s="140" t="s">
        <v>244</v>
      </c>
      <c r="AU53" s="22">
        <f t="shared" ca="1" si="20"/>
        <v>61</v>
      </c>
      <c r="AV53" s="22">
        <f t="shared" ca="1" si="20"/>
        <v>1</v>
      </c>
      <c r="AW53" s="22">
        <f t="shared" ca="1" si="20"/>
        <v>1</v>
      </c>
      <c r="AX53" s="22">
        <f t="shared" ca="1" si="20"/>
        <v>0</v>
      </c>
      <c r="AY53" s="22">
        <f t="shared" ca="1" si="20"/>
        <v>2</v>
      </c>
      <c r="AZ53" s="22">
        <f t="shared" ca="1" si="20"/>
        <v>20</v>
      </c>
      <c r="BA53" s="100">
        <f t="shared" ca="1" si="21"/>
        <v>6.1538461538461542E-2</v>
      </c>
      <c r="BB53" s="100">
        <f t="shared" ca="1" si="22"/>
        <v>0.23529411764705882</v>
      </c>
      <c r="BC53" s="19"/>
      <c r="BD53" s="19"/>
      <c r="BE53" s="19"/>
      <c r="BF53" s="19"/>
      <c r="BG53" s="19"/>
      <c r="BH53" s="19"/>
      <c r="BI53" s="19"/>
      <c r="BJ53" s="19"/>
      <c r="BK53" s="19"/>
    </row>
    <row r="54" spans="1:63" s="8" customFormat="1" ht="15" customHeight="1" thickBot="1" x14ac:dyDescent="0.35">
      <c r="A54" s="2" t="s">
        <v>63</v>
      </c>
      <c r="B54" s="72">
        <f ca="1">ROUND(FIRE1121_raw!B56,0)</f>
        <v>246</v>
      </c>
      <c r="C54" s="72">
        <f ca="1">ROUND(FIRE1121_raw!C56,0)</f>
        <v>12</v>
      </c>
      <c r="D54" s="72">
        <f ca="1">ROUND(FIRE1121_raw!D56,0)</f>
        <v>5</v>
      </c>
      <c r="E54" s="72">
        <f ca="1">ROUND(FIRE1121_raw!E56,0)</f>
        <v>13</v>
      </c>
      <c r="F54" s="72">
        <f ca="1">ROUND(FIRE1121_raw!F56,0)</f>
        <v>8</v>
      </c>
      <c r="G54" s="72">
        <f ca="1">ROUND(FIRE1121_raw!G56,0)</f>
        <v>7</v>
      </c>
      <c r="H54" s="100">
        <f t="shared" ca="1" si="7"/>
        <v>0.13380281690140844</v>
      </c>
      <c r="I54" s="46">
        <f t="shared" ca="1" si="8"/>
        <v>2.4054982817869417E-2</v>
      </c>
      <c r="J54" s="144" t="s">
        <v>244</v>
      </c>
      <c r="K54" s="24">
        <f ca="1">ROUND(FIRE1121_raw!K56,0)</f>
        <v>0</v>
      </c>
      <c r="L54" s="24">
        <f ca="1">ROUND(FIRE1121_raw!L56,0)</f>
        <v>0</v>
      </c>
      <c r="M54" s="24">
        <f ca="1">ROUND(FIRE1121_raw!M56,0)</f>
        <v>0</v>
      </c>
      <c r="N54" s="24">
        <f ca="1">ROUND(FIRE1121_raw!N56,0)</f>
        <v>0</v>
      </c>
      <c r="O54" s="24">
        <f ca="1">ROUND(FIRE1121_raw!O56,0)</f>
        <v>0</v>
      </c>
      <c r="P54" s="24">
        <f ca="1">ROUND(FIRE1121_raw!P56,0)</f>
        <v>0</v>
      </c>
      <c r="Q54" s="100" t="str">
        <f t="shared" ca="1" si="10"/>
        <v>-</v>
      </c>
      <c r="R54" s="46" t="str">
        <f t="shared" ca="1" si="11"/>
        <v>-</v>
      </c>
      <c r="S54" s="144" t="s">
        <v>244</v>
      </c>
      <c r="T54" s="22">
        <f t="shared" ca="1" si="23"/>
        <v>246</v>
      </c>
      <c r="U54" s="22">
        <f t="shared" ca="1" si="23"/>
        <v>12</v>
      </c>
      <c r="V54" s="22">
        <f t="shared" ca="1" si="23"/>
        <v>5</v>
      </c>
      <c r="W54" s="22">
        <f ca="1">E54+N54</f>
        <v>13</v>
      </c>
      <c r="X54" s="22">
        <f t="shared" ca="1" si="23"/>
        <v>8</v>
      </c>
      <c r="Y54" s="22">
        <f t="shared" ca="1" si="23"/>
        <v>7</v>
      </c>
      <c r="Z54" s="100">
        <f t="shared" ca="1" si="12"/>
        <v>0.13380281690140844</v>
      </c>
      <c r="AA54" s="100">
        <f t="shared" ca="1" si="13"/>
        <v>2.4054982817869417E-2</v>
      </c>
      <c r="AB54" s="140" t="s">
        <v>244</v>
      </c>
      <c r="AC54" s="24">
        <f ca="1">ROUND(FIRE1121_raw!AC56,0)</f>
        <v>10</v>
      </c>
      <c r="AD54" s="24">
        <f ca="1">ROUND(FIRE1121_raw!AD56,0)</f>
        <v>1</v>
      </c>
      <c r="AE54" s="24">
        <f ca="1">ROUND(FIRE1121_raw!AE56,0)</f>
        <v>0</v>
      </c>
      <c r="AF54" s="24">
        <f ca="1">ROUND(FIRE1121_raw!AF56,0)</f>
        <v>1</v>
      </c>
      <c r="AG54" s="24">
        <f ca="1">ROUND(FIRE1121_raw!AG56,0)</f>
        <v>1</v>
      </c>
      <c r="AH54" s="24">
        <f ca="1">ROUND(FIRE1121_raw!AH56,0)</f>
        <v>0</v>
      </c>
      <c r="AI54" s="100">
        <f t="shared" ca="1" si="15"/>
        <v>0.23076923076923078</v>
      </c>
      <c r="AJ54" s="46">
        <f t="shared" ca="1" si="16"/>
        <v>0</v>
      </c>
      <c r="AK54" s="140" t="s">
        <v>244</v>
      </c>
      <c r="AL54" s="24">
        <f ca="1">ROUND(FIRE1121_raw!AL56,0)</f>
        <v>98</v>
      </c>
      <c r="AM54" s="24">
        <f ca="1">ROUND(FIRE1121_raw!AM56,0)</f>
        <v>5</v>
      </c>
      <c r="AN54" s="24">
        <f ca="1">ROUND(FIRE1121_raw!AN56,0)</f>
        <v>7</v>
      </c>
      <c r="AO54" s="24">
        <f ca="1">ROUND(FIRE1121_raw!AO56,0)</f>
        <v>13</v>
      </c>
      <c r="AP54" s="24">
        <f ca="1">ROUND(FIRE1121_raw!AP56,0)</f>
        <v>4</v>
      </c>
      <c r="AQ54" s="24">
        <f ca="1">ROUND(FIRE1121_raw!AQ56,0)</f>
        <v>5</v>
      </c>
      <c r="AR54" s="100">
        <f t="shared" ca="1" si="18"/>
        <v>0.2283464566929134</v>
      </c>
      <c r="AS54" s="46">
        <f t="shared" ca="1" si="19"/>
        <v>3.787878787878788E-2</v>
      </c>
      <c r="AT54" s="140" t="s">
        <v>244</v>
      </c>
      <c r="AU54" s="22">
        <f t="shared" ca="1" si="20"/>
        <v>354</v>
      </c>
      <c r="AV54" s="22">
        <f t="shared" ca="1" si="20"/>
        <v>18</v>
      </c>
      <c r="AW54" s="22">
        <f t="shared" ca="1" si="20"/>
        <v>12</v>
      </c>
      <c r="AX54" s="22">
        <f t="shared" ca="1" si="20"/>
        <v>27</v>
      </c>
      <c r="AY54" s="22">
        <f t="shared" ca="1" si="20"/>
        <v>13</v>
      </c>
      <c r="AZ54" s="22">
        <f t="shared" ca="1" si="20"/>
        <v>12</v>
      </c>
      <c r="BA54" s="100">
        <f t="shared" ca="1" si="21"/>
        <v>0.1650943396226415</v>
      </c>
      <c r="BB54" s="100">
        <f t="shared" ca="1" si="22"/>
        <v>2.7522935779816515E-2</v>
      </c>
      <c r="BC54" s="19"/>
      <c r="BD54" s="19"/>
      <c r="BE54" s="19"/>
      <c r="BF54" s="19"/>
      <c r="BG54" s="19"/>
      <c r="BH54" s="19"/>
      <c r="BI54" s="19"/>
      <c r="BJ54" s="19"/>
      <c r="BK54" s="19"/>
    </row>
    <row r="55" spans="1:63" s="8" customFormat="1" ht="29.25" customHeight="1" x14ac:dyDescent="0.3">
      <c r="A55" s="47" t="s">
        <v>64</v>
      </c>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19"/>
      <c r="BD55" s="19"/>
      <c r="BE55" s="19"/>
      <c r="BF55" s="19"/>
      <c r="BG55" s="19"/>
      <c r="BH55" s="19"/>
      <c r="BI55" s="19"/>
      <c r="BJ55" s="19"/>
      <c r="BK55" s="19"/>
    </row>
    <row r="56" spans="1:63" x14ac:dyDescent="0.3">
      <c r="A56" s="48" t="s">
        <v>90</v>
      </c>
      <c r="B56" s="48"/>
      <c r="C56" s="48"/>
      <c r="D56" s="48"/>
      <c r="E56" s="48"/>
      <c r="F56" s="48"/>
      <c r="G56" s="48"/>
      <c r="H56" s="48"/>
      <c r="I56" s="48"/>
      <c r="J56" s="141"/>
      <c r="K56" s="48"/>
      <c r="L56" s="48"/>
      <c r="M56" s="48"/>
      <c r="N56" s="48"/>
      <c r="O56" s="48"/>
      <c r="P56" s="48"/>
      <c r="Q56" s="48"/>
      <c r="R56" s="48"/>
      <c r="S56" s="141"/>
      <c r="T56" s="48"/>
      <c r="U56" s="48"/>
      <c r="V56" s="48"/>
      <c r="W56" s="48"/>
      <c r="X56" s="48"/>
      <c r="Y56" s="2"/>
      <c r="Z56" s="2"/>
      <c r="AA56" s="2"/>
      <c r="AB56" s="141"/>
      <c r="AC56" s="2"/>
      <c r="AD56" s="2"/>
      <c r="AE56" s="2"/>
      <c r="AF56" s="2"/>
      <c r="AG56" s="2"/>
      <c r="AH56" s="2"/>
      <c r="AI56" s="2"/>
      <c r="AJ56" s="2"/>
      <c r="AK56" s="141"/>
      <c r="AL56" s="2"/>
      <c r="AM56" s="2"/>
      <c r="AN56" s="2"/>
      <c r="AO56" s="2"/>
      <c r="AP56" s="2"/>
      <c r="AQ56" s="2"/>
      <c r="AR56" s="2"/>
      <c r="AS56" s="2"/>
      <c r="AT56" s="141"/>
      <c r="AU56" s="2"/>
      <c r="AV56" s="2"/>
      <c r="AW56" s="2"/>
      <c r="AX56" s="2"/>
      <c r="AY56" s="2"/>
      <c r="AZ56" s="2"/>
      <c r="BA56" s="2"/>
      <c r="BB56" s="2"/>
    </row>
    <row r="57" spans="1:63" ht="28.5" customHeight="1" x14ac:dyDescent="0.3">
      <c r="A57" s="49" t="s">
        <v>65</v>
      </c>
      <c r="B57" s="2"/>
      <c r="C57" s="2"/>
      <c r="D57" s="2"/>
      <c r="E57" s="2"/>
      <c r="F57" s="2"/>
      <c r="G57" s="2"/>
      <c r="H57" s="2"/>
      <c r="I57" s="2"/>
      <c r="J57" s="142"/>
      <c r="K57" s="2"/>
      <c r="L57" s="2"/>
      <c r="M57" s="2"/>
      <c r="N57" s="2"/>
      <c r="O57" s="2"/>
      <c r="P57" s="2"/>
      <c r="Q57" s="2"/>
      <c r="R57" s="2"/>
      <c r="S57" s="142"/>
      <c r="T57" s="2"/>
      <c r="U57" s="2"/>
      <c r="V57" s="2"/>
      <c r="W57" s="2"/>
      <c r="X57" s="2"/>
      <c r="Y57" s="2"/>
      <c r="Z57" s="2"/>
      <c r="AA57" s="2"/>
      <c r="AB57" s="142"/>
      <c r="AC57" s="2"/>
      <c r="AD57" s="2"/>
      <c r="AE57" s="2"/>
      <c r="AF57" s="2"/>
      <c r="AG57" s="2"/>
      <c r="AH57" s="2"/>
      <c r="AI57" s="2"/>
      <c r="AJ57" s="2"/>
      <c r="AK57" s="142"/>
      <c r="AL57" s="2"/>
      <c r="AM57" s="2"/>
      <c r="AN57" s="2"/>
      <c r="AO57" s="2"/>
      <c r="AP57" s="2"/>
      <c r="AQ57" s="2"/>
      <c r="AR57" s="2"/>
      <c r="AS57" s="2"/>
      <c r="AT57" s="142"/>
      <c r="AU57" s="2"/>
      <c r="AV57" s="2"/>
      <c r="AW57" s="2"/>
      <c r="AX57" s="2"/>
      <c r="AY57" s="2"/>
      <c r="AZ57" s="2"/>
      <c r="BA57" s="2"/>
      <c r="BB57" s="2"/>
    </row>
    <row r="58" spans="1:63" ht="15" customHeight="1" x14ac:dyDescent="0.3">
      <c r="A58" s="136" t="s">
        <v>66</v>
      </c>
      <c r="B58" s="136"/>
      <c r="C58" s="136"/>
      <c r="D58" s="136"/>
      <c r="E58" s="136"/>
      <c r="F58" s="136"/>
      <c r="G58" s="136"/>
      <c r="H58" s="136"/>
      <c r="I58" s="136"/>
      <c r="J58" s="143"/>
      <c r="K58" s="136"/>
      <c r="L58" s="136"/>
      <c r="M58" s="136"/>
      <c r="N58" s="136"/>
      <c r="O58" s="136"/>
      <c r="P58" s="136"/>
      <c r="Q58" s="136"/>
      <c r="R58" s="136"/>
      <c r="S58" s="143"/>
      <c r="T58" s="136"/>
      <c r="U58" s="136"/>
      <c r="V58" s="136"/>
      <c r="W58" s="136"/>
      <c r="X58" s="136"/>
      <c r="Y58" s="2"/>
      <c r="Z58" s="2"/>
      <c r="AA58" s="2"/>
      <c r="AB58" s="143"/>
      <c r="AC58" s="2"/>
      <c r="AD58" s="2"/>
      <c r="AE58" s="2"/>
      <c r="AF58" s="2"/>
      <c r="AG58" s="2"/>
      <c r="AH58" s="2"/>
      <c r="AI58" s="2"/>
      <c r="AJ58" s="2"/>
      <c r="AK58" s="143"/>
      <c r="AL58" s="2"/>
      <c r="AM58" s="2"/>
      <c r="AN58" s="2"/>
      <c r="AO58" s="2"/>
      <c r="AP58" s="2"/>
      <c r="AQ58" s="2"/>
      <c r="AR58" s="2"/>
      <c r="AS58" s="2"/>
      <c r="AT58" s="143"/>
      <c r="AU58" s="2"/>
      <c r="AV58" s="2"/>
      <c r="AW58" s="2"/>
      <c r="AX58" s="2"/>
      <c r="AY58" s="2"/>
      <c r="AZ58" s="2"/>
      <c r="BA58" s="2"/>
      <c r="BB58" s="2"/>
    </row>
    <row r="59" spans="1:63" ht="30.75" customHeight="1" x14ac:dyDescent="0.3">
      <c r="A59" s="2" t="s">
        <v>67</v>
      </c>
      <c r="B59" s="50"/>
      <c r="C59" s="50"/>
      <c r="D59" s="50"/>
      <c r="E59" s="50"/>
      <c r="F59" s="50"/>
      <c r="G59" s="50"/>
      <c r="H59" s="50"/>
      <c r="I59" s="50"/>
      <c r="J59" s="8"/>
      <c r="K59" s="50"/>
      <c r="L59" s="50"/>
      <c r="M59" s="50"/>
      <c r="N59" s="50"/>
      <c r="O59" s="50"/>
      <c r="P59" s="50"/>
      <c r="Q59" s="50"/>
      <c r="R59" s="50"/>
      <c r="S59" s="8"/>
      <c r="T59" s="50"/>
      <c r="U59" s="50"/>
      <c r="V59" s="50"/>
      <c r="W59" s="50"/>
      <c r="X59" s="50"/>
      <c r="Y59" s="2"/>
      <c r="Z59" s="2"/>
      <c r="AA59" s="2"/>
      <c r="AB59" s="8"/>
      <c r="AC59" s="2"/>
      <c r="AD59" s="2"/>
      <c r="AE59" s="2"/>
      <c r="AF59" s="2"/>
      <c r="AG59" s="2"/>
      <c r="AH59" s="2"/>
      <c r="AI59" s="2"/>
      <c r="AJ59" s="2"/>
      <c r="AK59" s="8"/>
      <c r="AL59" s="2"/>
      <c r="AM59" s="2"/>
      <c r="AN59" s="2"/>
      <c r="AO59" s="2"/>
      <c r="AP59" s="2"/>
      <c r="AQ59" s="2"/>
      <c r="AR59" s="2"/>
      <c r="AS59" s="2"/>
      <c r="AT59" s="8"/>
      <c r="AU59" s="2"/>
      <c r="AV59" s="2"/>
      <c r="AW59" s="2"/>
      <c r="AX59" s="2"/>
      <c r="AY59" s="2"/>
      <c r="AZ59" s="2"/>
      <c r="BA59" s="2"/>
      <c r="BB59" s="2"/>
    </row>
    <row r="60" spans="1:63" x14ac:dyDescent="0.3">
      <c r="A60" s="51" t="s">
        <v>68</v>
      </c>
      <c r="B60" s="50"/>
      <c r="C60" s="50"/>
      <c r="D60" s="50"/>
      <c r="E60" s="50"/>
      <c r="F60" s="50"/>
      <c r="G60" s="50"/>
      <c r="H60" s="50"/>
      <c r="I60" s="50"/>
      <c r="J60" s="1"/>
      <c r="K60" s="50"/>
      <c r="L60" s="50"/>
      <c r="M60" s="50"/>
      <c r="N60" s="50"/>
      <c r="O60" s="50"/>
      <c r="P60" s="50"/>
      <c r="Q60" s="50"/>
      <c r="R60" s="50"/>
      <c r="S60" s="1"/>
      <c r="T60" s="50"/>
      <c r="U60" s="50"/>
      <c r="V60" s="50"/>
      <c r="W60" s="50"/>
      <c r="X60" s="50"/>
      <c r="Y60" s="2"/>
      <c r="Z60" s="2"/>
      <c r="AA60" s="2"/>
      <c r="AB60" s="1"/>
      <c r="AC60" s="2"/>
      <c r="AD60" s="2"/>
      <c r="AE60" s="2"/>
      <c r="AF60" s="2"/>
      <c r="AG60" s="2"/>
      <c r="AH60" s="2"/>
      <c r="AI60" s="2"/>
      <c r="AJ60" s="2"/>
      <c r="AK60" s="1"/>
      <c r="AL60" s="2"/>
      <c r="AM60" s="2"/>
      <c r="AN60" s="2"/>
      <c r="AO60" s="2"/>
      <c r="AP60" s="2"/>
      <c r="AQ60" s="2"/>
      <c r="AR60" s="2"/>
      <c r="AS60" s="2"/>
      <c r="AT60" s="1"/>
      <c r="AU60" s="2"/>
      <c r="AV60" s="2"/>
      <c r="AW60" s="2"/>
      <c r="AX60" s="2"/>
      <c r="AY60" s="2"/>
      <c r="AZ60" s="2"/>
      <c r="BA60" s="2"/>
      <c r="BB60" s="2"/>
    </row>
    <row r="61" spans="1:63" ht="33" customHeight="1" x14ac:dyDescent="0.3">
      <c r="A61" s="137" t="s">
        <v>69</v>
      </c>
      <c r="B61" s="137"/>
      <c r="C61" s="137"/>
      <c r="D61" s="137"/>
      <c r="E61" s="137"/>
      <c r="F61" s="137"/>
      <c r="G61" s="137"/>
      <c r="H61" s="137"/>
      <c r="I61" s="137"/>
      <c r="J61" s="8"/>
      <c r="K61" s="137"/>
      <c r="L61" s="137"/>
      <c r="M61" s="137"/>
      <c r="N61" s="137"/>
      <c r="O61" s="137"/>
      <c r="P61" s="137"/>
      <c r="Q61" s="137"/>
      <c r="R61" s="137"/>
      <c r="S61" s="8"/>
      <c r="T61" s="137"/>
      <c r="U61" s="137"/>
      <c r="V61" s="137"/>
      <c r="W61" s="137"/>
      <c r="X61" s="137"/>
      <c r="Y61" s="2"/>
      <c r="Z61" s="2"/>
      <c r="AA61" s="2"/>
      <c r="AB61" s="8"/>
      <c r="AC61" s="2"/>
      <c r="AD61" s="2"/>
      <c r="AE61" s="2"/>
      <c r="AF61" s="2"/>
      <c r="AG61" s="2"/>
      <c r="AH61" s="2"/>
      <c r="AI61" s="2"/>
      <c r="AJ61" s="2"/>
      <c r="AK61" s="8"/>
      <c r="AL61" s="2"/>
      <c r="AM61" s="2"/>
      <c r="AN61" s="2"/>
      <c r="AO61" s="2"/>
      <c r="AP61" s="2"/>
      <c r="AQ61" s="2"/>
      <c r="AR61" s="2"/>
      <c r="AS61" s="2"/>
      <c r="AT61" s="8"/>
      <c r="AU61" s="2"/>
      <c r="AV61" s="2"/>
      <c r="AW61" s="2"/>
      <c r="AX61" s="2"/>
      <c r="AY61" s="2"/>
      <c r="AZ61" s="2"/>
      <c r="BA61" s="2"/>
      <c r="BB61" s="2"/>
    </row>
    <row r="62" spans="1:63" ht="27" customHeight="1" x14ac:dyDescent="0.3">
      <c r="A62" s="8" t="s">
        <v>218</v>
      </c>
      <c r="B62" s="2"/>
      <c r="C62" s="2"/>
      <c r="D62" s="2"/>
      <c r="E62" s="2"/>
      <c r="F62" s="2"/>
      <c r="G62" s="2"/>
      <c r="H62" s="2"/>
      <c r="I62" s="2"/>
      <c r="J62" s="8"/>
      <c r="K62" s="2"/>
      <c r="L62" s="2"/>
      <c r="M62" s="2"/>
      <c r="N62" s="2"/>
      <c r="O62" s="2"/>
      <c r="P62" s="2"/>
      <c r="Q62" s="2"/>
      <c r="R62" s="2"/>
      <c r="S62" s="8"/>
      <c r="T62" s="2"/>
      <c r="U62" s="2"/>
      <c r="V62" s="2"/>
      <c r="W62" s="2"/>
      <c r="X62" s="52"/>
      <c r="Y62" s="2"/>
      <c r="Z62" s="2"/>
      <c r="AA62" s="2"/>
      <c r="AB62" s="8"/>
      <c r="AC62" s="2"/>
      <c r="AD62" s="2"/>
      <c r="AE62" s="2"/>
      <c r="AF62" s="2"/>
      <c r="AG62" s="2"/>
      <c r="AH62" s="2"/>
      <c r="AI62" s="2"/>
      <c r="AJ62" s="2"/>
      <c r="AK62" s="8"/>
      <c r="AL62" s="2"/>
      <c r="AM62" s="2"/>
      <c r="AN62" s="2"/>
      <c r="AO62" s="2"/>
      <c r="AP62" s="2"/>
      <c r="AQ62" s="2"/>
      <c r="AR62" s="2"/>
      <c r="AS62" s="2"/>
      <c r="AT62" s="8"/>
      <c r="AU62" s="2"/>
      <c r="AV62" s="2"/>
      <c r="AW62" s="2"/>
      <c r="AX62" s="2"/>
      <c r="AY62" s="2"/>
      <c r="AZ62" s="138" t="s">
        <v>212</v>
      </c>
      <c r="BA62" s="138"/>
      <c r="BB62" s="138"/>
    </row>
    <row r="63" spans="1:63" ht="15" customHeight="1" x14ac:dyDescent="0.3">
      <c r="A63" s="73" t="s">
        <v>93</v>
      </c>
      <c r="B63" s="2"/>
      <c r="C63" s="2"/>
      <c r="D63" s="2"/>
      <c r="E63" s="2"/>
      <c r="F63" s="2"/>
      <c r="G63" s="2"/>
      <c r="H63" s="2"/>
      <c r="I63" s="2"/>
      <c r="J63" s="8"/>
      <c r="K63" s="2"/>
      <c r="L63" s="2"/>
      <c r="M63" s="2"/>
      <c r="N63" s="2"/>
      <c r="O63" s="2"/>
      <c r="P63" s="2"/>
      <c r="Q63" s="2"/>
      <c r="R63" s="2"/>
      <c r="S63" s="8"/>
      <c r="T63" s="2"/>
      <c r="U63" s="2"/>
      <c r="V63" s="2"/>
      <c r="W63" s="2"/>
      <c r="X63" s="52"/>
      <c r="Y63" s="2"/>
      <c r="Z63" s="2"/>
      <c r="AA63" s="2"/>
      <c r="AB63" s="8"/>
      <c r="AC63" s="2"/>
      <c r="AD63" s="2"/>
      <c r="AE63" s="2"/>
      <c r="AF63" s="2"/>
      <c r="AG63" s="2"/>
      <c r="AH63" s="2"/>
      <c r="AI63" s="2"/>
      <c r="AJ63" s="2"/>
      <c r="AK63" s="8"/>
      <c r="AL63" s="2"/>
      <c r="AM63" s="2"/>
      <c r="AN63" s="2"/>
      <c r="AO63" s="2"/>
      <c r="AP63" s="2"/>
      <c r="AQ63" s="2"/>
      <c r="AR63" s="2"/>
      <c r="AS63" s="2"/>
      <c r="AT63" s="8"/>
      <c r="AU63" s="2"/>
      <c r="AV63" s="2"/>
      <c r="AW63" s="2"/>
      <c r="AX63" s="2"/>
      <c r="AY63" s="2"/>
      <c r="BA63" s="103"/>
      <c r="BB63" s="103" t="s">
        <v>211</v>
      </c>
    </row>
    <row r="64" spans="1:63" x14ac:dyDescent="0.3">
      <c r="A64" s="145" t="s">
        <v>245</v>
      </c>
      <c r="J64" s="8"/>
      <c r="S64" s="8"/>
      <c r="AB64" s="8"/>
      <c r="AK64" s="8"/>
      <c r="AT64" s="8"/>
    </row>
    <row r="77" spans="56:56" x14ac:dyDescent="0.3">
      <c r="BD77" s="4" t="s">
        <v>210</v>
      </c>
    </row>
    <row r="78" spans="56:56" x14ac:dyDescent="0.3">
      <c r="BD78" s="4" t="s">
        <v>177</v>
      </c>
    </row>
    <row r="79" spans="56:56" x14ac:dyDescent="0.3">
      <c r="BD79" s="4" t="s">
        <v>88</v>
      </c>
    </row>
    <row r="80" spans="56:56" x14ac:dyDescent="0.3">
      <c r="BD80" s="4" t="s">
        <v>89</v>
      </c>
    </row>
  </sheetData>
  <dataValidations count="1">
    <dataValidation type="list" allowBlank="1" showInputMessage="1" showErrorMessage="1" sqref="A3" xr:uid="{00000000-0002-0000-0400-000000000000}">
      <formula1>$BD$77:$BD$80</formula1>
    </dataValidation>
  </dataValidations>
  <hyperlinks>
    <hyperlink ref="A60" r:id="rId1" xr:uid="{00000000-0004-0000-0400-000000000000}"/>
    <hyperlink ref="A63" r:id="rId2" xr:uid="{DD84EC49-9625-452A-8545-604EC4573FD2}"/>
    <hyperlink ref="AZ62" r:id="rId3" display="Updated alongside Fire and rescue workforce and pensions statistics" xr:uid="{B9AD6B26-8654-47C8-BE92-64460EAB6201}"/>
    <hyperlink ref="BA63:BB63" r:id="rId4" display="Next Update: Autumn 2020" xr:uid="{17509542-E4DC-46CF-B716-10DF1D2626DB}"/>
  </hyperlinks>
  <pageMargins left="0.7" right="0.7" top="0.75" bottom="0.75" header="0.3" footer="0.3"/>
  <pageSetup paperSize="9" orientation="portrait"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H23"/>
  <sheetViews>
    <sheetView workbookViewId="0">
      <selection activeCell="D8" sqref="D8"/>
    </sheetView>
  </sheetViews>
  <sheetFormatPr defaultRowHeight="14.4" x14ac:dyDescent="0.3"/>
  <cols>
    <col min="2" max="2" width="57.21875" customWidth="1"/>
    <col min="5" max="6" width="14.44140625" hidden="1" customWidth="1"/>
    <col min="7" max="7" width="9.21875" hidden="1" customWidth="1"/>
  </cols>
  <sheetData>
    <row r="1" spans="2:8" x14ac:dyDescent="0.3">
      <c r="B1" t="s">
        <v>203</v>
      </c>
      <c r="G1" t="s">
        <v>178</v>
      </c>
    </row>
    <row r="2" spans="2:8" x14ac:dyDescent="0.3">
      <c r="G2" t="s">
        <v>179</v>
      </c>
      <c r="H2" s="96"/>
    </row>
    <row r="3" spans="2:8" x14ac:dyDescent="0.3">
      <c r="B3" s="97" t="s">
        <v>180</v>
      </c>
      <c r="C3" s="97" t="s">
        <v>181</v>
      </c>
      <c r="D3" s="97" t="s">
        <v>182</v>
      </c>
      <c r="E3" s="97"/>
      <c r="F3" t="s">
        <v>213</v>
      </c>
      <c r="G3" s="97"/>
      <c r="H3" s="97" t="s">
        <v>183</v>
      </c>
    </row>
    <row r="4" spans="2:8" ht="57.6" x14ac:dyDescent="0.3">
      <c r="B4" s="98" t="s">
        <v>204</v>
      </c>
      <c r="C4" t="s">
        <v>185</v>
      </c>
      <c r="D4" t="s">
        <v>219</v>
      </c>
      <c r="E4">
        <f>IF(D4="No",0,1)</f>
        <v>0</v>
      </c>
      <c r="F4" t="s">
        <v>185</v>
      </c>
    </row>
    <row r="5" spans="2:8" x14ac:dyDescent="0.3">
      <c r="B5" t="s">
        <v>186</v>
      </c>
      <c r="C5" t="s">
        <v>185</v>
      </c>
      <c r="D5" t="s">
        <v>219</v>
      </c>
      <c r="E5">
        <f t="shared" ref="E5:E21" si="0">IF(D5="No",0,1)</f>
        <v>0</v>
      </c>
      <c r="F5" t="s">
        <v>214</v>
      </c>
    </row>
    <row r="6" spans="2:8" x14ac:dyDescent="0.3">
      <c r="B6" t="s">
        <v>187</v>
      </c>
      <c r="C6" t="s">
        <v>185</v>
      </c>
      <c r="D6" t="s">
        <v>219</v>
      </c>
      <c r="E6">
        <f t="shared" si="0"/>
        <v>0</v>
      </c>
      <c r="F6" t="s">
        <v>184</v>
      </c>
    </row>
    <row r="7" spans="2:8" ht="28.8" x14ac:dyDescent="0.3">
      <c r="B7" s="98" t="s">
        <v>205</v>
      </c>
      <c r="C7" t="s">
        <v>185</v>
      </c>
      <c r="D7" t="s">
        <v>219</v>
      </c>
      <c r="E7">
        <f t="shared" si="0"/>
        <v>0</v>
      </c>
      <c r="F7" t="s">
        <v>215</v>
      </c>
    </row>
    <row r="8" spans="2:8" x14ac:dyDescent="0.3">
      <c r="B8" t="s">
        <v>188</v>
      </c>
      <c r="C8" t="s">
        <v>185</v>
      </c>
      <c r="D8" t="s">
        <v>219</v>
      </c>
      <c r="E8">
        <f t="shared" si="0"/>
        <v>0</v>
      </c>
      <c r="F8" t="s">
        <v>216</v>
      </c>
    </row>
    <row r="9" spans="2:8" x14ac:dyDescent="0.3">
      <c r="B9" t="s">
        <v>189</v>
      </c>
      <c r="C9" t="s">
        <v>185</v>
      </c>
      <c r="D9" t="s">
        <v>219</v>
      </c>
      <c r="E9">
        <f t="shared" si="0"/>
        <v>0</v>
      </c>
      <c r="F9" t="s">
        <v>217</v>
      </c>
    </row>
    <row r="10" spans="2:8" x14ac:dyDescent="0.3">
      <c r="B10" t="s">
        <v>190</v>
      </c>
      <c r="C10" t="s">
        <v>185</v>
      </c>
      <c r="D10" t="s">
        <v>219</v>
      </c>
      <c r="E10">
        <f t="shared" si="0"/>
        <v>0</v>
      </c>
      <c r="F10" t="s">
        <v>191</v>
      </c>
    </row>
    <row r="11" spans="2:8" x14ac:dyDescent="0.3">
      <c r="B11" t="s">
        <v>192</v>
      </c>
      <c r="C11" t="s">
        <v>185</v>
      </c>
      <c r="D11" t="s">
        <v>219</v>
      </c>
      <c r="E11">
        <f t="shared" si="0"/>
        <v>0</v>
      </c>
    </row>
    <row r="12" spans="2:8" x14ac:dyDescent="0.3">
      <c r="B12" t="s">
        <v>193</v>
      </c>
      <c r="C12" t="s">
        <v>185</v>
      </c>
      <c r="D12" t="s">
        <v>219</v>
      </c>
      <c r="E12">
        <f t="shared" si="0"/>
        <v>0</v>
      </c>
    </row>
    <row r="13" spans="2:8" x14ac:dyDescent="0.3">
      <c r="B13" t="s">
        <v>194</v>
      </c>
      <c r="C13" t="s">
        <v>185</v>
      </c>
      <c r="D13" t="s">
        <v>219</v>
      </c>
      <c r="E13">
        <f t="shared" si="0"/>
        <v>0</v>
      </c>
    </row>
    <row r="14" spans="2:8" x14ac:dyDescent="0.3">
      <c r="B14" t="s">
        <v>195</v>
      </c>
      <c r="C14" t="s">
        <v>185</v>
      </c>
      <c r="D14" t="s">
        <v>219</v>
      </c>
      <c r="E14">
        <f t="shared" si="0"/>
        <v>0</v>
      </c>
    </row>
    <row r="15" spans="2:8" x14ac:dyDescent="0.3">
      <c r="B15" t="s">
        <v>196</v>
      </c>
      <c r="C15" t="s">
        <v>185</v>
      </c>
      <c r="D15" t="s">
        <v>219</v>
      </c>
      <c r="E15">
        <f t="shared" si="0"/>
        <v>0</v>
      </c>
    </row>
    <row r="16" spans="2:8" x14ac:dyDescent="0.3">
      <c r="B16" t="s">
        <v>197</v>
      </c>
      <c r="C16" t="s">
        <v>185</v>
      </c>
      <c r="D16" t="s">
        <v>219</v>
      </c>
      <c r="E16">
        <f t="shared" si="0"/>
        <v>0</v>
      </c>
    </row>
    <row r="17" spans="2:5" x14ac:dyDescent="0.3">
      <c r="B17" t="s">
        <v>198</v>
      </c>
      <c r="C17" t="s">
        <v>185</v>
      </c>
      <c r="D17" t="s">
        <v>219</v>
      </c>
      <c r="E17">
        <f t="shared" si="0"/>
        <v>0</v>
      </c>
    </row>
    <row r="18" spans="2:5" x14ac:dyDescent="0.3">
      <c r="B18" t="s">
        <v>199</v>
      </c>
      <c r="C18" t="s">
        <v>185</v>
      </c>
      <c r="D18" t="s">
        <v>219</v>
      </c>
      <c r="E18">
        <f t="shared" si="0"/>
        <v>0</v>
      </c>
    </row>
    <row r="19" spans="2:5" x14ac:dyDescent="0.3">
      <c r="B19" t="s">
        <v>200</v>
      </c>
      <c r="C19" t="s">
        <v>185</v>
      </c>
      <c r="D19" t="s">
        <v>219</v>
      </c>
      <c r="E19">
        <f t="shared" si="0"/>
        <v>0</v>
      </c>
    </row>
    <row r="20" spans="2:5" x14ac:dyDescent="0.3">
      <c r="B20" t="s">
        <v>201</v>
      </c>
      <c r="C20" t="s">
        <v>185</v>
      </c>
      <c r="D20" t="s">
        <v>219</v>
      </c>
      <c r="E20">
        <f t="shared" si="0"/>
        <v>0</v>
      </c>
    </row>
    <row r="21" spans="2:5" x14ac:dyDescent="0.3">
      <c r="B21" t="s">
        <v>241</v>
      </c>
      <c r="C21" t="s">
        <v>185</v>
      </c>
      <c r="D21" t="s">
        <v>219</v>
      </c>
      <c r="E21">
        <f t="shared" si="0"/>
        <v>0</v>
      </c>
    </row>
    <row r="23" spans="2:5" x14ac:dyDescent="0.3">
      <c r="B23" t="s">
        <v>202</v>
      </c>
      <c r="C23" s="99">
        <f>SUM(E4:G21)</f>
        <v>0</v>
      </c>
    </row>
  </sheetData>
  <conditionalFormatting sqref="D4:D5 D15 D17">
    <cfRule type="containsText" dxfId="29" priority="30" operator="containsText" text="Yes">
      <formula>NOT(ISERROR(SEARCH("Yes",D4)))</formula>
    </cfRule>
    <cfRule type="containsText" dxfId="28" priority="31" operator="containsText" text="No">
      <formula>NOT(ISERROR(SEARCH("No",D4)))</formula>
    </cfRule>
  </conditionalFormatting>
  <conditionalFormatting sqref="C15 C4:C5 C17:C18">
    <cfRule type="notContainsBlanks" dxfId="27" priority="32">
      <formula>LEN(TRIM(C4))&gt;0</formula>
    </cfRule>
  </conditionalFormatting>
  <conditionalFormatting sqref="C23">
    <cfRule type="cellIs" dxfId="26" priority="28" operator="greaterThan">
      <formula>0</formula>
    </cfRule>
    <cfRule type="cellIs" dxfId="25" priority="29" operator="lessThan">
      <formula>1</formula>
    </cfRule>
  </conditionalFormatting>
  <conditionalFormatting sqref="D7">
    <cfRule type="containsText" dxfId="24" priority="25" operator="containsText" text="Yes">
      <formula>NOT(ISERROR(SEARCH("Yes",D7)))</formula>
    </cfRule>
    <cfRule type="containsText" dxfId="23" priority="26" operator="containsText" text="No">
      <formula>NOT(ISERROR(SEARCH("No",D7)))</formula>
    </cfRule>
  </conditionalFormatting>
  <conditionalFormatting sqref="C7">
    <cfRule type="notContainsBlanks" dxfId="22" priority="27">
      <formula>LEN(TRIM(C7))&gt;0</formula>
    </cfRule>
  </conditionalFormatting>
  <conditionalFormatting sqref="D18">
    <cfRule type="containsText" dxfId="21" priority="23" operator="containsText" text="Yes">
      <formula>NOT(ISERROR(SEARCH("Yes",D18)))</formula>
    </cfRule>
    <cfRule type="containsText" dxfId="20" priority="24" operator="containsText" text="No">
      <formula>NOT(ISERROR(SEARCH("No",D18)))</formula>
    </cfRule>
  </conditionalFormatting>
  <conditionalFormatting sqref="D12">
    <cfRule type="containsText" dxfId="19" priority="20" operator="containsText" text="Yes">
      <formula>NOT(ISERROR(SEARCH("Yes",D12)))</formula>
    </cfRule>
    <cfRule type="containsText" dxfId="18" priority="21" operator="containsText" text="No">
      <formula>NOT(ISERROR(SEARCH("No",D12)))</formula>
    </cfRule>
  </conditionalFormatting>
  <conditionalFormatting sqref="C12">
    <cfRule type="notContainsBlanks" dxfId="17" priority="22">
      <formula>LEN(TRIM(C12))&gt;0</formula>
    </cfRule>
  </conditionalFormatting>
  <conditionalFormatting sqref="D16 D19:D20">
    <cfRule type="containsText" dxfId="16" priority="15" operator="containsText" text="Yes">
      <formula>NOT(ISERROR(SEARCH("Yes",D16)))</formula>
    </cfRule>
    <cfRule type="containsText" dxfId="15" priority="16" operator="containsText" text="No">
      <formula>NOT(ISERROR(SEARCH("No",D16)))</formula>
    </cfRule>
  </conditionalFormatting>
  <conditionalFormatting sqref="C16 C19:C21">
    <cfRule type="notContainsBlanks" dxfId="14" priority="17">
      <formula>LEN(TRIM(C16))&gt;0</formula>
    </cfRule>
  </conditionalFormatting>
  <conditionalFormatting sqref="D21">
    <cfRule type="containsText" dxfId="13" priority="13" operator="containsText" text="Yes">
      <formula>NOT(ISERROR(SEARCH("Yes",D21)))</formula>
    </cfRule>
    <cfRule type="containsText" dxfId="12" priority="14" operator="containsText" text="No">
      <formula>NOT(ISERROR(SEARCH("No",D21)))</formula>
    </cfRule>
  </conditionalFormatting>
  <conditionalFormatting sqref="D13">
    <cfRule type="containsText" dxfId="11" priority="10" operator="containsText" text="Yes">
      <formula>NOT(ISERROR(SEARCH("Yes",D13)))</formula>
    </cfRule>
    <cfRule type="containsText" dxfId="10" priority="11" operator="containsText" text="No">
      <formula>NOT(ISERROR(SEARCH("No",D13)))</formula>
    </cfRule>
  </conditionalFormatting>
  <conditionalFormatting sqref="C13">
    <cfRule type="notContainsBlanks" dxfId="9" priority="12">
      <formula>LEN(TRIM(C13))&gt;0</formula>
    </cfRule>
  </conditionalFormatting>
  <conditionalFormatting sqref="D14">
    <cfRule type="containsText" dxfId="8" priority="7" operator="containsText" text="Yes">
      <formula>NOT(ISERROR(SEARCH("Yes",D14)))</formula>
    </cfRule>
    <cfRule type="containsText" dxfId="7" priority="8" operator="containsText" text="No">
      <formula>NOT(ISERROR(SEARCH("No",D14)))</formula>
    </cfRule>
  </conditionalFormatting>
  <conditionalFormatting sqref="C14">
    <cfRule type="notContainsBlanks" dxfId="6" priority="9">
      <formula>LEN(TRIM(C14))&gt;0</formula>
    </cfRule>
  </conditionalFormatting>
  <conditionalFormatting sqref="D8:D11">
    <cfRule type="containsText" dxfId="5" priority="4" operator="containsText" text="Yes">
      <formula>NOT(ISERROR(SEARCH("Yes",D8)))</formula>
    </cfRule>
    <cfRule type="containsText" dxfId="4" priority="5" operator="containsText" text="No">
      <formula>NOT(ISERROR(SEARCH("No",D8)))</formula>
    </cfRule>
  </conditionalFormatting>
  <conditionalFormatting sqref="C8:C11">
    <cfRule type="notContainsBlanks" dxfId="3" priority="6">
      <formula>LEN(TRIM(C8))&gt;0</formula>
    </cfRule>
  </conditionalFormatting>
  <conditionalFormatting sqref="D6">
    <cfRule type="containsText" dxfId="2" priority="1" operator="containsText" text="Yes">
      <formula>NOT(ISERROR(SEARCH("Yes",D6)))</formula>
    </cfRule>
    <cfRule type="containsText" dxfId="1" priority="2" operator="containsText" text="No">
      <formula>NOT(ISERROR(SEARCH("No",D6)))</formula>
    </cfRule>
  </conditionalFormatting>
  <conditionalFormatting sqref="C6">
    <cfRule type="notContainsBlanks" dxfId="0" priority="3">
      <formula>LEN(TRIM(C6))&gt;0</formula>
    </cfRule>
  </conditionalFormatting>
  <dataValidations count="2">
    <dataValidation type="list" allowBlank="1" showInputMessage="1" showErrorMessage="1" sqref="D4:D21" xr:uid="{22BC9A53-55F4-4FE5-9079-5DBF22E62A98}">
      <formula1>$G$1:$G$2</formula1>
    </dataValidation>
    <dataValidation type="list" allowBlank="1" showInputMessage="1" showErrorMessage="1" sqref="C4:C20" xr:uid="{98717C8E-7072-47F8-A7A3-81C85C27BB9C}">
      <formula1>$F$3:$F$10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N57"/>
  <sheetViews>
    <sheetView workbookViewId="0">
      <selection activeCell="B13" sqref="B13"/>
    </sheetView>
  </sheetViews>
  <sheetFormatPr defaultColWidth="9.21875" defaultRowHeight="14.4" x14ac:dyDescent="0.3"/>
  <cols>
    <col min="1" max="1" width="50.77734375" style="4" customWidth="1"/>
    <col min="2" max="9" width="8.77734375" style="4" customWidth="1"/>
    <col min="10" max="10" width="2.77734375" style="4" customWidth="1"/>
    <col min="11" max="18" width="8.77734375" style="4" customWidth="1"/>
    <col min="19" max="19" width="2.77734375" style="4" customWidth="1"/>
    <col min="20" max="27" width="8.77734375" style="4" customWidth="1"/>
    <col min="28" max="28" width="2.77734375" style="4" customWidth="1"/>
    <col min="29" max="36" width="8.77734375" style="4" customWidth="1"/>
    <col min="37" max="16384" width="9.21875" style="4"/>
  </cols>
  <sheetData>
    <row r="1" spans="1:40" s="1" customFormat="1" ht="23.25" customHeight="1" x14ac:dyDescent="0.45">
      <c r="A1" s="149" t="s">
        <v>77</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row>
    <row r="2" spans="1:40" s="3" customFormat="1" x14ac:dyDescent="0.3">
      <c r="A2" s="2"/>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row>
    <row r="3" spans="1:40" s="3" customFormat="1" x14ac:dyDescent="0.3">
      <c r="A3" s="2"/>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row>
    <row r="4" spans="1:40" s="3" customFormat="1" x14ac:dyDescent="0.3">
      <c r="A4" s="2"/>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row>
    <row r="5" spans="1:40" s="3" customFormat="1" x14ac:dyDescent="0.3">
      <c r="A5" s="2"/>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row>
    <row r="6" spans="1:40" s="8" customFormat="1" ht="15.75" customHeight="1" thickBot="1" x14ac:dyDescent="0.35">
      <c r="A6" s="4"/>
      <c r="B6" s="153" t="s">
        <v>1</v>
      </c>
      <c r="C6" s="153"/>
      <c r="D6" s="153"/>
      <c r="E6" s="153"/>
      <c r="F6" s="153"/>
      <c r="G6" s="153"/>
      <c r="H6" s="153"/>
      <c r="I6" s="153"/>
      <c r="J6" s="39"/>
      <c r="K6" s="153" t="s">
        <v>83</v>
      </c>
      <c r="L6" s="153"/>
      <c r="M6" s="153"/>
      <c r="N6" s="153"/>
      <c r="O6" s="153"/>
      <c r="P6" s="153"/>
      <c r="Q6" s="153"/>
      <c r="R6" s="153"/>
      <c r="S6" s="39"/>
      <c r="T6" s="153" t="s">
        <v>3</v>
      </c>
      <c r="U6" s="153"/>
      <c r="V6" s="153"/>
      <c r="W6" s="153"/>
      <c r="X6" s="153"/>
      <c r="Y6" s="153"/>
      <c r="Z6" s="153"/>
      <c r="AA6" s="153"/>
      <c r="AB6" s="39"/>
      <c r="AC6" s="153" t="s">
        <v>4</v>
      </c>
      <c r="AD6" s="153"/>
      <c r="AE6" s="153"/>
      <c r="AF6" s="153"/>
      <c r="AG6" s="153"/>
      <c r="AH6" s="153"/>
      <c r="AI6" s="153"/>
      <c r="AJ6" s="153"/>
    </row>
    <row r="7" spans="1:40" s="15" customFormat="1" ht="87" thickBot="1" x14ac:dyDescent="0.35">
      <c r="A7" s="9" t="s">
        <v>6</v>
      </c>
      <c r="B7" s="10" t="s">
        <v>78</v>
      </c>
      <c r="C7" s="10" t="s">
        <v>79</v>
      </c>
      <c r="D7" s="10" t="s">
        <v>8</v>
      </c>
      <c r="E7" s="10" t="s">
        <v>9</v>
      </c>
      <c r="F7" s="10" t="s">
        <v>10</v>
      </c>
      <c r="G7" s="10" t="s">
        <v>80</v>
      </c>
      <c r="H7" s="10" t="s">
        <v>81</v>
      </c>
      <c r="I7" s="10" t="s">
        <v>82</v>
      </c>
      <c r="J7" s="41"/>
      <c r="K7" s="10" t="s">
        <v>78</v>
      </c>
      <c r="L7" s="10" t="s">
        <v>79</v>
      </c>
      <c r="M7" s="10" t="s">
        <v>8</v>
      </c>
      <c r="N7" s="10" t="s">
        <v>9</v>
      </c>
      <c r="O7" s="10" t="s">
        <v>10</v>
      </c>
      <c r="P7" s="10" t="s">
        <v>80</v>
      </c>
      <c r="Q7" s="10" t="s">
        <v>81</v>
      </c>
      <c r="R7" s="10" t="s">
        <v>82</v>
      </c>
      <c r="S7" s="41"/>
      <c r="T7" s="10" t="s">
        <v>78</v>
      </c>
      <c r="U7" s="10" t="s">
        <v>79</v>
      </c>
      <c r="V7" s="10" t="s">
        <v>8</v>
      </c>
      <c r="W7" s="10" t="s">
        <v>9</v>
      </c>
      <c r="X7" s="10" t="s">
        <v>10</v>
      </c>
      <c r="Y7" s="10" t="s">
        <v>80</v>
      </c>
      <c r="Z7" s="10" t="s">
        <v>81</v>
      </c>
      <c r="AA7" s="10" t="s">
        <v>82</v>
      </c>
      <c r="AB7" s="41"/>
      <c r="AC7" s="10" t="s">
        <v>78</v>
      </c>
      <c r="AD7" s="10" t="s">
        <v>79</v>
      </c>
      <c r="AE7" s="10" t="s">
        <v>8</v>
      </c>
      <c r="AF7" s="10" t="s">
        <v>9</v>
      </c>
      <c r="AG7" s="10" t="s">
        <v>10</v>
      </c>
      <c r="AH7" s="10" t="s">
        <v>80</v>
      </c>
      <c r="AI7" s="10" t="s">
        <v>81</v>
      </c>
      <c r="AJ7" s="10" t="s">
        <v>82</v>
      </c>
    </row>
    <row r="8" spans="1:40" s="8" customFormat="1" ht="15" customHeight="1" x14ac:dyDescent="0.3">
      <c r="A8" s="16" t="s">
        <v>15</v>
      </c>
      <c r="B8" s="22">
        <f>B9+B49</f>
        <v>804</v>
      </c>
      <c r="C8" s="22">
        <f t="shared" ref="C8:I8" si="0">C9+C49</f>
        <v>20</v>
      </c>
      <c r="D8" s="22">
        <f t="shared" si="0"/>
        <v>48</v>
      </c>
      <c r="E8" s="22">
        <f t="shared" si="0"/>
        <v>17</v>
      </c>
      <c r="F8" s="22">
        <f t="shared" si="0"/>
        <v>18</v>
      </c>
      <c r="G8" s="22">
        <f t="shared" si="0"/>
        <v>0</v>
      </c>
      <c r="H8" s="22">
        <f t="shared" si="0"/>
        <v>5</v>
      </c>
      <c r="I8" s="22">
        <f t="shared" si="0"/>
        <v>194</v>
      </c>
      <c r="J8" s="22"/>
      <c r="K8" s="22">
        <f t="shared" ref="K8:R8" si="1">K9+K49</f>
        <v>1015</v>
      </c>
      <c r="L8" s="22">
        <f t="shared" si="1"/>
        <v>48</v>
      </c>
      <c r="M8" s="22">
        <f t="shared" si="1"/>
        <v>10</v>
      </c>
      <c r="N8" s="22">
        <f t="shared" si="1"/>
        <v>1</v>
      </c>
      <c r="O8" s="22">
        <f t="shared" si="1"/>
        <v>0</v>
      </c>
      <c r="P8" s="22">
        <f t="shared" si="1"/>
        <v>0</v>
      </c>
      <c r="Q8" s="22">
        <f t="shared" si="1"/>
        <v>4</v>
      </c>
      <c r="R8" s="22">
        <f t="shared" si="1"/>
        <v>430</v>
      </c>
      <c r="S8" s="22"/>
      <c r="T8" s="22">
        <f t="shared" ref="T8:AA8" si="2">T9+T49</f>
        <v>89</v>
      </c>
      <c r="U8" s="22">
        <f t="shared" si="2"/>
        <v>2</v>
      </c>
      <c r="V8" s="22">
        <f t="shared" si="2"/>
        <v>2</v>
      </c>
      <c r="W8" s="22">
        <f t="shared" si="2"/>
        <v>1</v>
      </c>
      <c r="X8" s="22">
        <f t="shared" si="2"/>
        <v>1</v>
      </c>
      <c r="Y8" s="22">
        <f t="shared" si="2"/>
        <v>0</v>
      </c>
      <c r="Z8" s="22">
        <f t="shared" si="2"/>
        <v>0</v>
      </c>
      <c r="AA8" s="22">
        <f t="shared" si="2"/>
        <v>29</v>
      </c>
      <c r="AB8" s="22"/>
      <c r="AC8" s="22">
        <f t="shared" ref="AC8:AJ8" si="3">AC9+AC49</f>
        <v>688</v>
      </c>
      <c r="AD8" s="22">
        <f t="shared" si="3"/>
        <v>13</v>
      </c>
      <c r="AE8" s="22">
        <f t="shared" si="3"/>
        <v>18</v>
      </c>
      <c r="AF8" s="22">
        <f t="shared" si="3"/>
        <v>28</v>
      </c>
      <c r="AG8" s="22">
        <f t="shared" si="3"/>
        <v>30</v>
      </c>
      <c r="AH8" s="22">
        <f t="shared" si="3"/>
        <v>4</v>
      </c>
      <c r="AI8" s="22">
        <f t="shared" si="3"/>
        <v>11</v>
      </c>
      <c r="AJ8" s="22">
        <f t="shared" si="3"/>
        <v>236</v>
      </c>
    </row>
    <row r="9" spans="1:40" s="8" customFormat="1" ht="15" customHeight="1" x14ac:dyDescent="0.3">
      <c r="A9" s="21" t="s">
        <v>16</v>
      </c>
      <c r="B9" s="22">
        <f>SUM(B10:B48)</f>
        <v>487</v>
      </c>
      <c r="C9" s="22">
        <f t="shared" ref="C9:I9" si="4">SUM(C10:C48)</f>
        <v>9</v>
      </c>
      <c r="D9" s="22">
        <f t="shared" si="4"/>
        <v>11</v>
      </c>
      <c r="E9" s="22">
        <f t="shared" si="4"/>
        <v>5</v>
      </c>
      <c r="F9" s="22">
        <f t="shared" si="4"/>
        <v>1</v>
      </c>
      <c r="G9" s="22">
        <f t="shared" si="4"/>
        <v>0</v>
      </c>
      <c r="H9" s="22">
        <f t="shared" si="4"/>
        <v>0</v>
      </c>
      <c r="I9" s="22">
        <f t="shared" si="4"/>
        <v>153</v>
      </c>
      <c r="J9" s="22"/>
      <c r="K9" s="22">
        <f t="shared" ref="K9:R9" si="5">SUM(K10:K48)</f>
        <v>962</v>
      </c>
      <c r="L9" s="22">
        <f t="shared" si="5"/>
        <v>48</v>
      </c>
      <c r="M9" s="22">
        <f t="shared" si="5"/>
        <v>9</v>
      </c>
      <c r="N9" s="22">
        <f t="shared" si="5"/>
        <v>1</v>
      </c>
      <c r="O9" s="22">
        <f t="shared" si="5"/>
        <v>0</v>
      </c>
      <c r="P9" s="22">
        <f t="shared" si="5"/>
        <v>0</v>
      </c>
      <c r="Q9" s="22">
        <f t="shared" si="5"/>
        <v>4</v>
      </c>
      <c r="R9" s="22">
        <f t="shared" si="5"/>
        <v>429</v>
      </c>
      <c r="S9" s="22"/>
      <c r="T9" s="22">
        <f t="shared" ref="T9:AA9" si="6">SUM(T10:T48)</f>
        <v>61</v>
      </c>
      <c r="U9" s="22">
        <f t="shared" si="6"/>
        <v>1</v>
      </c>
      <c r="V9" s="22">
        <f t="shared" si="6"/>
        <v>0</v>
      </c>
      <c r="W9" s="22">
        <f t="shared" si="6"/>
        <v>0</v>
      </c>
      <c r="X9" s="22">
        <f t="shared" si="6"/>
        <v>0</v>
      </c>
      <c r="Y9" s="22">
        <f t="shared" si="6"/>
        <v>0</v>
      </c>
      <c r="Z9" s="22">
        <f t="shared" si="6"/>
        <v>0</v>
      </c>
      <c r="AA9" s="22">
        <f t="shared" si="6"/>
        <v>29</v>
      </c>
      <c r="AB9" s="22"/>
      <c r="AC9" s="22">
        <f t="shared" ref="AC9:AJ9" si="7">SUM(AC10:AC48)</f>
        <v>484</v>
      </c>
      <c r="AD9" s="22">
        <f t="shared" si="7"/>
        <v>7</v>
      </c>
      <c r="AE9" s="22">
        <f t="shared" si="7"/>
        <v>14</v>
      </c>
      <c r="AF9" s="22">
        <f t="shared" si="7"/>
        <v>12</v>
      </c>
      <c r="AG9" s="22">
        <f t="shared" si="7"/>
        <v>10</v>
      </c>
      <c r="AH9" s="22">
        <f t="shared" si="7"/>
        <v>2</v>
      </c>
      <c r="AI9" s="22">
        <f t="shared" si="7"/>
        <v>3</v>
      </c>
      <c r="AJ9" s="22">
        <f t="shared" si="7"/>
        <v>194</v>
      </c>
    </row>
    <row r="10" spans="1:40" s="8" customFormat="1" ht="15" customHeight="1" x14ac:dyDescent="0.3">
      <c r="A10" s="4" t="s">
        <v>17</v>
      </c>
      <c r="B10" s="24">
        <v>21</v>
      </c>
      <c r="C10" s="24">
        <v>0</v>
      </c>
      <c r="D10" s="24">
        <v>1</v>
      </c>
      <c r="E10" s="24">
        <v>0</v>
      </c>
      <c r="F10" s="24">
        <v>0</v>
      </c>
      <c r="G10" s="24">
        <v>0</v>
      </c>
      <c r="H10" s="24">
        <v>0</v>
      </c>
      <c r="I10" s="24">
        <v>3</v>
      </c>
      <c r="J10" s="24"/>
      <c r="K10" s="24">
        <v>22</v>
      </c>
      <c r="L10" s="24">
        <v>0</v>
      </c>
      <c r="M10" s="24">
        <v>0</v>
      </c>
      <c r="N10" s="24">
        <v>0</v>
      </c>
      <c r="O10" s="24">
        <v>0</v>
      </c>
      <c r="P10" s="24">
        <v>0</v>
      </c>
      <c r="Q10" s="24">
        <v>1</v>
      </c>
      <c r="R10" s="24">
        <v>7</v>
      </c>
      <c r="S10" s="24"/>
      <c r="T10" s="24">
        <v>2</v>
      </c>
      <c r="U10" s="24">
        <v>0</v>
      </c>
      <c r="V10" s="24">
        <v>0</v>
      </c>
      <c r="W10" s="24">
        <v>0</v>
      </c>
      <c r="X10" s="24">
        <v>0</v>
      </c>
      <c r="Y10" s="24">
        <v>0</v>
      </c>
      <c r="Z10" s="24">
        <v>0</v>
      </c>
      <c r="AA10" s="24">
        <v>0</v>
      </c>
      <c r="AB10" s="24"/>
      <c r="AC10" s="24">
        <v>18</v>
      </c>
      <c r="AD10" s="24">
        <v>1</v>
      </c>
      <c r="AE10" s="24">
        <v>0</v>
      </c>
      <c r="AF10" s="24">
        <v>0</v>
      </c>
      <c r="AG10" s="24">
        <v>0</v>
      </c>
      <c r="AH10" s="24">
        <v>0</v>
      </c>
      <c r="AI10" s="24">
        <v>1</v>
      </c>
      <c r="AJ10" s="24">
        <v>4</v>
      </c>
    </row>
    <row r="11" spans="1:40" s="8" customFormat="1" ht="15" customHeight="1" x14ac:dyDescent="0.3">
      <c r="A11" s="4" t="s">
        <v>18</v>
      </c>
      <c r="B11" s="24">
        <v>18</v>
      </c>
      <c r="C11" s="24">
        <v>0</v>
      </c>
      <c r="D11" s="24">
        <v>1</v>
      </c>
      <c r="E11" s="24">
        <v>0</v>
      </c>
      <c r="F11" s="24">
        <v>1</v>
      </c>
      <c r="G11" s="24">
        <v>0</v>
      </c>
      <c r="H11" s="24">
        <v>0</v>
      </c>
      <c r="I11" s="24">
        <v>5</v>
      </c>
      <c r="J11" s="24"/>
      <c r="K11" s="24">
        <v>18</v>
      </c>
      <c r="L11" s="24">
        <v>1</v>
      </c>
      <c r="M11" s="24">
        <v>1</v>
      </c>
      <c r="N11" s="24">
        <v>0</v>
      </c>
      <c r="O11" s="24">
        <v>0</v>
      </c>
      <c r="P11" s="24">
        <v>0</v>
      </c>
      <c r="Q11" s="24">
        <v>0</v>
      </c>
      <c r="R11" s="24">
        <v>13</v>
      </c>
      <c r="S11" s="24"/>
      <c r="T11" s="24">
        <v>0</v>
      </c>
      <c r="U11" s="24">
        <v>0</v>
      </c>
      <c r="V11" s="24">
        <v>0</v>
      </c>
      <c r="W11" s="24">
        <v>0</v>
      </c>
      <c r="X11" s="24">
        <v>0</v>
      </c>
      <c r="Y11" s="24">
        <v>0</v>
      </c>
      <c r="Z11" s="24">
        <v>0</v>
      </c>
      <c r="AA11" s="24">
        <v>0</v>
      </c>
      <c r="AB11" s="24"/>
      <c r="AC11" s="24">
        <v>16</v>
      </c>
      <c r="AD11" s="24">
        <v>0</v>
      </c>
      <c r="AE11" s="24">
        <v>0</v>
      </c>
      <c r="AF11" s="24">
        <v>0</v>
      </c>
      <c r="AG11" s="24">
        <v>0</v>
      </c>
      <c r="AH11" s="24">
        <v>0</v>
      </c>
      <c r="AI11" s="24">
        <v>0</v>
      </c>
      <c r="AJ11" s="24">
        <v>10</v>
      </c>
    </row>
    <row r="12" spans="1:40" s="8" customFormat="1" ht="15" customHeight="1" x14ac:dyDescent="0.3">
      <c r="A12" s="4" t="s">
        <v>19</v>
      </c>
      <c r="B12" s="24">
        <v>20</v>
      </c>
      <c r="C12" s="24">
        <v>0</v>
      </c>
      <c r="D12" s="24">
        <v>0</v>
      </c>
      <c r="E12" s="24">
        <v>0</v>
      </c>
      <c r="F12" s="24">
        <v>0</v>
      </c>
      <c r="G12" s="24">
        <v>0</v>
      </c>
      <c r="H12" s="24">
        <v>0</v>
      </c>
      <c r="I12" s="24">
        <v>1</v>
      </c>
      <c r="J12" s="24"/>
      <c r="K12" s="24">
        <v>19</v>
      </c>
      <c r="L12" s="24">
        <v>0</v>
      </c>
      <c r="M12" s="24">
        <v>1</v>
      </c>
      <c r="N12" s="24">
        <v>0</v>
      </c>
      <c r="O12" s="24">
        <v>0</v>
      </c>
      <c r="P12" s="24">
        <v>0</v>
      </c>
      <c r="Q12" s="24">
        <v>0</v>
      </c>
      <c r="R12" s="24">
        <v>0</v>
      </c>
      <c r="S12" s="24"/>
      <c r="T12" s="24">
        <v>9</v>
      </c>
      <c r="U12" s="24">
        <v>0</v>
      </c>
      <c r="V12" s="24">
        <v>0</v>
      </c>
      <c r="W12" s="24">
        <v>0</v>
      </c>
      <c r="X12" s="24">
        <v>0</v>
      </c>
      <c r="Y12" s="24">
        <v>0</v>
      </c>
      <c r="Z12" s="24">
        <v>0</v>
      </c>
      <c r="AA12" s="24">
        <v>0</v>
      </c>
      <c r="AB12" s="24"/>
      <c r="AC12" s="24">
        <v>32</v>
      </c>
      <c r="AD12" s="24">
        <v>0</v>
      </c>
      <c r="AE12" s="24">
        <v>3</v>
      </c>
      <c r="AF12" s="24">
        <v>2</v>
      </c>
      <c r="AG12" s="24">
        <v>2</v>
      </c>
      <c r="AH12" s="24">
        <v>1</v>
      </c>
      <c r="AI12" s="24">
        <v>0</v>
      </c>
      <c r="AJ12" s="24">
        <v>2</v>
      </c>
    </row>
    <row r="13" spans="1:40" s="8" customFormat="1" ht="15" customHeight="1" x14ac:dyDescent="0.3">
      <c r="A13" s="4" t="s">
        <v>20</v>
      </c>
      <c r="B13" s="24">
        <v>11</v>
      </c>
      <c r="C13" s="24">
        <v>0</v>
      </c>
      <c r="D13" s="24">
        <v>0</v>
      </c>
      <c r="E13" s="24">
        <v>0</v>
      </c>
      <c r="F13" s="24">
        <v>0</v>
      </c>
      <c r="G13" s="24">
        <v>0</v>
      </c>
      <c r="H13" s="24">
        <v>0</v>
      </c>
      <c r="I13" s="24">
        <v>0</v>
      </c>
      <c r="J13" s="24"/>
      <c r="K13" s="24">
        <v>20</v>
      </c>
      <c r="L13" s="24">
        <v>0</v>
      </c>
      <c r="M13" s="24">
        <v>0</v>
      </c>
      <c r="N13" s="24">
        <v>0</v>
      </c>
      <c r="O13" s="24">
        <v>0</v>
      </c>
      <c r="P13" s="24">
        <v>0</v>
      </c>
      <c r="Q13" s="24">
        <v>0</v>
      </c>
      <c r="R13" s="24">
        <v>0</v>
      </c>
      <c r="S13" s="24"/>
      <c r="T13" s="24">
        <v>0</v>
      </c>
      <c r="U13" s="24">
        <v>0</v>
      </c>
      <c r="V13" s="24">
        <v>0</v>
      </c>
      <c r="W13" s="24">
        <v>0</v>
      </c>
      <c r="X13" s="24">
        <v>0</v>
      </c>
      <c r="Y13" s="24">
        <v>0</v>
      </c>
      <c r="Z13" s="24">
        <v>0</v>
      </c>
      <c r="AA13" s="24">
        <v>0</v>
      </c>
      <c r="AB13" s="24"/>
      <c r="AC13" s="24">
        <v>13</v>
      </c>
      <c r="AD13" s="24">
        <v>0</v>
      </c>
      <c r="AE13" s="24">
        <v>0</v>
      </c>
      <c r="AF13" s="24">
        <v>0</v>
      </c>
      <c r="AG13" s="24">
        <v>0</v>
      </c>
      <c r="AH13" s="24">
        <v>0</v>
      </c>
      <c r="AI13" s="24">
        <v>0</v>
      </c>
      <c r="AJ13" s="24">
        <v>0</v>
      </c>
    </row>
    <row r="14" spans="1:40" s="8" customFormat="1" ht="15" customHeight="1" x14ac:dyDescent="0.3">
      <c r="A14" s="4" t="s">
        <v>21</v>
      </c>
      <c r="B14" s="24">
        <v>7</v>
      </c>
      <c r="C14" s="24">
        <v>0</v>
      </c>
      <c r="D14" s="24">
        <v>0</v>
      </c>
      <c r="E14" s="24">
        <v>0</v>
      </c>
      <c r="F14" s="24">
        <v>0</v>
      </c>
      <c r="G14" s="24">
        <v>0</v>
      </c>
      <c r="H14" s="24">
        <v>0</v>
      </c>
      <c r="I14" s="24">
        <v>0</v>
      </c>
      <c r="J14" s="24"/>
      <c r="K14" s="24">
        <v>30</v>
      </c>
      <c r="L14" s="24">
        <v>0</v>
      </c>
      <c r="M14" s="24">
        <v>0</v>
      </c>
      <c r="N14" s="24">
        <v>0</v>
      </c>
      <c r="O14" s="24">
        <v>0</v>
      </c>
      <c r="P14" s="24">
        <v>0</v>
      </c>
      <c r="Q14" s="24">
        <v>0</v>
      </c>
      <c r="R14" s="24">
        <v>0</v>
      </c>
      <c r="S14" s="24"/>
      <c r="T14" s="24">
        <v>3</v>
      </c>
      <c r="U14" s="24">
        <v>1</v>
      </c>
      <c r="V14" s="24">
        <v>0</v>
      </c>
      <c r="W14" s="24">
        <v>0</v>
      </c>
      <c r="X14" s="24">
        <v>0</v>
      </c>
      <c r="Y14" s="24">
        <v>0</v>
      </c>
      <c r="Z14" s="24">
        <v>0</v>
      </c>
      <c r="AA14" s="24">
        <v>5</v>
      </c>
      <c r="AB14" s="24"/>
      <c r="AC14" s="24">
        <v>18</v>
      </c>
      <c r="AD14" s="24">
        <v>1</v>
      </c>
      <c r="AE14" s="24">
        <v>0</v>
      </c>
      <c r="AF14" s="24">
        <v>1</v>
      </c>
      <c r="AG14" s="24">
        <v>1</v>
      </c>
      <c r="AH14" s="24">
        <v>0</v>
      </c>
      <c r="AI14" s="24">
        <v>1</v>
      </c>
      <c r="AJ14" s="24">
        <v>2</v>
      </c>
    </row>
    <row r="15" spans="1:40" s="8" customFormat="1" ht="15" customHeight="1" x14ac:dyDescent="0.3">
      <c r="A15" s="4" t="s">
        <v>22</v>
      </c>
      <c r="B15" s="24">
        <v>18</v>
      </c>
      <c r="C15" s="24">
        <v>0</v>
      </c>
      <c r="D15" s="24">
        <v>0</v>
      </c>
      <c r="E15" s="24">
        <v>1</v>
      </c>
      <c r="F15" s="24">
        <v>0</v>
      </c>
      <c r="G15" s="24">
        <v>0</v>
      </c>
      <c r="H15" s="24">
        <v>0</v>
      </c>
      <c r="I15" s="24">
        <v>0</v>
      </c>
      <c r="J15" s="24"/>
      <c r="K15" s="24">
        <v>21</v>
      </c>
      <c r="L15" s="24">
        <v>0</v>
      </c>
      <c r="M15" s="24">
        <v>0</v>
      </c>
      <c r="N15" s="24">
        <v>0</v>
      </c>
      <c r="O15" s="24">
        <v>0</v>
      </c>
      <c r="P15" s="24">
        <v>0</v>
      </c>
      <c r="Q15" s="24">
        <v>0</v>
      </c>
      <c r="R15" s="24">
        <v>0</v>
      </c>
      <c r="S15" s="24"/>
      <c r="T15" s="24">
        <v>0</v>
      </c>
      <c r="U15" s="24">
        <v>0</v>
      </c>
      <c r="V15" s="24">
        <v>0</v>
      </c>
      <c r="W15" s="24">
        <v>0</v>
      </c>
      <c r="X15" s="24">
        <v>0</v>
      </c>
      <c r="Y15" s="24">
        <v>0</v>
      </c>
      <c r="Z15" s="24">
        <v>0</v>
      </c>
      <c r="AA15" s="24">
        <v>0</v>
      </c>
      <c r="AB15" s="24"/>
      <c r="AC15" s="24">
        <v>37</v>
      </c>
      <c r="AD15" s="24">
        <v>0</v>
      </c>
      <c r="AE15" s="24">
        <v>0</v>
      </c>
      <c r="AF15" s="24">
        <v>0</v>
      </c>
      <c r="AG15" s="24">
        <v>0</v>
      </c>
      <c r="AH15" s="24">
        <v>0</v>
      </c>
      <c r="AI15" s="24">
        <v>0</v>
      </c>
      <c r="AJ15" s="24">
        <v>1</v>
      </c>
    </row>
    <row r="16" spans="1:40" s="8" customFormat="1" ht="15" customHeight="1" x14ac:dyDescent="0.3">
      <c r="A16" s="4" t="s">
        <v>23</v>
      </c>
      <c r="B16" s="24">
        <v>22</v>
      </c>
      <c r="C16" s="24">
        <v>0</v>
      </c>
      <c r="D16" s="24">
        <v>0</v>
      </c>
      <c r="E16" s="24">
        <v>0</v>
      </c>
      <c r="F16" s="24">
        <v>0</v>
      </c>
      <c r="G16" s="24">
        <v>0</v>
      </c>
      <c r="H16" s="24">
        <v>0</v>
      </c>
      <c r="I16" s="24">
        <v>0</v>
      </c>
      <c r="J16" s="24"/>
      <c r="K16" s="24">
        <v>11</v>
      </c>
      <c r="L16" s="24">
        <v>0</v>
      </c>
      <c r="M16" s="24">
        <v>0</v>
      </c>
      <c r="N16" s="24">
        <v>0</v>
      </c>
      <c r="O16" s="24">
        <v>0</v>
      </c>
      <c r="P16" s="24">
        <v>0</v>
      </c>
      <c r="Q16" s="24">
        <v>0</v>
      </c>
      <c r="R16" s="24">
        <v>0</v>
      </c>
      <c r="S16" s="24"/>
      <c r="T16" s="24">
        <v>1</v>
      </c>
      <c r="U16" s="24">
        <v>0</v>
      </c>
      <c r="V16" s="24">
        <v>0</v>
      </c>
      <c r="W16" s="24">
        <v>0</v>
      </c>
      <c r="X16" s="24">
        <v>0</v>
      </c>
      <c r="Y16" s="24">
        <v>0</v>
      </c>
      <c r="Z16" s="24">
        <v>0</v>
      </c>
      <c r="AA16" s="24">
        <v>0</v>
      </c>
      <c r="AB16" s="24"/>
      <c r="AC16" s="24">
        <v>13</v>
      </c>
      <c r="AD16" s="24">
        <v>0</v>
      </c>
      <c r="AE16" s="24">
        <v>0</v>
      </c>
      <c r="AF16" s="24">
        <v>0</v>
      </c>
      <c r="AG16" s="24">
        <v>0</v>
      </c>
      <c r="AH16" s="24">
        <v>0</v>
      </c>
      <c r="AI16" s="24">
        <v>0</v>
      </c>
      <c r="AJ16" s="24">
        <v>0</v>
      </c>
    </row>
    <row r="17" spans="1:36" s="8" customFormat="1" ht="15" customHeight="1" x14ac:dyDescent="0.3">
      <c r="A17" s="4" t="s">
        <v>24</v>
      </c>
      <c r="B17" s="24">
        <v>0</v>
      </c>
      <c r="C17" s="24">
        <v>0</v>
      </c>
      <c r="D17" s="24">
        <v>0</v>
      </c>
      <c r="E17" s="24">
        <v>0</v>
      </c>
      <c r="F17" s="24">
        <v>0</v>
      </c>
      <c r="G17" s="24">
        <v>0</v>
      </c>
      <c r="H17" s="24">
        <v>0</v>
      </c>
      <c r="I17" s="24">
        <v>5</v>
      </c>
      <c r="J17" s="24"/>
      <c r="K17" s="24">
        <v>8</v>
      </c>
      <c r="L17" s="24">
        <v>0</v>
      </c>
      <c r="M17" s="24">
        <v>0</v>
      </c>
      <c r="N17" s="24">
        <v>0</v>
      </c>
      <c r="O17" s="24">
        <v>0</v>
      </c>
      <c r="P17" s="24">
        <v>0</v>
      </c>
      <c r="Q17" s="24">
        <v>0</v>
      </c>
      <c r="R17" s="24">
        <v>15</v>
      </c>
      <c r="S17" s="24"/>
      <c r="T17" s="24">
        <v>0</v>
      </c>
      <c r="U17" s="24">
        <v>0</v>
      </c>
      <c r="V17" s="24">
        <v>0</v>
      </c>
      <c r="W17" s="24">
        <v>0</v>
      </c>
      <c r="X17" s="24">
        <v>0</v>
      </c>
      <c r="Y17" s="24">
        <v>0</v>
      </c>
      <c r="Z17" s="24">
        <v>0</v>
      </c>
      <c r="AA17" s="24">
        <v>3</v>
      </c>
      <c r="AB17" s="24"/>
      <c r="AC17" s="24">
        <v>1</v>
      </c>
      <c r="AD17" s="24">
        <v>0</v>
      </c>
      <c r="AE17" s="24">
        <v>0</v>
      </c>
      <c r="AF17" s="24">
        <v>0</v>
      </c>
      <c r="AG17" s="24">
        <v>0</v>
      </c>
      <c r="AH17" s="24">
        <v>0</v>
      </c>
      <c r="AI17" s="24">
        <v>0</v>
      </c>
      <c r="AJ17" s="24">
        <v>6</v>
      </c>
    </row>
    <row r="18" spans="1:36" s="8" customFormat="1" ht="15" customHeight="1" x14ac:dyDescent="0.3">
      <c r="A18" s="4" t="s">
        <v>25</v>
      </c>
      <c r="B18" s="24">
        <v>1</v>
      </c>
      <c r="C18" s="24">
        <v>0</v>
      </c>
      <c r="D18" s="24">
        <v>0</v>
      </c>
      <c r="E18" s="24">
        <v>0</v>
      </c>
      <c r="F18" s="24">
        <v>0</v>
      </c>
      <c r="G18" s="24">
        <v>0</v>
      </c>
      <c r="H18" s="24">
        <v>0</v>
      </c>
      <c r="I18" s="24">
        <v>0</v>
      </c>
      <c r="J18" s="24"/>
      <c r="K18" s="24">
        <v>6</v>
      </c>
      <c r="L18" s="24">
        <v>0</v>
      </c>
      <c r="M18" s="24">
        <v>0</v>
      </c>
      <c r="N18" s="24">
        <v>1</v>
      </c>
      <c r="O18" s="24">
        <v>0</v>
      </c>
      <c r="P18" s="24">
        <v>0</v>
      </c>
      <c r="Q18" s="24">
        <v>0</v>
      </c>
      <c r="R18" s="24">
        <v>27</v>
      </c>
      <c r="S18" s="24"/>
      <c r="T18" s="24">
        <v>0</v>
      </c>
      <c r="U18" s="24">
        <v>0</v>
      </c>
      <c r="V18" s="24">
        <v>0</v>
      </c>
      <c r="W18" s="24">
        <v>0</v>
      </c>
      <c r="X18" s="24">
        <v>0</v>
      </c>
      <c r="Y18" s="24">
        <v>0</v>
      </c>
      <c r="Z18" s="24">
        <v>0</v>
      </c>
      <c r="AA18" s="24">
        <v>0</v>
      </c>
      <c r="AB18" s="24"/>
      <c r="AC18" s="24">
        <v>1</v>
      </c>
      <c r="AD18" s="24">
        <v>0</v>
      </c>
      <c r="AE18" s="24">
        <v>0</v>
      </c>
      <c r="AF18" s="24">
        <v>0</v>
      </c>
      <c r="AG18" s="24">
        <v>0</v>
      </c>
      <c r="AH18" s="24">
        <v>0</v>
      </c>
      <c r="AI18" s="24">
        <v>0</v>
      </c>
      <c r="AJ18" s="24">
        <v>0</v>
      </c>
    </row>
    <row r="19" spans="1:36" s="8" customFormat="1" ht="15" customHeight="1" x14ac:dyDescent="0.3">
      <c r="A19" s="42" t="s">
        <v>26</v>
      </c>
      <c r="B19" s="24">
        <v>2</v>
      </c>
      <c r="C19" s="24">
        <v>0</v>
      </c>
      <c r="D19" s="24">
        <v>0</v>
      </c>
      <c r="E19" s="24">
        <v>0</v>
      </c>
      <c r="F19" s="24">
        <v>0</v>
      </c>
      <c r="G19" s="24">
        <v>0</v>
      </c>
      <c r="H19" s="24">
        <v>0</v>
      </c>
      <c r="I19" s="24">
        <v>1</v>
      </c>
      <c r="J19" s="24"/>
      <c r="K19" s="24">
        <v>17</v>
      </c>
      <c r="L19" s="24">
        <v>0</v>
      </c>
      <c r="M19" s="24">
        <v>0</v>
      </c>
      <c r="N19" s="24">
        <v>0</v>
      </c>
      <c r="O19" s="24">
        <v>0</v>
      </c>
      <c r="P19" s="24">
        <v>0</v>
      </c>
      <c r="Q19" s="24">
        <v>0</v>
      </c>
      <c r="R19" s="24">
        <v>11</v>
      </c>
      <c r="S19" s="24"/>
      <c r="T19" s="24">
        <v>2</v>
      </c>
      <c r="U19" s="24">
        <v>0</v>
      </c>
      <c r="V19" s="24">
        <v>0</v>
      </c>
      <c r="W19" s="24">
        <v>0</v>
      </c>
      <c r="X19" s="24">
        <v>0</v>
      </c>
      <c r="Y19" s="24">
        <v>0</v>
      </c>
      <c r="Z19" s="24">
        <v>0</v>
      </c>
      <c r="AA19" s="24">
        <v>2</v>
      </c>
      <c r="AB19" s="24"/>
      <c r="AC19" s="24">
        <v>8</v>
      </c>
      <c r="AD19" s="24">
        <v>0</v>
      </c>
      <c r="AE19" s="24">
        <v>0</v>
      </c>
      <c r="AF19" s="24">
        <v>1</v>
      </c>
      <c r="AG19" s="24">
        <v>0</v>
      </c>
      <c r="AH19" s="24">
        <v>0</v>
      </c>
      <c r="AI19" s="24">
        <v>0</v>
      </c>
      <c r="AJ19" s="24">
        <v>5</v>
      </c>
    </row>
    <row r="20" spans="1:36" s="8" customFormat="1" ht="15" customHeight="1" x14ac:dyDescent="0.3">
      <c r="A20" s="42" t="s">
        <v>27</v>
      </c>
      <c r="B20" s="24">
        <v>33</v>
      </c>
      <c r="C20" s="24">
        <v>1</v>
      </c>
      <c r="D20" s="24">
        <v>0</v>
      </c>
      <c r="E20" s="24">
        <v>0</v>
      </c>
      <c r="F20" s="24">
        <v>0</v>
      </c>
      <c r="G20" s="24">
        <v>0</v>
      </c>
      <c r="H20" s="24">
        <v>0</v>
      </c>
      <c r="I20" s="24">
        <v>1</v>
      </c>
      <c r="J20" s="24"/>
      <c r="K20" s="24">
        <v>72</v>
      </c>
      <c r="L20" s="24">
        <v>1</v>
      </c>
      <c r="M20" s="24">
        <v>1</v>
      </c>
      <c r="N20" s="24">
        <v>0</v>
      </c>
      <c r="O20" s="24">
        <v>0</v>
      </c>
      <c r="P20" s="24">
        <v>0</v>
      </c>
      <c r="Q20" s="24">
        <v>0</v>
      </c>
      <c r="R20" s="24">
        <v>34</v>
      </c>
      <c r="S20" s="24"/>
      <c r="T20" s="24">
        <v>2</v>
      </c>
      <c r="U20" s="24">
        <v>0</v>
      </c>
      <c r="V20" s="24">
        <v>0</v>
      </c>
      <c r="W20" s="24">
        <v>0</v>
      </c>
      <c r="X20" s="24">
        <v>0</v>
      </c>
      <c r="Y20" s="24">
        <v>0</v>
      </c>
      <c r="Z20" s="24">
        <v>0</v>
      </c>
      <c r="AA20" s="24">
        <v>0</v>
      </c>
      <c r="AB20" s="24"/>
      <c r="AC20" s="24">
        <v>19</v>
      </c>
      <c r="AD20" s="24">
        <v>0</v>
      </c>
      <c r="AE20" s="24">
        <v>0</v>
      </c>
      <c r="AF20" s="24">
        <v>0</v>
      </c>
      <c r="AG20" s="24">
        <v>0</v>
      </c>
      <c r="AH20" s="24">
        <v>0</v>
      </c>
      <c r="AI20" s="24">
        <v>0</v>
      </c>
      <c r="AJ20" s="24">
        <v>7</v>
      </c>
    </row>
    <row r="21" spans="1:36" s="8" customFormat="1" ht="15" customHeight="1" x14ac:dyDescent="0.3">
      <c r="A21" s="4" t="s">
        <v>28</v>
      </c>
      <c r="B21" s="24">
        <v>11</v>
      </c>
      <c r="C21" s="24">
        <v>0</v>
      </c>
      <c r="D21" s="24">
        <v>0</v>
      </c>
      <c r="E21" s="24">
        <v>0</v>
      </c>
      <c r="F21" s="24">
        <v>0</v>
      </c>
      <c r="G21" s="24">
        <v>0</v>
      </c>
      <c r="H21" s="24">
        <v>0</v>
      </c>
      <c r="I21" s="24">
        <v>10</v>
      </c>
      <c r="J21" s="24"/>
      <c r="K21" s="24">
        <v>44</v>
      </c>
      <c r="L21" s="24">
        <v>2</v>
      </c>
      <c r="M21" s="24">
        <v>0</v>
      </c>
      <c r="N21" s="24">
        <v>0</v>
      </c>
      <c r="O21" s="24">
        <v>0</v>
      </c>
      <c r="P21" s="24">
        <v>0</v>
      </c>
      <c r="Q21" s="24">
        <v>1</v>
      </c>
      <c r="R21" s="24">
        <v>31</v>
      </c>
      <c r="S21" s="24"/>
      <c r="T21" s="24">
        <v>0</v>
      </c>
      <c r="U21" s="24">
        <v>0</v>
      </c>
      <c r="V21" s="24">
        <v>0</v>
      </c>
      <c r="W21" s="24">
        <v>0</v>
      </c>
      <c r="X21" s="24">
        <v>0</v>
      </c>
      <c r="Y21" s="24">
        <v>0</v>
      </c>
      <c r="Z21" s="24">
        <v>0</v>
      </c>
      <c r="AA21" s="24">
        <v>4</v>
      </c>
      <c r="AB21" s="24"/>
      <c r="AC21" s="24">
        <v>11</v>
      </c>
      <c r="AD21" s="24">
        <v>0</v>
      </c>
      <c r="AE21" s="24">
        <v>0</v>
      </c>
      <c r="AF21" s="24">
        <v>0</v>
      </c>
      <c r="AG21" s="24">
        <v>0</v>
      </c>
      <c r="AH21" s="24">
        <v>0</v>
      </c>
      <c r="AI21" s="24">
        <v>0</v>
      </c>
      <c r="AJ21" s="24">
        <v>14</v>
      </c>
    </row>
    <row r="22" spans="1:36" s="8" customFormat="1" ht="15" customHeight="1" x14ac:dyDescent="0.3">
      <c r="A22" s="4" t="s">
        <v>29</v>
      </c>
      <c r="B22" s="24">
        <v>14</v>
      </c>
      <c r="C22" s="24">
        <v>0</v>
      </c>
      <c r="D22" s="24">
        <v>0</v>
      </c>
      <c r="E22" s="24">
        <v>0</v>
      </c>
      <c r="F22" s="24">
        <v>0</v>
      </c>
      <c r="G22" s="24">
        <v>0</v>
      </c>
      <c r="H22" s="24">
        <v>0</v>
      </c>
      <c r="I22" s="24">
        <v>8</v>
      </c>
      <c r="J22" s="24"/>
      <c r="K22" s="24">
        <v>7</v>
      </c>
      <c r="L22" s="24">
        <v>0</v>
      </c>
      <c r="M22" s="24">
        <v>0</v>
      </c>
      <c r="N22" s="24">
        <v>0</v>
      </c>
      <c r="O22" s="24">
        <v>0</v>
      </c>
      <c r="P22" s="24">
        <v>0</v>
      </c>
      <c r="Q22" s="24">
        <v>0</v>
      </c>
      <c r="R22" s="24">
        <v>20</v>
      </c>
      <c r="S22" s="24"/>
      <c r="T22" s="24">
        <v>0</v>
      </c>
      <c r="U22" s="24">
        <v>0</v>
      </c>
      <c r="V22" s="24">
        <v>0</v>
      </c>
      <c r="W22" s="24">
        <v>0</v>
      </c>
      <c r="X22" s="24">
        <v>0</v>
      </c>
      <c r="Y22" s="24">
        <v>0</v>
      </c>
      <c r="Z22" s="24">
        <v>0</v>
      </c>
      <c r="AA22" s="24">
        <v>0</v>
      </c>
      <c r="AB22" s="24"/>
      <c r="AC22" s="24">
        <v>6</v>
      </c>
      <c r="AD22" s="24">
        <v>0</v>
      </c>
      <c r="AE22" s="24">
        <v>0</v>
      </c>
      <c r="AF22" s="24">
        <v>0</v>
      </c>
      <c r="AG22" s="24">
        <v>0</v>
      </c>
      <c r="AH22" s="24">
        <v>0</v>
      </c>
      <c r="AI22" s="24">
        <v>0</v>
      </c>
      <c r="AJ22" s="24">
        <v>12</v>
      </c>
    </row>
    <row r="23" spans="1:36" s="8" customFormat="1" ht="15" customHeight="1" x14ac:dyDescent="0.3">
      <c r="A23" s="4" t="s">
        <v>30</v>
      </c>
      <c r="B23" s="24">
        <v>7</v>
      </c>
      <c r="C23" s="24">
        <v>1</v>
      </c>
      <c r="D23" s="24">
        <v>0</v>
      </c>
      <c r="E23" s="24">
        <v>0</v>
      </c>
      <c r="F23" s="24">
        <v>0</v>
      </c>
      <c r="G23" s="24">
        <v>0</v>
      </c>
      <c r="H23" s="24">
        <v>0</v>
      </c>
      <c r="I23" s="24">
        <v>0</v>
      </c>
      <c r="J23" s="24"/>
      <c r="K23" s="24">
        <v>19</v>
      </c>
      <c r="L23" s="24">
        <v>0</v>
      </c>
      <c r="M23" s="24">
        <v>0</v>
      </c>
      <c r="N23" s="24">
        <v>0</v>
      </c>
      <c r="O23" s="24">
        <v>0</v>
      </c>
      <c r="P23" s="24">
        <v>0</v>
      </c>
      <c r="Q23" s="24">
        <v>0</v>
      </c>
      <c r="R23" s="24">
        <v>3</v>
      </c>
      <c r="S23" s="24"/>
      <c r="T23" s="24">
        <v>3</v>
      </c>
      <c r="U23" s="24">
        <v>0</v>
      </c>
      <c r="V23" s="24">
        <v>0</v>
      </c>
      <c r="W23" s="24">
        <v>0</v>
      </c>
      <c r="X23" s="24">
        <v>0</v>
      </c>
      <c r="Y23" s="24">
        <v>0</v>
      </c>
      <c r="Z23" s="24">
        <v>0</v>
      </c>
      <c r="AA23" s="24">
        <v>1</v>
      </c>
      <c r="AB23" s="24"/>
      <c r="AC23" s="24">
        <v>13</v>
      </c>
      <c r="AD23" s="24">
        <v>0</v>
      </c>
      <c r="AE23" s="24">
        <v>0</v>
      </c>
      <c r="AF23" s="24">
        <v>0</v>
      </c>
      <c r="AG23" s="24">
        <v>0</v>
      </c>
      <c r="AH23" s="24">
        <v>0</v>
      </c>
      <c r="AI23" s="24">
        <v>0</v>
      </c>
      <c r="AJ23" s="24">
        <v>10</v>
      </c>
    </row>
    <row r="24" spans="1:36" s="8" customFormat="1" ht="15" customHeight="1" x14ac:dyDescent="0.3">
      <c r="A24" s="4" t="s">
        <v>31</v>
      </c>
      <c r="B24" s="24">
        <v>18</v>
      </c>
      <c r="C24" s="24">
        <v>0</v>
      </c>
      <c r="D24" s="24">
        <v>0</v>
      </c>
      <c r="E24" s="24">
        <v>0</v>
      </c>
      <c r="F24" s="24">
        <v>0</v>
      </c>
      <c r="G24" s="24">
        <v>0</v>
      </c>
      <c r="H24" s="24">
        <v>0</v>
      </c>
      <c r="I24" s="24">
        <v>4</v>
      </c>
      <c r="J24" s="24"/>
      <c r="K24" s="24">
        <v>22</v>
      </c>
      <c r="L24" s="24">
        <v>1</v>
      </c>
      <c r="M24" s="24">
        <v>1</v>
      </c>
      <c r="N24" s="24">
        <v>0</v>
      </c>
      <c r="O24" s="24">
        <v>0</v>
      </c>
      <c r="P24" s="24">
        <v>0</v>
      </c>
      <c r="Q24" s="24">
        <v>1</v>
      </c>
      <c r="R24" s="24">
        <v>63</v>
      </c>
      <c r="S24" s="24"/>
      <c r="T24" s="24">
        <v>0</v>
      </c>
      <c r="U24" s="24">
        <v>0</v>
      </c>
      <c r="V24" s="24">
        <v>0</v>
      </c>
      <c r="W24" s="24">
        <v>0</v>
      </c>
      <c r="X24" s="24">
        <v>0</v>
      </c>
      <c r="Y24" s="24">
        <v>0</v>
      </c>
      <c r="Z24" s="24">
        <v>0</v>
      </c>
      <c r="AA24" s="24">
        <v>3</v>
      </c>
      <c r="AB24" s="24"/>
      <c r="AC24" s="24">
        <v>19</v>
      </c>
      <c r="AD24" s="24">
        <v>0</v>
      </c>
      <c r="AE24" s="24">
        <v>0</v>
      </c>
      <c r="AF24" s="24">
        <v>0</v>
      </c>
      <c r="AG24" s="24">
        <v>0</v>
      </c>
      <c r="AH24" s="24">
        <v>0</v>
      </c>
      <c r="AI24" s="24">
        <v>0</v>
      </c>
      <c r="AJ24" s="24">
        <v>41</v>
      </c>
    </row>
    <row r="25" spans="1:36" s="8" customFormat="1" ht="15" customHeight="1" x14ac:dyDescent="0.3">
      <c r="A25" s="4" t="s">
        <v>32</v>
      </c>
      <c r="B25" s="24">
        <v>18</v>
      </c>
      <c r="C25" s="24">
        <v>2</v>
      </c>
      <c r="D25" s="24">
        <v>1</v>
      </c>
      <c r="E25" s="24">
        <v>1</v>
      </c>
      <c r="F25" s="24">
        <v>0</v>
      </c>
      <c r="G25" s="24">
        <v>0</v>
      </c>
      <c r="H25" s="24">
        <v>0</v>
      </c>
      <c r="I25" s="24">
        <v>13</v>
      </c>
      <c r="J25" s="24"/>
      <c r="K25" s="24">
        <v>37</v>
      </c>
      <c r="L25" s="24">
        <v>0</v>
      </c>
      <c r="M25" s="24">
        <v>0</v>
      </c>
      <c r="N25" s="24">
        <v>0</v>
      </c>
      <c r="O25" s="24">
        <v>0</v>
      </c>
      <c r="P25" s="24">
        <v>0</v>
      </c>
      <c r="Q25" s="24">
        <v>0</v>
      </c>
      <c r="R25" s="24">
        <v>1</v>
      </c>
      <c r="S25" s="24"/>
      <c r="T25" s="24">
        <v>5</v>
      </c>
      <c r="U25" s="24">
        <v>0</v>
      </c>
      <c r="V25" s="24">
        <v>0</v>
      </c>
      <c r="W25" s="24">
        <v>0</v>
      </c>
      <c r="X25" s="24">
        <v>0</v>
      </c>
      <c r="Y25" s="24">
        <v>0</v>
      </c>
      <c r="Z25" s="24">
        <v>0</v>
      </c>
      <c r="AA25" s="24">
        <v>1</v>
      </c>
      <c r="AB25" s="24"/>
      <c r="AC25" s="24">
        <v>6</v>
      </c>
      <c r="AD25" s="24">
        <v>0</v>
      </c>
      <c r="AE25" s="24">
        <v>0</v>
      </c>
      <c r="AF25" s="24">
        <v>0</v>
      </c>
      <c r="AG25" s="24">
        <v>0</v>
      </c>
      <c r="AH25" s="24">
        <v>0</v>
      </c>
      <c r="AI25" s="24">
        <v>0</v>
      </c>
      <c r="AJ25" s="24">
        <v>3</v>
      </c>
    </row>
    <row r="26" spans="1:36" s="8" customFormat="1" ht="15" customHeight="1" x14ac:dyDescent="0.3">
      <c r="A26" s="4" t="s">
        <v>33</v>
      </c>
      <c r="B26" s="24">
        <v>42</v>
      </c>
      <c r="C26" s="24">
        <v>1</v>
      </c>
      <c r="D26" s="24">
        <v>0</v>
      </c>
      <c r="E26" s="24">
        <v>0</v>
      </c>
      <c r="F26" s="24">
        <v>0</v>
      </c>
      <c r="G26" s="24">
        <v>0</v>
      </c>
      <c r="H26" s="24">
        <v>0</v>
      </c>
      <c r="I26" s="24">
        <v>13</v>
      </c>
      <c r="J26" s="24"/>
      <c r="K26" s="24">
        <v>78</v>
      </c>
      <c r="L26" s="24">
        <v>12</v>
      </c>
      <c r="M26" s="24">
        <v>1</v>
      </c>
      <c r="N26" s="24">
        <v>0</v>
      </c>
      <c r="O26" s="24">
        <v>0</v>
      </c>
      <c r="P26" s="24">
        <v>0</v>
      </c>
      <c r="Q26" s="24">
        <v>0</v>
      </c>
      <c r="R26" s="24">
        <v>8</v>
      </c>
      <c r="S26" s="24"/>
      <c r="T26" s="24">
        <v>2</v>
      </c>
      <c r="U26" s="24">
        <v>0</v>
      </c>
      <c r="V26" s="24">
        <v>0</v>
      </c>
      <c r="W26" s="24">
        <v>0</v>
      </c>
      <c r="X26" s="24">
        <v>0</v>
      </c>
      <c r="Y26" s="24">
        <v>0</v>
      </c>
      <c r="Z26" s="24">
        <v>0</v>
      </c>
      <c r="AA26" s="24">
        <v>0</v>
      </c>
      <c r="AB26" s="24"/>
      <c r="AC26" s="24">
        <v>44</v>
      </c>
      <c r="AD26" s="24">
        <v>2</v>
      </c>
      <c r="AE26" s="24">
        <v>1</v>
      </c>
      <c r="AF26" s="24">
        <v>1</v>
      </c>
      <c r="AG26" s="24">
        <v>1</v>
      </c>
      <c r="AH26" s="24">
        <v>0</v>
      </c>
      <c r="AI26" s="24">
        <v>0</v>
      </c>
      <c r="AJ26" s="24">
        <v>3</v>
      </c>
    </row>
    <row r="27" spans="1:36" s="8" customFormat="1" ht="15" customHeight="1" x14ac:dyDescent="0.3">
      <c r="A27" s="4" t="s">
        <v>34</v>
      </c>
      <c r="B27" s="24">
        <v>21</v>
      </c>
      <c r="C27" s="24">
        <v>0</v>
      </c>
      <c r="D27" s="24">
        <v>0</v>
      </c>
      <c r="E27" s="24">
        <v>0</v>
      </c>
      <c r="F27" s="24">
        <v>0</v>
      </c>
      <c r="G27" s="24">
        <v>0</v>
      </c>
      <c r="H27" s="24">
        <v>0</v>
      </c>
      <c r="I27" s="24">
        <v>0</v>
      </c>
      <c r="J27" s="24"/>
      <c r="K27" s="24">
        <v>27</v>
      </c>
      <c r="L27" s="24">
        <v>7</v>
      </c>
      <c r="M27" s="24">
        <v>1</v>
      </c>
      <c r="N27" s="24">
        <v>0</v>
      </c>
      <c r="O27" s="24">
        <v>0</v>
      </c>
      <c r="P27" s="24">
        <v>0</v>
      </c>
      <c r="Q27" s="24">
        <v>0</v>
      </c>
      <c r="R27" s="24">
        <v>2</v>
      </c>
      <c r="S27" s="24"/>
      <c r="T27" s="24">
        <v>2</v>
      </c>
      <c r="U27" s="24">
        <v>0</v>
      </c>
      <c r="V27" s="24">
        <v>0</v>
      </c>
      <c r="W27" s="24">
        <v>0</v>
      </c>
      <c r="X27" s="24">
        <v>0</v>
      </c>
      <c r="Y27" s="24">
        <v>0</v>
      </c>
      <c r="Z27" s="24">
        <v>0</v>
      </c>
      <c r="AA27" s="24">
        <v>0</v>
      </c>
      <c r="AB27" s="24"/>
      <c r="AC27" s="24">
        <v>12</v>
      </c>
      <c r="AD27" s="24">
        <v>0</v>
      </c>
      <c r="AE27" s="24">
        <v>0</v>
      </c>
      <c r="AF27" s="24">
        <v>0</v>
      </c>
      <c r="AG27" s="24">
        <v>0</v>
      </c>
      <c r="AH27" s="24">
        <v>0</v>
      </c>
      <c r="AI27" s="24">
        <v>0</v>
      </c>
      <c r="AJ27" s="24">
        <v>2</v>
      </c>
    </row>
    <row r="28" spans="1:36" s="8" customFormat="1" ht="15" customHeight="1" x14ac:dyDescent="0.3">
      <c r="A28" s="4" t="s">
        <v>35</v>
      </c>
      <c r="B28" s="24">
        <v>33</v>
      </c>
      <c r="C28" s="24">
        <v>1</v>
      </c>
      <c r="D28" s="24">
        <v>2</v>
      </c>
      <c r="E28" s="24">
        <v>0</v>
      </c>
      <c r="F28" s="24">
        <v>0</v>
      </c>
      <c r="G28" s="24">
        <v>0</v>
      </c>
      <c r="H28" s="24">
        <v>0</v>
      </c>
      <c r="I28" s="24">
        <v>1</v>
      </c>
      <c r="J28" s="24"/>
      <c r="K28" s="24">
        <v>34</v>
      </c>
      <c r="L28" s="24">
        <v>1</v>
      </c>
      <c r="M28" s="24">
        <v>0</v>
      </c>
      <c r="N28" s="24">
        <v>0</v>
      </c>
      <c r="O28" s="24">
        <v>0</v>
      </c>
      <c r="P28" s="24">
        <v>0</v>
      </c>
      <c r="Q28" s="24">
        <v>0</v>
      </c>
      <c r="R28" s="24">
        <v>0</v>
      </c>
      <c r="S28" s="24"/>
      <c r="T28" s="24">
        <v>0</v>
      </c>
      <c r="U28" s="24">
        <v>0</v>
      </c>
      <c r="V28" s="24">
        <v>0</v>
      </c>
      <c r="W28" s="24">
        <v>0</v>
      </c>
      <c r="X28" s="24">
        <v>0</v>
      </c>
      <c r="Y28" s="24">
        <v>0</v>
      </c>
      <c r="Z28" s="24">
        <v>0</v>
      </c>
      <c r="AA28" s="24">
        <v>0</v>
      </c>
      <c r="AB28" s="24"/>
      <c r="AC28" s="24">
        <v>16</v>
      </c>
      <c r="AD28" s="24">
        <v>0</v>
      </c>
      <c r="AE28" s="24">
        <v>2</v>
      </c>
      <c r="AF28" s="24">
        <v>0</v>
      </c>
      <c r="AG28" s="24">
        <v>1</v>
      </c>
      <c r="AH28" s="24">
        <v>0</v>
      </c>
      <c r="AI28" s="24">
        <v>1</v>
      </c>
      <c r="AJ28" s="24">
        <v>0</v>
      </c>
    </row>
    <row r="29" spans="1:36" s="8" customFormat="1" ht="15" customHeight="1" x14ac:dyDescent="0.3">
      <c r="A29" s="4" t="s">
        <v>36</v>
      </c>
      <c r="B29" s="24">
        <v>22</v>
      </c>
      <c r="C29" s="24">
        <v>0</v>
      </c>
      <c r="D29" s="24">
        <v>0</v>
      </c>
      <c r="E29" s="24">
        <v>0</v>
      </c>
      <c r="F29" s="24">
        <v>0</v>
      </c>
      <c r="G29" s="24">
        <v>0</v>
      </c>
      <c r="H29" s="24">
        <v>0</v>
      </c>
      <c r="I29" s="24">
        <v>0</v>
      </c>
      <c r="J29" s="24"/>
      <c r="K29" s="24">
        <v>41</v>
      </c>
      <c r="L29" s="24">
        <v>5</v>
      </c>
      <c r="M29" s="24">
        <v>0</v>
      </c>
      <c r="N29" s="24">
        <v>0</v>
      </c>
      <c r="O29" s="24">
        <v>0</v>
      </c>
      <c r="P29" s="24">
        <v>0</v>
      </c>
      <c r="Q29" s="24">
        <v>0</v>
      </c>
      <c r="R29" s="24">
        <v>0</v>
      </c>
      <c r="S29" s="24"/>
      <c r="T29" s="24">
        <v>2</v>
      </c>
      <c r="U29" s="24">
        <v>0</v>
      </c>
      <c r="V29" s="24">
        <v>0</v>
      </c>
      <c r="W29" s="24">
        <v>0</v>
      </c>
      <c r="X29" s="24">
        <v>0</v>
      </c>
      <c r="Y29" s="24">
        <v>0</v>
      </c>
      <c r="Z29" s="24">
        <v>0</v>
      </c>
      <c r="AA29" s="24">
        <v>0</v>
      </c>
      <c r="AB29" s="24"/>
      <c r="AC29" s="24">
        <v>26</v>
      </c>
      <c r="AD29" s="24">
        <v>1</v>
      </c>
      <c r="AE29" s="24">
        <v>5</v>
      </c>
      <c r="AF29" s="24">
        <v>2</v>
      </c>
      <c r="AG29" s="24">
        <v>0</v>
      </c>
      <c r="AH29" s="24">
        <v>0</v>
      </c>
      <c r="AI29" s="24">
        <v>0</v>
      </c>
      <c r="AJ29" s="24">
        <v>0</v>
      </c>
    </row>
    <row r="30" spans="1:36" s="8" customFormat="1" ht="15" customHeight="1" x14ac:dyDescent="0.3">
      <c r="A30" s="4" t="s">
        <v>37</v>
      </c>
      <c r="B30" s="24">
        <v>0</v>
      </c>
      <c r="C30" s="24">
        <v>0</v>
      </c>
      <c r="D30" s="24">
        <v>0</v>
      </c>
      <c r="E30" s="24">
        <v>0</v>
      </c>
      <c r="F30" s="24">
        <v>0</v>
      </c>
      <c r="G30" s="24">
        <v>0</v>
      </c>
      <c r="H30" s="24">
        <v>0</v>
      </c>
      <c r="I30" s="24">
        <v>0</v>
      </c>
      <c r="J30" s="24"/>
      <c r="K30" s="24">
        <v>0</v>
      </c>
      <c r="L30" s="24">
        <v>0</v>
      </c>
      <c r="M30" s="24">
        <v>0</v>
      </c>
      <c r="N30" s="24">
        <v>0</v>
      </c>
      <c r="O30" s="24">
        <v>0</v>
      </c>
      <c r="P30" s="24">
        <v>0</v>
      </c>
      <c r="Q30" s="24">
        <v>0</v>
      </c>
      <c r="R30" s="24">
        <v>0</v>
      </c>
      <c r="S30" s="24"/>
      <c r="T30" s="24">
        <v>0</v>
      </c>
      <c r="U30" s="24">
        <v>0</v>
      </c>
      <c r="V30" s="24">
        <v>0</v>
      </c>
      <c r="W30" s="24">
        <v>0</v>
      </c>
      <c r="X30" s="24">
        <v>0</v>
      </c>
      <c r="Y30" s="24">
        <v>0</v>
      </c>
      <c r="Z30" s="24">
        <v>0</v>
      </c>
      <c r="AA30" s="24">
        <v>0</v>
      </c>
      <c r="AB30" s="24"/>
      <c r="AC30" s="24">
        <v>2</v>
      </c>
      <c r="AD30" s="24">
        <v>0</v>
      </c>
      <c r="AE30" s="24">
        <v>0</v>
      </c>
      <c r="AF30" s="24">
        <v>0</v>
      </c>
      <c r="AG30" s="24">
        <v>0</v>
      </c>
      <c r="AH30" s="24">
        <v>0</v>
      </c>
      <c r="AI30" s="24">
        <v>0</v>
      </c>
      <c r="AJ30" s="24">
        <v>0</v>
      </c>
    </row>
    <row r="31" spans="1:36" s="8" customFormat="1" ht="15" customHeight="1" x14ac:dyDescent="0.3">
      <c r="A31" s="8" t="s">
        <v>38</v>
      </c>
      <c r="B31" s="24">
        <v>4</v>
      </c>
      <c r="C31" s="24">
        <v>0</v>
      </c>
      <c r="D31" s="24">
        <v>0</v>
      </c>
      <c r="E31" s="24">
        <v>0</v>
      </c>
      <c r="F31" s="24">
        <v>0</v>
      </c>
      <c r="G31" s="24">
        <v>0</v>
      </c>
      <c r="H31" s="24">
        <v>0</v>
      </c>
      <c r="I31" s="24">
        <v>25</v>
      </c>
      <c r="J31" s="24"/>
      <c r="K31" s="24">
        <v>8</v>
      </c>
      <c r="L31" s="24">
        <v>0</v>
      </c>
      <c r="M31" s="24">
        <v>0</v>
      </c>
      <c r="N31" s="24">
        <v>0</v>
      </c>
      <c r="O31" s="24">
        <v>0</v>
      </c>
      <c r="P31" s="24">
        <v>0</v>
      </c>
      <c r="Q31" s="24">
        <v>0</v>
      </c>
      <c r="R31" s="24">
        <v>48</v>
      </c>
      <c r="S31" s="24"/>
      <c r="T31" s="24">
        <v>1</v>
      </c>
      <c r="U31" s="24">
        <v>0</v>
      </c>
      <c r="V31" s="24">
        <v>0</v>
      </c>
      <c r="W31" s="24">
        <v>0</v>
      </c>
      <c r="X31" s="24">
        <v>0</v>
      </c>
      <c r="Y31" s="24">
        <v>0</v>
      </c>
      <c r="Z31" s="24">
        <v>0</v>
      </c>
      <c r="AA31" s="24">
        <v>7</v>
      </c>
      <c r="AB31" s="24"/>
      <c r="AC31" s="24">
        <v>13</v>
      </c>
      <c r="AD31" s="24">
        <v>0</v>
      </c>
      <c r="AE31" s="24">
        <v>1</v>
      </c>
      <c r="AF31" s="24">
        <v>1</v>
      </c>
      <c r="AG31" s="24">
        <v>0</v>
      </c>
      <c r="AH31" s="24">
        <v>0</v>
      </c>
      <c r="AI31" s="24">
        <v>0</v>
      </c>
      <c r="AJ31" s="24">
        <v>37</v>
      </c>
    </row>
    <row r="32" spans="1:36" s="8" customFormat="1" ht="15" customHeight="1" x14ac:dyDescent="0.3">
      <c r="A32" s="8" t="s">
        <v>39</v>
      </c>
      <c r="B32" s="24">
        <v>52</v>
      </c>
      <c r="C32" s="24">
        <v>0</v>
      </c>
      <c r="D32" s="24">
        <v>2</v>
      </c>
      <c r="E32" s="24">
        <v>2</v>
      </c>
      <c r="F32" s="24">
        <v>0</v>
      </c>
      <c r="G32" s="24">
        <v>0</v>
      </c>
      <c r="H32" s="24">
        <v>0</v>
      </c>
      <c r="I32" s="24">
        <v>0</v>
      </c>
      <c r="J32" s="24"/>
      <c r="K32" s="24">
        <v>47</v>
      </c>
      <c r="L32" s="24">
        <v>0</v>
      </c>
      <c r="M32" s="24">
        <v>1</v>
      </c>
      <c r="N32" s="24">
        <v>0</v>
      </c>
      <c r="O32" s="24">
        <v>0</v>
      </c>
      <c r="P32" s="24">
        <v>0</v>
      </c>
      <c r="Q32" s="24">
        <v>0</v>
      </c>
      <c r="R32" s="24">
        <v>9</v>
      </c>
      <c r="S32" s="24"/>
      <c r="T32" s="24">
        <v>0</v>
      </c>
      <c r="U32" s="24">
        <v>0</v>
      </c>
      <c r="V32" s="24">
        <v>0</v>
      </c>
      <c r="W32" s="24">
        <v>0</v>
      </c>
      <c r="X32" s="24">
        <v>0</v>
      </c>
      <c r="Y32" s="24">
        <v>0</v>
      </c>
      <c r="Z32" s="24">
        <v>0</v>
      </c>
      <c r="AA32" s="24">
        <v>0</v>
      </c>
      <c r="AB32" s="24"/>
      <c r="AC32" s="24">
        <v>39</v>
      </c>
      <c r="AD32" s="24">
        <v>0</v>
      </c>
      <c r="AE32" s="24">
        <v>1</v>
      </c>
      <c r="AF32" s="24">
        <v>2</v>
      </c>
      <c r="AG32" s="24">
        <v>1</v>
      </c>
      <c r="AH32" s="24">
        <v>0</v>
      </c>
      <c r="AI32" s="24">
        <v>0</v>
      </c>
      <c r="AJ32" s="24">
        <v>2</v>
      </c>
    </row>
    <row r="33" spans="1:36" s="8" customFormat="1" ht="15" customHeight="1" x14ac:dyDescent="0.3">
      <c r="A33" s="4" t="s">
        <v>40</v>
      </c>
      <c r="B33" s="24">
        <v>12</v>
      </c>
      <c r="C33" s="24">
        <v>0</v>
      </c>
      <c r="D33" s="24">
        <v>4</v>
      </c>
      <c r="E33" s="24">
        <v>1</v>
      </c>
      <c r="F33" s="24">
        <v>0</v>
      </c>
      <c r="G33" s="24">
        <v>0</v>
      </c>
      <c r="H33" s="24">
        <v>0</v>
      </c>
      <c r="I33" s="24">
        <v>8</v>
      </c>
      <c r="J33" s="24"/>
      <c r="K33" s="24">
        <v>18</v>
      </c>
      <c r="L33" s="24">
        <v>0</v>
      </c>
      <c r="M33" s="24">
        <v>0</v>
      </c>
      <c r="N33" s="24">
        <v>0</v>
      </c>
      <c r="O33" s="24">
        <v>0</v>
      </c>
      <c r="P33" s="24">
        <v>0</v>
      </c>
      <c r="Q33" s="24">
        <v>0</v>
      </c>
      <c r="R33" s="24">
        <v>9</v>
      </c>
      <c r="S33" s="24"/>
      <c r="T33" s="24">
        <v>2</v>
      </c>
      <c r="U33" s="24">
        <v>0</v>
      </c>
      <c r="V33" s="24">
        <v>0</v>
      </c>
      <c r="W33" s="24">
        <v>0</v>
      </c>
      <c r="X33" s="24">
        <v>0</v>
      </c>
      <c r="Y33" s="24">
        <v>0</v>
      </c>
      <c r="Z33" s="24">
        <v>0</v>
      </c>
      <c r="AA33" s="24">
        <v>0</v>
      </c>
      <c r="AB33" s="24"/>
      <c r="AC33" s="24">
        <v>6</v>
      </c>
      <c r="AD33" s="24">
        <v>0</v>
      </c>
      <c r="AE33" s="24">
        <v>1</v>
      </c>
      <c r="AF33" s="24">
        <v>1</v>
      </c>
      <c r="AG33" s="24">
        <v>0</v>
      </c>
      <c r="AH33" s="24">
        <v>0</v>
      </c>
      <c r="AI33" s="24">
        <v>0</v>
      </c>
      <c r="AJ33" s="24">
        <v>4</v>
      </c>
    </row>
    <row r="34" spans="1:36" s="8" customFormat="1" ht="15" customHeight="1" x14ac:dyDescent="0.3">
      <c r="A34" s="8" t="s">
        <v>41</v>
      </c>
      <c r="B34" s="24">
        <v>10</v>
      </c>
      <c r="C34" s="24">
        <v>0</v>
      </c>
      <c r="D34" s="24">
        <v>0</v>
      </c>
      <c r="E34" s="24">
        <v>0</v>
      </c>
      <c r="F34" s="24">
        <v>0</v>
      </c>
      <c r="G34" s="24">
        <v>0</v>
      </c>
      <c r="H34" s="24">
        <v>0</v>
      </c>
      <c r="I34" s="24">
        <v>0</v>
      </c>
      <c r="J34" s="24"/>
      <c r="K34" s="24">
        <v>44</v>
      </c>
      <c r="L34" s="24">
        <v>0</v>
      </c>
      <c r="M34" s="24">
        <v>1</v>
      </c>
      <c r="N34" s="24">
        <v>0</v>
      </c>
      <c r="O34" s="24">
        <v>0</v>
      </c>
      <c r="P34" s="24">
        <v>0</v>
      </c>
      <c r="Q34" s="24">
        <v>0</v>
      </c>
      <c r="R34" s="24">
        <v>0</v>
      </c>
      <c r="S34" s="24"/>
      <c r="T34" s="24">
        <v>2</v>
      </c>
      <c r="U34" s="24">
        <v>0</v>
      </c>
      <c r="V34" s="24">
        <v>0</v>
      </c>
      <c r="W34" s="24">
        <v>0</v>
      </c>
      <c r="X34" s="24">
        <v>0</v>
      </c>
      <c r="Y34" s="24">
        <v>0</v>
      </c>
      <c r="Z34" s="24">
        <v>0</v>
      </c>
      <c r="AA34" s="24">
        <v>0</v>
      </c>
      <c r="AB34" s="24"/>
      <c r="AC34" s="24">
        <v>3</v>
      </c>
      <c r="AD34" s="24">
        <v>0</v>
      </c>
      <c r="AE34" s="24">
        <v>0</v>
      </c>
      <c r="AF34" s="24">
        <v>0</v>
      </c>
      <c r="AG34" s="24">
        <v>0</v>
      </c>
      <c r="AH34" s="24">
        <v>0</v>
      </c>
      <c r="AI34" s="24">
        <v>0</v>
      </c>
      <c r="AJ34" s="24">
        <v>0</v>
      </c>
    </row>
    <row r="35" spans="1:36" s="8" customFormat="1" ht="15" customHeight="1" x14ac:dyDescent="0.3">
      <c r="A35" s="8" t="s">
        <v>42</v>
      </c>
      <c r="B35" s="24">
        <v>14</v>
      </c>
      <c r="C35" s="24">
        <v>2</v>
      </c>
      <c r="D35" s="24">
        <v>0</v>
      </c>
      <c r="E35" s="24">
        <v>0</v>
      </c>
      <c r="F35" s="24">
        <v>0</v>
      </c>
      <c r="G35" s="24">
        <v>0</v>
      </c>
      <c r="H35" s="24">
        <v>0</v>
      </c>
      <c r="I35" s="24">
        <v>3</v>
      </c>
      <c r="J35" s="24"/>
      <c r="K35" s="24">
        <v>43</v>
      </c>
      <c r="L35" s="24">
        <v>1</v>
      </c>
      <c r="M35" s="24">
        <v>0</v>
      </c>
      <c r="N35" s="24">
        <v>0</v>
      </c>
      <c r="O35" s="24">
        <v>0</v>
      </c>
      <c r="P35" s="24">
        <v>0</v>
      </c>
      <c r="Q35" s="24">
        <v>0</v>
      </c>
      <c r="R35" s="24">
        <v>12</v>
      </c>
      <c r="S35" s="24"/>
      <c r="T35" s="24">
        <v>4</v>
      </c>
      <c r="U35" s="24">
        <v>0</v>
      </c>
      <c r="V35" s="24">
        <v>0</v>
      </c>
      <c r="W35" s="24">
        <v>0</v>
      </c>
      <c r="X35" s="24">
        <v>0</v>
      </c>
      <c r="Y35" s="24">
        <v>0</v>
      </c>
      <c r="Z35" s="24">
        <v>0</v>
      </c>
      <c r="AA35" s="24">
        <v>0</v>
      </c>
      <c r="AB35" s="24"/>
      <c r="AC35" s="24">
        <v>13</v>
      </c>
      <c r="AD35" s="24">
        <v>0</v>
      </c>
      <c r="AE35" s="24">
        <v>0</v>
      </c>
      <c r="AF35" s="24">
        <v>0</v>
      </c>
      <c r="AG35" s="24">
        <v>0</v>
      </c>
      <c r="AH35" s="24">
        <v>0</v>
      </c>
      <c r="AI35" s="24">
        <v>0</v>
      </c>
      <c r="AJ35" s="24">
        <v>3</v>
      </c>
    </row>
    <row r="36" spans="1:36" s="8" customFormat="1" ht="15" customHeight="1" x14ac:dyDescent="0.3">
      <c r="A36" s="4" t="s">
        <v>43</v>
      </c>
      <c r="B36" s="24">
        <v>0</v>
      </c>
      <c r="C36" s="24">
        <v>0</v>
      </c>
      <c r="D36" s="24">
        <v>0</v>
      </c>
      <c r="E36" s="24">
        <v>0</v>
      </c>
      <c r="F36" s="24">
        <v>0</v>
      </c>
      <c r="G36" s="24">
        <v>0</v>
      </c>
      <c r="H36" s="24">
        <v>0</v>
      </c>
      <c r="I36" s="24">
        <v>0</v>
      </c>
      <c r="J36" s="24"/>
      <c r="K36" s="24">
        <v>0</v>
      </c>
      <c r="L36" s="24">
        <v>0</v>
      </c>
      <c r="M36" s="24">
        <v>0</v>
      </c>
      <c r="N36" s="24">
        <v>0</v>
      </c>
      <c r="O36" s="24">
        <v>0</v>
      </c>
      <c r="P36" s="24">
        <v>0</v>
      </c>
      <c r="Q36" s="24">
        <v>0</v>
      </c>
      <c r="R36" s="24">
        <v>0</v>
      </c>
      <c r="S36" s="24"/>
      <c r="T36" s="24">
        <v>10</v>
      </c>
      <c r="U36" s="24">
        <v>0</v>
      </c>
      <c r="V36" s="24">
        <v>0</v>
      </c>
      <c r="W36" s="24">
        <v>0</v>
      </c>
      <c r="X36" s="24">
        <v>0</v>
      </c>
      <c r="Y36" s="24">
        <v>0</v>
      </c>
      <c r="Z36" s="24">
        <v>0</v>
      </c>
      <c r="AA36" s="24">
        <v>0</v>
      </c>
      <c r="AB36" s="24"/>
      <c r="AC36" s="24">
        <v>0</v>
      </c>
      <c r="AD36" s="24">
        <v>0</v>
      </c>
      <c r="AE36" s="24">
        <v>0</v>
      </c>
      <c r="AF36" s="24">
        <v>0</v>
      </c>
      <c r="AG36" s="24">
        <v>0</v>
      </c>
      <c r="AH36" s="24">
        <v>0</v>
      </c>
      <c r="AI36" s="24">
        <v>0</v>
      </c>
      <c r="AJ36" s="24">
        <v>0</v>
      </c>
    </row>
    <row r="37" spans="1:36" s="8" customFormat="1" ht="15" customHeight="1" x14ac:dyDescent="0.3">
      <c r="A37" s="8" t="s">
        <v>44</v>
      </c>
      <c r="B37" s="24">
        <v>4</v>
      </c>
      <c r="C37" s="24">
        <v>0</v>
      </c>
      <c r="D37" s="24">
        <v>0</v>
      </c>
      <c r="E37" s="24">
        <v>0</v>
      </c>
      <c r="F37" s="24">
        <v>0</v>
      </c>
      <c r="G37" s="24">
        <v>0</v>
      </c>
      <c r="H37" s="24">
        <v>0</v>
      </c>
      <c r="I37" s="24">
        <v>0</v>
      </c>
      <c r="J37" s="24"/>
      <c r="K37" s="24">
        <v>47</v>
      </c>
      <c r="L37" s="24">
        <v>2</v>
      </c>
      <c r="M37" s="24">
        <v>0</v>
      </c>
      <c r="N37" s="24">
        <v>0</v>
      </c>
      <c r="O37" s="24">
        <v>0</v>
      </c>
      <c r="P37" s="24">
        <v>0</v>
      </c>
      <c r="Q37" s="24">
        <v>0</v>
      </c>
      <c r="R37" s="24">
        <v>4</v>
      </c>
      <c r="S37" s="24"/>
      <c r="T37" s="24">
        <v>3</v>
      </c>
      <c r="U37" s="24">
        <v>0</v>
      </c>
      <c r="V37" s="24">
        <v>0</v>
      </c>
      <c r="W37" s="24">
        <v>0</v>
      </c>
      <c r="X37" s="24">
        <v>0</v>
      </c>
      <c r="Y37" s="24">
        <v>0</v>
      </c>
      <c r="Z37" s="24">
        <v>0</v>
      </c>
      <c r="AA37" s="24">
        <v>0</v>
      </c>
      <c r="AB37" s="24"/>
      <c r="AC37" s="24">
        <v>19</v>
      </c>
      <c r="AD37" s="24">
        <v>0</v>
      </c>
      <c r="AE37" s="24">
        <v>0</v>
      </c>
      <c r="AF37" s="24">
        <v>0</v>
      </c>
      <c r="AG37" s="24">
        <v>1</v>
      </c>
      <c r="AH37" s="24">
        <v>0</v>
      </c>
      <c r="AI37" s="24">
        <v>0</v>
      </c>
      <c r="AJ37" s="24">
        <v>0</v>
      </c>
    </row>
    <row r="38" spans="1:36" s="8" customFormat="1" ht="15" customHeight="1" x14ac:dyDescent="0.3">
      <c r="A38" s="8" t="s">
        <v>45</v>
      </c>
      <c r="B38" s="24">
        <v>1</v>
      </c>
      <c r="C38" s="24">
        <v>0</v>
      </c>
      <c r="D38" s="24">
        <v>0</v>
      </c>
      <c r="E38" s="24">
        <v>0</v>
      </c>
      <c r="F38" s="24">
        <v>0</v>
      </c>
      <c r="G38" s="24">
        <v>0</v>
      </c>
      <c r="H38" s="24">
        <v>0</v>
      </c>
      <c r="I38" s="24">
        <v>12</v>
      </c>
      <c r="J38" s="24"/>
      <c r="K38" s="24">
        <v>5</v>
      </c>
      <c r="L38" s="24">
        <v>0</v>
      </c>
      <c r="M38" s="24">
        <v>0</v>
      </c>
      <c r="N38" s="24">
        <v>0</v>
      </c>
      <c r="O38" s="24">
        <v>0</v>
      </c>
      <c r="P38" s="24">
        <v>0</v>
      </c>
      <c r="Q38" s="24">
        <v>0</v>
      </c>
      <c r="R38" s="24">
        <v>29</v>
      </c>
      <c r="S38" s="24"/>
      <c r="T38" s="24">
        <v>0</v>
      </c>
      <c r="U38" s="24">
        <v>0</v>
      </c>
      <c r="V38" s="24">
        <v>0</v>
      </c>
      <c r="W38" s="24">
        <v>0</v>
      </c>
      <c r="X38" s="24">
        <v>0</v>
      </c>
      <c r="Y38" s="24">
        <v>0</v>
      </c>
      <c r="Z38" s="24">
        <v>0</v>
      </c>
      <c r="AA38" s="24">
        <v>0</v>
      </c>
      <c r="AB38" s="24"/>
      <c r="AC38" s="24">
        <v>2</v>
      </c>
      <c r="AD38" s="24">
        <v>0</v>
      </c>
      <c r="AE38" s="24">
        <v>0</v>
      </c>
      <c r="AF38" s="24">
        <v>0</v>
      </c>
      <c r="AG38" s="24">
        <v>1</v>
      </c>
      <c r="AH38" s="24">
        <v>0</v>
      </c>
      <c r="AI38" s="24">
        <v>0</v>
      </c>
      <c r="AJ38" s="24">
        <v>7</v>
      </c>
    </row>
    <row r="39" spans="1:36" s="8" customFormat="1" ht="15" customHeight="1" x14ac:dyDescent="0.3">
      <c r="A39" s="8" t="s">
        <v>46</v>
      </c>
      <c r="B39" s="24">
        <v>1</v>
      </c>
      <c r="C39" s="24">
        <v>0</v>
      </c>
      <c r="D39" s="24">
        <v>0</v>
      </c>
      <c r="E39" s="24">
        <v>0</v>
      </c>
      <c r="F39" s="24">
        <v>0</v>
      </c>
      <c r="G39" s="24">
        <v>0</v>
      </c>
      <c r="H39" s="24">
        <v>0</v>
      </c>
      <c r="I39" s="24">
        <v>0</v>
      </c>
      <c r="J39" s="24"/>
      <c r="K39" s="24">
        <v>18</v>
      </c>
      <c r="L39" s="24">
        <v>0</v>
      </c>
      <c r="M39" s="24">
        <v>0</v>
      </c>
      <c r="N39" s="24">
        <v>0</v>
      </c>
      <c r="O39" s="24">
        <v>0</v>
      </c>
      <c r="P39" s="24">
        <v>0</v>
      </c>
      <c r="Q39" s="24">
        <v>0</v>
      </c>
      <c r="R39" s="24">
        <v>0</v>
      </c>
      <c r="S39" s="24"/>
      <c r="T39" s="24">
        <v>1</v>
      </c>
      <c r="U39" s="24">
        <v>0</v>
      </c>
      <c r="V39" s="24">
        <v>0</v>
      </c>
      <c r="W39" s="24">
        <v>0</v>
      </c>
      <c r="X39" s="24">
        <v>0</v>
      </c>
      <c r="Y39" s="24">
        <v>0</v>
      </c>
      <c r="Z39" s="24">
        <v>0</v>
      </c>
      <c r="AA39" s="24">
        <v>0</v>
      </c>
      <c r="AB39" s="24"/>
      <c r="AC39" s="24">
        <v>1</v>
      </c>
      <c r="AD39" s="24">
        <v>0</v>
      </c>
      <c r="AE39" s="24">
        <v>0</v>
      </c>
      <c r="AF39" s="24">
        <v>0</v>
      </c>
      <c r="AG39" s="24">
        <v>0</v>
      </c>
      <c r="AH39" s="24">
        <v>0</v>
      </c>
      <c r="AI39" s="24">
        <v>0</v>
      </c>
      <c r="AJ39" s="24">
        <v>3</v>
      </c>
    </row>
    <row r="40" spans="1:36" s="8" customFormat="1" ht="15" customHeight="1" x14ac:dyDescent="0.3">
      <c r="A40" s="4" t="s">
        <v>47</v>
      </c>
      <c r="B40" s="24">
        <v>13</v>
      </c>
      <c r="C40" s="24">
        <v>0</v>
      </c>
      <c r="D40" s="24">
        <v>0</v>
      </c>
      <c r="E40" s="24">
        <v>0</v>
      </c>
      <c r="F40" s="24">
        <v>0</v>
      </c>
      <c r="G40" s="24">
        <v>0</v>
      </c>
      <c r="H40" s="24">
        <v>0</v>
      </c>
      <c r="I40" s="24">
        <v>0</v>
      </c>
      <c r="J40" s="24"/>
      <c r="K40" s="24">
        <v>32</v>
      </c>
      <c r="L40" s="24">
        <v>1</v>
      </c>
      <c r="M40" s="24">
        <v>0</v>
      </c>
      <c r="N40" s="24">
        <v>0</v>
      </c>
      <c r="O40" s="24">
        <v>0</v>
      </c>
      <c r="P40" s="24">
        <v>0</v>
      </c>
      <c r="Q40" s="24">
        <v>0</v>
      </c>
      <c r="R40" s="24">
        <v>3</v>
      </c>
      <c r="S40" s="24"/>
      <c r="T40" s="24">
        <v>1</v>
      </c>
      <c r="U40" s="24">
        <v>0</v>
      </c>
      <c r="V40" s="24">
        <v>0</v>
      </c>
      <c r="W40" s="24">
        <v>0</v>
      </c>
      <c r="X40" s="24">
        <v>0</v>
      </c>
      <c r="Y40" s="24">
        <v>0</v>
      </c>
      <c r="Z40" s="24">
        <v>0</v>
      </c>
      <c r="AA40" s="24">
        <v>0</v>
      </c>
      <c r="AB40" s="24"/>
      <c r="AC40" s="24">
        <v>10</v>
      </c>
      <c r="AD40" s="24">
        <v>0</v>
      </c>
      <c r="AE40" s="24">
        <v>0</v>
      </c>
      <c r="AF40" s="24">
        <v>0</v>
      </c>
      <c r="AG40" s="24">
        <v>2</v>
      </c>
      <c r="AH40" s="24">
        <v>0</v>
      </c>
      <c r="AI40" s="24">
        <v>0</v>
      </c>
      <c r="AJ40" s="24">
        <v>7</v>
      </c>
    </row>
    <row r="41" spans="1:36" s="8" customFormat="1" ht="15" customHeight="1" x14ac:dyDescent="0.3">
      <c r="A41" s="4" t="s">
        <v>48</v>
      </c>
      <c r="B41" s="24">
        <v>0</v>
      </c>
      <c r="C41" s="24">
        <v>0</v>
      </c>
      <c r="D41" s="24">
        <v>0</v>
      </c>
      <c r="E41" s="24">
        <v>0</v>
      </c>
      <c r="F41" s="24">
        <v>0</v>
      </c>
      <c r="G41" s="24">
        <v>0</v>
      </c>
      <c r="H41" s="24">
        <v>0</v>
      </c>
      <c r="I41" s="24">
        <v>0</v>
      </c>
      <c r="J41" s="24"/>
      <c r="K41" s="24">
        <v>64</v>
      </c>
      <c r="L41" s="24">
        <v>2</v>
      </c>
      <c r="M41" s="24">
        <v>0</v>
      </c>
      <c r="N41" s="24">
        <v>0</v>
      </c>
      <c r="O41" s="24">
        <v>0</v>
      </c>
      <c r="P41" s="24">
        <v>0</v>
      </c>
      <c r="Q41" s="24">
        <v>1</v>
      </c>
      <c r="R41" s="24">
        <v>7</v>
      </c>
      <c r="S41" s="24"/>
      <c r="T41" s="24">
        <v>0</v>
      </c>
      <c r="U41" s="24">
        <v>0</v>
      </c>
      <c r="V41" s="24">
        <v>0</v>
      </c>
      <c r="W41" s="24">
        <v>0</v>
      </c>
      <c r="X41" s="24">
        <v>0</v>
      </c>
      <c r="Y41" s="24">
        <v>0</v>
      </c>
      <c r="Z41" s="24">
        <v>0</v>
      </c>
      <c r="AA41" s="24">
        <v>0</v>
      </c>
      <c r="AB41" s="24"/>
      <c r="AC41" s="24">
        <v>4</v>
      </c>
      <c r="AD41" s="24">
        <v>0</v>
      </c>
      <c r="AE41" s="24">
        <v>0</v>
      </c>
      <c r="AF41" s="24">
        <v>0</v>
      </c>
      <c r="AG41" s="24">
        <v>0</v>
      </c>
      <c r="AH41" s="24">
        <v>0</v>
      </c>
      <c r="AI41" s="24">
        <v>0</v>
      </c>
      <c r="AJ41" s="24">
        <v>0</v>
      </c>
    </row>
    <row r="42" spans="1:36" s="8" customFormat="1" ht="15" customHeight="1" x14ac:dyDescent="0.3">
      <c r="A42" s="4" t="s">
        <v>49</v>
      </c>
      <c r="B42" s="24">
        <v>5</v>
      </c>
      <c r="C42" s="24">
        <v>0</v>
      </c>
      <c r="D42" s="24">
        <v>0</v>
      </c>
      <c r="E42" s="24">
        <v>0</v>
      </c>
      <c r="F42" s="24">
        <v>0</v>
      </c>
      <c r="G42" s="24">
        <v>0</v>
      </c>
      <c r="H42" s="24">
        <v>0</v>
      </c>
      <c r="I42" s="24">
        <v>0</v>
      </c>
      <c r="J42" s="24"/>
      <c r="K42" s="24">
        <v>11</v>
      </c>
      <c r="L42" s="24">
        <v>12</v>
      </c>
      <c r="M42" s="24">
        <v>0</v>
      </c>
      <c r="N42" s="24">
        <v>0</v>
      </c>
      <c r="O42" s="24">
        <v>0</v>
      </c>
      <c r="P42" s="24">
        <v>0</v>
      </c>
      <c r="Q42" s="24">
        <v>0</v>
      </c>
      <c r="R42" s="24">
        <v>3</v>
      </c>
      <c r="S42" s="24"/>
      <c r="T42" s="24">
        <v>0</v>
      </c>
      <c r="U42" s="24">
        <v>0</v>
      </c>
      <c r="V42" s="24">
        <v>0</v>
      </c>
      <c r="W42" s="24">
        <v>0</v>
      </c>
      <c r="X42" s="24">
        <v>0</v>
      </c>
      <c r="Y42" s="24">
        <v>0</v>
      </c>
      <c r="Z42" s="24">
        <v>0</v>
      </c>
      <c r="AA42" s="24">
        <v>1</v>
      </c>
      <c r="AB42" s="24"/>
      <c r="AC42" s="24">
        <v>6</v>
      </c>
      <c r="AD42" s="24">
        <v>1</v>
      </c>
      <c r="AE42" s="24">
        <v>0</v>
      </c>
      <c r="AF42" s="24">
        <v>0</v>
      </c>
      <c r="AG42" s="24">
        <v>0</v>
      </c>
      <c r="AH42" s="24">
        <v>1</v>
      </c>
      <c r="AI42" s="24">
        <v>0</v>
      </c>
      <c r="AJ42" s="24">
        <v>1</v>
      </c>
    </row>
    <row r="43" spans="1:36" s="8" customFormat="1" ht="15" customHeight="1" x14ac:dyDescent="0.3">
      <c r="A43" s="4" t="s">
        <v>50</v>
      </c>
      <c r="B43" s="24">
        <v>7</v>
      </c>
      <c r="C43" s="24">
        <v>1</v>
      </c>
      <c r="D43" s="24">
        <v>0</v>
      </c>
      <c r="E43" s="24">
        <v>0</v>
      </c>
      <c r="F43" s="24">
        <v>0</v>
      </c>
      <c r="G43" s="24">
        <v>0</v>
      </c>
      <c r="H43" s="24">
        <v>0</v>
      </c>
      <c r="I43" s="24">
        <v>0</v>
      </c>
      <c r="J43" s="24"/>
      <c r="K43" s="24">
        <v>16</v>
      </c>
      <c r="L43" s="24">
        <v>0</v>
      </c>
      <c r="M43" s="24">
        <v>0</v>
      </c>
      <c r="N43" s="24">
        <v>0</v>
      </c>
      <c r="O43" s="24">
        <v>0</v>
      </c>
      <c r="P43" s="24">
        <v>0</v>
      </c>
      <c r="Q43" s="24">
        <v>0</v>
      </c>
      <c r="R43" s="24">
        <v>0</v>
      </c>
      <c r="S43" s="24"/>
      <c r="T43" s="24">
        <v>0</v>
      </c>
      <c r="U43" s="24">
        <v>0</v>
      </c>
      <c r="V43" s="24">
        <v>0</v>
      </c>
      <c r="W43" s="24">
        <v>0</v>
      </c>
      <c r="X43" s="24">
        <v>0</v>
      </c>
      <c r="Y43" s="24">
        <v>0</v>
      </c>
      <c r="Z43" s="24">
        <v>0</v>
      </c>
      <c r="AA43" s="24">
        <v>0</v>
      </c>
      <c r="AB43" s="24"/>
      <c r="AC43" s="24">
        <v>9</v>
      </c>
      <c r="AD43" s="24">
        <v>1</v>
      </c>
      <c r="AE43" s="24">
        <v>0</v>
      </c>
      <c r="AF43" s="24">
        <v>0</v>
      </c>
      <c r="AG43" s="24">
        <v>0</v>
      </c>
      <c r="AH43" s="24">
        <v>0</v>
      </c>
      <c r="AI43" s="24">
        <v>0</v>
      </c>
      <c r="AJ43" s="24">
        <v>0</v>
      </c>
    </row>
    <row r="44" spans="1:36" s="8" customFormat="1" ht="15" customHeight="1" x14ac:dyDescent="0.3">
      <c r="A44" s="4" t="s">
        <v>51</v>
      </c>
      <c r="B44" s="24">
        <v>1</v>
      </c>
      <c r="C44" s="24">
        <v>0</v>
      </c>
      <c r="D44" s="24">
        <v>0</v>
      </c>
      <c r="E44" s="24">
        <v>0</v>
      </c>
      <c r="F44" s="24">
        <v>0</v>
      </c>
      <c r="G44" s="24">
        <v>0</v>
      </c>
      <c r="H44" s="24">
        <v>0</v>
      </c>
      <c r="I44" s="24">
        <v>1</v>
      </c>
      <c r="J44" s="24"/>
      <c r="K44" s="24">
        <v>2</v>
      </c>
      <c r="L44" s="24">
        <v>0</v>
      </c>
      <c r="M44" s="24">
        <v>0</v>
      </c>
      <c r="N44" s="24">
        <v>0</v>
      </c>
      <c r="O44" s="24">
        <v>0</v>
      </c>
      <c r="P44" s="24">
        <v>0</v>
      </c>
      <c r="Q44" s="24">
        <v>0</v>
      </c>
      <c r="R44" s="24">
        <v>47</v>
      </c>
      <c r="S44" s="24"/>
      <c r="T44" s="24">
        <v>0</v>
      </c>
      <c r="U44" s="24">
        <v>0</v>
      </c>
      <c r="V44" s="24">
        <v>0</v>
      </c>
      <c r="W44" s="24">
        <v>0</v>
      </c>
      <c r="X44" s="24">
        <v>0</v>
      </c>
      <c r="Y44" s="24">
        <v>0</v>
      </c>
      <c r="Z44" s="24">
        <v>0</v>
      </c>
      <c r="AA44" s="24">
        <v>0</v>
      </c>
      <c r="AB44" s="24"/>
      <c r="AC44" s="24">
        <v>5</v>
      </c>
      <c r="AD44" s="24">
        <v>0</v>
      </c>
      <c r="AE44" s="24">
        <v>0</v>
      </c>
      <c r="AF44" s="24">
        <v>0</v>
      </c>
      <c r="AG44" s="24">
        <v>0</v>
      </c>
      <c r="AH44" s="24">
        <v>0</v>
      </c>
      <c r="AI44" s="24">
        <v>0</v>
      </c>
      <c r="AJ44" s="24">
        <v>1</v>
      </c>
    </row>
    <row r="45" spans="1:36" s="8" customFormat="1" ht="15" customHeight="1" x14ac:dyDescent="0.3">
      <c r="A45" s="4" t="s">
        <v>52</v>
      </c>
      <c r="B45" s="24">
        <v>5</v>
      </c>
      <c r="C45" s="24">
        <v>0</v>
      </c>
      <c r="D45" s="24">
        <v>0</v>
      </c>
      <c r="E45" s="24">
        <v>0</v>
      </c>
      <c r="F45" s="24">
        <v>0</v>
      </c>
      <c r="G45" s="24">
        <v>0</v>
      </c>
      <c r="H45" s="24">
        <v>0</v>
      </c>
      <c r="I45" s="24">
        <v>3</v>
      </c>
      <c r="J45" s="24"/>
      <c r="K45" s="24">
        <v>5</v>
      </c>
      <c r="L45" s="24">
        <v>0</v>
      </c>
      <c r="M45" s="24">
        <v>0</v>
      </c>
      <c r="N45" s="24">
        <v>0</v>
      </c>
      <c r="O45" s="24">
        <v>0</v>
      </c>
      <c r="P45" s="24">
        <v>0</v>
      </c>
      <c r="Q45" s="24">
        <v>0</v>
      </c>
      <c r="R45" s="24">
        <v>4</v>
      </c>
      <c r="S45" s="24"/>
      <c r="T45" s="24">
        <v>1</v>
      </c>
      <c r="U45" s="24">
        <v>0</v>
      </c>
      <c r="V45" s="24">
        <v>0</v>
      </c>
      <c r="W45" s="24">
        <v>0</v>
      </c>
      <c r="X45" s="24">
        <v>0</v>
      </c>
      <c r="Y45" s="24">
        <v>0</v>
      </c>
      <c r="Z45" s="24">
        <v>0</v>
      </c>
      <c r="AA45" s="24">
        <v>2</v>
      </c>
      <c r="AB45" s="24"/>
      <c r="AC45" s="24">
        <v>1</v>
      </c>
      <c r="AD45" s="24">
        <v>0</v>
      </c>
      <c r="AE45" s="24">
        <v>0</v>
      </c>
      <c r="AF45" s="24">
        <v>0</v>
      </c>
      <c r="AG45" s="24">
        <v>0</v>
      </c>
      <c r="AH45" s="24">
        <v>0</v>
      </c>
      <c r="AI45" s="24">
        <v>0</v>
      </c>
      <c r="AJ45" s="24">
        <v>0</v>
      </c>
    </row>
    <row r="46" spans="1:36" s="8" customFormat="1" ht="15" customHeight="1" x14ac:dyDescent="0.3">
      <c r="A46" s="4" t="s">
        <v>53</v>
      </c>
      <c r="B46" s="24">
        <v>7</v>
      </c>
      <c r="C46" s="24">
        <v>0</v>
      </c>
      <c r="D46" s="24">
        <v>0</v>
      </c>
      <c r="E46" s="24">
        <v>0</v>
      </c>
      <c r="F46" s="24">
        <v>0</v>
      </c>
      <c r="G46" s="24">
        <v>0</v>
      </c>
      <c r="H46" s="24">
        <v>0</v>
      </c>
      <c r="I46" s="24">
        <v>24</v>
      </c>
      <c r="J46" s="24"/>
      <c r="K46" s="24">
        <v>12</v>
      </c>
      <c r="L46" s="24">
        <v>0</v>
      </c>
      <c r="M46" s="24">
        <v>0</v>
      </c>
      <c r="N46" s="24">
        <v>0</v>
      </c>
      <c r="O46" s="24">
        <v>0</v>
      </c>
      <c r="P46" s="24">
        <v>0</v>
      </c>
      <c r="Q46" s="24">
        <v>0</v>
      </c>
      <c r="R46" s="24">
        <v>8</v>
      </c>
      <c r="S46" s="24"/>
      <c r="T46" s="24">
        <v>3</v>
      </c>
      <c r="U46" s="24">
        <v>0</v>
      </c>
      <c r="V46" s="24">
        <v>0</v>
      </c>
      <c r="W46" s="24">
        <v>0</v>
      </c>
      <c r="X46" s="24">
        <v>0</v>
      </c>
      <c r="Y46" s="24">
        <v>0</v>
      </c>
      <c r="Z46" s="24">
        <v>0</v>
      </c>
      <c r="AA46" s="24">
        <v>0</v>
      </c>
      <c r="AB46" s="24"/>
      <c r="AC46" s="24">
        <v>12</v>
      </c>
      <c r="AD46" s="24">
        <v>0</v>
      </c>
      <c r="AE46" s="24">
        <v>0</v>
      </c>
      <c r="AF46" s="24">
        <v>1</v>
      </c>
      <c r="AG46" s="24">
        <v>0</v>
      </c>
      <c r="AH46" s="24">
        <v>0</v>
      </c>
      <c r="AI46" s="24">
        <v>0</v>
      </c>
      <c r="AJ46" s="24">
        <v>7</v>
      </c>
    </row>
    <row r="47" spans="1:36" s="8" customFormat="1" ht="15" customHeight="1" x14ac:dyDescent="0.3">
      <c r="A47" s="4" t="s">
        <v>54</v>
      </c>
      <c r="B47" s="24">
        <v>12</v>
      </c>
      <c r="C47" s="24">
        <v>0</v>
      </c>
      <c r="D47" s="24">
        <v>0</v>
      </c>
      <c r="E47" s="24">
        <v>0</v>
      </c>
      <c r="F47" s="24">
        <v>0</v>
      </c>
      <c r="G47" s="24">
        <v>0</v>
      </c>
      <c r="H47" s="24">
        <v>0</v>
      </c>
      <c r="I47" s="24">
        <v>12</v>
      </c>
      <c r="J47" s="24"/>
      <c r="K47" s="24">
        <v>37</v>
      </c>
      <c r="L47" s="24">
        <v>0</v>
      </c>
      <c r="M47" s="24">
        <v>1</v>
      </c>
      <c r="N47" s="24">
        <v>0</v>
      </c>
      <c r="O47" s="24">
        <v>0</v>
      </c>
      <c r="P47" s="24">
        <v>0</v>
      </c>
      <c r="Q47" s="24">
        <v>0</v>
      </c>
      <c r="R47" s="24">
        <v>9</v>
      </c>
      <c r="S47" s="24"/>
      <c r="T47" s="24">
        <v>0</v>
      </c>
      <c r="U47" s="24">
        <v>0</v>
      </c>
      <c r="V47" s="24">
        <v>0</v>
      </c>
      <c r="W47" s="24">
        <v>0</v>
      </c>
      <c r="X47" s="24">
        <v>0</v>
      </c>
      <c r="Y47" s="24">
        <v>0</v>
      </c>
      <c r="Z47" s="24">
        <v>0</v>
      </c>
      <c r="AA47" s="24">
        <v>0</v>
      </c>
      <c r="AB47" s="24"/>
      <c r="AC47" s="24">
        <v>10</v>
      </c>
      <c r="AD47" s="24">
        <v>0</v>
      </c>
      <c r="AE47" s="24">
        <v>0</v>
      </c>
      <c r="AF47" s="24">
        <v>0</v>
      </c>
      <c r="AG47" s="24">
        <v>0</v>
      </c>
      <c r="AH47" s="24">
        <v>0</v>
      </c>
      <c r="AI47" s="24">
        <v>0</v>
      </c>
      <c r="AJ47" s="24">
        <v>0</v>
      </c>
    </row>
    <row r="48" spans="1:36" s="8" customFormat="1" ht="15" customHeight="1" x14ac:dyDescent="0.3">
      <c r="A48" s="4" t="s">
        <v>55</v>
      </c>
      <c r="B48" s="24">
        <v>0</v>
      </c>
      <c r="C48" s="24">
        <v>0</v>
      </c>
      <c r="D48" s="24">
        <v>0</v>
      </c>
      <c r="E48" s="24">
        <v>0</v>
      </c>
      <c r="F48" s="24">
        <v>0</v>
      </c>
      <c r="G48" s="24">
        <v>0</v>
      </c>
      <c r="H48" s="24">
        <v>0</v>
      </c>
      <c r="I48" s="24">
        <v>0</v>
      </c>
      <c r="J48" s="24"/>
      <c r="K48" s="24">
        <v>0</v>
      </c>
      <c r="L48" s="24">
        <v>0</v>
      </c>
      <c r="M48" s="24">
        <v>0</v>
      </c>
      <c r="N48" s="24">
        <v>0</v>
      </c>
      <c r="O48" s="24">
        <v>0</v>
      </c>
      <c r="P48" s="24">
        <v>0</v>
      </c>
      <c r="Q48" s="24">
        <v>0</v>
      </c>
      <c r="R48" s="24">
        <v>2</v>
      </c>
      <c r="S48" s="24"/>
      <c r="T48" s="24">
        <v>0</v>
      </c>
      <c r="U48" s="24">
        <v>0</v>
      </c>
      <c r="V48" s="24">
        <v>0</v>
      </c>
      <c r="W48" s="24">
        <v>0</v>
      </c>
      <c r="X48" s="24">
        <v>0</v>
      </c>
      <c r="Y48" s="24">
        <v>0</v>
      </c>
      <c r="Z48" s="24">
        <v>0</v>
      </c>
      <c r="AA48" s="24">
        <v>0</v>
      </c>
      <c r="AB48" s="24"/>
      <c r="AC48" s="24">
        <v>0</v>
      </c>
      <c r="AD48" s="24">
        <v>0</v>
      </c>
      <c r="AE48" s="24">
        <v>0</v>
      </c>
      <c r="AF48" s="24">
        <v>0</v>
      </c>
      <c r="AG48" s="24">
        <v>0</v>
      </c>
      <c r="AH48" s="24">
        <v>0</v>
      </c>
      <c r="AI48" s="24">
        <v>0</v>
      </c>
      <c r="AJ48" s="24">
        <v>0</v>
      </c>
    </row>
    <row r="49" spans="1:36" s="8" customFormat="1" ht="15" customHeight="1" x14ac:dyDescent="0.3">
      <c r="A49" s="43" t="s">
        <v>56</v>
      </c>
      <c r="B49" s="22">
        <f>SUM(B50:B56)</f>
        <v>317</v>
      </c>
      <c r="C49" s="22">
        <f t="shared" ref="C49:I49" si="8">SUM(C50:C56)</f>
        <v>11</v>
      </c>
      <c r="D49" s="22">
        <f t="shared" si="8"/>
        <v>37</v>
      </c>
      <c r="E49" s="22">
        <f t="shared" si="8"/>
        <v>12</v>
      </c>
      <c r="F49" s="22">
        <f t="shared" si="8"/>
        <v>17</v>
      </c>
      <c r="G49" s="22">
        <f t="shared" si="8"/>
        <v>0</v>
      </c>
      <c r="H49" s="22">
        <f t="shared" si="8"/>
        <v>5</v>
      </c>
      <c r="I49" s="22">
        <f t="shared" si="8"/>
        <v>41</v>
      </c>
      <c r="J49" s="22"/>
      <c r="K49" s="22">
        <f t="shared" ref="K49:R49" si="9">SUM(K50:K56)</f>
        <v>53</v>
      </c>
      <c r="L49" s="22">
        <f t="shared" si="9"/>
        <v>0</v>
      </c>
      <c r="M49" s="22">
        <f t="shared" si="9"/>
        <v>1</v>
      </c>
      <c r="N49" s="22">
        <f t="shared" si="9"/>
        <v>0</v>
      </c>
      <c r="O49" s="22">
        <f t="shared" si="9"/>
        <v>0</v>
      </c>
      <c r="P49" s="22">
        <f t="shared" si="9"/>
        <v>0</v>
      </c>
      <c r="Q49" s="22">
        <f t="shared" si="9"/>
        <v>0</v>
      </c>
      <c r="R49" s="22">
        <f t="shared" si="9"/>
        <v>1</v>
      </c>
      <c r="S49" s="22"/>
      <c r="T49" s="22">
        <f t="shared" ref="T49:AA49" si="10">SUM(T50:T56)</f>
        <v>28</v>
      </c>
      <c r="U49" s="22">
        <f t="shared" si="10"/>
        <v>1</v>
      </c>
      <c r="V49" s="22">
        <f t="shared" si="10"/>
        <v>2</v>
      </c>
      <c r="W49" s="22">
        <f t="shared" si="10"/>
        <v>1</v>
      </c>
      <c r="X49" s="22">
        <f t="shared" si="10"/>
        <v>1</v>
      </c>
      <c r="Y49" s="22">
        <f t="shared" si="10"/>
        <v>0</v>
      </c>
      <c r="Z49" s="22">
        <f t="shared" si="10"/>
        <v>0</v>
      </c>
      <c r="AA49" s="22">
        <f t="shared" si="10"/>
        <v>0</v>
      </c>
      <c r="AB49" s="22"/>
      <c r="AC49" s="22">
        <f t="shared" ref="AC49:AJ49" si="11">SUM(AC50:AC56)</f>
        <v>204</v>
      </c>
      <c r="AD49" s="22">
        <f t="shared" si="11"/>
        <v>6</v>
      </c>
      <c r="AE49" s="22">
        <f t="shared" si="11"/>
        <v>4</v>
      </c>
      <c r="AF49" s="22">
        <f t="shared" si="11"/>
        <v>16</v>
      </c>
      <c r="AG49" s="22">
        <f t="shared" si="11"/>
        <v>20</v>
      </c>
      <c r="AH49" s="22">
        <f t="shared" si="11"/>
        <v>2</v>
      </c>
      <c r="AI49" s="22">
        <f t="shared" si="11"/>
        <v>8</v>
      </c>
      <c r="AJ49" s="22">
        <f t="shared" si="11"/>
        <v>42</v>
      </c>
    </row>
    <row r="50" spans="1:36" s="8" customFormat="1" ht="15" customHeight="1" x14ac:dyDescent="0.3">
      <c r="A50" s="4" t="s">
        <v>57</v>
      </c>
      <c r="B50" s="24">
        <v>15</v>
      </c>
      <c r="C50" s="24">
        <v>1</v>
      </c>
      <c r="D50" s="24">
        <v>7</v>
      </c>
      <c r="E50" s="24">
        <v>2</v>
      </c>
      <c r="F50" s="24">
        <v>1</v>
      </c>
      <c r="G50" s="24">
        <v>0</v>
      </c>
      <c r="H50" s="24">
        <v>1</v>
      </c>
      <c r="I50" s="24">
        <v>28</v>
      </c>
      <c r="J50" s="24"/>
      <c r="K50" s="24">
        <v>0</v>
      </c>
      <c r="L50" s="24">
        <v>0</v>
      </c>
      <c r="M50" s="24">
        <v>0</v>
      </c>
      <c r="N50" s="24">
        <v>0</v>
      </c>
      <c r="O50" s="24">
        <v>0</v>
      </c>
      <c r="P50" s="24">
        <v>0</v>
      </c>
      <c r="Q50" s="24">
        <v>0</v>
      </c>
      <c r="R50" s="24">
        <v>0</v>
      </c>
      <c r="S50" s="24"/>
      <c r="T50" s="24">
        <v>0</v>
      </c>
      <c r="U50" s="24">
        <v>0</v>
      </c>
      <c r="V50" s="24">
        <v>0</v>
      </c>
      <c r="W50" s="24">
        <v>0</v>
      </c>
      <c r="X50" s="24">
        <v>0</v>
      </c>
      <c r="Y50" s="24">
        <v>0</v>
      </c>
      <c r="Z50" s="24">
        <v>0</v>
      </c>
      <c r="AA50" s="24">
        <v>0</v>
      </c>
      <c r="AB50" s="24"/>
      <c r="AC50" s="24">
        <v>50</v>
      </c>
      <c r="AD50" s="24">
        <v>1</v>
      </c>
      <c r="AE50" s="24">
        <v>1</v>
      </c>
      <c r="AF50" s="24">
        <v>1</v>
      </c>
      <c r="AG50" s="24">
        <v>2</v>
      </c>
      <c r="AH50" s="24">
        <v>1</v>
      </c>
      <c r="AI50" s="24">
        <v>0</v>
      </c>
      <c r="AJ50" s="24">
        <v>24</v>
      </c>
    </row>
    <row r="51" spans="1:36" s="8" customFormat="1" ht="15" customHeight="1" x14ac:dyDescent="0.3">
      <c r="A51" s="4" t="s">
        <v>58</v>
      </c>
      <c r="B51" s="24">
        <v>26</v>
      </c>
      <c r="C51" s="24">
        <v>0</v>
      </c>
      <c r="D51" s="24">
        <v>5</v>
      </c>
      <c r="E51" s="24">
        <v>0</v>
      </c>
      <c r="F51" s="24">
        <v>0</v>
      </c>
      <c r="G51" s="24">
        <v>0</v>
      </c>
      <c r="H51" s="24">
        <v>0</v>
      </c>
      <c r="I51" s="24">
        <v>1</v>
      </c>
      <c r="J51" s="24"/>
      <c r="K51" s="24">
        <v>14</v>
      </c>
      <c r="L51" s="24">
        <v>0</v>
      </c>
      <c r="M51" s="24">
        <v>1</v>
      </c>
      <c r="N51" s="24">
        <v>0</v>
      </c>
      <c r="O51" s="24">
        <v>0</v>
      </c>
      <c r="P51" s="24">
        <v>0</v>
      </c>
      <c r="Q51" s="24">
        <v>0</v>
      </c>
      <c r="R51" s="24">
        <v>1</v>
      </c>
      <c r="S51" s="24"/>
      <c r="T51" s="24">
        <v>7</v>
      </c>
      <c r="U51" s="24">
        <v>0</v>
      </c>
      <c r="V51" s="24">
        <v>0</v>
      </c>
      <c r="W51" s="24">
        <v>0</v>
      </c>
      <c r="X51" s="24">
        <v>0</v>
      </c>
      <c r="Y51" s="24">
        <v>0</v>
      </c>
      <c r="Z51" s="24">
        <v>0</v>
      </c>
      <c r="AA51" s="24">
        <v>0</v>
      </c>
      <c r="AB51" s="24"/>
      <c r="AC51" s="24">
        <v>16</v>
      </c>
      <c r="AD51" s="24">
        <v>0</v>
      </c>
      <c r="AE51" s="24">
        <v>0</v>
      </c>
      <c r="AF51" s="24">
        <v>0</v>
      </c>
      <c r="AG51" s="24">
        <v>0</v>
      </c>
      <c r="AH51" s="24">
        <v>0</v>
      </c>
      <c r="AI51" s="24">
        <v>0</v>
      </c>
      <c r="AJ51" s="24">
        <v>1</v>
      </c>
    </row>
    <row r="52" spans="1:36" s="8" customFormat="1" ht="15" customHeight="1" x14ac:dyDescent="0.3">
      <c r="A52" s="4" t="s">
        <v>59</v>
      </c>
      <c r="B52" s="24">
        <v>27</v>
      </c>
      <c r="C52" s="24">
        <v>0</v>
      </c>
      <c r="D52" s="24">
        <v>4</v>
      </c>
      <c r="E52" s="24">
        <v>0</v>
      </c>
      <c r="F52" s="24">
        <v>0</v>
      </c>
      <c r="G52" s="24">
        <v>0</v>
      </c>
      <c r="H52" s="24">
        <v>0</v>
      </c>
      <c r="I52" s="24">
        <v>1</v>
      </c>
      <c r="J52" s="24"/>
      <c r="K52" s="24">
        <v>26</v>
      </c>
      <c r="L52" s="24">
        <v>0</v>
      </c>
      <c r="M52" s="24">
        <v>0</v>
      </c>
      <c r="N52" s="24">
        <v>0</v>
      </c>
      <c r="O52" s="24">
        <v>0</v>
      </c>
      <c r="P52" s="24">
        <v>0</v>
      </c>
      <c r="Q52" s="24">
        <v>0</v>
      </c>
      <c r="R52" s="24">
        <v>0</v>
      </c>
      <c r="S52" s="24"/>
      <c r="T52" s="24">
        <v>3</v>
      </c>
      <c r="U52" s="24">
        <v>0</v>
      </c>
      <c r="V52" s="24">
        <v>0</v>
      </c>
      <c r="W52" s="24">
        <v>0</v>
      </c>
      <c r="X52" s="24">
        <v>0</v>
      </c>
      <c r="Y52" s="24">
        <v>0</v>
      </c>
      <c r="Z52" s="24">
        <v>0</v>
      </c>
      <c r="AA52" s="24">
        <v>0</v>
      </c>
      <c r="AB52" s="24"/>
      <c r="AC52" s="24">
        <v>34</v>
      </c>
      <c r="AD52" s="24">
        <v>1</v>
      </c>
      <c r="AE52" s="24">
        <v>0</v>
      </c>
      <c r="AF52" s="24">
        <v>2</v>
      </c>
      <c r="AG52" s="24">
        <v>0</v>
      </c>
      <c r="AH52" s="24">
        <v>0</v>
      </c>
      <c r="AI52" s="24">
        <v>0</v>
      </c>
      <c r="AJ52" s="24">
        <v>0</v>
      </c>
    </row>
    <row r="53" spans="1:36" s="8" customFormat="1" ht="15" customHeight="1" x14ac:dyDescent="0.3">
      <c r="A53" s="2" t="s">
        <v>60</v>
      </c>
      <c r="B53" s="24">
        <v>6</v>
      </c>
      <c r="C53" s="24">
        <v>0</v>
      </c>
      <c r="D53" s="24">
        <v>0</v>
      </c>
      <c r="E53" s="24">
        <v>0</v>
      </c>
      <c r="F53" s="24">
        <v>0</v>
      </c>
      <c r="G53" s="24">
        <v>0</v>
      </c>
      <c r="H53" s="24">
        <v>0</v>
      </c>
      <c r="I53" s="24">
        <v>0</v>
      </c>
      <c r="J53" s="24"/>
      <c r="K53" s="24">
        <v>6</v>
      </c>
      <c r="L53" s="24">
        <v>0</v>
      </c>
      <c r="M53" s="24">
        <v>0</v>
      </c>
      <c r="N53" s="24">
        <v>0</v>
      </c>
      <c r="O53" s="24">
        <v>0</v>
      </c>
      <c r="P53" s="24">
        <v>0</v>
      </c>
      <c r="Q53" s="24">
        <v>0</v>
      </c>
      <c r="R53" s="24">
        <v>0</v>
      </c>
      <c r="S53" s="24"/>
      <c r="T53" s="24">
        <v>1</v>
      </c>
      <c r="U53" s="24">
        <v>0</v>
      </c>
      <c r="V53" s="24">
        <v>0</v>
      </c>
      <c r="W53" s="24">
        <v>0</v>
      </c>
      <c r="X53" s="24">
        <v>0</v>
      </c>
      <c r="Y53" s="24">
        <v>0</v>
      </c>
      <c r="Z53" s="24">
        <v>0</v>
      </c>
      <c r="AA53" s="24">
        <v>0</v>
      </c>
      <c r="AB53" s="24"/>
      <c r="AC53" s="24">
        <v>20</v>
      </c>
      <c r="AD53" s="24">
        <v>0</v>
      </c>
      <c r="AE53" s="24">
        <v>0</v>
      </c>
      <c r="AF53" s="24">
        <v>1</v>
      </c>
      <c r="AG53" s="24">
        <v>0</v>
      </c>
      <c r="AH53" s="24">
        <v>0</v>
      </c>
      <c r="AI53" s="24">
        <v>0</v>
      </c>
      <c r="AJ53" s="24">
        <v>4</v>
      </c>
    </row>
    <row r="54" spans="1:36" s="8" customFormat="1" ht="15" customHeight="1" x14ac:dyDescent="0.3">
      <c r="A54" s="2" t="s">
        <v>61</v>
      </c>
      <c r="B54" s="24">
        <v>51</v>
      </c>
      <c r="C54" s="24">
        <v>2</v>
      </c>
      <c r="D54" s="24">
        <v>12</v>
      </c>
      <c r="E54" s="24">
        <v>3</v>
      </c>
      <c r="F54" s="24">
        <v>4</v>
      </c>
      <c r="G54" s="24">
        <v>0</v>
      </c>
      <c r="H54" s="24">
        <v>0</v>
      </c>
      <c r="I54" s="24">
        <v>1</v>
      </c>
      <c r="J54" s="24"/>
      <c r="K54" s="24">
        <v>0</v>
      </c>
      <c r="L54" s="24">
        <v>0</v>
      </c>
      <c r="M54" s="24">
        <v>0</v>
      </c>
      <c r="N54" s="24">
        <v>0</v>
      </c>
      <c r="O54" s="24">
        <v>0</v>
      </c>
      <c r="P54" s="24">
        <v>0</v>
      </c>
      <c r="Q54" s="24">
        <v>0</v>
      </c>
      <c r="R54" s="24">
        <v>0</v>
      </c>
      <c r="S54" s="24"/>
      <c r="T54" s="24">
        <v>1</v>
      </c>
      <c r="U54" s="24">
        <v>1</v>
      </c>
      <c r="V54" s="24">
        <v>0</v>
      </c>
      <c r="W54" s="24">
        <v>0</v>
      </c>
      <c r="X54" s="24">
        <v>0</v>
      </c>
      <c r="Y54" s="24">
        <v>0</v>
      </c>
      <c r="Z54" s="24">
        <v>0</v>
      </c>
      <c r="AA54" s="24">
        <v>0</v>
      </c>
      <c r="AB54" s="24"/>
      <c r="AC54" s="24">
        <v>10</v>
      </c>
      <c r="AD54" s="24">
        <v>0</v>
      </c>
      <c r="AE54" s="24">
        <v>0</v>
      </c>
      <c r="AF54" s="24">
        <v>1</v>
      </c>
      <c r="AG54" s="24">
        <v>0</v>
      </c>
      <c r="AH54" s="24">
        <v>0</v>
      </c>
      <c r="AI54" s="24">
        <v>0</v>
      </c>
      <c r="AJ54" s="24">
        <v>8</v>
      </c>
    </row>
    <row r="55" spans="1:36" s="8" customFormat="1" ht="15" customHeight="1" x14ac:dyDescent="0.3">
      <c r="A55" s="2" t="s">
        <v>62</v>
      </c>
      <c r="B55" s="24">
        <v>28</v>
      </c>
      <c r="C55" s="24">
        <v>1</v>
      </c>
      <c r="D55" s="24">
        <v>0</v>
      </c>
      <c r="E55" s="24">
        <v>0</v>
      </c>
      <c r="F55" s="24">
        <v>1</v>
      </c>
      <c r="G55" s="24">
        <v>0</v>
      </c>
      <c r="H55" s="24">
        <v>0</v>
      </c>
      <c r="I55" s="24">
        <v>6</v>
      </c>
      <c r="J55" s="24"/>
      <c r="K55" s="24">
        <v>7</v>
      </c>
      <c r="L55" s="24">
        <v>0</v>
      </c>
      <c r="M55" s="24">
        <v>0</v>
      </c>
      <c r="N55" s="24">
        <v>0</v>
      </c>
      <c r="O55" s="24">
        <v>0</v>
      </c>
      <c r="P55" s="24">
        <v>0</v>
      </c>
      <c r="Q55" s="24">
        <v>0</v>
      </c>
      <c r="R55" s="24">
        <v>0</v>
      </c>
      <c r="S55" s="24"/>
      <c r="T55" s="24">
        <v>0</v>
      </c>
      <c r="U55" s="24">
        <v>0</v>
      </c>
      <c r="V55" s="24">
        <v>0</v>
      </c>
      <c r="W55" s="24">
        <v>0</v>
      </c>
      <c r="X55" s="24">
        <v>0</v>
      </c>
      <c r="Y55" s="24">
        <v>0</v>
      </c>
      <c r="Z55" s="24">
        <v>0</v>
      </c>
      <c r="AA55" s="24">
        <v>0</v>
      </c>
      <c r="AB55" s="24"/>
      <c r="AC55" s="24">
        <v>36</v>
      </c>
      <c r="AD55" s="24">
        <v>1</v>
      </c>
      <c r="AE55" s="24">
        <v>1</v>
      </c>
      <c r="AF55" s="24">
        <v>6</v>
      </c>
      <c r="AG55" s="24">
        <v>1</v>
      </c>
      <c r="AH55" s="24">
        <v>0</v>
      </c>
      <c r="AI55" s="24">
        <v>3</v>
      </c>
      <c r="AJ55" s="24">
        <v>2</v>
      </c>
    </row>
    <row r="56" spans="1:36" s="8" customFormat="1" ht="15" customHeight="1" thickBot="1" x14ac:dyDescent="0.35">
      <c r="A56" s="27" t="s">
        <v>63</v>
      </c>
      <c r="B56" s="24">
        <v>164</v>
      </c>
      <c r="C56" s="24">
        <v>7</v>
      </c>
      <c r="D56" s="24">
        <v>9</v>
      </c>
      <c r="E56" s="24">
        <v>7</v>
      </c>
      <c r="F56" s="24">
        <v>11</v>
      </c>
      <c r="G56" s="24">
        <v>0</v>
      </c>
      <c r="H56" s="24">
        <v>4</v>
      </c>
      <c r="I56" s="24">
        <v>4</v>
      </c>
      <c r="J56" s="28"/>
      <c r="K56" s="24">
        <v>0</v>
      </c>
      <c r="L56" s="24">
        <v>0</v>
      </c>
      <c r="M56" s="24">
        <v>0</v>
      </c>
      <c r="N56" s="24">
        <v>0</v>
      </c>
      <c r="O56" s="24">
        <v>0</v>
      </c>
      <c r="P56" s="24">
        <v>0</v>
      </c>
      <c r="Q56" s="24">
        <v>0</v>
      </c>
      <c r="R56" s="24">
        <v>0</v>
      </c>
      <c r="S56" s="28"/>
      <c r="T56" s="24">
        <v>16</v>
      </c>
      <c r="U56" s="24">
        <v>0</v>
      </c>
      <c r="V56" s="24">
        <v>2</v>
      </c>
      <c r="W56" s="24">
        <v>1</v>
      </c>
      <c r="X56" s="24">
        <v>1</v>
      </c>
      <c r="Y56" s="24">
        <v>0</v>
      </c>
      <c r="Z56" s="24">
        <v>0</v>
      </c>
      <c r="AA56" s="24">
        <v>0</v>
      </c>
      <c r="AB56" s="28"/>
      <c r="AC56" s="24">
        <v>38</v>
      </c>
      <c r="AD56" s="24">
        <v>3</v>
      </c>
      <c r="AE56" s="24">
        <v>2</v>
      </c>
      <c r="AF56" s="24">
        <v>5</v>
      </c>
      <c r="AG56" s="24">
        <v>17</v>
      </c>
      <c r="AH56" s="24">
        <v>1</v>
      </c>
      <c r="AI56" s="24">
        <v>5</v>
      </c>
      <c r="AJ56" s="24">
        <v>3</v>
      </c>
    </row>
    <row r="57" spans="1:36" s="8" customFormat="1" ht="1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sheetData>
  <mergeCells count="5">
    <mergeCell ref="K6:R6"/>
    <mergeCell ref="T6:AA6"/>
    <mergeCell ref="A1:AN1"/>
    <mergeCell ref="B6:I6"/>
    <mergeCell ref="AC6:AJ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08E4-2F09-4A8E-8F04-896469633B2E}">
  <sheetPr codeName="Sheet9"/>
  <dimension ref="A1:AJ56"/>
  <sheetViews>
    <sheetView workbookViewId="0">
      <pane xSplit="1" ySplit="7" topLeftCell="B8" activePane="bottomRight" state="frozen"/>
      <selection pane="topRight" activeCell="B1" sqref="B1"/>
      <selection pane="bottomLeft" activeCell="A8" sqref="A8"/>
      <selection pane="bottomRight" activeCell="G16" sqref="G16"/>
    </sheetView>
  </sheetViews>
  <sheetFormatPr defaultColWidth="9.21875" defaultRowHeight="14.4" x14ac:dyDescent="0.3"/>
  <cols>
    <col min="1" max="1" width="41.5546875" style="8" bestFit="1" customWidth="1"/>
    <col min="2" max="16384" width="9.21875" style="8"/>
  </cols>
  <sheetData>
    <row r="1" spans="1:36" customFormat="1" ht="17.399999999999999" x14ac:dyDescent="0.45">
      <c r="A1" s="154" t="s">
        <v>175</v>
      </c>
      <c r="B1" s="154"/>
      <c r="C1" s="154"/>
      <c r="D1" s="154"/>
      <c r="E1" s="154"/>
      <c r="F1" s="154"/>
      <c r="G1" s="154"/>
      <c r="H1" s="154"/>
      <c r="I1" s="154"/>
      <c r="J1" s="154"/>
      <c r="K1" s="154"/>
      <c r="L1" s="154"/>
      <c r="M1" s="154"/>
      <c r="N1" s="154"/>
      <c r="O1" s="154"/>
    </row>
    <row r="2" spans="1:36" x14ac:dyDescent="0.3">
      <c r="A2" s="8">
        <v>2019</v>
      </c>
    </row>
    <row r="6" spans="1:36" x14ac:dyDescent="0.3">
      <c r="B6" s="155" t="s">
        <v>91</v>
      </c>
      <c r="C6" s="155"/>
      <c r="D6" s="155"/>
      <c r="E6" s="155"/>
      <c r="F6" s="155"/>
      <c r="G6" s="155"/>
      <c r="H6" s="155"/>
      <c r="I6" s="155"/>
      <c r="K6" s="155" t="s">
        <v>108</v>
      </c>
      <c r="L6" s="155"/>
      <c r="M6" s="155"/>
      <c r="N6" s="155"/>
      <c r="O6" s="155"/>
      <c r="P6" s="155"/>
      <c r="Q6" s="155"/>
      <c r="R6" s="155"/>
      <c r="T6" s="155" t="s">
        <v>3</v>
      </c>
      <c r="U6" s="155"/>
      <c r="V6" s="155"/>
      <c r="W6" s="155"/>
      <c r="X6" s="155"/>
      <c r="Y6" s="155"/>
      <c r="Z6" s="155"/>
      <c r="AA6" s="155"/>
      <c r="AC6" s="155" t="s">
        <v>4</v>
      </c>
      <c r="AD6" s="155"/>
      <c r="AE6" s="155"/>
      <c r="AF6" s="155"/>
      <c r="AG6" s="155"/>
      <c r="AH6" s="155"/>
      <c r="AI6" s="155"/>
      <c r="AJ6" s="155"/>
    </row>
    <row r="7" spans="1:36" ht="77.25" customHeight="1" thickBot="1" x14ac:dyDescent="0.35">
      <c r="A7" s="92" t="s">
        <v>6</v>
      </c>
      <c r="B7" s="93" t="s">
        <v>7</v>
      </c>
      <c r="C7" s="93" t="s">
        <v>114</v>
      </c>
      <c r="D7" s="93" t="s">
        <v>8</v>
      </c>
      <c r="E7" s="93" t="s">
        <v>115</v>
      </c>
      <c r="F7" s="93" t="s">
        <v>116</v>
      </c>
      <c r="G7" s="93" t="s">
        <v>80</v>
      </c>
      <c r="H7" s="93" t="s">
        <v>117</v>
      </c>
      <c r="I7" s="93" t="s">
        <v>176</v>
      </c>
      <c r="J7" s="93"/>
      <c r="K7" s="93" t="s">
        <v>7</v>
      </c>
      <c r="L7" s="93" t="s">
        <v>114</v>
      </c>
      <c r="M7" s="93" t="s">
        <v>8</v>
      </c>
      <c r="N7" s="93" t="s">
        <v>115</v>
      </c>
      <c r="O7" s="93" t="s">
        <v>116</v>
      </c>
      <c r="P7" s="93" t="s">
        <v>80</v>
      </c>
      <c r="Q7" s="93" t="s">
        <v>117</v>
      </c>
      <c r="R7" s="93" t="s">
        <v>176</v>
      </c>
      <c r="S7" s="93"/>
      <c r="T7" s="93" t="s">
        <v>7</v>
      </c>
      <c r="U7" s="93" t="s">
        <v>114</v>
      </c>
      <c r="V7" s="93" t="s">
        <v>8</v>
      </c>
      <c r="W7" s="93" t="s">
        <v>115</v>
      </c>
      <c r="X7" s="93" t="s">
        <v>116</v>
      </c>
      <c r="Y7" s="93" t="s">
        <v>80</v>
      </c>
      <c r="Z7" s="93" t="s">
        <v>117</v>
      </c>
      <c r="AA7" s="93" t="s">
        <v>176</v>
      </c>
      <c r="AB7" s="93"/>
      <c r="AC7" s="93" t="s">
        <v>7</v>
      </c>
      <c r="AD7" s="93" t="s">
        <v>114</v>
      </c>
      <c r="AE7" s="93" t="s">
        <v>8</v>
      </c>
      <c r="AF7" s="93" t="s">
        <v>115</v>
      </c>
      <c r="AG7" s="93" t="s">
        <v>116</v>
      </c>
      <c r="AH7" s="93" t="s">
        <v>80</v>
      </c>
      <c r="AI7" s="93" t="s">
        <v>117</v>
      </c>
      <c r="AJ7" s="93" t="s">
        <v>176</v>
      </c>
    </row>
    <row r="8" spans="1:36" x14ac:dyDescent="0.3">
      <c r="A8" s="8" t="s">
        <v>15</v>
      </c>
      <c r="B8" s="8">
        <f>SUM(B9,B49)</f>
        <v>1222</v>
      </c>
      <c r="C8" s="8">
        <f t="shared" ref="C8:I8" si="0">SUM(C9,C49)</f>
        <v>33</v>
      </c>
      <c r="D8" s="8">
        <f t="shared" si="0"/>
        <v>56</v>
      </c>
      <c r="E8" s="8">
        <f t="shared" si="0"/>
        <v>14</v>
      </c>
      <c r="F8" s="8">
        <f t="shared" si="0"/>
        <v>25</v>
      </c>
      <c r="G8" s="8">
        <f t="shared" si="0"/>
        <v>1</v>
      </c>
      <c r="H8" s="8">
        <f t="shared" si="0"/>
        <v>14</v>
      </c>
      <c r="I8" s="8">
        <f t="shared" si="0"/>
        <v>230</v>
      </c>
      <c r="K8" s="8">
        <f t="shared" ref="K8:R8" si="1">SUM(K9,K49)</f>
        <v>1120</v>
      </c>
      <c r="L8" s="8">
        <f t="shared" si="1"/>
        <v>35</v>
      </c>
      <c r="M8" s="8">
        <f t="shared" si="1"/>
        <v>9</v>
      </c>
      <c r="N8" s="8">
        <f t="shared" si="1"/>
        <v>3</v>
      </c>
      <c r="O8" s="8">
        <f t="shared" si="1"/>
        <v>8</v>
      </c>
      <c r="P8" s="8">
        <f t="shared" si="1"/>
        <v>1</v>
      </c>
      <c r="Q8" s="8">
        <f t="shared" si="1"/>
        <v>3</v>
      </c>
      <c r="R8" s="8">
        <f t="shared" si="1"/>
        <v>408</v>
      </c>
      <c r="T8" s="8">
        <f t="shared" ref="T8:AA8" si="2">SUM(T9,T49)</f>
        <v>77</v>
      </c>
      <c r="U8" s="8">
        <f t="shared" si="2"/>
        <v>0</v>
      </c>
      <c r="V8" s="8">
        <f t="shared" si="2"/>
        <v>1</v>
      </c>
      <c r="W8" s="8">
        <f t="shared" si="2"/>
        <v>0</v>
      </c>
      <c r="X8" s="8">
        <f t="shared" si="2"/>
        <v>0</v>
      </c>
      <c r="Y8" s="8">
        <f t="shared" si="2"/>
        <v>1</v>
      </c>
      <c r="Z8" s="8">
        <f t="shared" si="2"/>
        <v>1</v>
      </c>
      <c r="AA8" s="8">
        <f t="shared" si="2"/>
        <v>12</v>
      </c>
      <c r="AC8" s="8">
        <f t="shared" ref="AC8:AJ8" si="3">SUM(AC9,AC49)</f>
        <v>714</v>
      </c>
      <c r="AD8" s="8">
        <f t="shared" si="3"/>
        <v>14</v>
      </c>
      <c r="AE8" s="8">
        <f t="shared" si="3"/>
        <v>10</v>
      </c>
      <c r="AF8" s="8">
        <f t="shared" si="3"/>
        <v>27</v>
      </c>
      <c r="AG8" s="8">
        <f t="shared" si="3"/>
        <v>29</v>
      </c>
      <c r="AH8" s="8">
        <f t="shared" si="3"/>
        <v>2</v>
      </c>
      <c r="AI8" s="8">
        <f t="shared" si="3"/>
        <v>10</v>
      </c>
      <c r="AJ8" s="8">
        <f t="shared" si="3"/>
        <v>176</v>
      </c>
    </row>
    <row r="9" spans="1:36" x14ac:dyDescent="0.3">
      <c r="A9" s="8" t="s">
        <v>16</v>
      </c>
      <c r="B9" s="8">
        <f>SUM(B10:B48)</f>
        <v>602</v>
      </c>
      <c r="C9" s="8">
        <f t="shared" ref="C9:I9" si="4">SUM(C10:C48)</f>
        <v>9</v>
      </c>
      <c r="D9" s="8">
        <f t="shared" si="4"/>
        <v>18</v>
      </c>
      <c r="E9" s="8">
        <f t="shared" si="4"/>
        <v>3</v>
      </c>
      <c r="F9" s="8">
        <f t="shared" si="4"/>
        <v>3</v>
      </c>
      <c r="G9" s="8">
        <f t="shared" si="4"/>
        <v>0</v>
      </c>
      <c r="H9" s="8">
        <f t="shared" si="4"/>
        <v>5</v>
      </c>
      <c r="I9" s="8">
        <f t="shared" si="4"/>
        <v>146</v>
      </c>
      <c r="K9" s="8">
        <f t="shared" ref="K9:R9" si="5">SUM(K10:K48)</f>
        <v>1079</v>
      </c>
      <c r="L9" s="8">
        <f t="shared" si="5"/>
        <v>34</v>
      </c>
      <c r="M9" s="8">
        <f t="shared" si="5"/>
        <v>7</v>
      </c>
      <c r="N9" s="8">
        <f t="shared" si="5"/>
        <v>3</v>
      </c>
      <c r="O9" s="8">
        <f t="shared" si="5"/>
        <v>6</v>
      </c>
      <c r="P9" s="8">
        <f t="shared" si="5"/>
        <v>1</v>
      </c>
      <c r="Q9" s="8">
        <f t="shared" si="5"/>
        <v>2</v>
      </c>
      <c r="R9" s="8">
        <f t="shared" si="5"/>
        <v>407</v>
      </c>
      <c r="T9" s="8">
        <f t="shared" ref="T9:AA9" si="6">SUM(T10:T48)</f>
        <v>56</v>
      </c>
      <c r="U9" s="8">
        <f t="shared" si="6"/>
        <v>0</v>
      </c>
      <c r="V9" s="8">
        <f t="shared" si="6"/>
        <v>0</v>
      </c>
      <c r="W9" s="8">
        <f t="shared" si="6"/>
        <v>0</v>
      </c>
      <c r="X9" s="8">
        <f t="shared" si="6"/>
        <v>0</v>
      </c>
      <c r="Y9" s="8">
        <f t="shared" si="6"/>
        <v>1</v>
      </c>
      <c r="Z9" s="8">
        <f t="shared" si="6"/>
        <v>1</v>
      </c>
      <c r="AA9" s="8">
        <f t="shared" si="6"/>
        <v>12</v>
      </c>
      <c r="AC9" s="8">
        <f t="shared" ref="AC9:AJ9" si="7">SUM(AC10:AC48)</f>
        <v>467</v>
      </c>
      <c r="AD9" s="8">
        <f t="shared" si="7"/>
        <v>10</v>
      </c>
      <c r="AE9" s="8">
        <f t="shared" si="7"/>
        <v>4</v>
      </c>
      <c r="AF9" s="8">
        <f t="shared" si="7"/>
        <v>10</v>
      </c>
      <c r="AG9" s="8">
        <f t="shared" si="7"/>
        <v>10</v>
      </c>
      <c r="AH9" s="8">
        <f t="shared" si="7"/>
        <v>0</v>
      </c>
      <c r="AI9" s="8">
        <f t="shared" si="7"/>
        <v>1</v>
      </c>
      <c r="AJ9" s="8">
        <f t="shared" si="7"/>
        <v>146</v>
      </c>
    </row>
    <row r="10" spans="1:36" x14ac:dyDescent="0.3">
      <c r="A10" s="8" t="s">
        <v>17</v>
      </c>
      <c r="B10" s="8">
        <f>SUMPRODUCT((raw!$A$2:$A$9876='2018-19_working'!$A$2)*(raw!$B$2:$B$9876='2018-19_working'!$A10)*(raw!$E$2:$E$9876='2018-19_working'!$B$6:$I$6)*(raw!$F$2:$F$9876='2018-19_working'!B$7)*(raw!$G$2:$G$9876))</f>
        <v>11</v>
      </c>
      <c r="C10" s="8">
        <f>SUMPRODUCT((raw!$A$2:$A$9876='2018-19_working'!$A$2)*(raw!$B$2:$B$9876='2018-19_working'!$A10)*(raw!$E$2:$E$9876='2018-19_working'!$B$6:$I$6)*(raw!$F$2:$F$9876='2018-19_working'!C$7)*(raw!$G$2:$G$9876))</f>
        <v>1</v>
      </c>
      <c r="D10" s="8">
        <f>SUMPRODUCT((raw!$A$2:$A$9876='2018-19_working'!$A$2)*(raw!$B$2:$B$9876='2018-19_working'!$A10)*(raw!$E$2:$E$9876='2018-19_working'!$B$6:$I$6)*(raw!$F$2:$F$9876='2018-19_working'!D$7)*(raw!$G$2:$G$9876))</f>
        <v>0</v>
      </c>
      <c r="E10" s="8">
        <f>SUMPRODUCT((raw!$A$2:$A$9876='2018-19_working'!$A$2)*(raw!$B$2:$B$9876='2018-19_working'!$A10)*(raw!$E$2:$E$9876='2018-19_working'!$B$6:$I$6)*(raw!$F$2:$F$9876='2018-19_working'!E$7)*(raw!$G$2:$G$9876))</f>
        <v>0</v>
      </c>
      <c r="F10" s="8">
        <f>SUMPRODUCT((raw!$A$2:$A$9876='2018-19_working'!$A$2)*(raw!$B$2:$B$9876='2018-19_working'!$A10)*(raw!$E$2:$E$9876='2018-19_working'!$B$6:$I$6)*(raw!$F$2:$F$9876='2018-19_working'!F$7)*(raw!$G$2:$G$9876))</f>
        <v>1</v>
      </c>
      <c r="G10" s="8">
        <f>SUMPRODUCT((raw!$A$2:$A$9876='2018-19_working'!$A$2)*(raw!$B$2:$B$9876='2018-19_working'!$A10)*(raw!$E$2:$E$9876='2018-19_working'!$B$6:$I$6)*(raw!$F$2:$F$9876='2018-19_working'!G$7)*(raw!$G$2:$G$9876))</f>
        <v>0</v>
      </c>
      <c r="H10" s="8">
        <f>SUMPRODUCT((raw!$A$2:$A$9876='2018-19_working'!$A$2)*(raw!$B$2:$B$9876='2018-19_working'!$A10)*(raw!$E$2:$E$9876='2018-19_working'!$B$6:$I$6)*(raw!$F$2:$F$9876='2018-19_working'!H$7)*(raw!$G$2:$G$9876))</f>
        <v>1</v>
      </c>
      <c r="I10" s="8">
        <f>SUMPRODUCT((raw!$A$2:$A$9876='2018-19_working'!$A$2)*(raw!$B$2:$B$9876='2018-19_working'!$A10)*(raw!$E$2:$E$9876='2018-19_working'!$B$6:$I$6)*(raw!$F$2:$F$9876='2018-19_working'!I$7)*(raw!$G$2:$G$9876))</f>
        <v>1</v>
      </c>
      <c r="K10" s="8">
        <f>SUMPRODUCT((raw!$A$2:$A$9876='2018-19_working'!$A$2)*(raw!$B$2:$B$9876='2018-19_working'!$A10)*(raw!$E$2:$E$9876='2018-19_working'!$K$6)*(raw!$F$2:$F$9876='2018-19_working'!K$7)*(raw!$G$2:$G$9876))</f>
        <v>3</v>
      </c>
      <c r="L10" s="8">
        <f>SUMPRODUCT((raw!$A$2:$A$9876='2018-19_working'!$A$2)*(raw!$B$2:$B$9876='2018-19_working'!$A10)*(raw!$E$2:$E$9876='2018-19_working'!$K$6)*(raw!$F$2:$F$9876='2018-19_working'!L$7)*(raw!$G$2:$G$9876))</f>
        <v>0</v>
      </c>
      <c r="M10" s="8">
        <f>SUMPRODUCT((raw!$A$2:$A$9876='2018-19_working'!$A$2)*(raw!$B$2:$B$9876='2018-19_working'!$A10)*(raw!$E$2:$E$9876='2018-19_working'!$K$6)*(raw!$F$2:$F$9876='2018-19_working'!M$7)*(raw!$G$2:$G$9876))</f>
        <v>0</v>
      </c>
      <c r="N10" s="8">
        <f>SUMPRODUCT((raw!$A$2:$A$9876='2018-19_working'!$A$2)*(raw!$B$2:$B$9876='2018-19_working'!$A10)*(raw!$E$2:$E$9876='2018-19_working'!$K$6)*(raw!$F$2:$F$9876='2018-19_working'!N$7)*(raw!$G$2:$G$9876))</f>
        <v>0</v>
      </c>
      <c r="O10" s="8">
        <f>SUMPRODUCT((raw!$A$2:$A$9876='2018-19_working'!$A$2)*(raw!$B$2:$B$9876='2018-19_working'!$A10)*(raw!$E$2:$E$9876='2018-19_working'!$K$6)*(raw!$F$2:$F$9876='2018-19_working'!O$7)*(raw!$G$2:$G$9876))</f>
        <v>0</v>
      </c>
      <c r="P10" s="8">
        <f>SUMPRODUCT((raw!$A$2:$A$9876='2018-19_working'!$A$2)*(raw!$B$2:$B$9876='2018-19_working'!$A10)*(raw!$E$2:$E$9876='2018-19_working'!$K$6)*(raw!$F$2:$F$9876='2018-19_working'!P$7)*(raw!$G$2:$G$9876))</f>
        <v>0</v>
      </c>
      <c r="Q10" s="8">
        <f>SUMPRODUCT((raw!$A$2:$A$9876='2018-19_working'!$A$2)*(raw!$B$2:$B$9876='2018-19_working'!$A10)*(raw!$E$2:$E$9876='2018-19_working'!$K$6)*(raw!$F$2:$F$9876='2018-19_working'!Q$7)*(raw!$G$2:$G$9876))</f>
        <v>0</v>
      </c>
      <c r="R10" s="8">
        <f>SUMPRODUCT((raw!$A$2:$A$9876='2018-19_working'!$A$2)*(raw!$B$2:$B$9876='2018-19_working'!$A10)*(raw!$E$2:$E$9876='2018-19_working'!$K$6)*(raw!$F$2:$F$9876='2018-19_working'!R$7)*(raw!$G$2:$G$9876))</f>
        <v>16</v>
      </c>
      <c r="T10" s="8">
        <f>SUMPRODUCT((raw!$A$2:$A$9876='2018-19_working'!$A$2)*(raw!$B$2:$B$9876='2018-19_working'!$A10)*(raw!$E$2:$E$9876='2018-19_working'!$T$6)*(raw!$F$2:$F$9876='2018-19_working'!T$7)*(raw!$G$2:$G$9876))</f>
        <v>3</v>
      </c>
      <c r="U10" s="8">
        <f>SUMPRODUCT((raw!$A$2:$A$9876='2018-19_working'!$A$2)*(raw!$B$2:$B$9876='2018-19_working'!$A10)*(raw!$E$2:$E$9876='2018-19_working'!$T$6)*(raw!$F$2:$F$9876='2018-19_working'!U$7)*(raw!$G$2:$G$9876))</f>
        <v>0</v>
      </c>
      <c r="V10" s="8">
        <f>SUMPRODUCT((raw!$A$2:$A$9876='2018-19_working'!$A$2)*(raw!$B$2:$B$9876='2018-19_working'!$A10)*(raw!$E$2:$E$9876='2018-19_working'!$T$6)*(raw!$F$2:$F$9876='2018-19_working'!V$7)*(raw!$G$2:$G$9876))</f>
        <v>0</v>
      </c>
      <c r="W10" s="8">
        <f>SUMPRODUCT((raw!$A$2:$A$9876='2018-19_working'!$A$2)*(raw!$B$2:$B$9876='2018-19_working'!$A10)*(raw!$E$2:$E$9876='2018-19_working'!$T$6)*(raw!$F$2:$F$9876='2018-19_working'!W$7)*(raw!$G$2:$G$9876))</f>
        <v>0</v>
      </c>
      <c r="X10" s="8">
        <f>SUMPRODUCT((raw!$A$2:$A$9876='2018-19_working'!$A$2)*(raw!$B$2:$B$9876='2018-19_working'!$A10)*(raw!$E$2:$E$9876='2018-19_working'!$T$6)*(raw!$F$2:$F$9876='2018-19_working'!X$7)*(raw!$G$2:$G$9876))</f>
        <v>0</v>
      </c>
      <c r="Y10" s="8">
        <f>SUMPRODUCT((raw!$A$2:$A$9876='2018-19_working'!$A$2)*(raw!$B$2:$B$9876='2018-19_working'!$A10)*(raw!$E$2:$E$9876='2018-19_working'!$T$6)*(raw!$F$2:$F$9876='2018-19_working'!Y$7)*(raw!$G$2:$G$9876))</f>
        <v>0</v>
      </c>
      <c r="Z10" s="8">
        <f>SUMPRODUCT((raw!$A$2:$A$9876='2018-19_working'!$A$2)*(raw!$B$2:$B$9876='2018-19_working'!$A10)*(raw!$E$2:$E$9876='2018-19_working'!$T$6)*(raw!$F$2:$F$9876='2018-19_working'!Z$7)*(raw!$G$2:$G$9876))</f>
        <v>0</v>
      </c>
      <c r="AA10" s="8">
        <f>SUMPRODUCT((raw!$A$2:$A$9876='2018-19_working'!$A$2)*(raw!$B$2:$B$9876='2018-19_working'!$A10)*(raw!$E$2:$E$9876='2018-19_working'!$T$6)*(raw!$F$2:$F$9876='2018-19_working'!AA$7)*(raw!$G$2:$G$9876))</f>
        <v>0</v>
      </c>
      <c r="AC10" s="8">
        <f>SUMPRODUCT((raw!$A$2:$A$9876='2018-19_working'!$A$2)*(raw!$B$2:$B$9876='2018-19_working'!$A10)*(raw!$E$2:$E$9876='2018-19_working'!$AC$6)*(raw!$F$2:$F$9876='2018-19_working'!AC$7)*(raw!$G$2:$G$9876))</f>
        <v>14</v>
      </c>
      <c r="AD10" s="8">
        <f>SUMPRODUCT((raw!$A$2:$A$9876='2018-19_working'!$A$2)*(raw!$B$2:$B$9876='2018-19_working'!$A10)*(raw!$E$2:$E$9876='2018-19_working'!$AC$6)*(raw!$F$2:$F$9876='2018-19_working'!AD$7)*(raw!$G$2:$G$9876))</f>
        <v>0</v>
      </c>
      <c r="AE10" s="8">
        <f>SUMPRODUCT((raw!$A$2:$A$9876='2018-19_working'!$A$2)*(raw!$B$2:$B$9876='2018-19_working'!$A10)*(raw!$E$2:$E$9876='2018-19_working'!$AC$6)*(raw!$F$2:$F$9876='2018-19_working'!AE$7)*(raw!$G$2:$G$9876))</f>
        <v>0</v>
      </c>
      <c r="AF10" s="8">
        <f>SUMPRODUCT((raw!$A$2:$A$9876='2018-19_working'!$A$2)*(raw!$B$2:$B$9876='2018-19_working'!$A10)*(raw!$E$2:$E$9876='2018-19_working'!$AC$6)*(raw!$F$2:$F$9876='2018-19_working'!AF$7)*(raw!$G$2:$G$9876))</f>
        <v>0</v>
      </c>
      <c r="AG10" s="8">
        <f>SUMPRODUCT((raw!$A$2:$A$9876='2018-19_working'!$A$2)*(raw!$B$2:$B$9876='2018-19_working'!$A10)*(raw!$E$2:$E$9876='2018-19_working'!$AC$6)*(raw!$F$2:$F$9876='2018-19_working'!AG$7)*(raw!$G$2:$G$9876))</f>
        <v>0</v>
      </c>
      <c r="AH10" s="8">
        <f>SUMPRODUCT((raw!$A$2:$A$9876='2018-19_working'!$A$2)*(raw!$B$2:$B$9876='2018-19_working'!$A10)*(raw!$E$2:$E$9876='2018-19_working'!$AC$6)*(raw!$F$2:$F$9876='2018-19_working'!AH$7)*(raw!$G$2:$G$9876))</f>
        <v>0</v>
      </c>
      <c r="AI10" s="8">
        <f>SUMPRODUCT((raw!$A$2:$A$9876='2018-19_working'!$A$2)*(raw!$B$2:$B$9876='2018-19_working'!$A10)*(raw!$E$2:$E$9876='2018-19_working'!$AC$6)*(raw!$F$2:$F$9876='2018-19_working'!AI$7)*(raw!$G$2:$G$9876))</f>
        <v>0</v>
      </c>
      <c r="AJ10" s="8">
        <f>SUMPRODUCT((raw!$A$2:$A$9876='2018-19_working'!$A$2)*(raw!$B$2:$B$9876='2018-19_working'!$A10)*(raw!$E$2:$E$9876='2018-19_working'!$AC$6)*(raw!$F$2:$F$9876='2018-19_working'!AJ$7)*(raw!$G$2:$G$9876))</f>
        <v>11</v>
      </c>
    </row>
    <row r="11" spans="1:36" x14ac:dyDescent="0.3">
      <c r="A11" s="8" t="s">
        <v>18</v>
      </c>
      <c r="B11" s="8">
        <f>SUMPRODUCT((raw!$A$2:$A$9876='2018-19_working'!$A$2)*(raw!$B$2:$B$9876='2018-19_working'!$A11)*(raw!$E$2:$E$9876='2018-19_working'!$B$6:$I$6)*(raw!$F$2:$F$9876='2018-19_working'!B$7)*(raw!$G$2:$G$9876))</f>
        <v>17</v>
      </c>
      <c r="C11" s="8">
        <f>SUMPRODUCT((raw!$A$2:$A$9876='2018-19_working'!$A$2)*(raw!$B$2:$B$9876='2018-19_working'!$A11)*(raw!$E$2:$E$9876='2018-19_working'!$B$6:$I$6)*(raw!$F$2:$F$9876='2018-19_working'!C$7)*(raw!$G$2:$G$9876))</f>
        <v>1</v>
      </c>
      <c r="D11" s="8">
        <f>SUMPRODUCT((raw!$A$2:$A$9876='2018-19_working'!$A$2)*(raw!$B$2:$B$9876='2018-19_working'!$A11)*(raw!$E$2:$E$9876='2018-19_working'!$B$6:$I$6)*(raw!$F$2:$F$9876='2018-19_working'!D$7)*(raw!$G$2:$G$9876))</f>
        <v>0</v>
      </c>
      <c r="E11" s="8">
        <f>SUMPRODUCT((raw!$A$2:$A$9876='2018-19_working'!$A$2)*(raw!$B$2:$B$9876='2018-19_working'!$A11)*(raw!$E$2:$E$9876='2018-19_working'!$B$6:$I$6)*(raw!$F$2:$F$9876='2018-19_working'!E$7)*(raw!$G$2:$G$9876))</f>
        <v>0</v>
      </c>
      <c r="F11" s="8">
        <f>SUMPRODUCT((raw!$A$2:$A$9876='2018-19_working'!$A$2)*(raw!$B$2:$B$9876='2018-19_working'!$A11)*(raw!$E$2:$E$9876='2018-19_working'!$B$6:$I$6)*(raw!$F$2:$F$9876='2018-19_working'!F$7)*(raw!$G$2:$G$9876))</f>
        <v>0</v>
      </c>
      <c r="G11" s="8">
        <f>SUMPRODUCT((raw!$A$2:$A$9876='2018-19_working'!$A$2)*(raw!$B$2:$B$9876='2018-19_working'!$A11)*(raw!$E$2:$E$9876='2018-19_working'!$B$6:$I$6)*(raw!$F$2:$F$9876='2018-19_working'!G$7)*(raw!$G$2:$G$9876))</f>
        <v>0</v>
      </c>
      <c r="H11" s="8">
        <f>SUMPRODUCT((raw!$A$2:$A$9876='2018-19_working'!$A$2)*(raw!$B$2:$B$9876='2018-19_working'!$A11)*(raw!$E$2:$E$9876='2018-19_working'!$B$6:$I$6)*(raw!$F$2:$F$9876='2018-19_working'!H$7)*(raw!$G$2:$G$9876))</f>
        <v>0</v>
      </c>
      <c r="I11" s="8">
        <f>SUMPRODUCT((raw!$A$2:$A$9876='2018-19_working'!$A$2)*(raw!$B$2:$B$9876='2018-19_working'!$A11)*(raw!$E$2:$E$9876='2018-19_working'!$B$6:$I$6)*(raw!$F$2:$F$9876='2018-19_working'!I$7)*(raw!$G$2:$G$9876))</f>
        <v>0</v>
      </c>
      <c r="K11" s="8">
        <f>SUMPRODUCT((raw!$A$2:$A$9876='2018-19_working'!$A$2)*(raw!$B$2:$B$9876='2018-19_working'!$A11)*(raw!$E$2:$E$9876='2018-19_working'!$K$6)*(raw!$F$2:$F$9876='2018-19_working'!K$7)*(raw!$G$2:$G$9876))</f>
        <v>24</v>
      </c>
      <c r="L11" s="8">
        <f>SUMPRODUCT((raw!$A$2:$A$9876='2018-19_working'!$A$2)*(raw!$B$2:$B$9876='2018-19_working'!$A11)*(raw!$E$2:$E$9876='2018-19_working'!$K$6)*(raw!$F$2:$F$9876='2018-19_working'!L$7)*(raw!$G$2:$G$9876))</f>
        <v>0</v>
      </c>
      <c r="M11" s="8">
        <f>SUMPRODUCT((raw!$A$2:$A$9876='2018-19_working'!$A$2)*(raw!$B$2:$B$9876='2018-19_working'!$A11)*(raw!$E$2:$E$9876='2018-19_working'!$K$6)*(raw!$F$2:$F$9876='2018-19_working'!M$7)*(raw!$G$2:$G$9876))</f>
        <v>1</v>
      </c>
      <c r="N11" s="8">
        <f>SUMPRODUCT((raw!$A$2:$A$9876='2018-19_working'!$A$2)*(raw!$B$2:$B$9876='2018-19_working'!$A11)*(raw!$E$2:$E$9876='2018-19_working'!$K$6)*(raw!$F$2:$F$9876='2018-19_working'!N$7)*(raw!$G$2:$G$9876))</f>
        <v>0</v>
      </c>
      <c r="O11" s="8">
        <f>SUMPRODUCT((raw!$A$2:$A$9876='2018-19_working'!$A$2)*(raw!$B$2:$B$9876='2018-19_working'!$A11)*(raw!$E$2:$E$9876='2018-19_working'!$K$6)*(raw!$F$2:$F$9876='2018-19_working'!O$7)*(raw!$G$2:$G$9876))</f>
        <v>0</v>
      </c>
      <c r="P11" s="8">
        <f>SUMPRODUCT((raw!$A$2:$A$9876='2018-19_working'!$A$2)*(raw!$B$2:$B$9876='2018-19_working'!$A11)*(raw!$E$2:$E$9876='2018-19_working'!$K$6)*(raw!$F$2:$F$9876='2018-19_working'!P$7)*(raw!$G$2:$G$9876))</f>
        <v>0</v>
      </c>
      <c r="Q11" s="8">
        <f>SUMPRODUCT((raw!$A$2:$A$9876='2018-19_working'!$A$2)*(raw!$B$2:$B$9876='2018-19_working'!$A11)*(raw!$E$2:$E$9876='2018-19_working'!$K$6)*(raw!$F$2:$F$9876='2018-19_working'!Q$7)*(raw!$G$2:$G$9876))</f>
        <v>0</v>
      </c>
      <c r="R11" s="8">
        <f>SUMPRODUCT((raw!$A$2:$A$9876='2018-19_working'!$A$2)*(raw!$B$2:$B$9876='2018-19_working'!$A11)*(raw!$E$2:$E$9876='2018-19_working'!$K$6)*(raw!$F$2:$F$9876='2018-19_working'!R$7)*(raw!$G$2:$G$9876))</f>
        <v>1</v>
      </c>
      <c r="T11" s="8">
        <f>SUMPRODUCT((raw!$A$2:$A$9876='2018-19_working'!$A$2)*(raw!$B$2:$B$9876='2018-19_working'!$A11)*(raw!$E$2:$E$9876='2018-19_working'!$T$6)*(raw!$F$2:$F$9876='2018-19_working'!T$7)*(raw!$G$2:$G$9876))</f>
        <v>1</v>
      </c>
      <c r="U11" s="8">
        <f>SUMPRODUCT((raw!$A$2:$A$9876='2018-19_working'!$A$2)*(raw!$B$2:$B$9876='2018-19_working'!$A11)*(raw!$E$2:$E$9876='2018-19_working'!$T$6)*(raw!$F$2:$F$9876='2018-19_working'!U$7)*(raw!$G$2:$G$9876))</f>
        <v>0</v>
      </c>
      <c r="V11" s="8">
        <f>SUMPRODUCT((raw!$A$2:$A$9876='2018-19_working'!$A$2)*(raw!$B$2:$B$9876='2018-19_working'!$A11)*(raw!$E$2:$E$9876='2018-19_working'!$T$6)*(raw!$F$2:$F$9876='2018-19_working'!V$7)*(raw!$G$2:$G$9876))</f>
        <v>0</v>
      </c>
      <c r="W11" s="8">
        <f>SUMPRODUCT((raw!$A$2:$A$9876='2018-19_working'!$A$2)*(raw!$B$2:$B$9876='2018-19_working'!$A11)*(raw!$E$2:$E$9876='2018-19_working'!$T$6)*(raw!$F$2:$F$9876='2018-19_working'!W$7)*(raw!$G$2:$G$9876))</f>
        <v>0</v>
      </c>
      <c r="X11" s="8">
        <f>SUMPRODUCT((raw!$A$2:$A$9876='2018-19_working'!$A$2)*(raw!$B$2:$B$9876='2018-19_working'!$A11)*(raw!$E$2:$E$9876='2018-19_working'!$T$6)*(raw!$F$2:$F$9876='2018-19_working'!X$7)*(raw!$G$2:$G$9876))</f>
        <v>0</v>
      </c>
      <c r="Y11" s="8">
        <f>SUMPRODUCT((raw!$A$2:$A$9876='2018-19_working'!$A$2)*(raw!$B$2:$B$9876='2018-19_working'!$A11)*(raw!$E$2:$E$9876='2018-19_working'!$T$6)*(raw!$F$2:$F$9876='2018-19_working'!Y$7)*(raw!$G$2:$G$9876))</f>
        <v>0</v>
      </c>
      <c r="Z11" s="8">
        <f>SUMPRODUCT((raw!$A$2:$A$9876='2018-19_working'!$A$2)*(raw!$B$2:$B$9876='2018-19_working'!$A11)*(raw!$E$2:$E$9876='2018-19_working'!$T$6)*(raw!$F$2:$F$9876='2018-19_working'!Z$7)*(raw!$G$2:$G$9876))</f>
        <v>0</v>
      </c>
      <c r="AA11" s="8">
        <f>SUMPRODUCT((raw!$A$2:$A$9876='2018-19_working'!$A$2)*(raw!$B$2:$B$9876='2018-19_working'!$A11)*(raw!$E$2:$E$9876='2018-19_working'!$T$6)*(raw!$F$2:$F$9876='2018-19_working'!AA$7)*(raw!$G$2:$G$9876))</f>
        <v>1</v>
      </c>
      <c r="AC11" s="8">
        <f>SUMPRODUCT((raw!$A$2:$A$9876='2018-19_working'!$A$2)*(raw!$B$2:$B$9876='2018-19_working'!$A11)*(raw!$E$2:$E$9876='2018-19_working'!$AC$6)*(raw!$F$2:$F$9876='2018-19_working'!AC$7)*(raw!$G$2:$G$9876))</f>
        <v>15</v>
      </c>
      <c r="AD11" s="8">
        <f>SUMPRODUCT((raw!$A$2:$A$9876='2018-19_working'!$A$2)*(raw!$B$2:$B$9876='2018-19_working'!$A11)*(raw!$E$2:$E$9876='2018-19_working'!$AC$6)*(raw!$F$2:$F$9876='2018-19_working'!AD$7)*(raw!$G$2:$G$9876))</f>
        <v>0</v>
      </c>
      <c r="AE11" s="8">
        <f>SUMPRODUCT((raw!$A$2:$A$9876='2018-19_working'!$A$2)*(raw!$B$2:$B$9876='2018-19_working'!$A11)*(raw!$E$2:$E$9876='2018-19_working'!$AC$6)*(raw!$F$2:$F$9876='2018-19_working'!AE$7)*(raw!$G$2:$G$9876))</f>
        <v>1</v>
      </c>
      <c r="AF11" s="8">
        <f>SUMPRODUCT((raw!$A$2:$A$9876='2018-19_working'!$A$2)*(raw!$B$2:$B$9876='2018-19_working'!$A11)*(raw!$E$2:$E$9876='2018-19_working'!$AC$6)*(raw!$F$2:$F$9876='2018-19_working'!AF$7)*(raw!$G$2:$G$9876))</f>
        <v>1</v>
      </c>
      <c r="AG11" s="8">
        <f>SUMPRODUCT((raw!$A$2:$A$9876='2018-19_working'!$A$2)*(raw!$B$2:$B$9876='2018-19_working'!$A11)*(raw!$E$2:$E$9876='2018-19_working'!$AC$6)*(raw!$F$2:$F$9876='2018-19_working'!AG$7)*(raw!$G$2:$G$9876))</f>
        <v>0</v>
      </c>
      <c r="AH11" s="8">
        <f>SUMPRODUCT((raw!$A$2:$A$9876='2018-19_working'!$A$2)*(raw!$B$2:$B$9876='2018-19_working'!$A11)*(raw!$E$2:$E$9876='2018-19_working'!$AC$6)*(raw!$F$2:$F$9876='2018-19_working'!AH$7)*(raw!$G$2:$G$9876))</f>
        <v>0</v>
      </c>
      <c r="AI11" s="8">
        <f>SUMPRODUCT((raw!$A$2:$A$9876='2018-19_working'!$A$2)*(raw!$B$2:$B$9876='2018-19_working'!$A11)*(raw!$E$2:$E$9876='2018-19_working'!$AC$6)*(raw!$F$2:$F$9876='2018-19_working'!AI$7)*(raw!$G$2:$G$9876))</f>
        <v>0</v>
      </c>
      <c r="AJ11" s="8">
        <f>SUMPRODUCT((raw!$A$2:$A$9876='2018-19_working'!$A$2)*(raw!$B$2:$B$9876='2018-19_working'!$A11)*(raw!$E$2:$E$9876='2018-19_working'!$AC$6)*(raw!$F$2:$F$9876='2018-19_working'!AJ$7)*(raw!$G$2:$G$9876))</f>
        <v>5</v>
      </c>
    </row>
    <row r="12" spans="1:36" x14ac:dyDescent="0.3">
      <c r="A12" s="8" t="s">
        <v>19</v>
      </c>
      <c r="B12" s="8">
        <f>SUMPRODUCT((raw!$A$2:$A$9876='2018-19_working'!$A$2)*(raw!$B$2:$B$9876='2018-19_working'!$A12)*(raw!$E$2:$E$9876='2018-19_working'!$B$6:$I$6)*(raw!$F$2:$F$9876='2018-19_working'!B$7)*(raw!$G$2:$G$9876))</f>
        <v>12</v>
      </c>
      <c r="C12" s="8">
        <f>SUMPRODUCT((raw!$A$2:$A$9876='2018-19_working'!$A$2)*(raw!$B$2:$B$9876='2018-19_working'!$A12)*(raw!$E$2:$E$9876='2018-19_working'!$B$6:$I$6)*(raw!$F$2:$F$9876='2018-19_working'!C$7)*(raw!$G$2:$G$9876))</f>
        <v>1</v>
      </c>
      <c r="D12" s="8">
        <f>SUMPRODUCT((raw!$A$2:$A$9876='2018-19_working'!$A$2)*(raw!$B$2:$B$9876='2018-19_working'!$A12)*(raw!$E$2:$E$9876='2018-19_working'!$B$6:$I$6)*(raw!$F$2:$F$9876='2018-19_working'!D$7)*(raw!$G$2:$G$9876))</f>
        <v>1</v>
      </c>
      <c r="E12" s="8">
        <f>SUMPRODUCT((raw!$A$2:$A$9876='2018-19_working'!$A$2)*(raw!$B$2:$B$9876='2018-19_working'!$A12)*(raw!$E$2:$E$9876='2018-19_working'!$B$6:$I$6)*(raw!$F$2:$F$9876='2018-19_working'!E$7)*(raw!$G$2:$G$9876))</f>
        <v>0</v>
      </c>
      <c r="F12" s="8">
        <f>SUMPRODUCT((raw!$A$2:$A$9876='2018-19_working'!$A$2)*(raw!$B$2:$B$9876='2018-19_working'!$A12)*(raw!$E$2:$E$9876='2018-19_working'!$B$6:$I$6)*(raw!$F$2:$F$9876='2018-19_working'!F$7)*(raw!$G$2:$G$9876))</f>
        <v>0</v>
      </c>
      <c r="G12" s="8">
        <f>SUMPRODUCT((raw!$A$2:$A$9876='2018-19_working'!$A$2)*(raw!$B$2:$B$9876='2018-19_working'!$A12)*(raw!$E$2:$E$9876='2018-19_working'!$B$6:$I$6)*(raw!$F$2:$F$9876='2018-19_working'!G$7)*(raw!$G$2:$G$9876))</f>
        <v>0</v>
      </c>
      <c r="H12" s="8">
        <f>SUMPRODUCT((raw!$A$2:$A$9876='2018-19_working'!$A$2)*(raw!$B$2:$B$9876='2018-19_working'!$A12)*(raw!$E$2:$E$9876='2018-19_working'!$B$6:$I$6)*(raw!$F$2:$F$9876='2018-19_working'!H$7)*(raw!$G$2:$G$9876))</f>
        <v>0</v>
      </c>
      <c r="I12" s="8">
        <f>SUMPRODUCT((raw!$A$2:$A$9876='2018-19_working'!$A$2)*(raw!$B$2:$B$9876='2018-19_working'!$A12)*(raw!$E$2:$E$9876='2018-19_working'!$B$6:$I$6)*(raw!$F$2:$F$9876='2018-19_working'!I$7)*(raw!$G$2:$G$9876))</f>
        <v>0</v>
      </c>
      <c r="K12" s="8">
        <f>SUMPRODUCT((raw!$A$2:$A$9876='2018-19_working'!$A$2)*(raw!$B$2:$B$9876='2018-19_working'!$A12)*(raw!$E$2:$E$9876='2018-19_working'!$K$6)*(raw!$F$2:$F$9876='2018-19_working'!K$7)*(raw!$G$2:$G$9876))</f>
        <v>21</v>
      </c>
      <c r="L12" s="8">
        <f>SUMPRODUCT((raw!$A$2:$A$9876='2018-19_working'!$A$2)*(raw!$B$2:$B$9876='2018-19_working'!$A12)*(raw!$E$2:$E$9876='2018-19_working'!$K$6)*(raw!$F$2:$F$9876='2018-19_working'!L$7)*(raw!$G$2:$G$9876))</f>
        <v>1</v>
      </c>
      <c r="M12" s="8">
        <f>SUMPRODUCT((raw!$A$2:$A$9876='2018-19_working'!$A$2)*(raw!$B$2:$B$9876='2018-19_working'!$A12)*(raw!$E$2:$E$9876='2018-19_working'!$K$6)*(raw!$F$2:$F$9876='2018-19_working'!M$7)*(raw!$G$2:$G$9876))</f>
        <v>1</v>
      </c>
      <c r="N12" s="8">
        <f>SUMPRODUCT((raw!$A$2:$A$9876='2018-19_working'!$A$2)*(raw!$B$2:$B$9876='2018-19_working'!$A12)*(raw!$E$2:$E$9876='2018-19_working'!$K$6)*(raw!$F$2:$F$9876='2018-19_working'!N$7)*(raw!$G$2:$G$9876))</f>
        <v>0</v>
      </c>
      <c r="O12" s="8">
        <f>SUMPRODUCT((raw!$A$2:$A$9876='2018-19_working'!$A$2)*(raw!$B$2:$B$9876='2018-19_working'!$A12)*(raw!$E$2:$E$9876='2018-19_working'!$K$6)*(raw!$F$2:$F$9876='2018-19_working'!O$7)*(raw!$G$2:$G$9876))</f>
        <v>0</v>
      </c>
      <c r="P12" s="8">
        <f>SUMPRODUCT((raw!$A$2:$A$9876='2018-19_working'!$A$2)*(raw!$B$2:$B$9876='2018-19_working'!$A12)*(raw!$E$2:$E$9876='2018-19_working'!$K$6)*(raw!$F$2:$F$9876='2018-19_working'!P$7)*(raw!$G$2:$G$9876))</f>
        <v>0</v>
      </c>
      <c r="Q12" s="8">
        <f>SUMPRODUCT((raw!$A$2:$A$9876='2018-19_working'!$A$2)*(raw!$B$2:$B$9876='2018-19_working'!$A12)*(raw!$E$2:$E$9876='2018-19_working'!$K$6)*(raw!$F$2:$F$9876='2018-19_working'!Q$7)*(raw!$G$2:$G$9876))</f>
        <v>0</v>
      </c>
      <c r="R12" s="8">
        <f>SUMPRODUCT((raw!$A$2:$A$9876='2018-19_working'!$A$2)*(raw!$B$2:$B$9876='2018-19_working'!$A12)*(raw!$E$2:$E$9876='2018-19_working'!$K$6)*(raw!$F$2:$F$9876='2018-19_working'!R$7)*(raw!$G$2:$G$9876))</f>
        <v>0</v>
      </c>
      <c r="T12" s="8">
        <f>SUMPRODUCT((raw!$A$2:$A$9876='2018-19_working'!$A$2)*(raw!$B$2:$B$9876='2018-19_working'!$A12)*(raw!$E$2:$E$9876='2018-19_working'!$T$6)*(raw!$F$2:$F$9876='2018-19_working'!T$7)*(raw!$G$2:$G$9876))</f>
        <v>5</v>
      </c>
      <c r="U12" s="8">
        <f>SUMPRODUCT((raw!$A$2:$A$9876='2018-19_working'!$A$2)*(raw!$B$2:$B$9876='2018-19_working'!$A12)*(raw!$E$2:$E$9876='2018-19_working'!$T$6)*(raw!$F$2:$F$9876='2018-19_working'!U$7)*(raw!$G$2:$G$9876))</f>
        <v>0</v>
      </c>
      <c r="V12" s="8">
        <f>SUMPRODUCT((raw!$A$2:$A$9876='2018-19_working'!$A$2)*(raw!$B$2:$B$9876='2018-19_working'!$A12)*(raw!$E$2:$E$9876='2018-19_working'!$T$6)*(raw!$F$2:$F$9876='2018-19_working'!V$7)*(raw!$G$2:$G$9876))</f>
        <v>0</v>
      </c>
      <c r="W12" s="8">
        <f>SUMPRODUCT((raw!$A$2:$A$9876='2018-19_working'!$A$2)*(raw!$B$2:$B$9876='2018-19_working'!$A12)*(raw!$E$2:$E$9876='2018-19_working'!$T$6)*(raw!$F$2:$F$9876='2018-19_working'!W$7)*(raw!$G$2:$G$9876))</f>
        <v>0</v>
      </c>
      <c r="X12" s="8">
        <f>SUMPRODUCT((raw!$A$2:$A$9876='2018-19_working'!$A$2)*(raw!$B$2:$B$9876='2018-19_working'!$A12)*(raw!$E$2:$E$9876='2018-19_working'!$T$6)*(raw!$F$2:$F$9876='2018-19_working'!X$7)*(raw!$G$2:$G$9876))</f>
        <v>0</v>
      </c>
      <c r="Y12" s="8">
        <f>SUMPRODUCT((raw!$A$2:$A$9876='2018-19_working'!$A$2)*(raw!$B$2:$B$9876='2018-19_working'!$A12)*(raw!$E$2:$E$9876='2018-19_working'!$T$6)*(raw!$F$2:$F$9876='2018-19_working'!Y$7)*(raw!$G$2:$G$9876))</f>
        <v>0</v>
      </c>
      <c r="Z12" s="8">
        <f>SUMPRODUCT((raw!$A$2:$A$9876='2018-19_working'!$A$2)*(raw!$B$2:$B$9876='2018-19_working'!$A12)*(raw!$E$2:$E$9876='2018-19_working'!$T$6)*(raw!$F$2:$F$9876='2018-19_working'!Z$7)*(raw!$G$2:$G$9876))</f>
        <v>0</v>
      </c>
      <c r="AA12" s="8">
        <f>SUMPRODUCT((raw!$A$2:$A$9876='2018-19_working'!$A$2)*(raw!$B$2:$B$9876='2018-19_working'!$A12)*(raw!$E$2:$E$9876='2018-19_working'!$T$6)*(raw!$F$2:$F$9876='2018-19_working'!AA$7)*(raw!$G$2:$G$9876))</f>
        <v>0</v>
      </c>
      <c r="AC12" s="8">
        <f>SUMPRODUCT((raw!$A$2:$A$9876='2018-19_working'!$A$2)*(raw!$B$2:$B$9876='2018-19_working'!$A12)*(raw!$E$2:$E$9876='2018-19_working'!$AC$6)*(raw!$F$2:$F$9876='2018-19_working'!AC$7)*(raw!$G$2:$G$9876))</f>
        <v>21</v>
      </c>
      <c r="AD12" s="8">
        <f>SUMPRODUCT((raw!$A$2:$A$9876='2018-19_working'!$A$2)*(raw!$B$2:$B$9876='2018-19_working'!$A12)*(raw!$E$2:$E$9876='2018-19_working'!$AC$6)*(raw!$F$2:$F$9876='2018-19_working'!AD$7)*(raw!$G$2:$G$9876))</f>
        <v>1</v>
      </c>
      <c r="AE12" s="8">
        <f>SUMPRODUCT((raw!$A$2:$A$9876='2018-19_working'!$A$2)*(raw!$B$2:$B$9876='2018-19_working'!$A12)*(raw!$E$2:$E$9876='2018-19_working'!$AC$6)*(raw!$F$2:$F$9876='2018-19_working'!AE$7)*(raw!$G$2:$G$9876))</f>
        <v>1</v>
      </c>
      <c r="AF12" s="8">
        <f>SUMPRODUCT((raw!$A$2:$A$9876='2018-19_working'!$A$2)*(raw!$B$2:$B$9876='2018-19_working'!$A12)*(raw!$E$2:$E$9876='2018-19_working'!$AC$6)*(raw!$F$2:$F$9876='2018-19_working'!AF$7)*(raw!$G$2:$G$9876))</f>
        <v>3</v>
      </c>
      <c r="AG12" s="8">
        <f>SUMPRODUCT((raw!$A$2:$A$9876='2018-19_working'!$A$2)*(raw!$B$2:$B$9876='2018-19_working'!$A12)*(raw!$E$2:$E$9876='2018-19_working'!$AC$6)*(raw!$F$2:$F$9876='2018-19_working'!AG$7)*(raw!$G$2:$G$9876))</f>
        <v>2</v>
      </c>
      <c r="AH12" s="8">
        <f>SUMPRODUCT((raw!$A$2:$A$9876='2018-19_working'!$A$2)*(raw!$B$2:$B$9876='2018-19_working'!$A12)*(raw!$E$2:$E$9876='2018-19_working'!$AC$6)*(raw!$F$2:$F$9876='2018-19_working'!AH$7)*(raw!$G$2:$G$9876))</f>
        <v>0</v>
      </c>
      <c r="AI12" s="8">
        <f>SUMPRODUCT((raw!$A$2:$A$9876='2018-19_working'!$A$2)*(raw!$B$2:$B$9876='2018-19_working'!$A12)*(raw!$E$2:$E$9876='2018-19_working'!$AC$6)*(raw!$F$2:$F$9876='2018-19_working'!AI$7)*(raw!$G$2:$G$9876))</f>
        <v>0</v>
      </c>
      <c r="AJ12" s="8">
        <f>SUMPRODUCT((raw!$A$2:$A$9876='2018-19_working'!$A$2)*(raw!$B$2:$B$9876='2018-19_working'!$A12)*(raw!$E$2:$E$9876='2018-19_working'!$AC$6)*(raw!$F$2:$F$9876='2018-19_working'!AJ$7)*(raw!$G$2:$G$9876))</f>
        <v>1</v>
      </c>
    </row>
    <row r="13" spans="1:36" x14ac:dyDescent="0.3">
      <c r="A13" s="8" t="s">
        <v>20</v>
      </c>
      <c r="B13" s="8">
        <f>SUMPRODUCT((raw!$A$2:$A$9876='2018-19_working'!$A$2)*(raw!$B$2:$B$9876='2018-19_working'!$A13)*(raw!$E$2:$E$9876='2018-19_working'!$B$6:$I$6)*(raw!$F$2:$F$9876='2018-19_working'!B$7)*(raw!$G$2:$G$9876))</f>
        <v>25</v>
      </c>
      <c r="C13" s="8">
        <f>SUMPRODUCT((raw!$A$2:$A$9876='2018-19_working'!$A$2)*(raw!$B$2:$B$9876='2018-19_working'!$A13)*(raw!$E$2:$E$9876='2018-19_working'!$B$6:$I$6)*(raw!$F$2:$F$9876='2018-19_working'!C$7)*(raw!$G$2:$G$9876))</f>
        <v>0</v>
      </c>
      <c r="D13" s="8">
        <f>SUMPRODUCT((raw!$A$2:$A$9876='2018-19_working'!$A$2)*(raw!$B$2:$B$9876='2018-19_working'!$A13)*(raw!$E$2:$E$9876='2018-19_working'!$B$6:$I$6)*(raw!$F$2:$F$9876='2018-19_working'!D$7)*(raw!$G$2:$G$9876))</f>
        <v>3</v>
      </c>
      <c r="E13" s="8">
        <f>SUMPRODUCT((raw!$A$2:$A$9876='2018-19_working'!$A$2)*(raw!$B$2:$B$9876='2018-19_working'!$A13)*(raw!$E$2:$E$9876='2018-19_working'!$B$6:$I$6)*(raw!$F$2:$F$9876='2018-19_working'!E$7)*(raw!$G$2:$G$9876))</f>
        <v>0</v>
      </c>
      <c r="F13" s="8">
        <f>SUMPRODUCT((raw!$A$2:$A$9876='2018-19_working'!$A$2)*(raw!$B$2:$B$9876='2018-19_working'!$A13)*(raw!$E$2:$E$9876='2018-19_working'!$B$6:$I$6)*(raw!$F$2:$F$9876='2018-19_working'!F$7)*(raw!$G$2:$G$9876))</f>
        <v>0</v>
      </c>
      <c r="G13" s="8">
        <f>SUMPRODUCT((raw!$A$2:$A$9876='2018-19_working'!$A$2)*(raw!$B$2:$B$9876='2018-19_working'!$A13)*(raw!$E$2:$E$9876='2018-19_working'!$B$6:$I$6)*(raw!$F$2:$F$9876='2018-19_working'!G$7)*(raw!$G$2:$G$9876))</f>
        <v>0</v>
      </c>
      <c r="H13" s="8">
        <f>SUMPRODUCT((raw!$A$2:$A$9876='2018-19_working'!$A$2)*(raw!$B$2:$B$9876='2018-19_working'!$A13)*(raw!$E$2:$E$9876='2018-19_working'!$B$6:$I$6)*(raw!$F$2:$F$9876='2018-19_working'!H$7)*(raw!$G$2:$G$9876))</f>
        <v>0</v>
      </c>
      <c r="I13" s="8">
        <f>SUMPRODUCT((raw!$A$2:$A$9876='2018-19_working'!$A$2)*(raw!$B$2:$B$9876='2018-19_working'!$A13)*(raw!$E$2:$E$9876='2018-19_working'!$B$6:$I$6)*(raw!$F$2:$F$9876='2018-19_working'!I$7)*(raw!$G$2:$G$9876))</f>
        <v>0</v>
      </c>
      <c r="K13" s="8">
        <f>SUMPRODUCT((raw!$A$2:$A$9876='2018-19_working'!$A$2)*(raw!$B$2:$B$9876='2018-19_working'!$A13)*(raw!$E$2:$E$9876='2018-19_working'!$K$6)*(raw!$F$2:$F$9876='2018-19_working'!K$7)*(raw!$G$2:$G$9876))</f>
        <v>18</v>
      </c>
      <c r="L13" s="8">
        <f>SUMPRODUCT((raw!$A$2:$A$9876='2018-19_working'!$A$2)*(raw!$B$2:$B$9876='2018-19_working'!$A13)*(raw!$E$2:$E$9876='2018-19_working'!$K$6)*(raw!$F$2:$F$9876='2018-19_working'!L$7)*(raw!$G$2:$G$9876))</f>
        <v>0</v>
      </c>
      <c r="M13" s="8">
        <f>SUMPRODUCT((raw!$A$2:$A$9876='2018-19_working'!$A$2)*(raw!$B$2:$B$9876='2018-19_working'!$A13)*(raw!$E$2:$E$9876='2018-19_working'!$K$6)*(raw!$F$2:$F$9876='2018-19_working'!M$7)*(raw!$G$2:$G$9876))</f>
        <v>0</v>
      </c>
      <c r="N13" s="8">
        <f>SUMPRODUCT((raw!$A$2:$A$9876='2018-19_working'!$A$2)*(raw!$B$2:$B$9876='2018-19_working'!$A13)*(raw!$E$2:$E$9876='2018-19_working'!$K$6)*(raw!$F$2:$F$9876='2018-19_working'!N$7)*(raw!$G$2:$G$9876))</f>
        <v>1</v>
      </c>
      <c r="O13" s="8">
        <f>SUMPRODUCT((raw!$A$2:$A$9876='2018-19_working'!$A$2)*(raw!$B$2:$B$9876='2018-19_working'!$A13)*(raw!$E$2:$E$9876='2018-19_working'!$K$6)*(raw!$F$2:$F$9876='2018-19_working'!O$7)*(raw!$G$2:$G$9876))</f>
        <v>0</v>
      </c>
      <c r="P13" s="8">
        <f>SUMPRODUCT((raw!$A$2:$A$9876='2018-19_working'!$A$2)*(raw!$B$2:$B$9876='2018-19_working'!$A13)*(raw!$E$2:$E$9876='2018-19_working'!$K$6)*(raw!$F$2:$F$9876='2018-19_working'!P$7)*(raw!$G$2:$G$9876))</f>
        <v>0</v>
      </c>
      <c r="Q13" s="8">
        <f>SUMPRODUCT((raw!$A$2:$A$9876='2018-19_working'!$A$2)*(raw!$B$2:$B$9876='2018-19_working'!$A13)*(raw!$E$2:$E$9876='2018-19_working'!$K$6)*(raw!$F$2:$F$9876='2018-19_working'!Q$7)*(raw!$G$2:$G$9876))</f>
        <v>0</v>
      </c>
      <c r="R13" s="8">
        <f>SUMPRODUCT((raw!$A$2:$A$9876='2018-19_working'!$A$2)*(raw!$B$2:$B$9876='2018-19_working'!$A13)*(raw!$E$2:$E$9876='2018-19_working'!$K$6)*(raw!$F$2:$F$9876='2018-19_working'!R$7)*(raw!$G$2:$G$9876))</f>
        <v>0</v>
      </c>
      <c r="T13" s="8">
        <f>SUMPRODUCT((raw!$A$2:$A$9876='2018-19_working'!$A$2)*(raw!$B$2:$B$9876='2018-19_working'!$A13)*(raw!$E$2:$E$9876='2018-19_working'!$T$6)*(raw!$F$2:$F$9876='2018-19_working'!T$7)*(raw!$G$2:$G$9876))</f>
        <v>0</v>
      </c>
      <c r="U13" s="8">
        <f>SUMPRODUCT((raw!$A$2:$A$9876='2018-19_working'!$A$2)*(raw!$B$2:$B$9876='2018-19_working'!$A13)*(raw!$E$2:$E$9876='2018-19_working'!$T$6)*(raw!$F$2:$F$9876='2018-19_working'!U$7)*(raw!$G$2:$G$9876))</f>
        <v>0</v>
      </c>
      <c r="V13" s="8">
        <f>SUMPRODUCT((raw!$A$2:$A$9876='2018-19_working'!$A$2)*(raw!$B$2:$B$9876='2018-19_working'!$A13)*(raw!$E$2:$E$9876='2018-19_working'!$T$6)*(raw!$F$2:$F$9876='2018-19_working'!V$7)*(raw!$G$2:$G$9876))</f>
        <v>0</v>
      </c>
      <c r="W13" s="8">
        <f>SUMPRODUCT((raw!$A$2:$A$9876='2018-19_working'!$A$2)*(raw!$B$2:$B$9876='2018-19_working'!$A13)*(raw!$E$2:$E$9876='2018-19_working'!$T$6)*(raw!$F$2:$F$9876='2018-19_working'!W$7)*(raw!$G$2:$G$9876))</f>
        <v>0</v>
      </c>
      <c r="X13" s="8">
        <f>SUMPRODUCT((raw!$A$2:$A$9876='2018-19_working'!$A$2)*(raw!$B$2:$B$9876='2018-19_working'!$A13)*(raw!$E$2:$E$9876='2018-19_working'!$T$6)*(raw!$F$2:$F$9876='2018-19_working'!X$7)*(raw!$G$2:$G$9876))</f>
        <v>0</v>
      </c>
      <c r="Y13" s="8">
        <f>SUMPRODUCT((raw!$A$2:$A$9876='2018-19_working'!$A$2)*(raw!$B$2:$B$9876='2018-19_working'!$A13)*(raw!$E$2:$E$9876='2018-19_working'!$T$6)*(raw!$F$2:$F$9876='2018-19_working'!Y$7)*(raw!$G$2:$G$9876))</f>
        <v>0</v>
      </c>
      <c r="Z13" s="8">
        <f>SUMPRODUCT((raw!$A$2:$A$9876='2018-19_working'!$A$2)*(raw!$B$2:$B$9876='2018-19_working'!$A13)*(raw!$E$2:$E$9876='2018-19_working'!$T$6)*(raw!$F$2:$F$9876='2018-19_working'!Z$7)*(raw!$G$2:$G$9876))</f>
        <v>0</v>
      </c>
      <c r="AA13" s="8">
        <f>SUMPRODUCT((raw!$A$2:$A$9876='2018-19_working'!$A$2)*(raw!$B$2:$B$9876='2018-19_working'!$A13)*(raw!$E$2:$E$9876='2018-19_working'!$T$6)*(raw!$F$2:$F$9876='2018-19_working'!AA$7)*(raw!$G$2:$G$9876))</f>
        <v>0</v>
      </c>
      <c r="AC13" s="8">
        <f>SUMPRODUCT((raw!$A$2:$A$9876='2018-19_working'!$A$2)*(raw!$B$2:$B$9876='2018-19_working'!$A13)*(raw!$E$2:$E$9876='2018-19_working'!$AC$6)*(raw!$F$2:$F$9876='2018-19_working'!AC$7)*(raw!$G$2:$G$9876))</f>
        <v>5</v>
      </c>
      <c r="AD13" s="8">
        <f>SUMPRODUCT((raw!$A$2:$A$9876='2018-19_working'!$A$2)*(raw!$B$2:$B$9876='2018-19_working'!$A13)*(raw!$E$2:$E$9876='2018-19_working'!$AC$6)*(raw!$F$2:$F$9876='2018-19_working'!AD$7)*(raw!$G$2:$G$9876))</f>
        <v>0</v>
      </c>
      <c r="AE13" s="8">
        <f>SUMPRODUCT((raw!$A$2:$A$9876='2018-19_working'!$A$2)*(raw!$B$2:$B$9876='2018-19_working'!$A13)*(raw!$E$2:$E$9876='2018-19_working'!$AC$6)*(raw!$F$2:$F$9876='2018-19_working'!AE$7)*(raw!$G$2:$G$9876))</f>
        <v>0</v>
      </c>
      <c r="AF13" s="8">
        <f>SUMPRODUCT((raw!$A$2:$A$9876='2018-19_working'!$A$2)*(raw!$B$2:$B$9876='2018-19_working'!$A13)*(raw!$E$2:$E$9876='2018-19_working'!$AC$6)*(raw!$F$2:$F$9876='2018-19_working'!AF$7)*(raw!$G$2:$G$9876))</f>
        <v>0</v>
      </c>
      <c r="AG13" s="8">
        <f>SUMPRODUCT((raw!$A$2:$A$9876='2018-19_working'!$A$2)*(raw!$B$2:$B$9876='2018-19_working'!$A13)*(raw!$E$2:$E$9876='2018-19_working'!$AC$6)*(raw!$F$2:$F$9876='2018-19_working'!AG$7)*(raw!$G$2:$G$9876))</f>
        <v>1</v>
      </c>
      <c r="AH13" s="8">
        <f>SUMPRODUCT((raw!$A$2:$A$9876='2018-19_working'!$A$2)*(raw!$B$2:$B$9876='2018-19_working'!$A13)*(raw!$E$2:$E$9876='2018-19_working'!$AC$6)*(raw!$F$2:$F$9876='2018-19_working'!AH$7)*(raw!$G$2:$G$9876))</f>
        <v>0</v>
      </c>
      <c r="AI13" s="8">
        <f>SUMPRODUCT((raw!$A$2:$A$9876='2018-19_working'!$A$2)*(raw!$B$2:$B$9876='2018-19_working'!$A13)*(raw!$E$2:$E$9876='2018-19_working'!$AC$6)*(raw!$F$2:$F$9876='2018-19_working'!AI$7)*(raw!$G$2:$G$9876))</f>
        <v>0</v>
      </c>
      <c r="AJ13" s="8">
        <f>SUMPRODUCT((raw!$A$2:$A$9876='2018-19_working'!$A$2)*(raw!$B$2:$B$9876='2018-19_working'!$A13)*(raw!$E$2:$E$9876='2018-19_working'!$AC$6)*(raw!$F$2:$F$9876='2018-19_working'!AJ$7)*(raw!$G$2:$G$9876))</f>
        <v>0</v>
      </c>
    </row>
    <row r="14" spans="1:36" x14ac:dyDescent="0.3">
      <c r="A14" s="8" t="s">
        <v>21</v>
      </c>
      <c r="B14" s="8">
        <f>SUMPRODUCT((raw!$A$2:$A$9876='2018-19_working'!$A$2)*(raw!$B$2:$B$9876='2018-19_working'!$A14)*(raw!$E$2:$E$9876='2018-19_working'!$B$6:$I$6)*(raw!$F$2:$F$9876='2018-19_working'!B$7)*(raw!$G$2:$G$9876))</f>
        <v>12</v>
      </c>
      <c r="C14" s="8">
        <f>SUMPRODUCT((raw!$A$2:$A$9876='2018-19_working'!$A$2)*(raw!$B$2:$B$9876='2018-19_working'!$A14)*(raw!$E$2:$E$9876='2018-19_working'!$B$6:$I$6)*(raw!$F$2:$F$9876='2018-19_working'!C$7)*(raw!$G$2:$G$9876))</f>
        <v>0</v>
      </c>
      <c r="D14" s="8">
        <f>SUMPRODUCT((raw!$A$2:$A$9876='2018-19_working'!$A$2)*(raw!$B$2:$B$9876='2018-19_working'!$A14)*(raw!$E$2:$E$9876='2018-19_working'!$B$6:$I$6)*(raw!$F$2:$F$9876='2018-19_working'!D$7)*(raw!$G$2:$G$9876))</f>
        <v>0</v>
      </c>
      <c r="E14" s="8">
        <f>SUMPRODUCT((raw!$A$2:$A$9876='2018-19_working'!$A$2)*(raw!$B$2:$B$9876='2018-19_working'!$A14)*(raw!$E$2:$E$9876='2018-19_working'!$B$6:$I$6)*(raw!$F$2:$F$9876='2018-19_working'!E$7)*(raw!$G$2:$G$9876))</f>
        <v>0</v>
      </c>
      <c r="F14" s="8">
        <f>SUMPRODUCT((raw!$A$2:$A$9876='2018-19_working'!$A$2)*(raw!$B$2:$B$9876='2018-19_working'!$A14)*(raw!$E$2:$E$9876='2018-19_working'!$B$6:$I$6)*(raw!$F$2:$F$9876='2018-19_working'!F$7)*(raw!$G$2:$G$9876))</f>
        <v>0</v>
      </c>
      <c r="G14" s="8">
        <f>SUMPRODUCT((raw!$A$2:$A$9876='2018-19_working'!$A$2)*(raw!$B$2:$B$9876='2018-19_working'!$A14)*(raw!$E$2:$E$9876='2018-19_working'!$B$6:$I$6)*(raw!$F$2:$F$9876='2018-19_working'!G$7)*(raw!$G$2:$G$9876))</f>
        <v>0</v>
      </c>
      <c r="H14" s="8">
        <f>SUMPRODUCT((raw!$A$2:$A$9876='2018-19_working'!$A$2)*(raw!$B$2:$B$9876='2018-19_working'!$A14)*(raw!$E$2:$E$9876='2018-19_working'!$B$6:$I$6)*(raw!$F$2:$F$9876='2018-19_working'!H$7)*(raw!$G$2:$G$9876))</f>
        <v>0</v>
      </c>
      <c r="I14" s="8">
        <f>SUMPRODUCT((raw!$A$2:$A$9876='2018-19_working'!$A$2)*(raw!$B$2:$B$9876='2018-19_working'!$A14)*(raw!$E$2:$E$9876='2018-19_working'!$B$6:$I$6)*(raw!$F$2:$F$9876='2018-19_working'!I$7)*(raw!$G$2:$G$9876))</f>
        <v>2</v>
      </c>
      <c r="K14" s="8">
        <f>SUMPRODUCT((raw!$A$2:$A$9876='2018-19_working'!$A$2)*(raw!$B$2:$B$9876='2018-19_working'!$A14)*(raw!$E$2:$E$9876='2018-19_working'!$K$6)*(raw!$F$2:$F$9876='2018-19_working'!K$7)*(raw!$G$2:$G$9876))</f>
        <v>29</v>
      </c>
      <c r="L14" s="8">
        <f>SUMPRODUCT((raw!$A$2:$A$9876='2018-19_working'!$A$2)*(raw!$B$2:$B$9876='2018-19_working'!$A14)*(raw!$E$2:$E$9876='2018-19_working'!$K$6)*(raw!$F$2:$F$9876='2018-19_working'!L$7)*(raw!$G$2:$G$9876))</f>
        <v>3</v>
      </c>
      <c r="M14" s="8">
        <f>SUMPRODUCT((raw!$A$2:$A$9876='2018-19_working'!$A$2)*(raw!$B$2:$B$9876='2018-19_working'!$A14)*(raw!$E$2:$E$9876='2018-19_working'!$K$6)*(raw!$F$2:$F$9876='2018-19_working'!M$7)*(raw!$G$2:$G$9876))</f>
        <v>0</v>
      </c>
      <c r="N14" s="8">
        <f>SUMPRODUCT((raw!$A$2:$A$9876='2018-19_working'!$A$2)*(raw!$B$2:$B$9876='2018-19_working'!$A14)*(raw!$E$2:$E$9876='2018-19_working'!$K$6)*(raw!$F$2:$F$9876='2018-19_working'!N$7)*(raw!$G$2:$G$9876))</f>
        <v>0</v>
      </c>
      <c r="O14" s="8">
        <f>SUMPRODUCT((raw!$A$2:$A$9876='2018-19_working'!$A$2)*(raw!$B$2:$B$9876='2018-19_working'!$A14)*(raw!$E$2:$E$9876='2018-19_working'!$K$6)*(raw!$F$2:$F$9876='2018-19_working'!O$7)*(raw!$G$2:$G$9876))</f>
        <v>0</v>
      </c>
      <c r="P14" s="8">
        <f>SUMPRODUCT((raw!$A$2:$A$9876='2018-19_working'!$A$2)*(raw!$B$2:$B$9876='2018-19_working'!$A14)*(raw!$E$2:$E$9876='2018-19_working'!$K$6)*(raw!$F$2:$F$9876='2018-19_working'!P$7)*(raw!$G$2:$G$9876))</f>
        <v>0</v>
      </c>
      <c r="Q14" s="8">
        <f>SUMPRODUCT((raw!$A$2:$A$9876='2018-19_working'!$A$2)*(raw!$B$2:$B$9876='2018-19_working'!$A14)*(raw!$E$2:$E$9876='2018-19_working'!$K$6)*(raw!$F$2:$F$9876='2018-19_working'!Q$7)*(raw!$G$2:$G$9876))</f>
        <v>0</v>
      </c>
      <c r="R14" s="8">
        <f>SUMPRODUCT((raw!$A$2:$A$9876='2018-19_working'!$A$2)*(raw!$B$2:$B$9876='2018-19_working'!$A14)*(raw!$E$2:$E$9876='2018-19_working'!$K$6)*(raw!$F$2:$F$9876='2018-19_working'!R$7)*(raw!$G$2:$G$9876))</f>
        <v>4</v>
      </c>
      <c r="T14" s="8">
        <f>SUMPRODUCT((raw!$A$2:$A$9876='2018-19_working'!$A$2)*(raw!$B$2:$B$9876='2018-19_working'!$A14)*(raw!$E$2:$E$9876='2018-19_working'!$T$6)*(raw!$F$2:$F$9876='2018-19_working'!T$7)*(raw!$G$2:$G$9876))</f>
        <v>8</v>
      </c>
      <c r="U14" s="8">
        <f>SUMPRODUCT((raw!$A$2:$A$9876='2018-19_working'!$A$2)*(raw!$B$2:$B$9876='2018-19_working'!$A14)*(raw!$E$2:$E$9876='2018-19_working'!$T$6)*(raw!$F$2:$F$9876='2018-19_working'!U$7)*(raw!$G$2:$G$9876))</f>
        <v>0</v>
      </c>
      <c r="V14" s="8">
        <f>SUMPRODUCT((raw!$A$2:$A$9876='2018-19_working'!$A$2)*(raw!$B$2:$B$9876='2018-19_working'!$A14)*(raw!$E$2:$E$9876='2018-19_working'!$T$6)*(raw!$F$2:$F$9876='2018-19_working'!V$7)*(raw!$G$2:$G$9876))</f>
        <v>0</v>
      </c>
      <c r="W14" s="8">
        <f>SUMPRODUCT((raw!$A$2:$A$9876='2018-19_working'!$A$2)*(raw!$B$2:$B$9876='2018-19_working'!$A14)*(raw!$E$2:$E$9876='2018-19_working'!$T$6)*(raw!$F$2:$F$9876='2018-19_working'!W$7)*(raw!$G$2:$G$9876))</f>
        <v>0</v>
      </c>
      <c r="X14" s="8">
        <f>SUMPRODUCT((raw!$A$2:$A$9876='2018-19_working'!$A$2)*(raw!$B$2:$B$9876='2018-19_working'!$A14)*(raw!$E$2:$E$9876='2018-19_working'!$T$6)*(raw!$F$2:$F$9876='2018-19_working'!X$7)*(raw!$G$2:$G$9876))</f>
        <v>0</v>
      </c>
      <c r="Y14" s="8">
        <f>SUMPRODUCT((raw!$A$2:$A$9876='2018-19_working'!$A$2)*(raw!$B$2:$B$9876='2018-19_working'!$A14)*(raw!$E$2:$E$9876='2018-19_working'!$T$6)*(raw!$F$2:$F$9876='2018-19_working'!Y$7)*(raw!$G$2:$G$9876))</f>
        <v>0</v>
      </c>
      <c r="Z14" s="8">
        <f>SUMPRODUCT((raw!$A$2:$A$9876='2018-19_working'!$A$2)*(raw!$B$2:$B$9876='2018-19_working'!$A14)*(raw!$E$2:$E$9876='2018-19_working'!$T$6)*(raw!$F$2:$F$9876='2018-19_working'!Z$7)*(raw!$G$2:$G$9876))</f>
        <v>0</v>
      </c>
      <c r="AA14" s="8">
        <f>SUMPRODUCT((raw!$A$2:$A$9876='2018-19_working'!$A$2)*(raw!$B$2:$B$9876='2018-19_working'!$A14)*(raw!$E$2:$E$9876='2018-19_working'!$T$6)*(raw!$F$2:$F$9876='2018-19_working'!AA$7)*(raw!$G$2:$G$9876))</f>
        <v>4</v>
      </c>
      <c r="AC14" s="8">
        <f>SUMPRODUCT((raw!$A$2:$A$9876='2018-19_working'!$A$2)*(raw!$B$2:$B$9876='2018-19_working'!$A14)*(raw!$E$2:$E$9876='2018-19_working'!$AC$6)*(raw!$F$2:$F$9876='2018-19_working'!AC$7)*(raw!$G$2:$G$9876))</f>
        <v>12</v>
      </c>
      <c r="AD14" s="8">
        <f>SUMPRODUCT((raw!$A$2:$A$9876='2018-19_working'!$A$2)*(raw!$B$2:$B$9876='2018-19_working'!$A14)*(raw!$E$2:$E$9876='2018-19_working'!$AC$6)*(raw!$F$2:$F$9876='2018-19_working'!AD$7)*(raw!$G$2:$G$9876))</f>
        <v>0</v>
      </c>
      <c r="AE14" s="8">
        <f>SUMPRODUCT((raw!$A$2:$A$9876='2018-19_working'!$A$2)*(raw!$B$2:$B$9876='2018-19_working'!$A14)*(raw!$E$2:$E$9876='2018-19_working'!$AC$6)*(raw!$F$2:$F$9876='2018-19_working'!AE$7)*(raw!$G$2:$G$9876))</f>
        <v>1</v>
      </c>
      <c r="AF14" s="8">
        <f>SUMPRODUCT((raw!$A$2:$A$9876='2018-19_working'!$A$2)*(raw!$B$2:$B$9876='2018-19_working'!$A14)*(raw!$E$2:$E$9876='2018-19_working'!$AC$6)*(raw!$F$2:$F$9876='2018-19_working'!AF$7)*(raw!$G$2:$G$9876))</f>
        <v>1</v>
      </c>
      <c r="AG14" s="8">
        <f>SUMPRODUCT((raw!$A$2:$A$9876='2018-19_working'!$A$2)*(raw!$B$2:$B$9876='2018-19_working'!$A14)*(raw!$E$2:$E$9876='2018-19_working'!$AC$6)*(raw!$F$2:$F$9876='2018-19_working'!AG$7)*(raw!$G$2:$G$9876))</f>
        <v>2</v>
      </c>
      <c r="AH14" s="8">
        <f>SUMPRODUCT((raw!$A$2:$A$9876='2018-19_working'!$A$2)*(raw!$B$2:$B$9876='2018-19_working'!$A14)*(raw!$E$2:$E$9876='2018-19_working'!$AC$6)*(raw!$F$2:$F$9876='2018-19_working'!AH$7)*(raw!$G$2:$G$9876))</f>
        <v>0</v>
      </c>
      <c r="AI14" s="8">
        <f>SUMPRODUCT((raw!$A$2:$A$9876='2018-19_working'!$A$2)*(raw!$B$2:$B$9876='2018-19_working'!$A14)*(raw!$E$2:$E$9876='2018-19_working'!$AC$6)*(raw!$F$2:$F$9876='2018-19_working'!AI$7)*(raw!$G$2:$G$9876))</f>
        <v>0</v>
      </c>
      <c r="AJ14" s="8">
        <f>SUMPRODUCT((raw!$A$2:$A$9876='2018-19_working'!$A$2)*(raw!$B$2:$B$9876='2018-19_working'!$A14)*(raw!$E$2:$E$9876='2018-19_working'!$AC$6)*(raw!$F$2:$F$9876='2018-19_working'!AJ$7)*(raw!$G$2:$G$9876))</f>
        <v>5</v>
      </c>
    </row>
    <row r="15" spans="1:36" x14ac:dyDescent="0.3">
      <c r="A15" s="8" t="s">
        <v>22</v>
      </c>
      <c r="B15" s="8">
        <f>SUMPRODUCT((raw!$A$2:$A$9876='2018-19_working'!$A$2)*(raw!$B$2:$B$9876='2018-19_working'!$A15)*(raw!$E$2:$E$9876='2018-19_working'!$B$6:$I$6)*(raw!$F$2:$F$9876='2018-19_working'!B$7)*(raw!$G$2:$G$9876))</f>
        <v>49</v>
      </c>
      <c r="C15" s="8">
        <f>SUMPRODUCT((raw!$A$2:$A$9876='2018-19_working'!$A$2)*(raw!$B$2:$B$9876='2018-19_working'!$A15)*(raw!$E$2:$E$9876='2018-19_working'!$B$6:$I$6)*(raw!$F$2:$F$9876='2018-19_working'!C$7)*(raw!$G$2:$G$9876))</f>
        <v>0</v>
      </c>
      <c r="D15" s="8">
        <f>SUMPRODUCT((raw!$A$2:$A$9876='2018-19_working'!$A$2)*(raw!$B$2:$B$9876='2018-19_working'!$A15)*(raw!$E$2:$E$9876='2018-19_working'!$B$6:$I$6)*(raw!$F$2:$F$9876='2018-19_working'!D$7)*(raw!$G$2:$G$9876))</f>
        <v>0</v>
      </c>
      <c r="E15" s="8">
        <f>SUMPRODUCT((raw!$A$2:$A$9876='2018-19_working'!$A$2)*(raw!$B$2:$B$9876='2018-19_working'!$A15)*(raw!$E$2:$E$9876='2018-19_working'!$B$6:$I$6)*(raw!$F$2:$F$9876='2018-19_working'!E$7)*(raw!$G$2:$G$9876))</f>
        <v>0</v>
      </c>
      <c r="F15" s="8">
        <f>SUMPRODUCT((raw!$A$2:$A$9876='2018-19_working'!$A$2)*(raw!$B$2:$B$9876='2018-19_working'!$A15)*(raw!$E$2:$E$9876='2018-19_working'!$B$6:$I$6)*(raw!$F$2:$F$9876='2018-19_working'!F$7)*(raw!$G$2:$G$9876))</f>
        <v>0</v>
      </c>
      <c r="G15" s="8">
        <f>SUMPRODUCT((raw!$A$2:$A$9876='2018-19_working'!$A$2)*(raw!$B$2:$B$9876='2018-19_working'!$A15)*(raw!$E$2:$E$9876='2018-19_working'!$B$6:$I$6)*(raw!$F$2:$F$9876='2018-19_working'!G$7)*(raw!$G$2:$G$9876))</f>
        <v>0</v>
      </c>
      <c r="H15" s="8">
        <f>SUMPRODUCT((raw!$A$2:$A$9876='2018-19_working'!$A$2)*(raw!$B$2:$B$9876='2018-19_working'!$A15)*(raw!$E$2:$E$9876='2018-19_working'!$B$6:$I$6)*(raw!$F$2:$F$9876='2018-19_working'!H$7)*(raw!$G$2:$G$9876))</f>
        <v>1</v>
      </c>
      <c r="I15" s="8">
        <f>SUMPRODUCT((raw!$A$2:$A$9876='2018-19_working'!$A$2)*(raw!$B$2:$B$9876='2018-19_working'!$A15)*(raw!$E$2:$E$9876='2018-19_working'!$B$6:$I$6)*(raw!$F$2:$F$9876='2018-19_working'!I$7)*(raw!$G$2:$G$9876))</f>
        <v>4</v>
      </c>
      <c r="K15" s="8">
        <f>SUMPRODUCT((raw!$A$2:$A$9876='2018-19_working'!$A$2)*(raw!$B$2:$B$9876='2018-19_working'!$A15)*(raw!$E$2:$E$9876='2018-19_working'!$K$6)*(raw!$F$2:$F$9876='2018-19_working'!K$7)*(raw!$G$2:$G$9876))</f>
        <v>26</v>
      </c>
      <c r="L15" s="8">
        <f>SUMPRODUCT((raw!$A$2:$A$9876='2018-19_working'!$A$2)*(raw!$B$2:$B$9876='2018-19_working'!$A15)*(raw!$E$2:$E$9876='2018-19_working'!$K$6)*(raw!$F$2:$F$9876='2018-19_working'!L$7)*(raw!$G$2:$G$9876))</f>
        <v>0</v>
      </c>
      <c r="M15" s="8">
        <f>SUMPRODUCT((raw!$A$2:$A$9876='2018-19_working'!$A$2)*(raw!$B$2:$B$9876='2018-19_working'!$A15)*(raw!$E$2:$E$9876='2018-19_working'!$K$6)*(raw!$F$2:$F$9876='2018-19_working'!M$7)*(raw!$G$2:$G$9876))</f>
        <v>0</v>
      </c>
      <c r="N15" s="8">
        <f>SUMPRODUCT((raw!$A$2:$A$9876='2018-19_working'!$A$2)*(raw!$B$2:$B$9876='2018-19_working'!$A15)*(raw!$E$2:$E$9876='2018-19_working'!$K$6)*(raw!$F$2:$F$9876='2018-19_working'!N$7)*(raw!$G$2:$G$9876))</f>
        <v>0</v>
      </c>
      <c r="O15" s="8">
        <f>SUMPRODUCT((raw!$A$2:$A$9876='2018-19_working'!$A$2)*(raw!$B$2:$B$9876='2018-19_working'!$A15)*(raw!$E$2:$E$9876='2018-19_working'!$K$6)*(raw!$F$2:$F$9876='2018-19_working'!O$7)*(raw!$G$2:$G$9876))</f>
        <v>0</v>
      </c>
      <c r="P15" s="8">
        <f>SUMPRODUCT((raw!$A$2:$A$9876='2018-19_working'!$A$2)*(raw!$B$2:$B$9876='2018-19_working'!$A15)*(raw!$E$2:$E$9876='2018-19_working'!$K$6)*(raw!$F$2:$F$9876='2018-19_working'!P$7)*(raw!$G$2:$G$9876))</f>
        <v>0</v>
      </c>
      <c r="Q15" s="8">
        <f>SUMPRODUCT((raw!$A$2:$A$9876='2018-19_working'!$A$2)*(raw!$B$2:$B$9876='2018-19_working'!$A15)*(raw!$E$2:$E$9876='2018-19_working'!$K$6)*(raw!$F$2:$F$9876='2018-19_working'!Q$7)*(raw!$G$2:$G$9876))</f>
        <v>0</v>
      </c>
      <c r="R15" s="8">
        <f>SUMPRODUCT((raw!$A$2:$A$9876='2018-19_working'!$A$2)*(raw!$B$2:$B$9876='2018-19_working'!$A15)*(raw!$E$2:$E$9876='2018-19_working'!$K$6)*(raw!$F$2:$F$9876='2018-19_working'!R$7)*(raw!$G$2:$G$9876))</f>
        <v>2</v>
      </c>
      <c r="T15" s="8">
        <f>SUMPRODUCT((raw!$A$2:$A$9876='2018-19_working'!$A$2)*(raw!$B$2:$B$9876='2018-19_working'!$A15)*(raw!$E$2:$E$9876='2018-19_working'!$T$6)*(raw!$F$2:$F$9876='2018-19_working'!T$7)*(raw!$G$2:$G$9876))</f>
        <v>0</v>
      </c>
      <c r="U15" s="8">
        <f>SUMPRODUCT((raw!$A$2:$A$9876='2018-19_working'!$A$2)*(raw!$B$2:$B$9876='2018-19_working'!$A15)*(raw!$E$2:$E$9876='2018-19_working'!$T$6)*(raw!$F$2:$F$9876='2018-19_working'!U$7)*(raw!$G$2:$G$9876))</f>
        <v>0</v>
      </c>
      <c r="V15" s="8">
        <f>SUMPRODUCT((raw!$A$2:$A$9876='2018-19_working'!$A$2)*(raw!$B$2:$B$9876='2018-19_working'!$A15)*(raw!$E$2:$E$9876='2018-19_working'!$T$6)*(raw!$F$2:$F$9876='2018-19_working'!V$7)*(raw!$G$2:$G$9876))</f>
        <v>0</v>
      </c>
      <c r="W15" s="8">
        <f>SUMPRODUCT((raw!$A$2:$A$9876='2018-19_working'!$A$2)*(raw!$B$2:$B$9876='2018-19_working'!$A15)*(raw!$E$2:$E$9876='2018-19_working'!$T$6)*(raw!$F$2:$F$9876='2018-19_working'!W$7)*(raw!$G$2:$G$9876))</f>
        <v>0</v>
      </c>
      <c r="X15" s="8">
        <f>SUMPRODUCT((raw!$A$2:$A$9876='2018-19_working'!$A$2)*(raw!$B$2:$B$9876='2018-19_working'!$A15)*(raw!$E$2:$E$9876='2018-19_working'!$T$6)*(raw!$F$2:$F$9876='2018-19_working'!X$7)*(raw!$G$2:$G$9876))</f>
        <v>0</v>
      </c>
      <c r="Y15" s="8">
        <f>SUMPRODUCT((raw!$A$2:$A$9876='2018-19_working'!$A$2)*(raw!$B$2:$B$9876='2018-19_working'!$A15)*(raw!$E$2:$E$9876='2018-19_working'!$T$6)*(raw!$F$2:$F$9876='2018-19_working'!Y$7)*(raw!$G$2:$G$9876))</f>
        <v>0</v>
      </c>
      <c r="Z15" s="8">
        <f>SUMPRODUCT((raw!$A$2:$A$9876='2018-19_working'!$A$2)*(raw!$B$2:$B$9876='2018-19_working'!$A15)*(raw!$E$2:$E$9876='2018-19_working'!$T$6)*(raw!$F$2:$F$9876='2018-19_working'!Z$7)*(raw!$G$2:$G$9876))</f>
        <v>0</v>
      </c>
      <c r="AA15" s="8">
        <f>SUMPRODUCT((raw!$A$2:$A$9876='2018-19_working'!$A$2)*(raw!$B$2:$B$9876='2018-19_working'!$A15)*(raw!$E$2:$E$9876='2018-19_working'!$T$6)*(raw!$F$2:$F$9876='2018-19_working'!AA$7)*(raw!$G$2:$G$9876))</f>
        <v>0</v>
      </c>
      <c r="AC15" s="8">
        <f>SUMPRODUCT((raw!$A$2:$A$9876='2018-19_working'!$A$2)*(raw!$B$2:$B$9876='2018-19_working'!$A15)*(raw!$E$2:$E$9876='2018-19_working'!$AC$6)*(raw!$F$2:$F$9876='2018-19_working'!AC$7)*(raw!$G$2:$G$9876))</f>
        <v>16</v>
      </c>
      <c r="AD15" s="8">
        <f>SUMPRODUCT((raw!$A$2:$A$9876='2018-19_working'!$A$2)*(raw!$B$2:$B$9876='2018-19_working'!$A15)*(raw!$E$2:$E$9876='2018-19_working'!$AC$6)*(raw!$F$2:$F$9876='2018-19_working'!AD$7)*(raw!$G$2:$G$9876))</f>
        <v>0</v>
      </c>
      <c r="AE15" s="8">
        <f>SUMPRODUCT((raw!$A$2:$A$9876='2018-19_working'!$A$2)*(raw!$B$2:$B$9876='2018-19_working'!$A15)*(raw!$E$2:$E$9876='2018-19_working'!$AC$6)*(raw!$F$2:$F$9876='2018-19_working'!AE$7)*(raw!$G$2:$G$9876))</f>
        <v>0</v>
      </c>
      <c r="AF15" s="8">
        <f>SUMPRODUCT((raw!$A$2:$A$9876='2018-19_working'!$A$2)*(raw!$B$2:$B$9876='2018-19_working'!$A15)*(raw!$E$2:$E$9876='2018-19_working'!$AC$6)*(raw!$F$2:$F$9876='2018-19_working'!AF$7)*(raw!$G$2:$G$9876))</f>
        <v>0</v>
      </c>
      <c r="AG15" s="8">
        <f>SUMPRODUCT((raw!$A$2:$A$9876='2018-19_working'!$A$2)*(raw!$B$2:$B$9876='2018-19_working'!$A15)*(raw!$E$2:$E$9876='2018-19_working'!$AC$6)*(raw!$F$2:$F$9876='2018-19_working'!AG$7)*(raw!$G$2:$G$9876))</f>
        <v>0</v>
      </c>
      <c r="AH15" s="8">
        <f>SUMPRODUCT((raw!$A$2:$A$9876='2018-19_working'!$A$2)*(raw!$B$2:$B$9876='2018-19_working'!$A15)*(raw!$E$2:$E$9876='2018-19_working'!$AC$6)*(raw!$F$2:$F$9876='2018-19_working'!AH$7)*(raw!$G$2:$G$9876))</f>
        <v>0</v>
      </c>
      <c r="AI15" s="8">
        <f>SUMPRODUCT((raw!$A$2:$A$9876='2018-19_working'!$A$2)*(raw!$B$2:$B$9876='2018-19_working'!$A15)*(raw!$E$2:$E$9876='2018-19_working'!$AC$6)*(raw!$F$2:$F$9876='2018-19_working'!AI$7)*(raw!$G$2:$G$9876))</f>
        <v>0</v>
      </c>
      <c r="AJ15" s="8">
        <f>SUMPRODUCT((raw!$A$2:$A$9876='2018-19_working'!$A$2)*(raw!$B$2:$B$9876='2018-19_working'!$A15)*(raw!$E$2:$E$9876='2018-19_working'!$AC$6)*(raw!$F$2:$F$9876='2018-19_working'!AJ$7)*(raw!$G$2:$G$9876))</f>
        <v>0</v>
      </c>
    </row>
    <row r="16" spans="1:36" x14ac:dyDescent="0.3">
      <c r="A16" s="8" t="s">
        <v>23</v>
      </c>
      <c r="B16" s="8">
        <f>SUMPRODUCT((raw!$A$2:$A$9876='2018-19_working'!$A$2)*(raw!$B$2:$B$9876='2018-19_working'!$A16)*(raw!$E$2:$E$9876='2018-19_working'!$B$6:$I$6)*(raw!$F$2:$F$9876='2018-19_working'!B$7)*(raw!$G$2:$G$9876))</f>
        <v>36</v>
      </c>
      <c r="C16" s="8">
        <f>SUMPRODUCT((raw!$A$2:$A$9876='2018-19_working'!$A$2)*(raw!$B$2:$B$9876='2018-19_working'!$A16)*(raw!$E$2:$E$9876='2018-19_working'!$B$6:$I$6)*(raw!$F$2:$F$9876='2018-19_working'!C$7)*(raw!$G$2:$G$9876))</f>
        <v>0</v>
      </c>
      <c r="D16" s="8">
        <f>SUMPRODUCT((raw!$A$2:$A$9876='2018-19_working'!$A$2)*(raw!$B$2:$B$9876='2018-19_working'!$A16)*(raw!$E$2:$E$9876='2018-19_working'!$B$6:$I$6)*(raw!$F$2:$F$9876='2018-19_working'!D$7)*(raw!$G$2:$G$9876))</f>
        <v>0</v>
      </c>
      <c r="E16" s="8">
        <f>SUMPRODUCT((raw!$A$2:$A$9876='2018-19_working'!$A$2)*(raw!$B$2:$B$9876='2018-19_working'!$A16)*(raw!$E$2:$E$9876='2018-19_working'!$B$6:$I$6)*(raw!$F$2:$F$9876='2018-19_working'!E$7)*(raw!$G$2:$G$9876))</f>
        <v>0</v>
      </c>
      <c r="F16" s="8">
        <f>SUMPRODUCT((raw!$A$2:$A$9876='2018-19_working'!$A$2)*(raw!$B$2:$B$9876='2018-19_working'!$A16)*(raw!$E$2:$E$9876='2018-19_working'!$B$6:$I$6)*(raw!$F$2:$F$9876='2018-19_working'!F$7)*(raw!$G$2:$G$9876))</f>
        <v>0</v>
      </c>
      <c r="G16" s="8">
        <f>SUMPRODUCT((raw!$A$2:$A$9876='2018-19_working'!$A$2)*(raw!$B$2:$B$9876='2018-19_working'!$A16)*(raw!$E$2:$E$9876='2018-19_working'!$B$6:$I$6)*(raw!$F$2:$F$9876='2018-19_working'!G$7)*(raw!$G$2:$G$9876))</f>
        <v>0</v>
      </c>
      <c r="H16" s="8">
        <f>SUMPRODUCT((raw!$A$2:$A$9876='2018-19_working'!$A$2)*(raw!$B$2:$B$9876='2018-19_working'!$A16)*(raw!$E$2:$E$9876='2018-19_working'!$B$6:$I$6)*(raw!$F$2:$F$9876='2018-19_working'!H$7)*(raw!$G$2:$G$9876))</f>
        <v>0</v>
      </c>
      <c r="I16" s="8">
        <f>SUMPRODUCT((raw!$A$2:$A$9876='2018-19_working'!$A$2)*(raw!$B$2:$B$9876='2018-19_working'!$A16)*(raw!$E$2:$E$9876='2018-19_working'!$B$6:$I$6)*(raw!$F$2:$F$9876='2018-19_working'!I$7)*(raw!$G$2:$G$9876))</f>
        <v>0</v>
      </c>
      <c r="K16" s="8">
        <f>SUMPRODUCT((raw!$A$2:$A$9876='2018-19_working'!$A$2)*(raw!$B$2:$B$9876='2018-19_working'!$A16)*(raw!$E$2:$E$9876='2018-19_working'!$K$6)*(raw!$F$2:$F$9876='2018-19_working'!K$7)*(raw!$G$2:$G$9876))</f>
        <v>13</v>
      </c>
      <c r="L16" s="8">
        <f>SUMPRODUCT((raw!$A$2:$A$9876='2018-19_working'!$A$2)*(raw!$B$2:$B$9876='2018-19_working'!$A16)*(raw!$E$2:$E$9876='2018-19_working'!$K$6)*(raw!$F$2:$F$9876='2018-19_working'!L$7)*(raw!$G$2:$G$9876))</f>
        <v>0</v>
      </c>
      <c r="M16" s="8">
        <f>SUMPRODUCT((raw!$A$2:$A$9876='2018-19_working'!$A$2)*(raw!$B$2:$B$9876='2018-19_working'!$A16)*(raw!$E$2:$E$9876='2018-19_working'!$K$6)*(raw!$F$2:$F$9876='2018-19_working'!M$7)*(raw!$G$2:$G$9876))</f>
        <v>0</v>
      </c>
      <c r="N16" s="8">
        <f>SUMPRODUCT((raw!$A$2:$A$9876='2018-19_working'!$A$2)*(raw!$B$2:$B$9876='2018-19_working'!$A16)*(raw!$E$2:$E$9876='2018-19_working'!$K$6)*(raw!$F$2:$F$9876='2018-19_working'!N$7)*(raw!$G$2:$G$9876))</f>
        <v>0</v>
      </c>
      <c r="O16" s="8">
        <f>SUMPRODUCT((raw!$A$2:$A$9876='2018-19_working'!$A$2)*(raw!$B$2:$B$9876='2018-19_working'!$A16)*(raw!$E$2:$E$9876='2018-19_working'!$K$6)*(raw!$F$2:$F$9876='2018-19_working'!O$7)*(raw!$G$2:$G$9876))</f>
        <v>0</v>
      </c>
      <c r="P16" s="8">
        <f>SUMPRODUCT((raw!$A$2:$A$9876='2018-19_working'!$A$2)*(raw!$B$2:$B$9876='2018-19_working'!$A16)*(raw!$E$2:$E$9876='2018-19_working'!$K$6)*(raw!$F$2:$F$9876='2018-19_working'!P$7)*(raw!$G$2:$G$9876))</f>
        <v>0</v>
      </c>
      <c r="Q16" s="8">
        <f>SUMPRODUCT((raw!$A$2:$A$9876='2018-19_working'!$A$2)*(raw!$B$2:$B$9876='2018-19_working'!$A16)*(raw!$E$2:$E$9876='2018-19_working'!$K$6)*(raw!$F$2:$F$9876='2018-19_working'!Q$7)*(raw!$G$2:$G$9876))</f>
        <v>0</v>
      </c>
      <c r="R16" s="8">
        <f>SUMPRODUCT((raw!$A$2:$A$9876='2018-19_working'!$A$2)*(raw!$B$2:$B$9876='2018-19_working'!$A16)*(raw!$E$2:$E$9876='2018-19_working'!$K$6)*(raw!$F$2:$F$9876='2018-19_working'!R$7)*(raw!$G$2:$G$9876))</f>
        <v>0</v>
      </c>
      <c r="T16" s="8">
        <f>SUMPRODUCT((raw!$A$2:$A$9876='2018-19_working'!$A$2)*(raw!$B$2:$B$9876='2018-19_working'!$A16)*(raw!$E$2:$E$9876='2018-19_working'!$T$6)*(raw!$F$2:$F$9876='2018-19_working'!T$7)*(raw!$G$2:$G$9876))</f>
        <v>2</v>
      </c>
      <c r="U16" s="8">
        <f>SUMPRODUCT((raw!$A$2:$A$9876='2018-19_working'!$A$2)*(raw!$B$2:$B$9876='2018-19_working'!$A16)*(raw!$E$2:$E$9876='2018-19_working'!$T$6)*(raw!$F$2:$F$9876='2018-19_working'!U$7)*(raw!$G$2:$G$9876))</f>
        <v>0</v>
      </c>
      <c r="V16" s="8">
        <f>SUMPRODUCT((raw!$A$2:$A$9876='2018-19_working'!$A$2)*(raw!$B$2:$B$9876='2018-19_working'!$A16)*(raw!$E$2:$E$9876='2018-19_working'!$T$6)*(raw!$F$2:$F$9876='2018-19_working'!V$7)*(raw!$G$2:$G$9876))</f>
        <v>0</v>
      </c>
      <c r="W16" s="8">
        <f>SUMPRODUCT((raw!$A$2:$A$9876='2018-19_working'!$A$2)*(raw!$B$2:$B$9876='2018-19_working'!$A16)*(raw!$E$2:$E$9876='2018-19_working'!$T$6)*(raw!$F$2:$F$9876='2018-19_working'!W$7)*(raw!$G$2:$G$9876))</f>
        <v>0</v>
      </c>
      <c r="X16" s="8">
        <f>SUMPRODUCT((raw!$A$2:$A$9876='2018-19_working'!$A$2)*(raw!$B$2:$B$9876='2018-19_working'!$A16)*(raw!$E$2:$E$9876='2018-19_working'!$T$6)*(raw!$F$2:$F$9876='2018-19_working'!X$7)*(raw!$G$2:$G$9876))</f>
        <v>0</v>
      </c>
      <c r="Y16" s="8">
        <f>SUMPRODUCT((raw!$A$2:$A$9876='2018-19_working'!$A$2)*(raw!$B$2:$B$9876='2018-19_working'!$A16)*(raw!$E$2:$E$9876='2018-19_working'!$T$6)*(raw!$F$2:$F$9876='2018-19_working'!Y$7)*(raw!$G$2:$G$9876))</f>
        <v>0</v>
      </c>
      <c r="Z16" s="8">
        <f>SUMPRODUCT((raw!$A$2:$A$9876='2018-19_working'!$A$2)*(raw!$B$2:$B$9876='2018-19_working'!$A16)*(raw!$E$2:$E$9876='2018-19_working'!$T$6)*(raw!$F$2:$F$9876='2018-19_working'!Z$7)*(raw!$G$2:$G$9876))</f>
        <v>0</v>
      </c>
      <c r="AA16" s="8">
        <f>SUMPRODUCT((raw!$A$2:$A$9876='2018-19_working'!$A$2)*(raw!$B$2:$B$9876='2018-19_working'!$A16)*(raw!$E$2:$E$9876='2018-19_working'!$T$6)*(raw!$F$2:$F$9876='2018-19_working'!AA$7)*(raw!$G$2:$G$9876))</f>
        <v>0</v>
      </c>
      <c r="AC16" s="8">
        <f>SUMPRODUCT((raw!$A$2:$A$9876='2018-19_working'!$A$2)*(raw!$B$2:$B$9876='2018-19_working'!$A16)*(raw!$E$2:$E$9876='2018-19_working'!$AC$6)*(raw!$F$2:$F$9876='2018-19_working'!AC$7)*(raw!$G$2:$G$9876))</f>
        <v>12</v>
      </c>
      <c r="AD16" s="8">
        <f>SUMPRODUCT((raw!$A$2:$A$9876='2018-19_working'!$A$2)*(raw!$B$2:$B$9876='2018-19_working'!$A16)*(raw!$E$2:$E$9876='2018-19_working'!$AC$6)*(raw!$F$2:$F$9876='2018-19_working'!AD$7)*(raw!$G$2:$G$9876))</f>
        <v>0</v>
      </c>
      <c r="AE16" s="8">
        <f>SUMPRODUCT((raw!$A$2:$A$9876='2018-19_working'!$A$2)*(raw!$B$2:$B$9876='2018-19_working'!$A16)*(raw!$E$2:$E$9876='2018-19_working'!$AC$6)*(raw!$F$2:$F$9876='2018-19_working'!AE$7)*(raw!$G$2:$G$9876))</f>
        <v>0</v>
      </c>
      <c r="AF16" s="8">
        <f>SUMPRODUCT((raw!$A$2:$A$9876='2018-19_working'!$A$2)*(raw!$B$2:$B$9876='2018-19_working'!$A16)*(raw!$E$2:$E$9876='2018-19_working'!$AC$6)*(raw!$F$2:$F$9876='2018-19_working'!AF$7)*(raw!$G$2:$G$9876))</f>
        <v>0</v>
      </c>
      <c r="AG16" s="8">
        <f>SUMPRODUCT((raw!$A$2:$A$9876='2018-19_working'!$A$2)*(raw!$B$2:$B$9876='2018-19_working'!$A16)*(raw!$E$2:$E$9876='2018-19_working'!$AC$6)*(raw!$F$2:$F$9876='2018-19_working'!AG$7)*(raw!$G$2:$G$9876))</f>
        <v>0</v>
      </c>
      <c r="AH16" s="8">
        <f>SUMPRODUCT((raw!$A$2:$A$9876='2018-19_working'!$A$2)*(raw!$B$2:$B$9876='2018-19_working'!$A16)*(raw!$E$2:$E$9876='2018-19_working'!$AC$6)*(raw!$F$2:$F$9876='2018-19_working'!AH$7)*(raw!$G$2:$G$9876))</f>
        <v>0</v>
      </c>
      <c r="AI16" s="8">
        <f>SUMPRODUCT((raw!$A$2:$A$9876='2018-19_working'!$A$2)*(raw!$B$2:$B$9876='2018-19_working'!$A16)*(raw!$E$2:$E$9876='2018-19_working'!$AC$6)*(raw!$F$2:$F$9876='2018-19_working'!AI$7)*(raw!$G$2:$G$9876))</f>
        <v>0</v>
      </c>
      <c r="AJ16" s="8">
        <f>SUMPRODUCT((raw!$A$2:$A$9876='2018-19_working'!$A$2)*(raw!$B$2:$B$9876='2018-19_working'!$A16)*(raw!$E$2:$E$9876='2018-19_working'!$AC$6)*(raw!$F$2:$F$9876='2018-19_working'!AJ$7)*(raw!$G$2:$G$9876))</f>
        <v>0</v>
      </c>
    </row>
    <row r="17" spans="1:36" x14ac:dyDescent="0.3">
      <c r="A17" s="8" t="s">
        <v>24</v>
      </c>
      <c r="B17" s="8">
        <f>SUMPRODUCT((raw!$A$2:$A$9876='2018-19_working'!$A$2)*(raw!$B$2:$B$9876='2018-19_working'!$A17)*(raw!$E$2:$E$9876='2018-19_working'!$B$6:$I$6)*(raw!$F$2:$F$9876='2018-19_working'!B$7)*(raw!$G$2:$G$9876))</f>
        <v>10</v>
      </c>
      <c r="C17" s="8">
        <f>SUMPRODUCT((raw!$A$2:$A$9876='2018-19_working'!$A$2)*(raw!$B$2:$B$9876='2018-19_working'!$A17)*(raw!$E$2:$E$9876='2018-19_working'!$B$6:$I$6)*(raw!$F$2:$F$9876='2018-19_working'!C$7)*(raw!$G$2:$G$9876))</f>
        <v>0</v>
      </c>
      <c r="D17" s="8">
        <f>SUMPRODUCT((raw!$A$2:$A$9876='2018-19_working'!$A$2)*(raw!$B$2:$B$9876='2018-19_working'!$A17)*(raw!$E$2:$E$9876='2018-19_working'!$B$6:$I$6)*(raw!$F$2:$F$9876='2018-19_working'!D$7)*(raw!$G$2:$G$9876))</f>
        <v>0</v>
      </c>
      <c r="E17" s="8">
        <f>SUMPRODUCT((raw!$A$2:$A$9876='2018-19_working'!$A$2)*(raw!$B$2:$B$9876='2018-19_working'!$A17)*(raw!$E$2:$E$9876='2018-19_working'!$B$6:$I$6)*(raw!$F$2:$F$9876='2018-19_working'!E$7)*(raw!$G$2:$G$9876))</f>
        <v>0</v>
      </c>
      <c r="F17" s="8">
        <f>SUMPRODUCT((raw!$A$2:$A$9876='2018-19_working'!$A$2)*(raw!$B$2:$B$9876='2018-19_working'!$A17)*(raw!$E$2:$E$9876='2018-19_working'!$B$6:$I$6)*(raw!$F$2:$F$9876='2018-19_working'!F$7)*(raw!$G$2:$G$9876))</f>
        <v>1</v>
      </c>
      <c r="G17" s="8">
        <f>SUMPRODUCT((raw!$A$2:$A$9876='2018-19_working'!$A$2)*(raw!$B$2:$B$9876='2018-19_working'!$A17)*(raw!$E$2:$E$9876='2018-19_working'!$B$6:$I$6)*(raw!$F$2:$F$9876='2018-19_working'!G$7)*(raw!$G$2:$G$9876))</f>
        <v>0</v>
      </c>
      <c r="H17" s="8">
        <f>SUMPRODUCT((raw!$A$2:$A$9876='2018-19_working'!$A$2)*(raw!$B$2:$B$9876='2018-19_working'!$A17)*(raw!$E$2:$E$9876='2018-19_working'!$B$6:$I$6)*(raw!$F$2:$F$9876='2018-19_working'!H$7)*(raw!$G$2:$G$9876))</f>
        <v>0</v>
      </c>
      <c r="I17" s="8">
        <f>SUMPRODUCT((raw!$A$2:$A$9876='2018-19_working'!$A$2)*(raw!$B$2:$B$9876='2018-19_working'!$A17)*(raw!$E$2:$E$9876='2018-19_working'!$B$6:$I$6)*(raw!$F$2:$F$9876='2018-19_working'!I$7)*(raw!$G$2:$G$9876))</f>
        <v>1</v>
      </c>
      <c r="K17" s="8">
        <f>SUMPRODUCT((raw!$A$2:$A$9876='2018-19_working'!$A$2)*(raw!$B$2:$B$9876='2018-19_working'!$A17)*(raw!$E$2:$E$9876='2018-19_working'!$K$6)*(raw!$F$2:$F$9876='2018-19_working'!K$7)*(raw!$G$2:$G$9876))</f>
        <v>18</v>
      </c>
      <c r="L17" s="8">
        <f>SUMPRODUCT((raw!$A$2:$A$9876='2018-19_working'!$A$2)*(raw!$B$2:$B$9876='2018-19_working'!$A17)*(raw!$E$2:$E$9876='2018-19_working'!$K$6)*(raw!$F$2:$F$9876='2018-19_working'!L$7)*(raw!$G$2:$G$9876))</f>
        <v>0</v>
      </c>
      <c r="M17" s="8">
        <f>SUMPRODUCT((raw!$A$2:$A$9876='2018-19_working'!$A$2)*(raw!$B$2:$B$9876='2018-19_working'!$A17)*(raw!$E$2:$E$9876='2018-19_working'!$K$6)*(raw!$F$2:$F$9876='2018-19_working'!M$7)*(raw!$G$2:$G$9876))</f>
        <v>0</v>
      </c>
      <c r="N17" s="8">
        <f>SUMPRODUCT((raw!$A$2:$A$9876='2018-19_working'!$A$2)*(raw!$B$2:$B$9876='2018-19_working'!$A17)*(raw!$E$2:$E$9876='2018-19_working'!$K$6)*(raw!$F$2:$F$9876='2018-19_working'!N$7)*(raw!$G$2:$G$9876))</f>
        <v>0</v>
      </c>
      <c r="O17" s="8">
        <f>SUMPRODUCT((raw!$A$2:$A$9876='2018-19_working'!$A$2)*(raw!$B$2:$B$9876='2018-19_working'!$A17)*(raw!$E$2:$E$9876='2018-19_working'!$K$6)*(raw!$F$2:$F$9876='2018-19_working'!O$7)*(raw!$G$2:$G$9876))</f>
        <v>0</v>
      </c>
      <c r="P17" s="8">
        <f>SUMPRODUCT((raw!$A$2:$A$9876='2018-19_working'!$A$2)*(raw!$B$2:$B$9876='2018-19_working'!$A17)*(raw!$E$2:$E$9876='2018-19_working'!$K$6)*(raw!$F$2:$F$9876='2018-19_working'!P$7)*(raw!$G$2:$G$9876))</f>
        <v>0</v>
      </c>
      <c r="Q17" s="8">
        <f>SUMPRODUCT((raw!$A$2:$A$9876='2018-19_working'!$A$2)*(raw!$B$2:$B$9876='2018-19_working'!$A17)*(raw!$E$2:$E$9876='2018-19_working'!$K$6)*(raw!$F$2:$F$9876='2018-19_working'!Q$7)*(raw!$G$2:$G$9876))</f>
        <v>0</v>
      </c>
      <c r="R17" s="8">
        <f>SUMPRODUCT((raw!$A$2:$A$9876='2018-19_working'!$A$2)*(raw!$B$2:$B$9876='2018-19_working'!$A17)*(raw!$E$2:$E$9876='2018-19_working'!$K$6)*(raw!$F$2:$F$9876='2018-19_working'!R$7)*(raw!$G$2:$G$9876))</f>
        <v>41</v>
      </c>
      <c r="T17" s="8">
        <f>SUMPRODUCT((raw!$A$2:$A$9876='2018-19_working'!$A$2)*(raw!$B$2:$B$9876='2018-19_working'!$A17)*(raw!$E$2:$E$9876='2018-19_working'!$T$6)*(raw!$F$2:$F$9876='2018-19_working'!T$7)*(raw!$G$2:$G$9876))</f>
        <v>1</v>
      </c>
      <c r="U17" s="8">
        <f>SUMPRODUCT((raw!$A$2:$A$9876='2018-19_working'!$A$2)*(raw!$B$2:$B$9876='2018-19_working'!$A17)*(raw!$E$2:$E$9876='2018-19_working'!$T$6)*(raw!$F$2:$F$9876='2018-19_working'!U$7)*(raw!$G$2:$G$9876))</f>
        <v>0</v>
      </c>
      <c r="V17" s="8">
        <f>SUMPRODUCT((raw!$A$2:$A$9876='2018-19_working'!$A$2)*(raw!$B$2:$B$9876='2018-19_working'!$A17)*(raw!$E$2:$E$9876='2018-19_working'!$T$6)*(raw!$F$2:$F$9876='2018-19_working'!V$7)*(raw!$G$2:$G$9876))</f>
        <v>0</v>
      </c>
      <c r="W17" s="8">
        <f>SUMPRODUCT((raw!$A$2:$A$9876='2018-19_working'!$A$2)*(raw!$B$2:$B$9876='2018-19_working'!$A17)*(raw!$E$2:$E$9876='2018-19_working'!$T$6)*(raw!$F$2:$F$9876='2018-19_working'!W$7)*(raw!$G$2:$G$9876))</f>
        <v>0</v>
      </c>
      <c r="X17" s="8">
        <f>SUMPRODUCT((raw!$A$2:$A$9876='2018-19_working'!$A$2)*(raw!$B$2:$B$9876='2018-19_working'!$A17)*(raw!$E$2:$E$9876='2018-19_working'!$T$6)*(raw!$F$2:$F$9876='2018-19_working'!X$7)*(raw!$G$2:$G$9876))</f>
        <v>0</v>
      </c>
      <c r="Y17" s="8">
        <f>SUMPRODUCT((raw!$A$2:$A$9876='2018-19_working'!$A$2)*(raw!$B$2:$B$9876='2018-19_working'!$A17)*(raw!$E$2:$E$9876='2018-19_working'!$T$6)*(raw!$F$2:$F$9876='2018-19_working'!Y$7)*(raw!$G$2:$G$9876))</f>
        <v>0</v>
      </c>
      <c r="Z17" s="8">
        <f>SUMPRODUCT((raw!$A$2:$A$9876='2018-19_working'!$A$2)*(raw!$B$2:$B$9876='2018-19_working'!$A17)*(raw!$E$2:$E$9876='2018-19_working'!$T$6)*(raw!$F$2:$F$9876='2018-19_working'!Z$7)*(raw!$G$2:$G$9876))</f>
        <v>0</v>
      </c>
      <c r="AA17" s="8">
        <f>SUMPRODUCT((raw!$A$2:$A$9876='2018-19_working'!$A$2)*(raw!$B$2:$B$9876='2018-19_working'!$A17)*(raw!$E$2:$E$9876='2018-19_working'!$T$6)*(raw!$F$2:$F$9876='2018-19_working'!AA$7)*(raw!$G$2:$G$9876))</f>
        <v>2</v>
      </c>
      <c r="AC17" s="8">
        <f>SUMPRODUCT((raw!$A$2:$A$9876='2018-19_working'!$A$2)*(raw!$B$2:$B$9876='2018-19_working'!$A17)*(raw!$E$2:$E$9876='2018-19_working'!$AC$6)*(raw!$F$2:$F$9876='2018-19_working'!AC$7)*(raw!$G$2:$G$9876))</f>
        <v>2</v>
      </c>
      <c r="AD17" s="8">
        <f>SUMPRODUCT((raw!$A$2:$A$9876='2018-19_working'!$A$2)*(raw!$B$2:$B$9876='2018-19_working'!$A17)*(raw!$E$2:$E$9876='2018-19_working'!$AC$6)*(raw!$F$2:$F$9876='2018-19_working'!AD$7)*(raw!$G$2:$G$9876))</f>
        <v>0</v>
      </c>
      <c r="AE17" s="8">
        <f>SUMPRODUCT((raw!$A$2:$A$9876='2018-19_working'!$A$2)*(raw!$B$2:$B$9876='2018-19_working'!$A17)*(raw!$E$2:$E$9876='2018-19_working'!$AC$6)*(raw!$F$2:$F$9876='2018-19_working'!AE$7)*(raw!$G$2:$G$9876))</f>
        <v>0</v>
      </c>
      <c r="AF17" s="8">
        <f>SUMPRODUCT((raw!$A$2:$A$9876='2018-19_working'!$A$2)*(raw!$B$2:$B$9876='2018-19_working'!$A17)*(raw!$E$2:$E$9876='2018-19_working'!$AC$6)*(raw!$F$2:$F$9876='2018-19_working'!AF$7)*(raw!$G$2:$G$9876))</f>
        <v>0</v>
      </c>
      <c r="AG17" s="8">
        <f>SUMPRODUCT((raw!$A$2:$A$9876='2018-19_working'!$A$2)*(raw!$B$2:$B$9876='2018-19_working'!$A17)*(raw!$E$2:$E$9876='2018-19_working'!$AC$6)*(raw!$F$2:$F$9876='2018-19_working'!AG$7)*(raw!$G$2:$G$9876))</f>
        <v>0</v>
      </c>
      <c r="AH17" s="8">
        <f>SUMPRODUCT((raw!$A$2:$A$9876='2018-19_working'!$A$2)*(raw!$B$2:$B$9876='2018-19_working'!$A17)*(raw!$E$2:$E$9876='2018-19_working'!$AC$6)*(raw!$F$2:$F$9876='2018-19_working'!AH$7)*(raw!$G$2:$G$9876))</f>
        <v>0</v>
      </c>
      <c r="AI17" s="8">
        <f>SUMPRODUCT((raw!$A$2:$A$9876='2018-19_working'!$A$2)*(raw!$B$2:$B$9876='2018-19_working'!$A17)*(raw!$E$2:$E$9876='2018-19_working'!$AC$6)*(raw!$F$2:$F$9876='2018-19_working'!AI$7)*(raw!$G$2:$G$9876))</f>
        <v>0</v>
      </c>
      <c r="AJ17" s="8">
        <f>SUMPRODUCT((raw!$A$2:$A$9876='2018-19_working'!$A$2)*(raw!$B$2:$B$9876='2018-19_working'!$A17)*(raw!$E$2:$E$9876='2018-19_working'!$AC$6)*(raw!$F$2:$F$9876='2018-19_working'!AJ$7)*(raw!$G$2:$G$9876))</f>
        <v>22</v>
      </c>
    </row>
    <row r="18" spans="1:36" x14ac:dyDescent="0.3">
      <c r="A18" s="8" t="s">
        <v>25</v>
      </c>
      <c r="B18" s="8">
        <f>SUMPRODUCT((raw!$A$2:$A$9876='2018-19_working'!$A$2)*(raw!$B$2:$B$9876='2018-19_working'!$A18)*(raw!$E$2:$E$9876='2018-19_working'!$B$6:$I$6)*(raw!$F$2:$F$9876='2018-19_working'!B$7)*(raw!$G$2:$G$9876))</f>
        <v>2</v>
      </c>
      <c r="C18" s="8">
        <f>SUMPRODUCT((raw!$A$2:$A$9876='2018-19_working'!$A$2)*(raw!$B$2:$B$9876='2018-19_working'!$A18)*(raw!$E$2:$E$9876='2018-19_working'!$B$6:$I$6)*(raw!$F$2:$F$9876='2018-19_working'!C$7)*(raw!$G$2:$G$9876))</f>
        <v>0</v>
      </c>
      <c r="D18" s="8">
        <f>SUMPRODUCT((raw!$A$2:$A$9876='2018-19_working'!$A$2)*(raw!$B$2:$B$9876='2018-19_working'!$A18)*(raw!$E$2:$E$9876='2018-19_working'!$B$6:$I$6)*(raw!$F$2:$F$9876='2018-19_working'!D$7)*(raw!$G$2:$G$9876))</f>
        <v>0</v>
      </c>
      <c r="E18" s="8">
        <f>SUMPRODUCT((raw!$A$2:$A$9876='2018-19_working'!$A$2)*(raw!$B$2:$B$9876='2018-19_working'!$A18)*(raw!$E$2:$E$9876='2018-19_working'!$B$6:$I$6)*(raw!$F$2:$F$9876='2018-19_working'!E$7)*(raw!$G$2:$G$9876))</f>
        <v>0</v>
      </c>
      <c r="F18" s="8">
        <f>SUMPRODUCT((raw!$A$2:$A$9876='2018-19_working'!$A$2)*(raw!$B$2:$B$9876='2018-19_working'!$A18)*(raw!$E$2:$E$9876='2018-19_working'!$B$6:$I$6)*(raw!$F$2:$F$9876='2018-19_working'!F$7)*(raw!$G$2:$G$9876))</f>
        <v>0</v>
      </c>
      <c r="G18" s="8">
        <f>SUMPRODUCT((raw!$A$2:$A$9876='2018-19_working'!$A$2)*(raw!$B$2:$B$9876='2018-19_working'!$A18)*(raw!$E$2:$E$9876='2018-19_working'!$B$6:$I$6)*(raw!$F$2:$F$9876='2018-19_working'!G$7)*(raw!$G$2:$G$9876))</f>
        <v>0</v>
      </c>
      <c r="H18" s="8">
        <f>SUMPRODUCT((raw!$A$2:$A$9876='2018-19_working'!$A$2)*(raw!$B$2:$B$9876='2018-19_working'!$A18)*(raw!$E$2:$E$9876='2018-19_working'!$B$6:$I$6)*(raw!$F$2:$F$9876='2018-19_working'!H$7)*(raw!$G$2:$G$9876))</f>
        <v>0</v>
      </c>
      <c r="I18" s="8">
        <f>SUMPRODUCT((raw!$A$2:$A$9876='2018-19_working'!$A$2)*(raw!$B$2:$B$9876='2018-19_working'!$A18)*(raw!$E$2:$E$9876='2018-19_working'!$B$6:$I$6)*(raw!$F$2:$F$9876='2018-19_working'!I$7)*(raw!$G$2:$G$9876))</f>
        <v>6</v>
      </c>
      <c r="K18" s="8">
        <f>SUMPRODUCT((raw!$A$2:$A$9876='2018-19_working'!$A$2)*(raw!$B$2:$B$9876='2018-19_working'!$A18)*(raw!$E$2:$E$9876='2018-19_working'!$K$6)*(raw!$F$2:$F$9876='2018-19_working'!K$7)*(raw!$G$2:$G$9876))</f>
        <v>2</v>
      </c>
      <c r="L18" s="8">
        <f>SUMPRODUCT((raw!$A$2:$A$9876='2018-19_working'!$A$2)*(raw!$B$2:$B$9876='2018-19_working'!$A18)*(raw!$E$2:$E$9876='2018-19_working'!$K$6)*(raw!$F$2:$F$9876='2018-19_working'!L$7)*(raw!$G$2:$G$9876))</f>
        <v>0</v>
      </c>
      <c r="M18" s="8">
        <f>SUMPRODUCT((raw!$A$2:$A$9876='2018-19_working'!$A$2)*(raw!$B$2:$B$9876='2018-19_working'!$A18)*(raw!$E$2:$E$9876='2018-19_working'!$K$6)*(raw!$F$2:$F$9876='2018-19_working'!M$7)*(raw!$G$2:$G$9876))</f>
        <v>0</v>
      </c>
      <c r="N18" s="8">
        <f>SUMPRODUCT((raw!$A$2:$A$9876='2018-19_working'!$A$2)*(raw!$B$2:$B$9876='2018-19_working'!$A18)*(raw!$E$2:$E$9876='2018-19_working'!$K$6)*(raw!$F$2:$F$9876='2018-19_working'!N$7)*(raw!$G$2:$G$9876))</f>
        <v>0</v>
      </c>
      <c r="O18" s="8">
        <f>SUMPRODUCT((raw!$A$2:$A$9876='2018-19_working'!$A$2)*(raw!$B$2:$B$9876='2018-19_working'!$A18)*(raw!$E$2:$E$9876='2018-19_working'!$K$6)*(raw!$F$2:$F$9876='2018-19_working'!O$7)*(raw!$G$2:$G$9876))</f>
        <v>0</v>
      </c>
      <c r="P18" s="8">
        <f>SUMPRODUCT((raw!$A$2:$A$9876='2018-19_working'!$A$2)*(raw!$B$2:$B$9876='2018-19_working'!$A18)*(raw!$E$2:$E$9876='2018-19_working'!$K$6)*(raw!$F$2:$F$9876='2018-19_working'!P$7)*(raw!$G$2:$G$9876))</f>
        <v>0</v>
      </c>
      <c r="Q18" s="8">
        <f>SUMPRODUCT((raw!$A$2:$A$9876='2018-19_working'!$A$2)*(raw!$B$2:$B$9876='2018-19_working'!$A18)*(raw!$E$2:$E$9876='2018-19_working'!$K$6)*(raw!$F$2:$F$9876='2018-19_working'!Q$7)*(raw!$G$2:$G$9876))</f>
        <v>0</v>
      </c>
      <c r="R18" s="8">
        <f>SUMPRODUCT((raw!$A$2:$A$9876='2018-19_working'!$A$2)*(raw!$B$2:$B$9876='2018-19_working'!$A18)*(raw!$E$2:$E$9876='2018-19_working'!$K$6)*(raw!$F$2:$F$9876='2018-19_working'!R$7)*(raw!$G$2:$G$9876))</f>
        <v>15</v>
      </c>
      <c r="T18" s="8">
        <f>SUMPRODUCT((raw!$A$2:$A$9876='2018-19_working'!$A$2)*(raw!$B$2:$B$9876='2018-19_working'!$A18)*(raw!$E$2:$E$9876='2018-19_working'!$T$6)*(raw!$F$2:$F$9876='2018-19_working'!T$7)*(raw!$G$2:$G$9876))</f>
        <v>0</v>
      </c>
      <c r="U18" s="8">
        <f>SUMPRODUCT((raw!$A$2:$A$9876='2018-19_working'!$A$2)*(raw!$B$2:$B$9876='2018-19_working'!$A18)*(raw!$E$2:$E$9876='2018-19_working'!$T$6)*(raw!$F$2:$F$9876='2018-19_working'!U$7)*(raw!$G$2:$G$9876))</f>
        <v>0</v>
      </c>
      <c r="V18" s="8">
        <f>SUMPRODUCT((raw!$A$2:$A$9876='2018-19_working'!$A$2)*(raw!$B$2:$B$9876='2018-19_working'!$A18)*(raw!$E$2:$E$9876='2018-19_working'!$T$6)*(raw!$F$2:$F$9876='2018-19_working'!V$7)*(raw!$G$2:$G$9876))</f>
        <v>0</v>
      </c>
      <c r="W18" s="8">
        <f>SUMPRODUCT((raw!$A$2:$A$9876='2018-19_working'!$A$2)*(raw!$B$2:$B$9876='2018-19_working'!$A18)*(raw!$E$2:$E$9876='2018-19_working'!$T$6)*(raw!$F$2:$F$9876='2018-19_working'!W$7)*(raw!$G$2:$G$9876))</f>
        <v>0</v>
      </c>
      <c r="X18" s="8">
        <f>SUMPRODUCT((raw!$A$2:$A$9876='2018-19_working'!$A$2)*(raw!$B$2:$B$9876='2018-19_working'!$A18)*(raw!$E$2:$E$9876='2018-19_working'!$T$6)*(raw!$F$2:$F$9876='2018-19_working'!X$7)*(raw!$G$2:$G$9876))</f>
        <v>0</v>
      </c>
      <c r="Y18" s="8">
        <f>SUMPRODUCT((raw!$A$2:$A$9876='2018-19_working'!$A$2)*(raw!$B$2:$B$9876='2018-19_working'!$A18)*(raw!$E$2:$E$9876='2018-19_working'!$T$6)*(raw!$F$2:$F$9876='2018-19_working'!Y$7)*(raw!$G$2:$G$9876))</f>
        <v>0</v>
      </c>
      <c r="Z18" s="8">
        <f>SUMPRODUCT((raw!$A$2:$A$9876='2018-19_working'!$A$2)*(raw!$B$2:$B$9876='2018-19_working'!$A18)*(raw!$E$2:$E$9876='2018-19_working'!$T$6)*(raw!$F$2:$F$9876='2018-19_working'!Z$7)*(raw!$G$2:$G$9876))</f>
        <v>0</v>
      </c>
      <c r="AA18" s="8">
        <f>SUMPRODUCT((raw!$A$2:$A$9876='2018-19_working'!$A$2)*(raw!$B$2:$B$9876='2018-19_working'!$A18)*(raw!$E$2:$E$9876='2018-19_working'!$T$6)*(raw!$F$2:$F$9876='2018-19_working'!AA$7)*(raw!$G$2:$G$9876))</f>
        <v>0</v>
      </c>
      <c r="AC18" s="8">
        <f>SUMPRODUCT((raw!$A$2:$A$9876='2018-19_working'!$A$2)*(raw!$B$2:$B$9876='2018-19_working'!$A18)*(raw!$E$2:$E$9876='2018-19_working'!$AC$6)*(raw!$F$2:$F$9876='2018-19_working'!AC$7)*(raw!$G$2:$G$9876))</f>
        <v>4</v>
      </c>
      <c r="AD18" s="8">
        <f>SUMPRODUCT((raw!$A$2:$A$9876='2018-19_working'!$A$2)*(raw!$B$2:$B$9876='2018-19_working'!$A18)*(raw!$E$2:$E$9876='2018-19_working'!$AC$6)*(raw!$F$2:$F$9876='2018-19_working'!AD$7)*(raw!$G$2:$G$9876))</f>
        <v>0</v>
      </c>
      <c r="AE18" s="8">
        <f>SUMPRODUCT((raw!$A$2:$A$9876='2018-19_working'!$A$2)*(raw!$B$2:$B$9876='2018-19_working'!$A18)*(raw!$E$2:$E$9876='2018-19_working'!$AC$6)*(raw!$F$2:$F$9876='2018-19_working'!AE$7)*(raw!$G$2:$G$9876))</f>
        <v>0</v>
      </c>
      <c r="AF18" s="8">
        <f>SUMPRODUCT((raw!$A$2:$A$9876='2018-19_working'!$A$2)*(raw!$B$2:$B$9876='2018-19_working'!$A18)*(raw!$E$2:$E$9876='2018-19_working'!$AC$6)*(raw!$F$2:$F$9876='2018-19_working'!AF$7)*(raw!$G$2:$G$9876))</f>
        <v>0</v>
      </c>
      <c r="AG18" s="8">
        <f>SUMPRODUCT((raw!$A$2:$A$9876='2018-19_working'!$A$2)*(raw!$B$2:$B$9876='2018-19_working'!$A18)*(raw!$E$2:$E$9876='2018-19_working'!$AC$6)*(raw!$F$2:$F$9876='2018-19_working'!AG$7)*(raw!$G$2:$G$9876))</f>
        <v>0</v>
      </c>
      <c r="AH18" s="8">
        <f>SUMPRODUCT((raw!$A$2:$A$9876='2018-19_working'!$A$2)*(raw!$B$2:$B$9876='2018-19_working'!$A18)*(raw!$E$2:$E$9876='2018-19_working'!$AC$6)*(raw!$F$2:$F$9876='2018-19_working'!AH$7)*(raw!$G$2:$G$9876))</f>
        <v>0</v>
      </c>
      <c r="AI18" s="8">
        <f>SUMPRODUCT((raw!$A$2:$A$9876='2018-19_working'!$A$2)*(raw!$B$2:$B$9876='2018-19_working'!$A18)*(raw!$E$2:$E$9876='2018-19_working'!$AC$6)*(raw!$F$2:$F$9876='2018-19_working'!AI$7)*(raw!$G$2:$G$9876))</f>
        <v>0</v>
      </c>
      <c r="AJ18" s="8">
        <f>SUMPRODUCT((raw!$A$2:$A$9876='2018-19_working'!$A$2)*(raw!$B$2:$B$9876='2018-19_working'!$A18)*(raw!$E$2:$E$9876='2018-19_working'!$AC$6)*(raw!$F$2:$F$9876='2018-19_working'!AJ$7)*(raw!$G$2:$G$9876))</f>
        <v>1</v>
      </c>
    </row>
    <row r="19" spans="1:36" x14ac:dyDescent="0.3">
      <c r="A19" s="8" t="s">
        <v>26</v>
      </c>
      <c r="B19" s="8">
        <f>SUMPRODUCT((raw!$A$2:$A$9876='2018-19_working'!$A$2)*(raw!$B$2:$B$9876='2018-19_working'!$A19)*(raw!$E$2:$E$9876='2018-19_working'!$B$6:$I$6)*(raw!$F$2:$F$9876='2018-19_working'!B$7)*(raw!$G$2:$G$9876))</f>
        <v>28</v>
      </c>
      <c r="C19" s="8">
        <f>SUMPRODUCT((raw!$A$2:$A$9876='2018-19_working'!$A$2)*(raw!$B$2:$B$9876='2018-19_working'!$A19)*(raw!$E$2:$E$9876='2018-19_working'!$B$6:$I$6)*(raw!$F$2:$F$9876='2018-19_working'!C$7)*(raw!$G$2:$G$9876))</f>
        <v>0</v>
      </c>
      <c r="D19" s="8">
        <f>SUMPRODUCT((raw!$A$2:$A$9876='2018-19_working'!$A$2)*(raw!$B$2:$B$9876='2018-19_working'!$A19)*(raw!$E$2:$E$9876='2018-19_working'!$B$6:$I$6)*(raw!$F$2:$F$9876='2018-19_working'!D$7)*(raw!$G$2:$G$9876))</f>
        <v>0</v>
      </c>
      <c r="E19" s="8">
        <f>SUMPRODUCT((raw!$A$2:$A$9876='2018-19_working'!$A$2)*(raw!$B$2:$B$9876='2018-19_working'!$A19)*(raw!$E$2:$E$9876='2018-19_working'!$B$6:$I$6)*(raw!$F$2:$F$9876='2018-19_working'!E$7)*(raw!$G$2:$G$9876))</f>
        <v>0</v>
      </c>
      <c r="F19" s="8">
        <f>SUMPRODUCT((raw!$A$2:$A$9876='2018-19_working'!$A$2)*(raw!$B$2:$B$9876='2018-19_working'!$A19)*(raw!$E$2:$E$9876='2018-19_working'!$B$6:$I$6)*(raw!$F$2:$F$9876='2018-19_working'!F$7)*(raw!$G$2:$G$9876))</f>
        <v>0</v>
      </c>
      <c r="G19" s="8">
        <f>SUMPRODUCT((raw!$A$2:$A$9876='2018-19_working'!$A$2)*(raw!$B$2:$B$9876='2018-19_working'!$A19)*(raw!$E$2:$E$9876='2018-19_working'!$B$6:$I$6)*(raw!$F$2:$F$9876='2018-19_working'!G$7)*(raw!$G$2:$G$9876))</f>
        <v>0</v>
      </c>
      <c r="H19" s="8">
        <f>SUMPRODUCT((raw!$A$2:$A$9876='2018-19_working'!$A$2)*(raw!$B$2:$B$9876='2018-19_working'!$A19)*(raw!$E$2:$E$9876='2018-19_working'!$B$6:$I$6)*(raw!$F$2:$F$9876='2018-19_working'!H$7)*(raw!$G$2:$G$9876))</f>
        <v>1</v>
      </c>
      <c r="I19" s="8">
        <f>SUMPRODUCT((raw!$A$2:$A$9876='2018-19_working'!$A$2)*(raw!$B$2:$B$9876='2018-19_working'!$A19)*(raw!$E$2:$E$9876='2018-19_working'!$B$6:$I$6)*(raw!$F$2:$F$9876='2018-19_working'!I$7)*(raw!$G$2:$G$9876))</f>
        <v>2</v>
      </c>
      <c r="K19" s="8">
        <f>SUMPRODUCT((raw!$A$2:$A$9876='2018-19_working'!$A$2)*(raw!$B$2:$B$9876='2018-19_working'!$A19)*(raw!$E$2:$E$9876='2018-19_working'!$K$6)*(raw!$F$2:$F$9876='2018-19_working'!K$7)*(raw!$G$2:$G$9876))</f>
        <v>28</v>
      </c>
      <c r="L19" s="8">
        <f>SUMPRODUCT((raw!$A$2:$A$9876='2018-19_working'!$A$2)*(raw!$B$2:$B$9876='2018-19_working'!$A19)*(raw!$E$2:$E$9876='2018-19_working'!$K$6)*(raw!$F$2:$F$9876='2018-19_working'!L$7)*(raw!$G$2:$G$9876))</f>
        <v>2</v>
      </c>
      <c r="M19" s="8">
        <f>SUMPRODUCT((raw!$A$2:$A$9876='2018-19_working'!$A$2)*(raw!$B$2:$B$9876='2018-19_working'!$A19)*(raw!$E$2:$E$9876='2018-19_working'!$K$6)*(raw!$F$2:$F$9876='2018-19_working'!M$7)*(raw!$G$2:$G$9876))</f>
        <v>0</v>
      </c>
      <c r="N19" s="8">
        <f>SUMPRODUCT((raw!$A$2:$A$9876='2018-19_working'!$A$2)*(raw!$B$2:$B$9876='2018-19_working'!$A19)*(raw!$E$2:$E$9876='2018-19_working'!$K$6)*(raw!$F$2:$F$9876='2018-19_working'!N$7)*(raw!$G$2:$G$9876))</f>
        <v>0</v>
      </c>
      <c r="O19" s="8">
        <f>SUMPRODUCT((raw!$A$2:$A$9876='2018-19_working'!$A$2)*(raw!$B$2:$B$9876='2018-19_working'!$A19)*(raw!$E$2:$E$9876='2018-19_working'!$K$6)*(raw!$F$2:$F$9876='2018-19_working'!O$7)*(raw!$G$2:$G$9876))</f>
        <v>0</v>
      </c>
      <c r="P19" s="8">
        <f>SUMPRODUCT((raw!$A$2:$A$9876='2018-19_working'!$A$2)*(raw!$B$2:$B$9876='2018-19_working'!$A19)*(raw!$E$2:$E$9876='2018-19_working'!$K$6)*(raw!$F$2:$F$9876='2018-19_working'!P$7)*(raw!$G$2:$G$9876))</f>
        <v>0</v>
      </c>
      <c r="Q19" s="8">
        <f>SUMPRODUCT((raw!$A$2:$A$9876='2018-19_working'!$A$2)*(raw!$B$2:$B$9876='2018-19_working'!$A19)*(raw!$E$2:$E$9876='2018-19_working'!$K$6)*(raw!$F$2:$F$9876='2018-19_working'!Q$7)*(raw!$G$2:$G$9876))</f>
        <v>0</v>
      </c>
      <c r="R19" s="8">
        <f>SUMPRODUCT((raw!$A$2:$A$9876='2018-19_working'!$A$2)*(raw!$B$2:$B$9876='2018-19_working'!$A19)*(raw!$E$2:$E$9876='2018-19_working'!$K$6)*(raw!$F$2:$F$9876='2018-19_working'!R$7)*(raw!$G$2:$G$9876))</f>
        <v>0</v>
      </c>
      <c r="T19" s="8">
        <f>SUMPRODUCT((raw!$A$2:$A$9876='2018-19_working'!$A$2)*(raw!$B$2:$B$9876='2018-19_working'!$A19)*(raw!$E$2:$E$9876='2018-19_working'!$T$6)*(raw!$F$2:$F$9876='2018-19_working'!T$7)*(raw!$G$2:$G$9876))</f>
        <v>0</v>
      </c>
      <c r="U19" s="8">
        <f>SUMPRODUCT((raw!$A$2:$A$9876='2018-19_working'!$A$2)*(raw!$B$2:$B$9876='2018-19_working'!$A19)*(raw!$E$2:$E$9876='2018-19_working'!$T$6)*(raw!$F$2:$F$9876='2018-19_working'!U$7)*(raw!$G$2:$G$9876))</f>
        <v>0</v>
      </c>
      <c r="V19" s="8">
        <f>SUMPRODUCT((raw!$A$2:$A$9876='2018-19_working'!$A$2)*(raw!$B$2:$B$9876='2018-19_working'!$A19)*(raw!$E$2:$E$9876='2018-19_working'!$T$6)*(raw!$F$2:$F$9876='2018-19_working'!V$7)*(raw!$G$2:$G$9876))</f>
        <v>0</v>
      </c>
      <c r="W19" s="8">
        <f>SUMPRODUCT((raw!$A$2:$A$9876='2018-19_working'!$A$2)*(raw!$B$2:$B$9876='2018-19_working'!$A19)*(raw!$E$2:$E$9876='2018-19_working'!$T$6)*(raw!$F$2:$F$9876='2018-19_working'!W$7)*(raw!$G$2:$G$9876))</f>
        <v>0</v>
      </c>
      <c r="X19" s="8">
        <f>SUMPRODUCT((raw!$A$2:$A$9876='2018-19_working'!$A$2)*(raw!$B$2:$B$9876='2018-19_working'!$A19)*(raw!$E$2:$E$9876='2018-19_working'!$T$6)*(raw!$F$2:$F$9876='2018-19_working'!X$7)*(raw!$G$2:$G$9876))</f>
        <v>0</v>
      </c>
      <c r="Y19" s="8">
        <f>SUMPRODUCT((raw!$A$2:$A$9876='2018-19_working'!$A$2)*(raw!$B$2:$B$9876='2018-19_working'!$A19)*(raw!$E$2:$E$9876='2018-19_working'!$T$6)*(raw!$F$2:$F$9876='2018-19_working'!Y$7)*(raw!$G$2:$G$9876))</f>
        <v>0</v>
      </c>
      <c r="Z19" s="8">
        <f>SUMPRODUCT((raw!$A$2:$A$9876='2018-19_working'!$A$2)*(raw!$B$2:$B$9876='2018-19_working'!$A19)*(raw!$E$2:$E$9876='2018-19_working'!$T$6)*(raw!$F$2:$F$9876='2018-19_working'!Z$7)*(raw!$G$2:$G$9876))</f>
        <v>0</v>
      </c>
      <c r="AA19" s="8">
        <f>SUMPRODUCT((raw!$A$2:$A$9876='2018-19_working'!$A$2)*(raw!$B$2:$B$9876='2018-19_working'!$A19)*(raw!$E$2:$E$9876='2018-19_working'!$T$6)*(raw!$F$2:$F$9876='2018-19_working'!AA$7)*(raw!$G$2:$G$9876))</f>
        <v>0</v>
      </c>
      <c r="AC19" s="8">
        <f>SUMPRODUCT((raw!$A$2:$A$9876='2018-19_working'!$A$2)*(raw!$B$2:$B$9876='2018-19_working'!$A19)*(raw!$E$2:$E$9876='2018-19_working'!$AC$6)*(raw!$F$2:$F$9876='2018-19_working'!AC$7)*(raw!$G$2:$G$9876))</f>
        <v>24</v>
      </c>
      <c r="AD19" s="8">
        <f>SUMPRODUCT((raw!$A$2:$A$9876='2018-19_working'!$A$2)*(raw!$B$2:$B$9876='2018-19_working'!$A19)*(raw!$E$2:$E$9876='2018-19_working'!$AC$6)*(raw!$F$2:$F$9876='2018-19_working'!AD$7)*(raw!$G$2:$G$9876))</f>
        <v>3</v>
      </c>
      <c r="AE19" s="8">
        <f>SUMPRODUCT((raw!$A$2:$A$9876='2018-19_working'!$A$2)*(raw!$B$2:$B$9876='2018-19_working'!$A19)*(raw!$E$2:$E$9876='2018-19_working'!$AC$6)*(raw!$F$2:$F$9876='2018-19_working'!AE$7)*(raw!$G$2:$G$9876))</f>
        <v>0</v>
      </c>
      <c r="AF19" s="8">
        <f>SUMPRODUCT((raw!$A$2:$A$9876='2018-19_working'!$A$2)*(raw!$B$2:$B$9876='2018-19_working'!$A19)*(raw!$E$2:$E$9876='2018-19_working'!$AC$6)*(raw!$F$2:$F$9876='2018-19_working'!AF$7)*(raw!$G$2:$G$9876))</f>
        <v>1</v>
      </c>
      <c r="AG19" s="8">
        <f>SUMPRODUCT((raw!$A$2:$A$9876='2018-19_working'!$A$2)*(raw!$B$2:$B$9876='2018-19_working'!$A19)*(raw!$E$2:$E$9876='2018-19_working'!$AC$6)*(raw!$F$2:$F$9876='2018-19_working'!AG$7)*(raw!$G$2:$G$9876))</f>
        <v>0</v>
      </c>
      <c r="AH19" s="8">
        <f>SUMPRODUCT((raw!$A$2:$A$9876='2018-19_working'!$A$2)*(raw!$B$2:$B$9876='2018-19_working'!$A19)*(raw!$E$2:$E$9876='2018-19_working'!$AC$6)*(raw!$F$2:$F$9876='2018-19_working'!AH$7)*(raw!$G$2:$G$9876))</f>
        <v>0</v>
      </c>
      <c r="AI19" s="8">
        <f>SUMPRODUCT((raw!$A$2:$A$9876='2018-19_working'!$A$2)*(raw!$B$2:$B$9876='2018-19_working'!$A19)*(raw!$E$2:$E$9876='2018-19_working'!$AC$6)*(raw!$F$2:$F$9876='2018-19_working'!AI$7)*(raw!$G$2:$G$9876))</f>
        <v>0</v>
      </c>
      <c r="AJ19" s="8">
        <f>SUMPRODUCT((raw!$A$2:$A$9876='2018-19_working'!$A$2)*(raw!$B$2:$B$9876='2018-19_working'!$A19)*(raw!$E$2:$E$9876='2018-19_working'!$AC$6)*(raw!$F$2:$F$9876='2018-19_working'!AJ$7)*(raw!$G$2:$G$9876))</f>
        <v>2</v>
      </c>
    </row>
    <row r="20" spans="1:36" x14ac:dyDescent="0.3">
      <c r="A20" s="8" t="s">
        <v>27</v>
      </c>
      <c r="B20" s="8">
        <f>SUMPRODUCT((raw!$A$2:$A$9876='2018-19_working'!$A$2)*(raw!$B$2:$B$9876='2018-19_working'!$A20)*(raw!$E$2:$E$9876='2018-19_working'!$B$6:$I$6)*(raw!$F$2:$F$9876='2018-19_working'!B$7)*(raw!$G$2:$G$9876))</f>
        <v>4</v>
      </c>
      <c r="C20" s="8">
        <f>SUMPRODUCT((raw!$A$2:$A$9876='2018-19_working'!$A$2)*(raw!$B$2:$B$9876='2018-19_working'!$A20)*(raw!$E$2:$E$9876='2018-19_working'!$B$6:$I$6)*(raw!$F$2:$F$9876='2018-19_working'!C$7)*(raw!$G$2:$G$9876))</f>
        <v>0</v>
      </c>
      <c r="D20" s="8">
        <f>SUMPRODUCT((raw!$A$2:$A$9876='2018-19_working'!$A$2)*(raw!$B$2:$B$9876='2018-19_working'!$A20)*(raw!$E$2:$E$9876='2018-19_working'!$B$6:$I$6)*(raw!$F$2:$F$9876='2018-19_working'!D$7)*(raw!$G$2:$G$9876))</f>
        <v>0</v>
      </c>
      <c r="E20" s="8">
        <f>SUMPRODUCT((raw!$A$2:$A$9876='2018-19_working'!$A$2)*(raw!$B$2:$B$9876='2018-19_working'!$A20)*(raw!$E$2:$E$9876='2018-19_working'!$B$6:$I$6)*(raw!$F$2:$F$9876='2018-19_working'!E$7)*(raw!$G$2:$G$9876))</f>
        <v>0</v>
      </c>
      <c r="F20" s="8">
        <f>SUMPRODUCT((raw!$A$2:$A$9876='2018-19_working'!$A$2)*(raw!$B$2:$B$9876='2018-19_working'!$A20)*(raw!$E$2:$E$9876='2018-19_working'!$B$6:$I$6)*(raw!$F$2:$F$9876='2018-19_working'!F$7)*(raw!$G$2:$G$9876))</f>
        <v>0</v>
      </c>
      <c r="G20" s="8">
        <f>SUMPRODUCT((raw!$A$2:$A$9876='2018-19_working'!$A$2)*(raw!$B$2:$B$9876='2018-19_working'!$A20)*(raw!$E$2:$E$9876='2018-19_working'!$B$6:$I$6)*(raw!$F$2:$F$9876='2018-19_working'!G$7)*(raw!$G$2:$G$9876))</f>
        <v>0</v>
      </c>
      <c r="H20" s="8">
        <f>SUMPRODUCT((raw!$A$2:$A$9876='2018-19_working'!$A$2)*(raw!$B$2:$B$9876='2018-19_working'!$A20)*(raw!$E$2:$E$9876='2018-19_working'!$B$6:$I$6)*(raw!$F$2:$F$9876='2018-19_working'!H$7)*(raw!$G$2:$G$9876))</f>
        <v>0</v>
      </c>
      <c r="I20" s="8">
        <f>SUMPRODUCT((raw!$A$2:$A$9876='2018-19_working'!$A$2)*(raw!$B$2:$B$9876='2018-19_working'!$A20)*(raw!$E$2:$E$9876='2018-19_working'!$B$6:$I$6)*(raw!$F$2:$F$9876='2018-19_working'!I$7)*(raw!$G$2:$G$9876))</f>
        <v>4</v>
      </c>
      <c r="K20" s="8">
        <f>SUMPRODUCT((raw!$A$2:$A$9876='2018-19_working'!$A$2)*(raw!$B$2:$B$9876='2018-19_working'!$A20)*(raw!$E$2:$E$9876='2018-19_working'!$K$6)*(raw!$F$2:$F$9876='2018-19_working'!K$7)*(raw!$G$2:$G$9876))</f>
        <v>121</v>
      </c>
      <c r="L20" s="8">
        <f>SUMPRODUCT((raw!$A$2:$A$9876='2018-19_working'!$A$2)*(raw!$B$2:$B$9876='2018-19_working'!$A20)*(raw!$E$2:$E$9876='2018-19_working'!$K$6)*(raw!$F$2:$F$9876='2018-19_working'!L$7)*(raw!$G$2:$G$9876))</f>
        <v>2</v>
      </c>
      <c r="M20" s="8">
        <f>SUMPRODUCT((raw!$A$2:$A$9876='2018-19_working'!$A$2)*(raw!$B$2:$B$9876='2018-19_working'!$A20)*(raw!$E$2:$E$9876='2018-19_working'!$K$6)*(raw!$F$2:$F$9876='2018-19_working'!M$7)*(raw!$G$2:$G$9876))</f>
        <v>2</v>
      </c>
      <c r="N20" s="8">
        <f>SUMPRODUCT((raw!$A$2:$A$9876='2018-19_working'!$A$2)*(raw!$B$2:$B$9876='2018-19_working'!$A20)*(raw!$E$2:$E$9876='2018-19_working'!$K$6)*(raw!$F$2:$F$9876='2018-19_working'!N$7)*(raw!$G$2:$G$9876))</f>
        <v>0</v>
      </c>
      <c r="O20" s="8">
        <f>SUMPRODUCT((raw!$A$2:$A$9876='2018-19_working'!$A$2)*(raw!$B$2:$B$9876='2018-19_working'!$A20)*(raw!$E$2:$E$9876='2018-19_working'!$K$6)*(raw!$F$2:$F$9876='2018-19_working'!O$7)*(raw!$G$2:$G$9876))</f>
        <v>0</v>
      </c>
      <c r="P20" s="8">
        <f>SUMPRODUCT((raw!$A$2:$A$9876='2018-19_working'!$A$2)*(raw!$B$2:$B$9876='2018-19_working'!$A20)*(raw!$E$2:$E$9876='2018-19_working'!$K$6)*(raw!$F$2:$F$9876='2018-19_working'!P$7)*(raw!$G$2:$G$9876))</f>
        <v>1</v>
      </c>
      <c r="Q20" s="8">
        <f>SUMPRODUCT((raw!$A$2:$A$9876='2018-19_working'!$A$2)*(raw!$B$2:$B$9876='2018-19_working'!$A20)*(raw!$E$2:$E$9876='2018-19_working'!$K$6)*(raw!$F$2:$F$9876='2018-19_working'!Q$7)*(raw!$G$2:$G$9876))</f>
        <v>0</v>
      </c>
      <c r="R20" s="8">
        <f>SUMPRODUCT((raw!$A$2:$A$9876='2018-19_working'!$A$2)*(raw!$B$2:$B$9876='2018-19_working'!$A20)*(raw!$E$2:$E$9876='2018-19_working'!$K$6)*(raw!$F$2:$F$9876='2018-19_working'!R$7)*(raw!$G$2:$G$9876))</f>
        <v>3</v>
      </c>
      <c r="T20" s="8">
        <f>SUMPRODUCT((raw!$A$2:$A$9876='2018-19_working'!$A$2)*(raw!$B$2:$B$9876='2018-19_working'!$A20)*(raw!$E$2:$E$9876='2018-19_working'!$T$6)*(raw!$F$2:$F$9876='2018-19_working'!T$7)*(raw!$G$2:$G$9876))</f>
        <v>0</v>
      </c>
      <c r="U20" s="8">
        <f>SUMPRODUCT((raw!$A$2:$A$9876='2018-19_working'!$A$2)*(raw!$B$2:$B$9876='2018-19_working'!$A20)*(raw!$E$2:$E$9876='2018-19_working'!$T$6)*(raw!$F$2:$F$9876='2018-19_working'!U$7)*(raw!$G$2:$G$9876))</f>
        <v>0</v>
      </c>
      <c r="V20" s="8">
        <f>SUMPRODUCT((raw!$A$2:$A$9876='2018-19_working'!$A$2)*(raw!$B$2:$B$9876='2018-19_working'!$A20)*(raw!$E$2:$E$9876='2018-19_working'!$T$6)*(raw!$F$2:$F$9876='2018-19_working'!V$7)*(raw!$G$2:$G$9876))</f>
        <v>0</v>
      </c>
      <c r="W20" s="8">
        <f>SUMPRODUCT((raw!$A$2:$A$9876='2018-19_working'!$A$2)*(raw!$B$2:$B$9876='2018-19_working'!$A20)*(raw!$E$2:$E$9876='2018-19_working'!$T$6)*(raw!$F$2:$F$9876='2018-19_working'!W$7)*(raw!$G$2:$G$9876))</f>
        <v>0</v>
      </c>
      <c r="X20" s="8">
        <f>SUMPRODUCT((raw!$A$2:$A$9876='2018-19_working'!$A$2)*(raw!$B$2:$B$9876='2018-19_working'!$A20)*(raw!$E$2:$E$9876='2018-19_working'!$T$6)*(raw!$F$2:$F$9876='2018-19_working'!X$7)*(raw!$G$2:$G$9876))</f>
        <v>0</v>
      </c>
      <c r="Y20" s="8">
        <f>SUMPRODUCT((raw!$A$2:$A$9876='2018-19_working'!$A$2)*(raw!$B$2:$B$9876='2018-19_working'!$A20)*(raw!$E$2:$E$9876='2018-19_working'!$T$6)*(raw!$F$2:$F$9876='2018-19_working'!Y$7)*(raw!$G$2:$G$9876))</f>
        <v>0</v>
      </c>
      <c r="Z20" s="8">
        <f>SUMPRODUCT((raw!$A$2:$A$9876='2018-19_working'!$A$2)*(raw!$B$2:$B$9876='2018-19_working'!$A20)*(raw!$E$2:$E$9876='2018-19_working'!$T$6)*(raw!$F$2:$F$9876='2018-19_working'!Z$7)*(raw!$G$2:$G$9876))</f>
        <v>0</v>
      </c>
      <c r="AA20" s="8">
        <f>SUMPRODUCT((raw!$A$2:$A$9876='2018-19_working'!$A$2)*(raw!$B$2:$B$9876='2018-19_working'!$A20)*(raw!$E$2:$E$9876='2018-19_working'!$T$6)*(raw!$F$2:$F$9876='2018-19_working'!AA$7)*(raw!$G$2:$G$9876))</f>
        <v>0</v>
      </c>
      <c r="AC20" s="8">
        <f>SUMPRODUCT((raw!$A$2:$A$9876='2018-19_working'!$A$2)*(raw!$B$2:$B$9876='2018-19_working'!$A20)*(raw!$E$2:$E$9876='2018-19_working'!$AC$6)*(raw!$F$2:$F$9876='2018-19_working'!AC$7)*(raw!$G$2:$G$9876))</f>
        <v>24</v>
      </c>
      <c r="AD20" s="8">
        <f>SUMPRODUCT((raw!$A$2:$A$9876='2018-19_working'!$A$2)*(raw!$B$2:$B$9876='2018-19_working'!$A20)*(raw!$E$2:$E$9876='2018-19_working'!$AC$6)*(raw!$F$2:$F$9876='2018-19_working'!AD$7)*(raw!$G$2:$G$9876))</f>
        <v>1</v>
      </c>
      <c r="AE20" s="8">
        <f>SUMPRODUCT((raw!$A$2:$A$9876='2018-19_working'!$A$2)*(raw!$B$2:$B$9876='2018-19_working'!$A20)*(raw!$E$2:$E$9876='2018-19_working'!$AC$6)*(raw!$F$2:$F$9876='2018-19_working'!AE$7)*(raw!$G$2:$G$9876))</f>
        <v>0</v>
      </c>
      <c r="AF20" s="8">
        <f>SUMPRODUCT((raw!$A$2:$A$9876='2018-19_working'!$A$2)*(raw!$B$2:$B$9876='2018-19_working'!$A20)*(raw!$E$2:$E$9876='2018-19_working'!$AC$6)*(raw!$F$2:$F$9876='2018-19_working'!AF$7)*(raw!$G$2:$G$9876))</f>
        <v>0</v>
      </c>
      <c r="AG20" s="8">
        <f>SUMPRODUCT((raw!$A$2:$A$9876='2018-19_working'!$A$2)*(raw!$B$2:$B$9876='2018-19_working'!$A20)*(raw!$E$2:$E$9876='2018-19_working'!$AC$6)*(raw!$F$2:$F$9876='2018-19_working'!AG$7)*(raw!$G$2:$G$9876))</f>
        <v>0</v>
      </c>
      <c r="AH20" s="8">
        <f>SUMPRODUCT((raw!$A$2:$A$9876='2018-19_working'!$A$2)*(raw!$B$2:$B$9876='2018-19_working'!$A20)*(raw!$E$2:$E$9876='2018-19_working'!$AC$6)*(raw!$F$2:$F$9876='2018-19_working'!AH$7)*(raw!$G$2:$G$9876))</f>
        <v>0</v>
      </c>
      <c r="AI20" s="8">
        <f>SUMPRODUCT((raw!$A$2:$A$9876='2018-19_working'!$A$2)*(raw!$B$2:$B$9876='2018-19_working'!$A20)*(raw!$E$2:$E$9876='2018-19_working'!$AC$6)*(raw!$F$2:$F$9876='2018-19_working'!AI$7)*(raw!$G$2:$G$9876))</f>
        <v>0</v>
      </c>
      <c r="AJ20" s="8">
        <f>SUMPRODUCT((raw!$A$2:$A$9876='2018-19_working'!$A$2)*(raw!$B$2:$B$9876='2018-19_working'!$A20)*(raw!$E$2:$E$9876='2018-19_working'!$AC$6)*(raw!$F$2:$F$9876='2018-19_working'!AJ$7)*(raw!$G$2:$G$9876))</f>
        <v>2</v>
      </c>
    </row>
    <row r="21" spans="1:36" x14ac:dyDescent="0.3">
      <c r="A21" s="8" t="s">
        <v>28</v>
      </c>
      <c r="B21" s="8">
        <f>SUMPRODUCT((raw!$A$2:$A$9876='2018-19_working'!$A$2)*(raw!$B$2:$B$9876='2018-19_working'!$A21)*(raw!$E$2:$E$9876='2018-19_working'!$B$6:$I$6)*(raw!$F$2:$F$9876='2018-19_working'!B$7)*(raw!$G$2:$G$9876))</f>
        <v>10</v>
      </c>
      <c r="C21" s="8">
        <f>SUMPRODUCT((raw!$A$2:$A$9876='2018-19_working'!$A$2)*(raw!$B$2:$B$9876='2018-19_working'!$A21)*(raw!$E$2:$E$9876='2018-19_working'!$B$6:$I$6)*(raw!$F$2:$F$9876='2018-19_working'!C$7)*(raw!$G$2:$G$9876))</f>
        <v>0</v>
      </c>
      <c r="D21" s="8">
        <f>SUMPRODUCT((raw!$A$2:$A$9876='2018-19_working'!$A$2)*(raw!$B$2:$B$9876='2018-19_working'!$A21)*(raw!$E$2:$E$9876='2018-19_working'!$B$6:$I$6)*(raw!$F$2:$F$9876='2018-19_working'!D$7)*(raw!$G$2:$G$9876))</f>
        <v>0</v>
      </c>
      <c r="E21" s="8">
        <f>SUMPRODUCT((raw!$A$2:$A$9876='2018-19_working'!$A$2)*(raw!$B$2:$B$9876='2018-19_working'!$A21)*(raw!$E$2:$E$9876='2018-19_working'!$B$6:$I$6)*(raw!$F$2:$F$9876='2018-19_working'!E$7)*(raw!$G$2:$G$9876))</f>
        <v>0</v>
      </c>
      <c r="F21" s="8">
        <f>SUMPRODUCT((raw!$A$2:$A$9876='2018-19_working'!$A$2)*(raw!$B$2:$B$9876='2018-19_working'!$A21)*(raw!$E$2:$E$9876='2018-19_working'!$B$6:$I$6)*(raw!$F$2:$F$9876='2018-19_working'!F$7)*(raw!$G$2:$G$9876))</f>
        <v>0</v>
      </c>
      <c r="G21" s="8">
        <f>SUMPRODUCT((raw!$A$2:$A$9876='2018-19_working'!$A$2)*(raw!$B$2:$B$9876='2018-19_working'!$A21)*(raw!$E$2:$E$9876='2018-19_working'!$B$6:$I$6)*(raw!$F$2:$F$9876='2018-19_working'!G$7)*(raw!$G$2:$G$9876))</f>
        <v>0</v>
      </c>
      <c r="H21" s="8">
        <f>SUMPRODUCT((raw!$A$2:$A$9876='2018-19_working'!$A$2)*(raw!$B$2:$B$9876='2018-19_working'!$A21)*(raw!$E$2:$E$9876='2018-19_working'!$B$6:$I$6)*(raw!$F$2:$F$9876='2018-19_working'!H$7)*(raw!$G$2:$G$9876))</f>
        <v>0</v>
      </c>
      <c r="I21" s="8">
        <f>SUMPRODUCT((raw!$A$2:$A$9876='2018-19_working'!$A$2)*(raw!$B$2:$B$9876='2018-19_working'!$A21)*(raw!$E$2:$E$9876='2018-19_working'!$B$6:$I$6)*(raw!$F$2:$F$9876='2018-19_working'!I$7)*(raw!$G$2:$G$9876))</f>
        <v>22</v>
      </c>
      <c r="K21" s="8">
        <f>SUMPRODUCT((raw!$A$2:$A$9876='2018-19_working'!$A$2)*(raw!$B$2:$B$9876='2018-19_working'!$A21)*(raw!$E$2:$E$9876='2018-19_working'!$K$6)*(raw!$F$2:$F$9876='2018-19_working'!K$7)*(raw!$G$2:$G$9876))</f>
        <v>57</v>
      </c>
      <c r="L21" s="8">
        <f>SUMPRODUCT((raw!$A$2:$A$9876='2018-19_working'!$A$2)*(raw!$B$2:$B$9876='2018-19_working'!$A21)*(raw!$E$2:$E$9876='2018-19_working'!$K$6)*(raw!$F$2:$F$9876='2018-19_working'!L$7)*(raw!$G$2:$G$9876))</f>
        <v>3</v>
      </c>
      <c r="M21" s="8">
        <f>SUMPRODUCT((raw!$A$2:$A$9876='2018-19_working'!$A$2)*(raw!$B$2:$B$9876='2018-19_working'!$A21)*(raw!$E$2:$E$9876='2018-19_working'!$K$6)*(raw!$F$2:$F$9876='2018-19_working'!M$7)*(raw!$G$2:$G$9876))</f>
        <v>0</v>
      </c>
      <c r="N21" s="8">
        <f>SUMPRODUCT((raw!$A$2:$A$9876='2018-19_working'!$A$2)*(raw!$B$2:$B$9876='2018-19_working'!$A21)*(raw!$E$2:$E$9876='2018-19_working'!$K$6)*(raw!$F$2:$F$9876='2018-19_working'!N$7)*(raw!$G$2:$G$9876))</f>
        <v>0</v>
      </c>
      <c r="O21" s="8">
        <f>SUMPRODUCT((raw!$A$2:$A$9876='2018-19_working'!$A$2)*(raw!$B$2:$B$9876='2018-19_working'!$A21)*(raw!$E$2:$E$9876='2018-19_working'!$K$6)*(raw!$F$2:$F$9876='2018-19_working'!O$7)*(raw!$G$2:$G$9876))</f>
        <v>0</v>
      </c>
      <c r="P21" s="8">
        <f>SUMPRODUCT((raw!$A$2:$A$9876='2018-19_working'!$A$2)*(raw!$B$2:$B$9876='2018-19_working'!$A21)*(raw!$E$2:$E$9876='2018-19_working'!$K$6)*(raw!$F$2:$F$9876='2018-19_working'!P$7)*(raw!$G$2:$G$9876))</f>
        <v>0</v>
      </c>
      <c r="Q21" s="8">
        <f>SUMPRODUCT((raw!$A$2:$A$9876='2018-19_working'!$A$2)*(raw!$B$2:$B$9876='2018-19_working'!$A21)*(raw!$E$2:$E$9876='2018-19_working'!$K$6)*(raw!$F$2:$F$9876='2018-19_working'!Q$7)*(raw!$G$2:$G$9876))</f>
        <v>0</v>
      </c>
      <c r="R21" s="8">
        <f>SUMPRODUCT((raw!$A$2:$A$9876='2018-19_working'!$A$2)*(raw!$B$2:$B$9876='2018-19_working'!$A21)*(raw!$E$2:$E$9876='2018-19_working'!$K$6)*(raw!$F$2:$F$9876='2018-19_working'!R$7)*(raw!$G$2:$G$9876))</f>
        <v>7</v>
      </c>
      <c r="T21" s="8">
        <f>SUMPRODUCT((raw!$A$2:$A$9876='2018-19_working'!$A$2)*(raw!$B$2:$B$9876='2018-19_working'!$A21)*(raw!$E$2:$E$9876='2018-19_working'!$T$6)*(raw!$F$2:$F$9876='2018-19_working'!T$7)*(raw!$G$2:$G$9876))</f>
        <v>0</v>
      </c>
      <c r="U21" s="8">
        <f>SUMPRODUCT((raw!$A$2:$A$9876='2018-19_working'!$A$2)*(raw!$B$2:$B$9876='2018-19_working'!$A21)*(raw!$E$2:$E$9876='2018-19_working'!$T$6)*(raw!$F$2:$F$9876='2018-19_working'!U$7)*(raw!$G$2:$G$9876))</f>
        <v>0</v>
      </c>
      <c r="V21" s="8">
        <f>SUMPRODUCT((raw!$A$2:$A$9876='2018-19_working'!$A$2)*(raw!$B$2:$B$9876='2018-19_working'!$A21)*(raw!$E$2:$E$9876='2018-19_working'!$T$6)*(raw!$F$2:$F$9876='2018-19_working'!V$7)*(raw!$G$2:$G$9876))</f>
        <v>0</v>
      </c>
      <c r="W21" s="8">
        <f>SUMPRODUCT((raw!$A$2:$A$9876='2018-19_working'!$A$2)*(raw!$B$2:$B$9876='2018-19_working'!$A21)*(raw!$E$2:$E$9876='2018-19_working'!$T$6)*(raw!$F$2:$F$9876='2018-19_working'!W$7)*(raw!$G$2:$G$9876))</f>
        <v>0</v>
      </c>
      <c r="X21" s="8">
        <f>SUMPRODUCT((raw!$A$2:$A$9876='2018-19_working'!$A$2)*(raw!$B$2:$B$9876='2018-19_working'!$A21)*(raw!$E$2:$E$9876='2018-19_working'!$T$6)*(raw!$F$2:$F$9876='2018-19_working'!X$7)*(raw!$G$2:$G$9876))</f>
        <v>0</v>
      </c>
      <c r="Y21" s="8">
        <f>SUMPRODUCT((raw!$A$2:$A$9876='2018-19_working'!$A$2)*(raw!$B$2:$B$9876='2018-19_working'!$A21)*(raw!$E$2:$E$9876='2018-19_working'!$T$6)*(raw!$F$2:$F$9876='2018-19_working'!Y$7)*(raw!$G$2:$G$9876))</f>
        <v>0</v>
      </c>
      <c r="Z21" s="8">
        <f>SUMPRODUCT((raw!$A$2:$A$9876='2018-19_working'!$A$2)*(raw!$B$2:$B$9876='2018-19_working'!$A21)*(raw!$E$2:$E$9876='2018-19_working'!$T$6)*(raw!$F$2:$F$9876='2018-19_working'!Z$7)*(raw!$G$2:$G$9876))</f>
        <v>0</v>
      </c>
      <c r="AA21" s="8">
        <f>SUMPRODUCT((raw!$A$2:$A$9876='2018-19_working'!$A$2)*(raw!$B$2:$B$9876='2018-19_working'!$A21)*(raw!$E$2:$E$9876='2018-19_working'!$T$6)*(raw!$F$2:$F$9876='2018-19_working'!AA$7)*(raw!$G$2:$G$9876))</f>
        <v>0</v>
      </c>
      <c r="AC21" s="8">
        <f>SUMPRODUCT((raw!$A$2:$A$9876='2018-19_working'!$A$2)*(raw!$B$2:$B$9876='2018-19_working'!$A21)*(raw!$E$2:$E$9876='2018-19_working'!$AC$6)*(raw!$F$2:$F$9876='2018-19_working'!AC$7)*(raw!$G$2:$G$9876))</f>
        <v>51</v>
      </c>
      <c r="AD21" s="8">
        <f>SUMPRODUCT((raw!$A$2:$A$9876='2018-19_working'!$A$2)*(raw!$B$2:$B$9876='2018-19_working'!$A21)*(raw!$E$2:$E$9876='2018-19_working'!$AC$6)*(raw!$F$2:$F$9876='2018-19_working'!AD$7)*(raw!$G$2:$G$9876))</f>
        <v>0</v>
      </c>
      <c r="AE21" s="8">
        <f>SUMPRODUCT((raw!$A$2:$A$9876='2018-19_working'!$A$2)*(raw!$B$2:$B$9876='2018-19_working'!$A21)*(raw!$E$2:$E$9876='2018-19_working'!$AC$6)*(raw!$F$2:$F$9876='2018-19_working'!AE$7)*(raw!$G$2:$G$9876))</f>
        <v>0</v>
      </c>
      <c r="AF21" s="8">
        <f>SUMPRODUCT((raw!$A$2:$A$9876='2018-19_working'!$A$2)*(raw!$B$2:$B$9876='2018-19_working'!$A21)*(raw!$E$2:$E$9876='2018-19_working'!$AC$6)*(raw!$F$2:$F$9876='2018-19_working'!AF$7)*(raw!$G$2:$G$9876))</f>
        <v>0</v>
      </c>
      <c r="AG21" s="8">
        <f>SUMPRODUCT((raw!$A$2:$A$9876='2018-19_working'!$A$2)*(raw!$B$2:$B$9876='2018-19_working'!$A21)*(raw!$E$2:$E$9876='2018-19_working'!$AC$6)*(raw!$F$2:$F$9876='2018-19_working'!AG$7)*(raw!$G$2:$G$9876))</f>
        <v>0</v>
      </c>
      <c r="AH21" s="8">
        <f>SUMPRODUCT((raw!$A$2:$A$9876='2018-19_working'!$A$2)*(raw!$B$2:$B$9876='2018-19_working'!$A21)*(raw!$E$2:$E$9876='2018-19_working'!$AC$6)*(raw!$F$2:$F$9876='2018-19_working'!AH$7)*(raw!$G$2:$G$9876))</f>
        <v>0</v>
      </c>
      <c r="AI21" s="8">
        <f>SUMPRODUCT((raw!$A$2:$A$9876='2018-19_working'!$A$2)*(raw!$B$2:$B$9876='2018-19_working'!$A21)*(raw!$E$2:$E$9876='2018-19_working'!$AC$6)*(raw!$F$2:$F$9876='2018-19_working'!AI$7)*(raw!$G$2:$G$9876))</f>
        <v>0</v>
      </c>
      <c r="AJ21" s="8">
        <f>SUMPRODUCT((raw!$A$2:$A$9876='2018-19_working'!$A$2)*(raw!$B$2:$B$9876='2018-19_working'!$A21)*(raw!$E$2:$E$9876='2018-19_working'!$AC$6)*(raw!$F$2:$F$9876='2018-19_working'!AJ$7)*(raw!$G$2:$G$9876))</f>
        <v>5</v>
      </c>
    </row>
    <row r="22" spans="1:36" x14ac:dyDescent="0.3">
      <c r="A22" s="8" t="s">
        <v>29</v>
      </c>
      <c r="B22" s="8">
        <f>SUMPRODUCT((raw!$A$2:$A$9876='2018-19_working'!$A$2)*(raw!$B$2:$B$9876='2018-19_working'!$A22)*(raw!$E$2:$E$9876='2018-19_working'!$B$6:$I$6)*(raw!$F$2:$F$9876='2018-19_working'!B$7)*(raw!$G$2:$G$9876))</f>
        <v>0</v>
      </c>
      <c r="C22" s="8">
        <f>SUMPRODUCT((raw!$A$2:$A$9876='2018-19_working'!$A$2)*(raw!$B$2:$B$9876='2018-19_working'!$A22)*(raw!$E$2:$E$9876='2018-19_working'!$B$6:$I$6)*(raw!$F$2:$F$9876='2018-19_working'!C$7)*(raw!$G$2:$G$9876))</f>
        <v>0</v>
      </c>
      <c r="D22" s="8">
        <f>SUMPRODUCT((raw!$A$2:$A$9876='2018-19_working'!$A$2)*(raw!$B$2:$B$9876='2018-19_working'!$A22)*(raw!$E$2:$E$9876='2018-19_working'!$B$6:$I$6)*(raw!$F$2:$F$9876='2018-19_working'!D$7)*(raw!$G$2:$G$9876))</f>
        <v>0</v>
      </c>
      <c r="E22" s="8">
        <f>SUMPRODUCT((raw!$A$2:$A$9876='2018-19_working'!$A$2)*(raw!$B$2:$B$9876='2018-19_working'!$A22)*(raw!$E$2:$E$9876='2018-19_working'!$B$6:$I$6)*(raw!$F$2:$F$9876='2018-19_working'!E$7)*(raw!$G$2:$G$9876))</f>
        <v>0</v>
      </c>
      <c r="F22" s="8">
        <f>SUMPRODUCT((raw!$A$2:$A$9876='2018-19_working'!$A$2)*(raw!$B$2:$B$9876='2018-19_working'!$A22)*(raw!$E$2:$E$9876='2018-19_working'!$B$6:$I$6)*(raw!$F$2:$F$9876='2018-19_working'!F$7)*(raw!$G$2:$G$9876))</f>
        <v>0</v>
      </c>
      <c r="G22" s="8">
        <f>SUMPRODUCT((raw!$A$2:$A$9876='2018-19_working'!$A$2)*(raw!$B$2:$B$9876='2018-19_working'!$A22)*(raw!$E$2:$E$9876='2018-19_working'!$B$6:$I$6)*(raw!$F$2:$F$9876='2018-19_working'!G$7)*(raw!$G$2:$G$9876))</f>
        <v>0</v>
      </c>
      <c r="H22" s="8">
        <f>SUMPRODUCT((raw!$A$2:$A$9876='2018-19_working'!$A$2)*(raw!$B$2:$B$9876='2018-19_working'!$A22)*(raw!$E$2:$E$9876='2018-19_working'!$B$6:$I$6)*(raw!$F$2:$F$9876='2018-19_working'!H$7)*(raw!$G$2:$G$9876))</f>
        <v>0</v>
      </c>
      <c r="I22" s="8">
        <f>SUMPRODUCT((raw!$A$2:$A$9876='2018-19_working'!$A$2)*(raw!$B$2:$B$9876='2018-19_working'!$A22)*(raw!$E$2:$E$9876='2018-19_working'!$B$6:$I$6)*(raw!$F$2:$F$9876='2018-19_working'!I$7)*(raw!$G$2:$G$9876))</f>
        <v>0</v>
      </c>
      <c r="K22" s="8">
        <f>SUMPRODUCT((raw!$A$2:$A$9876='2018-19_working'!$A$2)*(raw!$B$2:$B$9876='2018-19_working'!$A22)*(raw!$E$2:$E$9876='2018-19_working'!$K$6)*(raw!$F$2:$F$9876='2018-19_working'!K$7)*(raw!$G$2:$G$9876))</f>
        <v>6</v>
      </c>
      <c r="L22" s="8">
        <f>SUMPRODUCT((raw!$A$2:$A$9876='2018-19_working'!$A$2)*(raw!$B$2:$B$9876='2018-19_working'!$A22)*(raw!$E$2:$E$9876='2018-19_working'!$K$6)*(raw!$F$2:$F$9876='2018-19_working'!L$7)*(raw!$G$2:$G$9876))</f>
        <v>0</v>
      </c>
      <c r="M22" s="8">
        <f>SUMPRODUCT((raw!$A$2:$A$9876='2018-19_working'!$A$2)*(raw!$B$2:$B$9876='2018-19_working'!$A22)*(raw!$E$2:$E$9876='2018-19_working'!$K$6)*(raw!$F$2:$F$9876='2018-19_working'!M$7)*(raw!$G$2:$G$9876))</f>
        <v>0</v>
      </c>
      <c r="N22" s="8">
        <f>SUMPRODUCT((raw!$A$2:$A$9876='2018-19_working'!$A$2)*(raw!$B$2:$B$9876='2018-19_working'!$A22)*(raw!$E$2:$E$9876='2018-19_working'!$K$6)*(raw!$F$2:$F$9876='2018-19_working'!N$7)*(raw!$G$2:$G$9876))</f>
        <v>0</v>
      </c>
      <c r="O22" s="8">
        <f>SUMPRODUCT((raw!$A$2:$A$9876='2018-19_working'!$A$2)*(raw!$B$2:$B$9876='2018-19_working'!$A22)*(raw!$E$2:$E$9876='2018-19_working'!$K$6)*(raw!$F$2:$F$9876='2018-19_working'!O$7)*(raw!$G$2:$G$9876))</f>
        <v>0</v>
      </c>
      <c r="P22" s="8">
        <f>SUMPRODUCT((raw!$A$2:$A$9876='2018-19_working'!$A$2)*(raw!$B$2:$B$9876='2018-19_working'!$A22)*(raw!$E$2:$E$9876='2018-19_working'!$K$6)*(raw!$F$2:$F$9876='2018-19_working'!P$7)*(raw!$G$2:$G$9876))</f>
        <v>0</v>
      </c>
      <c r="Q22" s="8">
        <f>SUMPRODUCT((raw!$A$2:$A$9876='2018-19_working'!$A$2)*(raw!$B$2:$B$9876='2018-19_working'!$A22)*(raw!$E$2:$E$9876='2018-19_working'!$K$6)*(raw!$F$2:$F$9876='2018-19_working'!Q$7)*(raw!$G$2:$G$9876))</f>
        <v>0</v>
      </c>
      <c r="R22" s="8">
        <f>SUMPRODUCT((raw!$A$2:$A$9876='2018-19_working'!$A$2)*(raw!$B$2:$B$9876='2018-19_working'!$A22)*(raw!$E$2:$E$9876='2018-19_working'!$K$6)*(raw!$F$2:$F$9876='2018-19_working'!R$7)*(raw!$G$2:$G$9876))</f>
        <v>16</v>
      </c>
      <c r="T22" s="8">
        <f>SUMPRODUCT((raw!$A$2:$A$9876='2018-19_working'!$A$2)*(raw!$B$2:$B$9876='2018-19_working'!$A22)*(raw!$E$2:$E$9876='2018-19_working'!$T$6)*(raw!$F$2:$F$9876='2018-19_working'!T$7)*(raw!$G$2:$G$9876))</f>
        <v>0</v>
      </c>
      <c r="U22" s="8">
        <f>SUMPRODUCT((raw!$A$2:$A$9876='2018-19_working'!$A$2)*(raw!$B$2:$B$9876='2018-19_working'!$A22)*(raw!$E$2:$E$9876='2018-19_working'!$T$6)*(raw!$F$2:$F$9876='2018-19_working'!U$7)*(raw!$G$2:$G$9876))</f>
        <v>0</v>
      </c>
      <c r="V22" s="8">
        <f>SUMPRODUCT((raw!$A$2:$A$9876='2018-19_working'!$A$2)*(raw!$B$2:$B$9876='2018-19_working'!$A22)*(raw!$E$2:$E$9876='2018-19_working'!$T$6)*(raw!$F$2:$F$9876='2018-19_working'!V$7)*(raw!$G$2:$G$9876))</f>
        <v>0</v>
      </c>
      <c r="W22" s="8">
        <f>SUMPRODUCT((raw!$A$2:$A$9876='2018-19_working'!$A$2)*(raw!$B$2:$B$9876='2018-19_working'!$A22)*(raw!$E$2:$E$9876='2018-19_working'!$T$6)*(raw!$F$2:$F$9876='2018-19_working'!W$7)*(raw!$G$2:$G$9876))</f>
        <v>0</v>
      </c>
      <c r="X22" s="8">
        <f>SUMPRODUCT((raw!$A$2:$A$9876='2018-19_working'!$A$2)*(raw!$B$2:$B$9876='2018-19_working'!$A22)*(raw!$E$2:$E$9876='2018-19_working'!$T$6)*(raw!$F$2:$F$9876='2018-19_working'!X$7)*(raw!$G$2:$G$9876))</f>
        <v>0</v>
      </c>
      <c r="Y22" s="8">
        <f>SUMPRODUCT((raw!$A$2:$A$9876='2018-19_working'!$A$2)*(raw!$B$2:$B$9876='2018-19_working'!$A22)*(raw!$E$2:$E$9876='2018-19_working'!$T$6)*(raw!$F$2:$F$9876='2018-19_working'!Y$7)*(raw!$G$2:$G$9876))</f>
        <v>0</v>
      </c>
      <c r="Z22" s="8">
        <f>SUMPRODUCT((raw!$A$2:$A$9876='2018-19_working'!$A$2)*(raw!$B$2:$B$9876='2018-19_working'!$A22)*(raw!$E$2:$E$9876='2018-19_working'!$T$6)*(raw!$F$2:$F$9876='2018-19_working'!Z$7)*(raw!$G$2:$G$9876))</f>
        <v>0</v>
      </c>
      <c r="AA22" s="8">
        <f>SUMPRODUCT((raw!$A$2:$A$9876='2018-19_working'!$A$2)*(raw!$B$2:$B$9876='2018-19_working'!$A22)*(raw!$E$2:$E$9876='2018-19_working'!$T$6)*(raw!$F$2:$F$9876='2018-19_working'!AA$7)*(raw!$G$2:$G$9876))</f>
        <v>0</v>
      </c>
      <c r="AC22" s="8">
        <f>SUMPRODUCT((raw!$A$2:$A$9876='2018-19_working'!$A$2)*(raw!$B$2:$B$9876='2018-19_working'!$A22)*(raw!$E$2:$E$9876='2018-19_working'!$AC$6)*(raw!$F$2:$F$9876='2018-19_working'!AC$7)*(raw!$G$2:$G$9876))</f>
        <v>3</v>
      </c>
      <c r="AD22" s="8">
        <f>SUMPRODUCT((raw!$A$2:$A$9876='2018-19_working'!$A$2)*(raw!$B$2:$B$9876='2018-19_working'!$A22)*(raw!$E$2:$E$9876='2018-19_working'!$AC$6)*(raw!$F$2:$F$9876='2018-19_working'!AD$7)*(raw!$G$2:$G$9876))</f>
        <v>0</v>
      </c>
      <c r="AE22" s="8">
        <f>SUMPRODUCT((raw!$A$2:$A$9876='2018-19_working'!$A$2)*(raw!$B$2:$B$9876='2018-19_working'!$A22)*(raw!$E$2:$E$9876='2018-19_working'!$AC$6)*(raw!$F$2:$F$9876='2018-19_working'!AE$7)*(raw!$G$2:$G$9876))</f>
        <v>0</v>
      </c>
      <c r="AF22" s="8">
        <f>SUMPRODUCT((raw!$A$2:$A$9876='2018-19_working'!$A$2)*(raw!$B$2:$B$9876='2018-19_working'!$A22)*(raw!$E$2:$E$9876='2018-19_working'!$AC$6)*(raw!$F$2:$F$9876='2018-19_working'!AF$7)*(raw!$G$2:$G$9876))</f>
        <v>0</v>
      </c>
      <c r="AG22" s="8">
        <f>SUMPRODUCT((raw!$A$2:$A$9876='2018-19_working'!$A$2)*(raw!$B$2:$B$9876='2018-19_working'!$A22)*(raw!$E$2:$E$9876='2018-19_working'!$AC$6)*(raw!$F$2:$F$9876='2018-19_working'!AG$7)*(raw!$G$2:$G$9876))</f>
        <v>0</v>
      </c>
      <c r="AH22" s="8">
        <f>SUMPRODUCT((raw!$A$2:$A$9876='2018-19_working'!$A$2)*(raw!$B$2:$B$9876='2018-19_working'!$A22)*(raw!$E$2:$E$9876='2018-19_working'!$AC$6)*(raw!$F$2:$F$9876='2018-19_working'!AH$7)*(raw!$G$2:$G$9876))</f>
        <v>0</v>
      </c>
      <c r="AI22" s="8">
        <f>SUMPRODUCT((raw!$A$2:$A$9876='2018-19_working'!$A$2)*(raw!$B$2:$B$9876='2018-19_working'!$A22)*(raw!$E$2:$E$9876='2018-19_working'!$AC$6)*(raw!$F$2:$F$9876='2018-19_working'!AI$7)*(raw!$G$2:$G$9876))</f>
        <v>0</v>
      </c>
      <c r="AJ22" s="8">
        <f>SUMPRODUCT((raw!$A$2:$A$9876='2018-19_working'!$A$2)*(raw!$B$2:$B$9876='2018-19_working'!$A22)*(raw!$E$2:$E$9876='2018-19_working'!$AC$6)*(raw!$F$2:$F$9876='2018-19_working'!AJ$7)*(raw!$G$2:$G$9876))</f>
        <v>8</v>
      </c>
    </row>
    <row r="23" spans="1:36" x14ac:dyDescent="0.3">
      <c r="A23" s="8" t="s">
        <v>30</v>
      </c>
      <c r="B23" s="8">
        <f>SUMPRODUCT((raw!$A$2:$A$9876='2018-19_working'!$A$2)*(raw!$B$2:$B$9876='2018-19_working'!$A23)*(raw!$E$2:$E$9876='2018-19_working'!$B$6:$I$6)*(raw!$F$2:$F$9876='2018-19_working'!B$7)*(raw!$G$2:$G$9876))</f>
        <v>2</v>
      </c>
      <c r="C23" s="8">
        <f>SUMPRODUCT((raw!$A$2:$A$9876='2018-19_working'!$A$2)*(raw!$B$2:$B$9876='2018-19_working'!$A23)*(raw!$E$2:$E$9876='2018-19_working'!$B$6:$I$6)*(raw!$F$2:$F$9876='2018-19_working'!C$7)*(raw!$G$2:$G$9876))</f>
        <v>0</v>
      </c>
      <c r="D23" s="8">
        <f>SUMPRODUCT((raw!$A$2:$A$9876='2018-19_working'!$A$2)*(raw!$B$2:$B$9876='2018-19_working'!$A23)*(raw!$E$2:$E$9876='2018-19_working'!$B$6:$I$6)*(raw!$F$2:$F$9876='2018-19_working'!D$7)*(raw!$G$2:$G$9876))</f>
        <v>0</v>
      </c>
      <c r="E23" s="8">
        <f>SUMPRODUCT((raw!$A$2:$A$9876='2018-19_working'!$A$2)*(raw!$B$2:$B$9876='2018-19_working'!$A23)*(raw!$E$2:$E$9876='2018-19_working'!$B$6:$I$6)*(raw!$F$2:$F$9876='2018-19_working'!E$7)*(raw!$G$2:$G$9876))</f>
        <v>0</v>
      </c>
      <c r="F23" s="8">
        <f>SUMPRODUCT((raw!$A$2:$A$9876='2018-19_working'!$A$2)*(raw!$B$2:$B$9876='2018-19_working'!$A23)*(raw!$E$2:$E$9876='2018-19_working'!$B$6:$I$6)*(raw!$F$2:$F$9876='2018-19_working'!F$7)*(raw!$G$2:$G$9876))</f>
        <v>0</v>
      </c>
      <c r="G23" s="8">
        <f>SUMPRODUCT((raw!$A$2:$A$9876='2018-19_working'!$A$2)*(raw!$B$2:$B$9876='2018-19_working'!$A23)*(raw!$E$2:$E$9876='2018-19_working'!$B$6:$I$6)*(raw!$F$2:$F$9876='2018-19_working'!G$7)*(raw!$G$2:$G$9876))</f>
        <v>0</v>
      </c>
      <c r="H23" s="8">
        <f>SUMPRODUCT((raw!$A$2:$A$9876='2018-19_working'!$A$2)*(raw!$B$2:$B$9876='2018-19_working'!$A23)*(raw!$E$2:$E$9876='2018-19_working'!$B$6:$I$6)*(raw!$F$2:$F$9876='2018-19_working'!H$7)*(raw!$G$2:$G$9876))</f>
        <v>0</v>
      </c>
      <c r="I23" s="8">
        <f>SUMPRODUCT((raw!$A$2:$A$9876='2018-19_working'!$A$2)*(raw!$B$2:$B$9876='2018-19_working'!$A23)*(raw!$E$2:$E$9876='2018-19_working'!$B$6:$I$6)*(raw!$F$2:$F$9876='2018-19_working'!I$7)*(raw!$G$2:$G$9876))</f>
        <v>0</v>
      </c>
      <c r="K23" s="8">
        <f>SUMPRODUCT((raw!$A$2:$A$9876='2018-19_working'!$A$2)*(raw!$B$2:$B$9876='2018-19_working'!$A23)*(raw!$E$2:$E$9876='2018-19_working'!$K$6)*(raw!$F$2:$F$9876='2018-19_working'!K$7)*(raw!$G$2:$G$9876))</f>
        <v>25</v>
      </c>
      <c r="L23" s="8">
        <f>SUMPRODUCT((raw!$A$2:$A$9876='2018-19_working'!$A$2)*(raw!$B$2:$B$9876='2018-19_working'!$A23)*(raw!$E$2:$E$9876='2018-19_working'!$K$6)*(raw!$F$2:$F$9876='2018-19_working'!L$7)*(raw!$G$2:$G$9876))</f>
        <v>1</v>
      </c>
      <c r="M23" s="8">
        <f>SUMPRODUCT((raw!$A$2:$A$9876='2018-19_working'!$A$2)*(raw!$B$2:$B$9876='2018-19_working'!$A23)*(raw!$E$2:$E$9876='2018-19_working'!$K$6)*(raw!$F$2:$F$9876='2018-19_working'!M$7)*(raw!$G$2:$G$9876))</f>
        <v>1</v>
      </c>
      <c r="N23" s="8">
        <f>SUMPRODUCT((raw!$A$2:$A$9876='2018-19_working'!$A$2)*(raw!$B$2:$B$9876='2018-19_working'!$A23)*(raw!$E$2:$E$9876='2018-19_working'!$K$6)*(raw!$F$2:$F$9876='2018-19_working'!N$7)*(raw!$G$2:$G$9876))</f>
        <v>0</v>
      </c>
      <c r="O23" s="8">
        <f>SUMPRODUCT((raw!$A$2:$A$9876='2018-19_working'!$A$2)*(raw!$B$2:$B$9876='2018-19_working'!$A23)*(raw!$E$2:$E$9876='2018-19_working'!$K$6)*(raw!$F$2:$F$9876='2018-19_working'!O$7)*(raw!$G$2:$G$9876))</f>
        <v>0</v>
      </c>
      <c r="P23" s="8">
        <f>SUMPRODUCT((raw!$A$2:$A$9876='2018-19_working'!$A$2)*(raw!$B$2:$B$9876='2018-19_working'!$A23)*(raw!$E$2:$E$9876='2018-19_working'!$K$6)*(raw!$F$2:$F$9876='2018-19_working'!P$7)*(raw!$G$2:$G$9876))</f>
        <v>0</v>
      </c>
      <c r="Q23" s="8">
        <f>SUMPRODUCT((raw!$A$2:$A$9876='2018-19_working'!$A$2)*(raw!$B$2:$B$9876='2018-19_working'!$A23)*(raw!$E$2:$E$9876='2018-19_working'!$K$6)*(raw!$F$2:$F$9876='2018-19_working'!Q$7)*(raw!$G$2:$G$9876))</f>
        <v>0</v>
      </c>
      <c r="R23" s="8">
        <f>SUMPRODUCT((raw!$A$2:$A$9876='2018-19_working'!$A$2)*(raw!$B$2:$B$9876='2018-19_working'!$A23)*(raw!$E$2:$E$9876='2018-19_working'!$K$6)*(raw!$F$2:$F$9876='2018-19_working'!R$7)*(raw!$G$2:$G$9876))</f>
        <v>0</v>
      </c>
      <c r="T23" s="8">
        <f>SUMPRODUCT((raw!$A$2:$A$9876='2018-19_working'!$A$2)*(raw!$B$2:$B$9876='2018-19_working'!$A23)*(raw!$E$2:$E$9876='2018-19_working'!$T$6)*(raw!$F$2:$F$9876='2018-19_working'!T$7)*(raw!$G$2:$G$9876))</f>
        <v>2</v>
      </c>
      <c r="U23" s="8">
        <f>SUMPRODUCT((raw!$A$2:$A$9876='2018-19_working'!$A$2)*(raw!$B$2:$B$9876='2018-19_working'!$A23)*(raw!$E$2:$E$9876='2018-19_working'!$T$6)*(raw!$F$2:$F$9876='2018-19_working'!U$7)*(raw!$G$2:$G$9876))</f>
        <v>0</v>
      </c>
      <c r="V23" s="8">
        <f>SUMPRODUCT((raw!$A$2:$A$9876='2018-19_working'!$A$2)*(raw!$B$2:$B$9876='2018-19_working'!$A23)*(raw!$E$2:$E$9876='2018-19_working'!$T$6)*(raw!$F$2:$F$9876='2018-19_working'!V$7)*(raw!$G$2:$G$9876))</f>
        <v>0</v>
      </c>
      <c r="W23" s="8">
        <f>SUMPRODUCT((raw!$A$2:$A$9876='2018-19_working'!$A$2)*(raw!$B$2:$B$9876='2018-19_working'!$A23)*(raw!$E$2:$E$9876='2018-19_working'!$T$6)*(raw!$F$2:$F$9876='2018-19_working'!W$7)*(raw!$G$2:$G$9876))</f>
        <v>0</v>
      </c>
      <c r="X23" s="8">
        <f>SUMPRODUCT((raw!$A$2:$A$9876='2018-19_working'!$A$2)*(raw!$B$2:$B$9876='2018-19_working'!$A23)*(raw!$E$2:$E$9876='2018-19_working'!$T$6)*(raw!$F$2:$F$9876='2018-19_working'!X$7)*(raw!$G$2:$G$9876))</f>
        <v>0</v>
      </c>
      <c r="Y23" s="8">
        <f>SUMPRODUCT((raw!$A$2:$A$9876='2018-19_working'!$A$2)*(raw!$B$2:$B$9876='2018-19_working'!$A23)*(raw!$E$2:$E$9876='2018-19_working'!$T$6)*(raw!$F$2:$F$9876='2018-19_working'!Y$7)*(raw!$G$2:$G$9876))</f>
        <v>0</v>
      </c>
      <c r="Z23" s="8">
        <f>SUMPRODUCT((raw!$A$2:$A$9876='2018-19_working'!$A$2)*(raw!$B$2:$B$9876='2018-19_working'!$A23)*(raw!$E$2:$E$9876='2018-19_working'!$T$6)*(raw!$F$2:$F$9876='2018-19_working'!Z$7)*(raw!$G$2:$G$9876))</f>
        <v>0</v>
      </c>
      <c r="AA23" s="8">
        <f>SUMPRODUCT((raw!$A$2:$A$9876='2018-19_working'!$A$2)*(raw!$B$2:$B$9876='2018-19_working'!$A23)*(raw!$E$2:$E$9876='2018-19_working'!$T$6)*(raw!$F$2:$F$9876='2018-19_working'!AA$7)*(raw!$G$2:$G$9876))</f>
        <v>0</v>
      </c>
      <c r="AC23" s="8">
        <f>SUMPRODUCT((raw!$A$2:$A$9876='2018-19_working'!$A$2)*(raw!$B$2:$B$9876='2018-19_working'!$A23)*(raw!$E$2:$E$9876='2018-19_working'!$AC$6)*(raw!$F$2:$F$9876='2018-19_working'!AC$7)*(raw!$G$2:$G$9876))</f>
        <v>23</v>
      </c>
      <c r="AD23" s="8">
        <f>SUMPRODUCT((raw!$A$2:$A$9876='2018-19_working'!$A$2)*(raw!$B$2:$B$9876='2018-19_working'!$A23)*(raw!$E$2:$E$9876='2018-19_working'!$AC$6)*(raw!$F$2:$F$9876='2018-19_working'!AD$7)*(raw!$G$2:$G$9876))</f>
        <v>0</v>
      </c>
      <c r="AE23" s="8">
        <f>SUMPRODUCT((raw!$A$2:$A$9876='2018-19_working'!$A$2)*(raw!$B$2:$B$9876='2018-19_working'!$A23)*(raw!$E$2:$E$9876='2018-19_working'!$AC$6)*(raw!$F$2:$F$9876='2018-19_working'!AE$7)*(raw!$G$2:$G$9876))</f>
        <v>0</v>
      </c>
      <c r="AF23" s="8">
        <f>SUMPRODUCT((raw!$A$2:$A$9876='2018-19_working'!$A$2)*(raw!$B$2:$B$9876='2018-19_working'!$A23)*(raw!$E$2:$E$9876='2018-19_working'!$AC$6)*(raw!$F$2:$F$9876='2018-19_working'!AF$7)*(raw!$G$2:$G$9876))</f>
        <v>0</v>
      </c>
      <c r="AG23" s="8">
        <f>SUMPRODUCT((raw!$A$2:$A$9876='2018-19_working'!$A$2)*(raw!$B$2:$B$9876='2018-19_working'!$A23)*(raw!$E$2:$E$9876='2018-19_working'!$AC$6)*(raw!$F$2:$F$9876='2018-19_working'!AG$7)*(raw!$G$2:$G$9876))</f>
        <v>1</v>
      </c>
      <c r="AH23" s="8">
        <f>SUMPRODUCT((raw!$A$2:$A$9876='2018-19_working'!$A$2)*(raw!$B$2:$B$9876='2018-19_working'!$A23)*(raw!$E$2:$E$9876='2018-19_working'!$AC$6)*(raw!$F$2:$F$9876='2018-19_working'!AH$7)*(raw!$G$2:$G$9876))</f>
        <v>0</v>
      </c>
      <c r="AI23" s="8">
        <f>SUMPRODUCT((raw!$A$2:$A$9876='2018-19_working'!$A$2)*(raw!$B$2:$B$9876='2018-19_working'!$A23)*(raw!$E$2:$E$9876='2018-19_working'!$AC$6)*(raw!$F$2:$F$9876='2018-19_working'!AI$7)*(raw!$G$2:$G$9876))</f>
        <v>0</v>
      </c>
      <c r="AJ23" s="8">
        <f>SUMPRODUCT((raw!$A$2:$A$9876='2018-19_working'!$A$2)*(raw!$B$2:$B$9876='2018-19_working'!$A23)*(raw!$E$2:$E$9876='2018-19_working'!$AC$6)*(raw!$F$2:$F$9876='2018-19_working'!AJ$7)*(raw!$G$2:$G$9876))</f>
        <v>2</v>
      </c>
    </row>
    <row r="24" spans="1:36" x14ac:dyDescent="0.3">
      <c r="A24" s="8" t="s">
        <v>31</v>
      </c>
      <c r="B24" s="8">
        <f>SUMPRODUCT((raw!$A$2:$A$9876='2018-19_working'!$A$2)*(raw!$B$2:$B$9876='2018-19_working'!$A24)*(raw!$E$2:$E$9876='2018-19_working'!$B$6:$I$6)*(raw!$F$2:$F$9876='2018-19_working'!B$7)*(raw!$G$2:$G$9876))</f>
        <v>33</v>
      </c>
      <c r="C24" s="8">
        <f>SUMPRODUCT((raw!$A$2:$A$9876='2018-19_working'!$A$2)*(raw!$B$2:$B$9876='2018-19_working'!$A24)*(raw!$E$2:$E$9876='2018-19_working'!$B$6:$I$6)*(raw!$F$2:$F$9876='2018-19_working'!C$7)*(raw!$G$2:$G$9876))</f>
        <v>0</v>
      </c>
      <c r="D24" s="8">
        <f>SUMPRODUCT((raw!$A$2:$A$9876='2018-19_working'!$A$2)*(raw!$B$2:$B$9876='2018-19_working'!$A24)*(raw!$E$2:$E$9876='2018-19_working'!$B$6:$I$6)*(raw!$F$2:$F$9876='2018-19_working'!D$7)*(raw!$G$2:$G$9876))</f>
        <v>0</v>
      </c>
      <c r="E24" s="8">
        <f>SUMPRODUCT((raw!$A$2:$A$9876='2018-19_working'!$A$2)*(raw!$B$2:$B$9876='2018-19_working'!$A24)*(raw!$E$2:$E$9876='2018-19_working'!$B$6:$I$6)*(raw!$F$2:$F$9876='2018-19_working'!E$7)*(raw!$G$2:$G$9876))</f>
        <v>1</v>
      </c>
      <c r="F24" s="8">
        <f>SUMPRODUCT((raw!$A$2:$A$9876='2018-19_working'!$A$2)*(raw!$B$2:$B$9876='2018-19_working'!$A24)*(raw!$E$2:$E$9876='2018-19_working'!$B$6:$I$6)*(raw!$F$2:$F$9876='2018-19_working'!F$7)*(raw!$G$2:$G$9876))</f>
        <v>0</v>
      </c>
      <c r="G24" s="8">
        <f>SUMPRODUCT((raw!$A$2:$A$9876='2018-19_working'!$A$2)*(raw!$B$2:$B$9876='2018-19_working'!$A24)*(raw!$E$2:$E$9876='2018-19_working'!$B$6:$I$6)*(raw!$F$2:$F$9876='2018-19_working'!G$7)*(raw!$G$2:$G$9876))</f>
        <v>0</v>
      </c>
      <c r="H24" s="8">
        <f>SUMPRODUCT((raw!$A$2:$A$9876='2018-19_working'!$A$2)*(raw!$B$2:$B$9876='2018-19_working'!$A24)*(raw!$E$2:$E$9876='2018-19_working'!$B$6:$I$6)*(raw!$F$2:$F$9876='2018-19_working'!H$7)*(raw!$G$2:$G$9876))</f>
        <v>0</v>
      </c>
      <c r="I24" s="8">
        <f>SUMPRODUCT((raw!$A$2:$A$9876='2018-19_working'!$A$2)*(raw!$B$2:$B$9876='2018-19_working'!$A24)*(raw!$E$2:$E$9876='2018-19_working'!$B$6:$I$6)*(raw!$F$2:$F$9876='2018-19_working'!I$7)*(raw!$G$2:$G$9876))</f>
        <v>23</v>
      </c>
      <c r="K24" s="8">
        <f>SUMPRODUCT((raw!$A$2:$A$9876='2018-19_working'!$A$2)*(raw!$B$2:$B$9876='2018-19_working'!$A24)*(raw!$E$2:$E$9876='2018-19_working'!$K$6)*(raw!$F$2:$F$9876='2018-19_working'!K$7)*(raw!$G$2:$G$9876))</f>
        <v>30</v>
      </c>
      <c r="L24" s="8">
        <f>SUMPRODUCT((raw!$A$2:$A$9876='2018-19_working'!$A$2)*(raw!$B$2:$B$9876='2018-19_working'!$A24)*(raw!$E$2:$E$9876='2018-19_working'!$K$6)*(raw!$F$2:$F$9876='2018-19_working'!L$7)*(raw!$G$2:$G$9876))</f>
        <v>2</v>
      </c>
      <c r="M24" s="8">
        <f>SUMPRODUCT((raw!$A$2:$A$9876='2018-19_working'!$A$2)*(raw!$B$2:$B$9876='2018-19_working'!$A24)*(raw!$E$2:$E$9876='2018-19_working'!$K$6)*(raw!$F$2:$F$9876='2018-19_working'!M$7)*(raw!$G$2:$G$9876))</f>
        <v>0</v>
      </c>
      <c r="N24" s="8">
        <f>SUMPRODUCT((raw!$A$2:$A$9876='2018-19_working'!$A$2)*(raw!$B$2:$B$9876='2018-19_working'!$A24)*(raw!$E$2:$E$9876='2018-19_working'!$K$6)*(raw!$F$2:$F$9876='2018-19_working'!N$7)*(raw!$G$2:$G$9876))</f>
        <v>0</v>
      </c>
      <c r="O24" s="8">
        <f>SUMPRODUCT((raw!$A$2:$A$9876='2018-19_working'!$A$2)*(raw!$B$2:$B$9876='2018-19_working'!$A24)*(raw!$E$2:$E$9876='2018-19_working'!$K$6)*(raw!$F$2:$F$9876='2018-19_working'!O$7)*(raw!$G$2:$G$9876))</f>
        <v>1</v>
      </c>
      <c r="P24" s="8">
        <f>SUMPRODUCT((raw!$A$2:$A$9876='2018-19_working'!$A$2)*(raw!$B$2:$B$9876='2018-19_working'!$A24)*(raw!$E$2:$E$9876='2018-19_working'!$K$6)*(raw!$F$2:$F$9876='2018-19_working'!P$7)*(raw!$G$2:$G$9876))</f>
        <v>0</v>
      </c>
      <c r="Q24" s="8">
        <f>SUMPRODUCT((raw!$A$2:$A$9876='2018-19_working'!$A$2)*(raw!$B$2:$B$9876='2018-19_working'!$A24)*(raw!$E$2:$E$9876='2018-19_working'!$K$6)*(raw!$F$2:$F$9876='2018-19_working'!Q$7)*(raw!$G$2:$G$9876))</f>
        <v>0</v>
      </c>
      <c r="R24" s="8">
        <f>SUMPRODUCT((raw!$A$2:$A$9876='2018-19_working'!$A$2)*(raw!$B$2:$B$9876='2018-19_working'!$A24)*(raw!$E$2:$E$9876='2018-19_working'!$K$6)*(raw!$F$2:$F$9876='2018-19_working'!R$7)*(raw!$G$2:$G$9876))</f>
        <v>29</v>
      </c>
      <c r="T24" s="8">
        <f>SUMPRODUCT((raw!$A$2:$A$9876='2018-19_working'!$A$2)*(raw!$B$2:$B$9876='2018-19_working'!$A24)*(raw!$E$2:$E$9876='2018-19_working'!$T$6)*(raw!$F$2:$F$9876='2018-19_working'!T$7)*(raw!$G$2:$G$9876))</f>
        <v>1</v>
      </c>
      <c r="U24" s="8">
        <f>SUMPRODUCT((raw!$A$2:$A$9876='2018-19_working'!$A$2)*(raw!$B$2:$B$9876='2018-19_working'!$A24)*(raw!$E$2:$E$9876='2018-19_working'!$T$6)*(raw!$F$2:$F$9876='2018-19_working'!U$7)*(raw!$G$2:$G$9876))</f>
        <v>0</v>
      </c>
      <c r="V24" s="8">
        <f>SUMPRODUCT((raw!$A$2:$A$9876='2018-19_working'!$A$2)*(raw!$B$2:$B$9876='2018-19_working'!$A24)*(raw!$E$2:$E$9876='2018-19_working'!$T$6)*(raw!$F$2:$F$9876='2018-19_working'!V$7)*(raw!$G$2:$G$9876))</f>
        <v>0</v>
      </c>
      <c r="W24" s="8">
        <f>SUMPRODUCT((raw!$A$2:$A$9876='2018-19_working'!$A$2)*(raw!$B$2:$B$9876='2018-19_working'!$A24)*(raw!$E$2:$E$9876='2018-19_working'!$T$6)*(raw!$F$2:$F$9876='2018-19_working'!W$7)*(raw!$G$2:$G$9876))</f>
        <v>0</v>
      </c>
      <c r="X24" s="8">
        <f>SUMPRODUCT((raw!$A$2:$A$9876='2018-19_working'!$A$2)*(raw!$B$2:$B$9876='2018-19_working'!$A24)*(raw!$E$2:$E$9876='2018-19_working'!$T$6)*(raw!$F$2:$F$9876='2018-19_working'!X$7)*(raw!$G$2:$G$9876))</f>
        <v>0</v>
      </c>
      <c r="Y24" s="8">
        <f>SUMPRODUCT((raw!$A$2:$A$9876='2018-19_working'!$A$2)*(raw!$B$2:$B$9876='2018-19_working'!$A24)*(raw!$E$2:$E$9876='2018-19_working'!$T$6)*(raw!$F$2:$F$9876='2018-19_working'!Y$7)*(raw!$G$2:$G$9876))</f>
        <v>0</v>
      </c>
      <c r="Z24" s="8">
        <f>SUMPRODUCT((raw!$A$2:$A$9876='2018-19_working'!$A$2)*(raw!$B$2:$B$9876='2018-19_working'!$A24)*(raw!$E$2:$E$9876='2018-19_working'!$T$6)*(raw!$F$2:$F$9876='2018-19_working'!Z$7)*(raw!$G$2:$G$9876))</f>
        <v>0</v>
      </c>
      <c r="AA24" s="8">
        <f>SUMPRODUCT((raw!$A$2:$A$9876='2018-19_working'!$A$2)*(raw!$B$2:$B$9876='2018-19_working'!$A24)*(raw!$E$2:$E$9876='2018-19_working'!$T$6)*(raw!$F$2:$F$9876='2018-19_working'!AA$7)*(raw!$G$2:$G$9876))</f>
        <v>2</v>
      </c>
      <c r="AC24" s="8">
        <f>SUMPRODUCT((raw!$A$2:$A$9876='2018-19_working'!$A$2)*(raw!$B$2:$B$9876='2018-19_working'!$A24)*(raw!$E$2:$E$9876='2018-19_working'!$AC$6)*(raw!$F$2:$F$9876='2018-19_working'!AC$7)*(raw!$G$2:$G$9876))</f>
        <v>15</v>
      </c>
      <c r="AD24" s="8">
        <f>SUMPRODUCT((raw!$A$2:$A$9876='2018-19_working'!$A$2)*(raw!$B$2:$B$9876='2018-19_working'!$A24)*(raw!$E$2:$E$9876='2018-19_working'!$AC$6)*(raw!$F$2:$F$9876='2018-19_working'!AD$7)*(raw!$G$2:$G$9876))</f>
        <v>0</v>
      </c>
      <c r="AE24" s="8">
        <f>SUMPRODUCT((raw!$A$2:$A$9876='2018-19_working'!$A$2)*(raw!$B$2:$B$9876='2018-19_working'!$A24)*(raw!$E$2:$E$9876='2018-19_working'!$AC$6)*(raw!$F$2:$F$9876='2018-19_working'!AE$7)*(raw!$G$2:$G$9876))</f>
        <v>0</v>
      </c>
      <c r="AF24" s="8">
        <f>SUMPRODUCT((raw!$A$2:$A$9876='2018-19_working'!$A$2)*(raw!$B$2:$B$9876='2018-19_working'!$A24)*(raw!$E$2:$E$9876='2018-19_working'!$AC$6)*(raw!$F$2:$F$9876='2018-19_working'!AF$7)*(raw!$G$2:$G$9876))</f>
        <v>0</v>
      </c>
      <c r="AG24" s="8">
        <f>SUMPRODUCT((raw!$A$2:$A$9876='2018-19_working'!$A$2)*(raw!$B$2:$B$9876='2018-19_working'!$A24)*(raw!$E$2:$E$9876='2018-19_working'!$AC$6)*(raw!$F$2:$F$9876='2018-19_working'!AG$7)*(raw!$G$2:$G$9876))</f>
        <v>0</v>
      </c>
      <c r="AH24" s="8">
        <f>SUMPRODUCT((raw!$A$2:$A$9876='2018-19_working'!$A$2)*(raw!$B$2:$B$9876='2018-19_working'!$A24)*(raw!$E$2:$E$9876='2018-19_working'!$AC$6)*(raw!$F$2:$F$9876='2018-19_working'!AH$7)*(raw!$G$2:$G$9876))</f>
        <v>0</v>
      </c>
      <c r="AI24" s="8">
        <f>SUMPRODUCT((raw!$A$2:$A$9876='2018-19_working'!$A$2)*(raw!$B$2:$B$9876='2018-19_working'!$A24)*(raw!$E$2:$E$9876='2018-19_working'!$AC$6)*(raw!$F$2:$F$9876='2018-19_working'!AI$7)*(raw!$G$2:$G$9876))</f>
        <v>0</v>
      </c>
      <c r="AJ24" s="8">
        <f>SUMPRODUCT((raw!$A$2:$A$9876='2018-19_working'!$A$2)*(raw!$B$2:$B$9876='2018-19_working'!$A24)*(raw!$E$2:$E$9876='2018-19_working'!$AC$6)*(raw!$F$2:$F$9876='2018-19_working'!AJ$7)*(raw!$G$2:$G$9876))</f>
        <v>16</v>
      </c>
    </row>
    <row r="25" spans="1:36" x14ac:dyDescent="0.3">
      <c r="A25" s="8" t="s">
        <v>32</v>
      </c>
      <c r="B25" s="8">
        <f>SUMPRODUCT((raw!$A$2:$A$9876='2018-19_working'!$A$2)*(raw!$B$2:$B$9876='2018-19_working'!$A25)*(raw!$E$2:$E$9876='2018-19_working'!$B$6:$I$6)*(raw!$F$2:$F$9876='2018-19_working'!B$7)*(raw!$G$2:$G$9876))</f>
        <v>6</v>
      </c>
      <c r="C25" s="8">
        <f>SUMPRODUCT((raw!$A$2:$A$9876='2018-19_working'!$A$2)*(raw!$B$2:$B$9876='2018-19_working'!$A25)*(raw!$E$2:$E$9876='2018-19_working'!$B$6:$I$6)*(raw!$F$2:$F$9876='2018-19_working'!C$7)*(raw!$G$2:$G$9876))</f>
        <v>1</v>
      </c>
      <c r="D25" s="8">
        <f>SUMPRODUCT((raw!$A$2:$A$9876='2018-19_working'!$A$2)*(raw!$B$2:$B$9876='2018-19_working'!$A25)*(raw!$E$2:$E$9876='2018-19_working'!$B$6:$I$6)*(raw!$F$2:$F$9876='2018-19_working'!D$7)*(raw!$G$2:$G$9876))</f>
        <v>0</v>
      </c>
      <c r="E25" s="8">
        <f>SUMPRODUCT((raw!$A$2:$A$9876='2018-19_working'!$A$2)*(raw!$B$2:$B$9876='2018-19_working'!$A25)*(raw!$E$2:$E$9876='2018-19_working'!$B$6:$I$6)*(raw!$F$2:$F$9876='2018-19_working'!E$7)*(raw!$G$2:$G$9876))</f>
        <v>0</v>
      </c>
      <c r="F25" s="8">
        <f>SUMPRODUCT((raw!$A$2:$A$9876='2018-19_working'!$A$2)*(raw!$B$2:$B$9876='2018-19_working'!$A25)*(raw!$E$2:$E$9876='2018-19_working'!$B$6:$I$6)*(raw!$F$2:$F$9876='2018-19_working'!F$7)*(raw!$G$2:$G$9876))</f>
        <v>0</v>
      </c>
      <c r="G25" s="8">
        <f>SUMPRODUCT((raw!$A$2:$A$9876='2018-19_working'!$A$2)*(raw!$B$2:$B$9876='2018-19_working'!$A25)*(raw!$E$2:$E$9876='2018-19_working'!$B$6:$I$6)*(raw!$F$2:$F$9876='2018-19_working'!G$7)*(raw!$G$2:$G$9876))</f>
        <v>0</v>
      </c>
      <c r="H25" s="8">
        <f>SUMPRODUCT((raw!$A$2:$A$9876='2018-19_working'!$A$2)*(raw!$B$2:$B$9876='2018-19_working'!$A25)*(raw!$E$2:$E$9876='2018-19_working'!$B$6:$I$6)*(raw!$F$2:$F$9876='2018-19_working'!H$7)*(raw!$G$2:$G$9876))</f>
        <v>0</v>
      </c>
      <c r="I25" s="8">
        <f>SUMPRODUCT((raw!$A$2:$A$9876='2018-19_working'!$A$2)*(raw!$B$2:$B$9876='2018-19_working'!$A25)*(raw!$E$2:$E$9876='2018-19_working'!$B$6:$I$6)*(raw!$F$2:$F$9876='2018-19_working'!I$7)*(raw!$G$2:$G$9876))</f>
        <v>0</v>
      </c>
      <c r="K25" s="8">
        <f>SUMPRODUCT((raw!$A$2:$A$9876='2018-19_working'!$A$2)*(raw!$B$2:$B$9876='2018-19_working'!$A25)*(raw!$E$2:$E$9876='2018-19_working'!$K$6)*(raw!$F$2:$F$9876='2018-19_working'!K$7)*(raw!$G$2:$G$9876))</f>
        <v>27</v>
      </c>
      <c r="L25" s="8">
        <f>SUMPRODUCT((raw!$A$2:$A$9876='2018-19_working'!$A$2)*(raw!$B$2:$B$9876='2018-19_working'!$A25)*(raw!$E$2:$E$9876='2018-19_working'!$K$6)*(raw!$F$2:$F$9876='2018-19_working'!L$7)*(raw!$G$2:$G$9876))</f>
        <v>2</v>
      </c>
      <c r="M25" s="8">
        <f>SUMPRODUCT((raw!$A$2:$A$9876='2018-19_working'!$A$2)*(raw!$B$2:$B$9876='2018-19_working'!$A25)*(raw!$E$2:$E$9876='2018-19_working'!$K$6)*(raw!$F$2:$F$9876='2018-19_working'!M$7)*(raw!$G$2:$G$9876))</f>
        <v>0</v>
      </c>
      <c r="N25" s="8">
        <f>SUMPRODUCT((raw!$A$2:$A$9876='2018-19_working'!$A$2)*(raw!$B$2:$B$9876='2018-19_working'!$A25)*(raw!$E$2:$E$9876='2018-19_working'!$K$6)*(raw!$F$2:$F$9876='2018-19_working'!N$7)*(raw!$G$2:$G$9876))</f>
        <v>1</v>
      </c>
      <c r="O25" s="8">
        <f>SUMPRODUCT((raw!$A$2:$A$9876='2018-19_working'!$A$2)*(raw!$B$2:$B$9876='2018-19_working'!$A25)*(raw!$E$2:$E$9876='2018-19_working'!$K$6)*(raw!$F$2:$F$9876='2018-19_working'!O$7)*(raw!$G$2:$G$9876))</f>
        <v>0</v>
      </c>
      <c r="P25" s="8">
        <f>SUMPRODUCT((raw!$A$2:$A$9876='2018-19_working'!$A$2)*(raw!$B$2:$B$9876='2018-19_working'!$A25)*(raw!$E$2:$E$9876='2018-19_working'!$K$6)*(raw!$F$2:$F$9876='2018-19_working'!P$7)*(raw!$G$2:$G$9876))</f>
        <v>0</v>
      </c>
      <c r="Q25" s="8">
        <f>SUMPRODUCT((raw!$A$2:$A$9876='2018-19_working'!$A$2)*(raw!$B$2:$B$9876='2018-19_working'!$A25)*(raw!$E$2:$E$9876='2018-19_working'!$K$6)*(raw!$F$2:$F$9876='2018-19_working'!Q$7)*(raw!$G$2:$G$9876))</f>
        <v>0</v>
      </c>
      <c r="R25" s="8">
        <f>SUMPRODUCT((raw!$A$2:$A$9876='2018-19_working'!$A$2)*(raw!$B$2:$B$9876='2018-19_working'!$A25)*(raw!$E$2:$E$9876='2018-19_working'!$K$6)*(raw!$F$2:$F$9876='2018-19_working'!R$7)*(raw!$G$2:$G$9876))</f>
        <v>21</v>
      </c>
      <c r="T25" s="8">
        <f>SUMPRODUCT((raw!$A$2:$A$9876='2018-19_working'!$A$2)*(raw!$B$2:$B$9876='2018-19_working'!$A25)*(raw!$E$2:$E$9876='2018-19_working'!$T$6)*(raw!$F$2:$F$9876='2018-19_working'!T$7)*(raw!$G$2:$G$9876))</f>
        <v>0</v>
      </c>
      <c r="U25" s="8">
        <f>SUMPRODUCT((raw!$A$2:$A$9876='2018-19_working'!$A$2)*(raw!$B$2:$B$9876='2018-19_working'!$A25)*(raw!$E$2:$E$9876='2018-19_working'!$T$6)*(raw!$F$2:$F$9876='2018-19_working'!U$7)*(raw!$G$2:$G$9876))</f>
        <v>0</v>
      </c>
      <c r="V25" s="8">
        <f>SUMPRODUCT((raw!$A$2:$A$9876='2018-19_working'!$A$2)*(raw!$B$2:$B$9876='2018-19_working'!$A25)*(raw!$E$2:$E$9876='2018-19_working'!$T$6)*(raw!$F$2:$F$9876='2018-19_working'!V$7)*(raw!$G$2:$G$9876))</f>
        <v>0</v>
      </c>
      <c r="W25" s="8">
        <f>SUMPRODUCT((raw!$A$2:$A$9876='2018-19_working'!$A$2)*(raw!$B$2:$B$9876='2018-19_working'!$A25)*(raw!$E$2:$E$9876='2018-19_working'!$T$6)*(raw!$F$2:$F$9876='2018-19_working'!W$7)*(raw!$G$2:$G$9876))</f>
        <v>0</v>
      </c>
      <c r="X25" s="8">
        <f>SUMPRODUCT((raw!$A$2:$A$9876='2018-19_working'!$A$2)*(raw!$B$2:$B$9876='2018-19_working'!$A25)*(raw!$E$2:$E$9876='2018-19_working'!$T$6)*(raw!$F$2:$F$9876='2018-19_working'!X$7)*(raw!$G$2:$G$9876))</f>
        <v>0</v>
      </c>
      <c r="Y25" s="8">
        <f>SUMPRODUCT((raw!$A$2:$A$9876='2018-19_working'!$A$2)*(raw!$B$2:$B$9876='2018-19_working'!$A25)*(raw!$E$2:$E$9876='2018-19_working'!$T$6)*(raw!$F$2:$F$9876='2018-19_working'!Y$7)*(raw!$G$2:$G$9876))</f>
        <v>0</v>
      </c>
      <c r="Z25" s="8">
        <f>SUMPRODUCT((raw!$A$2:$A$9876='2018-19_working'!$A$2)*(raw!$B$2:$B$9876='2018-19_working'!$A25)*(raw!$E$2:$E$9876='2018-19_working'!$T$6)*(raw!$F$2:$F$9876='2018-19_working'!Z$7)*(raw!$G$2:$G$9876))</f>
        <v>0</v>
      </c>
      <c r="AA25" s="8">
        <f>SUMPRODUCT((raw!$A$2:$A$9876='2018-19_working'!$A$2)*(raw!$B$2:$B$9876='2018-19_working'!$A25)*(raw!$E$2:$E$9876='2018-19_working'!$T$6)*(raw!$F$2:$F$9876='2018-19_working'!AA$7)*(raw!$G$2:$G$9876))</f>
        <v>0</v>
      </c>
      <c r="AC25" s="8">
        <f>SUMPRODUCT((raw!$A$2:$A$9876='2018-19_working'!$A$2)*(raw!$B$2:$B$9876='2018-19_working'!$A25)*(raw!$E$2:$E$9876='2018-19_working'!$AC$6)*(raw!$F$2:$F$9876='2018-19_working'!AC$7)*(raw!$G$2:$G$9876))</f>
        <v>5</v>
      </c>
      <c r="AD25" s="8">
        <f>SUMPRODUCT((raw!$A$2:$A$9876='2018-19_working'!$A$2)*(raw!$B$2:$B$9876='2018-19_working'!$A25)*(raw!$E$2:$E$9876='2018-19_working'!$AC$6)*(raw!$F$2:$F$9876='2018-19_working'!AD$7)*(raw!$G$2:$G$9876))</f>
        <v>0</v>
      </c>
      <c r="AE25" s="8">
        <f>SUMPRODUCT((raw!$A$2:$A$9876='2018-19_working'!$A$2)*(raw!$B$2:$B$9876='2018-19_working'!$A25)*(raw!$E$2:$E$9876='2018-19_working'!$AC$6)*(raw!$F$2:$F$9876='2018-19_working'!AE$7)*(raw!$G$2:$G$9876))</f>
        <v>0</v>
      </c>
      <c r="AF25" s="8">
        <f>SUMPRODUCT((raw!$A$2:$A$9876='2018-19_working'!$A$2)*(raw!$B$2:$B$9876='2018-19_working'!$A25)*(raw!$E$2:$E$9876='2018-19_working'!$AC$6)*(raw!$F$2:$F$9876='2018-19_working'!AF$7)*(raw!$G$2:$G$9876))</f>
        <v>0</v>
      </c>
      <c r="AG25" s="8">
        <f>SUMPRODUCT((raw!$A$2:$A$9876='2018-19_working'!$A$2)*(raw!$B$2:$B$9876='2018-19_working'!$A25)*(raw!$E$2:$E$9876='2018-19_working'!$AC$6)*(raw!$F$2:$F$9876='2018-19_working'!AG$7)*(raw!$G$2:$G$9876))</f>
        <v>0</v>
      </c>
      <c r="AH25" s="8">
        <f>SUMPRODUCT((raw!$A$2:$A$9876='2018-19_working'!$A$2)*(raw!$B$2:$B$9876='2018-19_working'!$A25)*(raw!$E$2:$E$9876='2018-19_working'!$AC$6)*(raw!$F$2:$F$9876='2018-19_working'!AH$7)*(raw!$G$2:$G$9876))</f>
        <v>0</v>
      </c>
      <c r="AI25" s="8">
        <f>SUMPRODUCT((raw!$A$2:$A$9876='2018-19_working'!$A$2)*(raw!$B$2:$B$9876='2018-19_working'!$A25)*(raw!$E$2:$E$9876='2018-19_working'!$AC$6)*(raw!$F$2:$F$9876='2018-19_working'!AI$7)*(raw!$G$2:$G$9876))</f>
        <v>0</v>
      </c>
      <c r="AJ25" s="8">
        <f>SUMPRODUCT((raw!$A$2:$A$9876='2018-19_working'!$A$2)*(raw!$B$2:$B$9876='2018-19_working'!$A25)*(raw!$E$2:$E$9876='2018-19_working'!$AC$6)*(raw!$F$2:$F$9876='2018-19_working'!AJ$7)*(raw!$G$2:$G$9876))</f>
        <v>0</v>
      </c>
    </row>
    <row r="26" spans="1:36" x14ac:dyDescent="0.3">
      <c r="A26" s="8" t="s">
        <v>33</v>
      </c>
      <c r="B26" s="8">
        <f>SUMPRODUCT((raw!$A$2:$A$9876='2018-19_working'!$A$2)*(raw!$B$2:$B$9876='2018-19_working'!$A26)*(raw!$E$2:$E$9876='2018-19_working'!$B$6:$I$6)*(raw!$F$2:$F$9876='2018-19_working'!B$7)*(raw!$G$2:$G$9876))</f>
        <v>37</v>
      </c>
      <c r="C26" s="8">
        <f>SUMPRODUCT((raw!$A$2:$A$9876='2018-19_working'!$A$2)*(raw!$B$2:$B$9876='2018-19_working'!$A26)*(raw!$E$2:$E$9876='2018-19_working'!$B$6:$I$6)*(raw!$F$2:$F$9876='2018-19_working'!C$7)*(raw!$G$2:$G$9876))</f>
        <v>0</v>
      </c>
      <c r="D26" s="8">
        <f>SUMPRODUCT((raw!$A$2:$A$9876='2018-19_working'!$A$2)*(raw!$B$2:$B$9876='2018-19_working'!$A26)*(raw!$E$2:$E$9876='2018-19_working'!$B$6:$I$6)*(raw!$F$2:$F$9876='2018-19_working'!D$7)*(raw!$G$2:$G$9876))</f>
        <v>0</v>
      </c>
      <c r="E26" s="8">
        <f>SUMPRODUCT((raw!$A$2:$A$9876='2018-19_working'!$A$2)*(raw!$B$2:$B$9876='2018-19_working'!$A26)*(raw!$E$2:$E$9876='2018-19_working'!$B$6:$I$6)*(raw!$F$2:$F$9876='2018-19_working'!E$7)*(raw!$G$2:$G$9876))</f>
        <v>0</v>
      </c>
      <c r="F26" s="8">
        <f>SUMPRODUCT((raw!$A$2:$A$9876='2018-19_working'!$A$2)*(raw!$B$2:$B$9876='2018-19_working'!$A26)*(raw!$E$2:$E$9876='2018-19_working'!$B$6:$I$6)*(raw!$F$2:$F$9876='2018-19_working'!F$7)*(raw!$G$2:$G$9876))</f>
        <v>0</v>
      </c>
      <c r="G26" s="8">
        <f>SUMPRODUCT((raw!$A$2:$A$9876='2018-19_working'!$A$2)*(raw!$B$2:$B$9876='2018-19_working'!$A26)*(raw!$E$2:$E$9876='2018-19_working'!$B$6:$I$6)*(raw!$F$2:$F$9876='2018-19_working'!G$7)*(raw!$G$2:$G$9876))</f>
        <v>0</v>
      </c>
      <c r="H26" s="8">
        <f>SUMPRODUCT((raw!$A$2:$A$9876='2018-19_working'!$A$2)*(raw!$B$2:$B$9876='2018-19_working'!$A26)*(raw!$E$2:$E$9876='2018-19_working'!$B$6:$I$6)*(raw!$F$2:$F$9876='2018-19_working'!H$7)*(raw!$G$2:$G$9876))</f>
        <v>0</v>
      </c>
      <c r="I26" s="8">
        <f>SUMPRODUCT((raw!$A$2:$A$9876='2018-19_working'!$A$2)*(raw!$B$2:$B$9876='2018-19_working'!$A26)*(raw!$E$2:$E$9876='2018-19_working'!$B$6:$I$6)*(raw!$F$2:$F$9876='2018-19_working'!I$7)*(raw!$G$2:$G$9876))</f>
        <v>22</v>
      </c>
      <c r="K26" s="8">
        <f>SUMPRODUCT((raw!$A$2:$A$9876='2018-19_working'!$A$2)*(raw!$B$2:$B$9876='2018-19_working'!$A26)*(raw!$E$2:$E$9876='2018-19_working'!$K$6)*(raw!$F$2:$F$9876='2018-19_working'!K$7)*(raw!$G$2:$G$9876))</f>
        <v>100</v>
      </c>
      <c r="L26" s="8">
        <f>SUMPRODUCT((raw!$A$2:$A$9876='2018-19_working'!$A$2)*(raw!$B$2:$B$9876='2018-19_working'!$A26)*(raw!$E$2:$E$9876='2018-19_working'!$K$6)*(raw!$F$2:$F$9876='2018-19_working'!L$7)*(raw!$G$2:$G$9876))</f>
        <v>4</v>
      </c>
      <c r="M26" s="8">
        <f>SUMPRODUCT((raw!$A$2:$A$9876='2018-19_working'!$A$2)*(raw!$B$2:$B$9876='2018-19_working'!$A26)*(raw!$E$2:$E$9876='2018-19_working'!$K$6)*(raw!$F$2:$F$9876='2018-19_working'!M$7)*(raw!$G$2:$G$9876))</f>
        <v>0</v>
      </c>
      <c r="N26" s="8">
        <f>SUMPRODUCT((raw!$A$2:$A$9876='2018-19_working'!$A$2)*(raw!$B$2:$B$9876='2018-19_working'!$A26)*(raw!$E$2:$E$9876='2018-19_working'!$K$6)*(raw!$F$2:$F$9876='2018-19_working'!N$7)*(raw!$G$2:$G$9876))</f>
        <v>0</v>
      </c>
      <c r="O26" s="8">
        <f>SUMPRODUCT((raw!$A$2:$A$9876='2018-19_working'!$A$2)*(raw!$B$2:$B$9876='2018-19_working'!$A26)*(raw!$E$2:$E$9876='2018-19_working'!$K$6)*(raw!$F$2:$F$9876='2018-19_working'!O$7)*(raw!$G$2:$G$9876))</f>
        <v>1</v>
      </c>
      <c r="P26" s="8">
        <f>SUMPRODUCT((raw!$A$2:$A$9876='2018-19_working'!$A$2)*(raw!$B$2:$B$9876='2018-19_working'!$A26)*(raw!$E$2:$E$9876='2018-19_working'!$K$6)*(raw!$F$2:$F$9876='2018-19_working'!P$7)*(raw!$G$2:$G$9876))</f>
        <v>0</v>
      </c>
      <c r="Q26" s="8">
        <f>SUMPRODUCT((raw!$A$2:$A$9876='2018-19_working'!$A$2)*(raw!$B$2:$B$9876='2018-19_working'!$A26)*(raw!$E$2:$E$9876='2018-19_working'!$K$6)*(raw!$F$2:$F$9876='2018-19_working'!Q$7)*(raw!$G$2:$G$9876))</f>
        <v>0</v>
      </c>
      <c r="R26" s="8">
        <f>SUMPRODUCT((raw!$A$2:$A$9876='2018-19_working'!$A$2)*(raw!$B$2:$B$9876='2018-19_working'!$A26)*(raw!$E$2:$E$9876='2018-19_working'!$K$6)*(raw!$F$2:$F$9876='2018-19_working'!R$7)*(raw!$G$2:$G$9876))</f>
        <v>5</v>
      </c>
      <c r="T26" s="8">
        <f>SUMPRODUCT((raw!$A$2:$A$9876='2018-19_working'!$A$2)*(raw!$B$2:$B$9876='2018-19_working'!$A26)*(raw!$E$2:$E$9876='2018-19_working'!$T$6)*(raw!$F$2:$F$9876='2018-19_working'!T$7)*(raw!$G$2:$G$9876))</f>
        <v>3</v>
      </c>
      <c r="U26" s="8">
        <f>SUMPRODUCT((raw!$A$2:$A$9876='2018-19_working'!$A$2)*(raw!$B$2:$B$9876='2018-19_working'!$A26)*(raw!$E$2:$E$9876='2018-19_working'!$T$6)*(raw!$F$2:$F$9876='2018-19_working'!U$7)*(raw!$G$2:$G$9876))</f>
        <v>0</v>
      </c>
      <c r="V26" s="8">
        <f>SUMPRODUCT((raw!$A$2:$A$9876='2018-19_working'!$A$2)*(raw!$B$2:$B$9876='2018-19_working'!$A26)*(raw!$E$2:$E$9876='2018-19_working'!$T$6)*(raw!$F$2:$F$9876='2018-19_working'!V$7)*(raw!$G$2:$G$9876))</f>
        <v>0</v>
      </c>
      <c r="W26" s="8">
        <f>SUMPRODUCT((raw!$A$2:$A$9876='2018-19_working'!$A$2)*(raw!$B$2:$B$9876='2018-19_working'!$A26)*(raw!$E$2:$E$9876='2018-19_working'!$T$6)*(raw!$F$2:$F$9876='2018-19_working'!W$7)*(raw!$G$2:$G$9876))</f>
        <v>0</v>
      </c>
      <c r="X26" s="8">
        <f>SUMPRODUCT((raw!$A$2:$A$9876='2018-19_working'!$A$2)*(raw!$B$2:$B$9876='2018-19_working'!$A26)*(raw!$E$2:$E$9876='2018-19_working'!$T$6)*(raw!$F$2:$F$9876='2018-19_working'!X$7)*(raw!$G$2:$G$9876))</f>
        <v>0</v>
      </c>
      <c r="Y26" s="8">
        <f>SUMPRODUCT((raw!$A$2:$A$9876='2018-19_working'!$A$2)*(raw!$B$2:$B$9876='2018-19_working'!$A26)*(raw!$E$2:$E$9876='2018-19_working'!$T$6)*(raw!$F$2:$F$9876='2018-19_working'!Y$7)*(raw!$G$2:$G$9876))</f>
        <v>0</v>
      </c>
      <c r="Z26" s="8">
        <f>SUMPRODUCT((raw!$A$2:$A$9876='2018-19_working'!$A$2)*(raw!$B$2:$B$9876='2018-19_working'!$A26)*(raw!$E$2:$E$9876='2018-19_working'!$T$6)*(raw!$F$2:$F$9876='2018-19_working'!Z$7)*(raw!$G$2:$G$9876))</f>
        <v>0</v>
      </c>
      <c r="AA26" s="8">
        <f>SUMPRODUCT((raw!$A$2:$A$9876='2018-19_working'!$A$2)*(raw!$B$2:$B$9876='2018-19_working'!$A26)*(raw!$E$2:$E$9876='2018-19_working'!$T$6)*(raw!$F$2:$F$9876='2018-19_working'!AA$7)*(raw!$G$2:$G$9876))</f>
        <v>0</v>
      </c>
      <c r="AC26" s="8">
        <f>SUMPRODUCT((raw!$A$2:$A$9876='2018-19_working'!$A$2)*(raw!$B$2:$B$9876='2018-19_working'!$A26)*(raw!$E$2:$E$9876='2018-19_working'!$AC$6)*(raw!$F$2:$F$9876='2018-19_working'!AC$7)*(raw!$G$2:$G$9876))</f>
        <v>26</v>
      </c>
      <c r="AD26" s="8">
        <f>SUMPRODUCT((raw!$A$2:$A$9876='2018-19_working'!$A$2)*(raw!$B$2:$B$9876='2018-19_working'!$A26)*(raw!$E$2:$E$9876='2018-19_working'!$AC$6)*(raw!$F$2:$F$9876='2018-19_working'!AD$7)*(raw!$G$2:$G$9876))</f>
        <v>0</v>
      </c>
      <c r="AE26" s="8">
        <f>SUMPRODUCT((raw!$A$2:$A$9876='2018-19_working'!$A$2)*(raw!$B$2:$B$9876='2018-19_working'!$A26)*(raw!$E$2:$E$9876='2018-19_working'!$AC$6)*(raw!$F$2:$F$9876='2018-19_working'!AE$7)*(raw!$G$2:$G$9876))</f>
        <v>0</v>
      </c>
      <c r="AF26" s="8">
        <f>SUMPRODUCT((raw!$A$2:$A$9876='2018-19_working'!$A$2)*(raw!$B$2:$B$9876='2018-19_working'!$A26)*(raw!$E$2:$E$9876='2018-19_working'!$AC$6)*(raw!$F$2:$F$9876='2018-19_working'!AF$7)*(raw!$G$2:$G$9876))</f>
        <v>0</v>
      </c>
      <c r="AG26" s="8">
        <f>SUMPRODUCT((raw!$A$2:$A$9876='2018-19_working'!$A$2)*(raw!$B$2:$B$9876='2018-19_working'!$A26)*(raw!$E$2:$E$9876='2018-19_working'!$AC$6)*(raw!$F$2:$F$9876='2018-19_working'!AG$7)*(raw!$G$2:$G$9876))</f>
        <v>0</v>
      </c>
      <c r="AH26" s="8">
        <f>SUMPRODUCT((raw!$A$2:$A$9876='2018-19_working'!$A$2)*(raw!$B$2:$B$9876='2018-19_working'!$A26)*(raw!$E$2:$E$9876='2018-19_working'!$AC$6)*(raw!$F$2:$F$9876='2018-19_working'!AH$7)*(raw!$G$2:$G$9876))</f>
        <v>0</v>
      </c>
      <c r="AI26" s="8">
        <f>SUMPRODUCT((raw!$A$2:$A$9876='2018-19_working'!$A$2)*(raw!$B$2:$B$9876='2018-19_working'!$A26)*(raw!$E$2:$E$9876='2018-19_working'!$AC$6)*(raw!$F$2:$F$9876='2018-19_working'!AI$7)*(raw!$G$2:$G$9876))</f>
        <v>0</v>
      </c>
      <c r="AJ26" s="8">
        <f>SUMPRODUCT((raw!$A$2:$A$9876='2018-19_working'!$A$2)*(raw!$B$2:$B$9876='2018-19_working'!$A26)*(raw!$E$2:$E$9876='2018-19_working'!$AC$6)*(raw!$F$2:$F$9876='2018-19_working'!AJ$7)*(raw!$G$2:$G$9876))</f>
        <v>2</v>
      </c>
    </row>
    <row r="27" spans="1:36" x14ac:dyDescent="0.3">
      <c r="A27" s="8" t="s">
        <v>34</v>
      </c>
      <c r="B27" s="8">
        <f>SUMPRODUCT((raw!$A$2:$A$9876='2018-19_working'!$A$2)*(raw!$B$2:$B$9876='2018-19_working'!$A27)*(raw!$E$2:$E$9876='2018-19_working'!$B$6:$I$6)*(raw!$F$2:$F$9876='2018-19_working'!B$7)*(raw!$G$2:$G$9876))</f>
        <v>23</v>
      </c>
      <c r="C27" s="8">
        <f>SUMPRODUCT((raw!$A$2:$A$9876='2018-19_working'!$A$2)*(raw!$B$2:$B$9876='2018-19_working'!$A27)*(raw!$E$2:$E$9876='2018-19_working'!$B$6:$I$6)*(raw!$F$2:$F$9876='2018-19_working'!C$7)*(raw!$G$2:$G$9876))</f>
        <v>0</v>
      </c>
      <c r="D27" s="8">
        <f>SUMPRODUCT((raw!$A$2:$A$9876='2018-19_working'!$A$2)*(raw!$B$2:$B$9876='2018-19_working'!$A27)*(raw!$E$2:$E$9876='2018-19_working'!$B$6:$I$6)*(raw!$F$2:$F$9876='2018-19_working'!D$7)*(raw!$G$2:$G$9876))</f>
        <v>1</v>
      </c>
      <c r="E27" s="8">
        <f>SUMPRODUCT((raw!$A$2:$A$9876='2018-19_working'!$A$2)*(raw!$B$2:$B$9876='2018-19_working'!$A27)*(raw!$E$2:$E$9876='2018-19_working'!$B$6:$I$6)*(raw!$F$2:$F$9876='2018-19_working'!E$7)*(raw!$G$2:$G$9876))</f>
        <v>0</v>
      </c>
      <c r="F27" s="8">
        <f>SUMPRODUCT((raw!$A$2:$A$9876='2018-19_working'!$A$2)*(raw!$B$2:$B$9876='2018-19_working'!$A27)*(raw!$E$2:$E$9876='2018-19_working'!$B$6:$I$6)*(raw!$F$2:$F$9876='2018-19_working'!F$7)*(raw!$G$2:$G$9876))</f>
        <v>0</v>
      </c>
      <c r="G27" s="8">
        <f>SUMPRODUCT((raw!$A$2:$A$9876='2018-19_working'!$A$2)*(raw!$B$2:$B$9876='2018-19_working'!$A27)*(raw!$E$2:$E$9876='2018-19_working'!$B$6:$I$6)*(raw!$F$2:$F$9876='2018-19_working'!G$7)*(raw!$G$2:$G$9876))</f>
        <v>0</v>
      </c>
      <c r="H27" s="8">
        <f>SUMPRODUCT((raw!$A$2:$A$9876='2018-19_working'!$A$2)*(raw!$B$2:$B$9876='2018-19_working'!$A27)*(raw!$E$2:$E$9876='2018-19_working'!$B$6:$I$6)*(raw!$F$2:$F$9876='2018-19_working'!H$7)*(raw!$G$2:$G$9876))</f>
        <v>0</v>
      </c>
      <c r="I27" s="8">
        <f>SUMPRODUCT((raw!$A$2:$A$9876='2018-19_working'!$A$2)*(raw!$B$2:$B$9876='2018-19_working'!$A27)*(raw!$E$2:$E$9876='2018-19_working'!$B$6:$I$6)*(raw!$F$2:$F$9876='2018-19_working'!I$7)*(raw!$G$2:$G$9876))</f>
        <v>1</v>
      </c>
      <c r="K27" s="8">
        <f>SUMPRODUCT((raw!$A$2:$A$9876='2018-19_working'!$A$2)*(raw!$B$2:$B$9876='2018-19_working'!$A27)*(raw!$E$2:$E$9876='2018-19_working'!$K$6)*(raw!$F$2:$F$9876='2018-19_working'!K$7)*(raw!$G$2:$G$9876))</f>
        <v>52</v>
      </c>
      <c r="L27" s="8">
        <f>SUMPRODUCT((raw!$A$2:$A$9876='2018-19_working'!$A$2)*(raw!$B$2:$B$9876='2018-19_working'!$A27)*(raw!$E$2:$E$9876='2018-19_working'!$K$6)*(raw!$F$2:$F$9876='2018-19_working'!L$7)*(raw!$G$2:$G$9876))</f>
        <v>2</v>
      </c>
      <c r="M27" s="8">
        <f>SUMPRODUCT((raw!$A$2:$A$9876='2018-19_working'!$A$2)*(raw!$B$2:$B$9876='2018-19_working'!$A27)*(raw!$E$2:$E$9876='2018-19_working'!$K$6)*(raw!$F$2:$F$9876='2018-19_working'!M$7)*(raw!$G$2:$G$9876))</f>
        <v>0</v>
      </c>
      <c r="N27" s="8">
        <f>SUMPRODUCT((raw!$A$2:$A$9876='2018-19_working'!$A$2)*(raw!$B$2:$B$9876='2018-19_working'!$A27)*(raw!$E$2:$E$9876='2018-19_working'!$K$6)*(raw!$F$2:$F$9876='2018-19_working'!N$7)*(raw!$G$2:$G$9876))</f>
        <v>0</v>
      </c>
      <c r="O27" s="8">
        <f>SUMPRODUCT((raw!$A$2:$A$9876='2018-19_working'!$A$2)*(raw!$B$2:$B$9876='2018-19_working'!$A27)*(raw!$E$2:$E$9876='2018-19_working'!$K$6)*(raw!$F$2:$F$9876='2018-19_working'!O$7)*(raw!$G$2:$G$9876))</f>
        <v>0</v>
      </c>
      <c r="P27" s="8">
        <f>SUMPRODUCT((raw!$A$2:$A$9876='2018-19_working'!$A$2)*(raw!$B$2:$B$9876='2018-19_working'!$A27)*(raw!$E$2:$E$9876='2018-19_working'!$K$6)*(raw!$F$2:$F$9876='2018-19_working'!P$7)*(raw!$G$2:$G$9876))</f>
        <v>0</v>
      </c>
      <c r="Q27" s="8">
        <f>SUMPRODUCT((raw!$A$2:$A$9876='2018-19_working'!$A$2)*(raw!$B$2:$B$9876='2018-19_working'!$A27)*(raw!$E$2:$E$9876='2018-19_working'!$K$6)*(raw!$F$2:$F$9876='2018-19_working'!Q$7)*(raw!$G$2:$G$9876))</f>
        <v>0</v>
      </c>
      <c r="R27" s="8">
        <f>SUMPRODUCT((raw!$A$2:$A$9876='2018-19_working'!$A$2)*(raw!$B$2:$B$9876='2018-19_working'!$A27)*(raw!$E$2:$E$9876='2018-19_working'!$K$6)*(raw!$F$2:$F$9876='2018-19_working'!R$7)*(raw!$G$2:$G$9876))</f>
        <v>9</v>
      </c>
      <c r="T27" s="8">
        <f>SUMPRODUCT((raw!$A$2:$A$9876='2018-19_working'!$A$2)*(raw!$B$2:$B$9876='2018-19_working'!$A27)*(raw!$E$2:$E$9876='2018-19_working'!$T$6)*(raw!$F$2:$F$9876='2018-19_working'!T$7)*(raw!$G$2:$G$9876))</f>
        <v>2</v>
      </c>
      <c r="U27" s="8">
        <f>SUMPRODUCT((raw!$A$2:$A$9876='2018-19_working'!$A$2)*(raw!$B$2:$B$9876='2018-19_working'!$A27)*(raw!$E$2:$E$9876='2018-19_working'!$T$6)*(raw!$F$2:$F$9876='2018-19_working'!U$7)*(raw!$G$2:$G$9876))</f>
        <v>0</v>
      </c>
      <c r="V27" s="8">
        <f>SUMPRODUCT((raw!$A$2:$A$9876='2018-19_working'!$A$2)*(raw!$B$2:$B$9876='2018-19_working'!$A27)*(raw!$E$2:$E$9876='2018-19_working'!$T$6)*(raw!$F$2:$F$9876='2018-19_working'!V$7)*(raw!$G$2:$G$9876))</f>
        <v>0</v>
      </c>
      <c r="W27" s="8">
        <f>SUMPRODUCT((raw!$A$2:$A$9876='2018-19_working'!$A$2)*(raw!$B$2:$B$9876='2018-19_working'!$A27)*(raw!$E$2:$E$9876='2018-19_working'!$T$6)*(raw!$F$2:$F$9876='2018-19_working'!W$7)*(raw!$G$2:$G$9876))</f>
        <v>0</v>
      </c>
      <c r="X27" s="8">
        <f>SUMPRODUCT((raw!$A$2:$A$9876='2018-19_working'!$A$2)*(raw!$B$2:$B$9876='2018-19_working'!$A27)*(raw!$E$2:$E$9876='2018-19_working'!$T$6)*(raw!$F$2:$F$9876='2018-19_working'!X$7)*(raw!$G$2:$G$9876))</f>
        <v>0</v>
      </c>
      <c r="Y27" s="8">
        <f>SUMPRODUCT((raw!$A$2:$A$9876='2018-19_working'!$A$2)*(raw!$B$2:$B$9876='2018-19_working'!$A27)*(raw!$E$2:$E$9876='2018-19_working'!$T$6)*(raw!$F$2:$F$9876='2018-19_working'!Y$7)*(raw!$G$2:$G$9876))</f>
        <v>0</v>
      </c>
      <c r="Z27" s="8">
        <f>SUMPRODUCT((raw!$A$2:$A$9876='2018-19_working'!$A$2)*(raw!$B$2:$B$9876='2018-19_working'!$A27)*(raw!$E$2:$E$9876='2018-19_working'!$T$6)*(raw!$F$2:$F$9876='2018-19_working'!Z$7)*(raw!$G$2:$G$9876))</f>
        <v>0</v>
      </c>
      <c r="AA27" s="8">
        <f>SUMPRODUCT((raw!$A$2:$A$9876='2018-19_working'!$A$2)*(raw!$B$2:$B$9876='2018-19_working'!$A27)*(raw!$E$2:$E$9876='2018-19_working'!$T$6)*(raw!$F$2:$F$9876='2018-19_working'!AA$7)*(raw!$G$2:$G$9876))</f>
        <v>0</v>
      </c>
      <c r="AC27" s="8">
        <f>SUMPRODUCT((raw!$A$2:$A$9876='2018-19_working'!$A$2)*(raw!$B$2:$B$9876='2018-19_working'!$A27)*(raw!$E$2:$E$9876='2018-19_working'!$AC$6)*(raw!$F$2:$F$9876='2018-19_working'!AC$7)*(raw!$G$2:$G$9876))</f>
        <v>19</v>
      </c>
      <c r="AD27" s="8">
        <f>SUMPRODUCT((raw!$A$2:$A$9876='2018-19_working'!$A$2)*(raw!$B$2:$B$9876='2018-19_working'!$A27)*(raw!$E$2:$E$9876='2018-19_working'!$AC$6)*(raw!$F$2:$F$9876='2018-19_working'!AD$7)*(raw!$G$2:$G$9876))</f>
        <v>2</v>
      </c>
      <c r="AE27" s="8">
        <f>SUMPRODUCT((raw!$A$2:$A$9876='2018-19_working'!$A$2)*(raw!$B$2:$B$9876='2018-19_working'!$A27)*(raw!$E$2:$E$9876='2018-19_working'!$AC$6)*(raw!$F$2:$F$9876='2018-19_working'!AE$7)*(raw!$G$2:$G$9876))</f>
        <v>0</v>
      </c>
      <c r="AF27" s="8">
        <f>SUMPRODUCT((raw!$A$2:$A$9876='2018-19_working'!$A$2)*(raw!$B$2:$B$9876='2018-19_working'!$A27)*(raw!$E$2:$E$9876='2018-19_working'!$AC$6)*(raw!$F$2:$F$9876='2018-19_working'!AF$7)*(raw!$G$2:$G$9876))</f>
        <v>0</v>
      </c>
      <c r="AG27" s="8">
        <f>SUMPRODUCT((raw!$A$2:$A$9876='2018-19_working'!$A$2)*(raw!$B$2:$B$9876='2018-19_working'!$A27)*(raw!$E$2:$E$9876='2018-19_working'!$AC$6)*(raw!$F$2:$F$9876='2018-19_working'!AG$7)*(raw!$G$2:$G$9876))</f>
        <v>1</v>
      </c>
      <c r="AH27" s="8">
        <f>SUMPRODUCT((raw!$A$2:$A$9876='2018-19_working'!$A$2)*(raw!$B$2:$B$9876='2018-19_working'!$A27)*(raw!$E$2:$E$9876='2018-19_working'!$AC$6)*(raw!$F$2:$F$9876='2018-19_working'!AH$7)*(raw!$G$2:$G$9876))</f>
        <v>0</v>
      </c>
      <c r="AI27" s="8">
        <f>SUMPRODUCT((raw!$A$2:$A$9876='2018-19_working'!$A$2)*(raw!$B$2:$B$9876='2018-19_working'!$A27)*(raw!$E$2:$E$9876='2018-19_working'!$AC$6)*(raw!$F$2:$F$9876='2018-19_working'!AI$7)*(raw!$G$2:$G$9876))</f>
        <v>0</v>
      </c>
      <c r="AJ27" s="8">
        <f>SUMPRODUCT((raw!$A$2:$A$9876='2018-19_working'!$A$2)*(raw!$B$2:$B$9876='2018-19_working'!$A27)*(raw!$E$2:$E$9876='2018-19_working'!$AC$6)*(raw!$F$2:$F$9876='2018-19_working'!AJ$7)*(raw!$G$2:$G$9876))</f>
        <v>3</v>
      </c>
    </row>
    <row r="28" spans="1:36" x14ac:dyDescent="0.3">
      <c r="A28" s="8" t="s">
        <v>35</v>
      </c>
      <c r="B28" s="8">
        <f>SUMPRODUCT((raw!$A$2:$A$9876='2018-19_working'!$A$2)*(raw!$B$2:$B$9876='2018-19_working'!$A28)*(raw!$E$2:$E$9876='2018-19_working'!$B$6:$I$6)*(raw!$F$2:$F$9876='2018-19_working'!B$7)*(raw!$G$2:$G$9876))</f>
        <v>24</v>
      </c>
      <c r="C28" s="8">
        <f>SUMPRODUCT((raw!$A$2:$A$9876='2018-19_working'!$A$2)*(raw!$B$2:$B$9876='2018-19_working'!$A28)*(raw!$E$2:$E$9876='2018-19_working'!$B$6:$I$6)*(raw!$F$2:$F$9876='2018-19_working'!C$7)*(raw!$G$2:$G$9876))</f>
        <v>0</v>
      </c>
      <c r="D28" s="8">
        <f>SUMPRODUCT((raw!$A$2:$A$9876='2018-19_working'!$A$2)*(raw!$B$2:$B$9876='2018-19_working'!$A28)*(raw!$E$2:$E$9876='2018-19_working'!$B$6:$I$6)*(raw!$F$2:$F$9876='2018-19_working'!D$7)*(raw!$G$2:$G$9876))</f>
        <v>2</v>
      </c>
      <c r="E28" s="8">
        <f>SUMPRODUCT((raw!$A$2:$A$9876='2018-19_working'!$A$2)*(raw!$B$2:$B$9876='2018-19_working'!$A28)*(raw!$E$2:$E$9876='2018-19_working'!$B$6:$I$6)*(raw!$F$2:$F$9876='2018-19_working'!E$7)*(raw!$G$2:$G$9876))</f>
        <v>0</v>
      </c>
      <c r="F28" s="8">
        <f>SUMPRODUCT((raw!$A$2:$A$9876='2018-19_working'!$A$2)*(raw!$B$2:$B$9876='2018-19_working'!$A28)*(raw!$E$2:$E$9876='2018-19_working'!$B$6:$I$6)*(raw!$F$2:$F$9876='2018-19_working'!F$7)*(raw!$G$2:$G$9876))</f>
        <v>0</v>
      </c>
      <c r="G28" s="8">
        <f>SUMPRODUCT((raw!$A$2:$A$9876='2018-19_working'!$A$2)*(raw!$B$2:$B$9876='2018-19_working'!$A28)*(raw!$E$2:$E$9876='2018-19_working'!$B$6:$I$6)*(raw!$F$2:$F$9876='2018-19_working'!G$7)*(raw!$G$2:$G$9876))</f>
        <v>0</v>
      </c>
      <c r="H28" s="8">
        <f>SUMPRODUCT((raw!$A$2:$A$9876='2018-19_working'!$A$2)*(raw!$B$2:$B$9876='2018-19_working'!$A28)*(raw!$E$2:$E$9876='2018-19_working'!$B$6:$I$6)*(raw!$F$2:$F$9876='2018-19_working'!H$7)*(raw!$G$2:$G$9876))</f>
        <v>0</v>
      </c>
      <c r="I28" s="8">
        <f>SUMPRODUCT((raw!$A$2:$A$9876='2018-19_working'!$A$2)*(raw!$B$2:$B$9876='2018-19_working'!$A28)*(raw!$E$2:$E$9876='2018-19_working'!$B$6:$I$6)*(raw!$F$2:$F$9876='2018-19_working'!I$7)*(raw!$G$2:$G$9876))</f>
        <v>0</v>
      </c>
      <c r="K28" s="8">
        <f>SUMPRODUCT((raw!$A$2:$A$9876='2018-19_working'!$A$2)*(raw!$B$2:$B$9876='2018-19_working'!$A28)*(raw!$E$2:$E$9876='2018-19_working'!$K$6)*(raw!$F$2:$F$9876='2018-19_working'!K$7)*(raw!$G$2:$G$9876))</f>
        <v>21</v>
      </c>
      <c r="L28" s="8">
        <f>SUMPRODUCT((raw!$A$2:$A$9876='2018-19_working'!$A$2)*(raw!$B$2:$B$9876='2018-19_working'!$A28)*(raw!$E$2:$E$9876='2018-19_working'!$K$6)*(raw!$F$2:$F$9876='2018-19_working'!L$7)*(raw!$G$2:$G$9876))</f>
        <v>0</v>
      </c>
      <c r="M28" s="8">
        <f>SUMPRODUCT((raw!$A$2:$A$9876='2018-19_working'!$A$2)*(raw!$B$2:$B$9876='2018-19_working'!$A28)*(raw!$E$2:$E$9876='2018-19_working'!$K$6)*(raw!$F$2:$F$9876='2018-19_working'!M$7)*(raw!$G$2:$G$9876))</f>
        <v>0</v>
      </c>
      <c r="N28" s="8">
        <f>SUMPRODUCT((raw!$A$2:$A$9876='2018-19_working'!$A$2)*(raw!$B$2:$B$9876='2018-19_working'!$A28)*(raw!$E$2:$E$9876='2018-19_working'!$K$6)*(raw!$F$2:$F$9876='2018-19_working'!N$7)*(raw!$G$2:$G$9876))</f>
        <v>0</v>
      </c>
      <c r="O28" s="8">
        <f>SUMPRODUCT((raw!$A$2:$A$9876='2018-19_working'!$A$2)*(raw!$B$2:$B$9876='2018-19_working'!$A28)*(raw!$E$2:$E$9876='2018-19_working'!$K$6)*(raw!$F$2:$F$9876='2018-19_working'!O$7)*(raw!$G$2:$G$9876))</f>
        <v>0</v>
      </c>
      <c r="P28" s="8">
        <f>SUMPRODUCT((raw!$A$2:$A$9876='2018-19_working'!$A$2)*(raw!$B$2:$B$9876='2018-19_working'!$A28)*(raw!$E$2:$E$9876='2018-19_working'!$K$6)*(raw!$F$2:$F$9876='2018-19_working'!P$7)*(raw!$G$2:$G$9876))</f>
        <v>0</v>
      </c>
      <c r="Q28" s="8">
        <f>SUMPRODUCT((raw!$A$2:$A$9876='2018-19_working'!$A$2)*(raw!$B$2:$B$9876='2018-19_working'!$A28)*(raw!$E$2:$E$9876='2018-19_working'!$K$6)*(raw!$F$2:$F$9876='2018-19_working'!Q$7)*(raw!$G$2:$G$9876))</f>
        <v>0</v>
      </c>
      <c r="R28" s="8">
        <f>SUMPRODUCT((raw!$A$2:$A$9876='2018-19_working'!$A$2)*(raw!$B$2:$B$9876='2018-19_working'!$A28)*(raw!$E$2:$E$9876='2018-19_working'!$K$6)*(raw!$F$2:$F$9876='2018-19_working'!R$7)*(raw!$G$2:$G$9876))</f>
        <v>1</v>
      </c>
      <c r="T28" s="8">
        <f>SUMPRODUCT((raw!$A$2:$A$9876='2018-19_working'!$A$2)*(raw!$B$2:$B$9876='2018-19_working'!$A28)*(raw!$E$2:$E$9876='2018-19_working'!$T$6)*(raw!$F$2:$F$9876='2018-19_working'!T$7)*(raw!$G$2:$G$9876))</f>
        <v>0</v>
      </c>
      <c r="U28" s="8">
        <f>SUMPRODUCT((raw!$A$2:$A$9876='2018-19_working'!$A$2)*(raw!$B$2:$B$9876='2018-19_working'!$A28)*(raw!$E$2:$E$9876='2018-19_working'!$T$6)*(raw!$F$2:$F$9876='2018-19_working'!U$7)*(raw!$G$2:$G$9876))</f>
        <v>0</v>
      </c>
      <c r="V28" s="8">
        <f>SUMPRODUCT((raw!$A$2:$A$9876='2018-19_working'!$A$2)*(raw!$B$2:$B$9876='2018-19_working'!$A28)*(raw!$E$2:$E$9876='2018-19_working'!$T$6)*(raw!$F$2:$F$9876='2018-19_working'!V$7)*(raw!$G$2:$G$9876))</f>
        <v>0</v>
      </c>
      <c r="W28" s="8">
        <f>SUMPRODUCT((raw!$A$2:$A$9876='2018-19_working'!$A$2)*(raw!$B$2:$B$9876='2018-19_working'!$A28)*(raw!$E$2:$E$9876='2018-19_working'!$T$6)*(raw!$F$2:$F$9876='2018-19_working'!W$7)*(raw!$G$2:$G$9876))</f>
        <v>0</v>
      </c>
      <c r="X28" s="8">
        <f>SUMPRODUCT((raw!$A$2:$A$9876='2018-19_working'!$A$2)*(raw!$B$2:$B$9876='2018-19_working'!$A28)*(raw!$E$2:$E$9876='2018-19_working'!$T$6)*(raw!$F$2:$F$9876='2018-19_working'!X$7)*(raw!$G$2:$G$9876))</f>
        <v>0</v>
      </c>
      <c r="Y28" s="8">
        <f>SUMPRODUCT((raw!$A$2:$A$9876='2018-19_working'!$A$2)*(raw!$B$2:$B$9876='2018-19_working'!$A28)*(raw!$E$2:$E$9876='2018-19_working'!$T$6)*(raw!$F$2:$F$9876='2018-19_working'!Y$7)*(raw!$G$2:$G$9876))</f>
        <v>0</v>
      </c>
      <c r="Z28" s="8">
        <f>SUMPRODUCT((raw!$A$2:$A$9876='2018-19_working'!$A$2)*(raw!$B$2:$B$9876='2018-19_working'!$A28)*(raw!$E$2:$E$9876='2018-19_working'!$T$6)*(raw!$F$2:$F$9876='2018-19_working'!Z$7)*(raw!$G$2:$G$9876))</f>
        <v>0</v>
      </c>
      <c r="AA28" s="8">
        <f>SUMPRODUCT((raw!$A$2:$A$9876='2018-19_working'!$A$2)*(raw!$B$2:$B$9876='2018-19_working'!$A28)*(raw!$E$2:$E$9876='2018-19_working'!$T$6)*(raw!$F$2:$F$9876='2018-19_working'!AA$7)*(raw!$G$2:$G$9876))</f>
        <v>0</v>
      </c>
      <c r="AC28" s="8">
        <f>SUMPRODUCT((raw!$A$2:$A$9876='2018-19_working'!$A$2)*(raw!$B$2:$B$9876='2018-19_working'!$A28)*(raw!$E$2:$E$9876='2018-19_working'!$AC$6)*(raw!$F$2:$F$9876='2018-19_working'!AC$7)*(raw!$G$2:$G$9876))</f>
        <v>10</v>
      </c>
      <c r="AD28" s="8">
        <f>SUMPRODUCT((raw!$A$2:$A$9876='2018-19_working'!$A$2)*(raw!$B$2:$B$9876='2018-19_working'!$A28)*(raw!$E$2:$E$9876='2018-19_working'!$AC$6)*(raw!$F$2:$F$9876='2018-19_working'!AD$7)*(raw!$G$2:$G$9876))</f>
        <v>0</v>
      </c>
      <c r="AE28" s="8">
        <f>SUMPRODUCT((raw!$A$2:$A$9876='2018-19_working'!$A$2)*(raw!$B$2:$B$9876='2018-19_working'!$A28)*(raw!$E$2:$E$9876='2018-19_working'!$AC$6)*(raw!$F$2:$F$9876='2018-19_working'!AE$7)*(raw!$G$2:$G$9876))</f>
        <v>1</v>
      </c>
      <c r="AF28" s="8">
        <f>SUMPRODUCT((raw!$A$2:$A$9876='2018-19_working'!$A$2)*(raw!$B$2:$B$9876='2018-19_working'!$A28)*(raw!$E$2:$E$9876='2018-19_working'!$AC$6)*(raw!$F$2:$F$9876='2018-19_working'!AF$7)*(raw!$G$2:$G$9876))</f>
        <v>0</v>
      </c>
      <c r="AG28" s="8">
        <f>SUMPRODUCT((raw!$A$2:$A$9876='2018-19_working'!$A$2)*(raw!$B$2:$B$9876='2018-19_working'!$A28)*(raw!$E$2:$E$9876='2018-19_working'!$AC$6)*(raw!$F$2:$F$9876='2018-19_working'!AG$7)*(raw!$G$2:$G$9876))</f>
        <v>1</v>
      </c>
      <c r="AH28" s="8">
        <f>SUMPRODUCT((raw!$A$2:$A$9876='2018-19_working'!$A$2)*(raw!$B$2:$B$9876='2018-19_working'!$A28)*(raw!$E$2:$E$9876='2018-19_working'!$AC$6)*(raw!$F$2:$F$9876='2018-19_working'!AH$7)*(raw!$G$2:$G$9876))</f>
        <v>0</v>
      </c>
      <c r="AI28" s="8">
        <f>SUMPRODUCT((raw!$A$2:$A$9876='2018-19_working'!$A$2)*(raw!$B$2:$B$9876='2018-19_working'!$A28)*(raw!$E$2:$E$9876='2018-19_working'!$AC$6)*(raw!$F$2:$F$9876='2018-19_working'!AI$7)*(raw!$G$2:$G$9876))</f>
        <v>0</v>
      </c>
      <c r="AJ28" s="8">
        <f>SUMPRODUCT((raw!$A$2:$A$9876='2018-19_working'!$A$2)*(raw!$B$2:$B$9876='2018-19_working'!$A28)*(raw!$E$2:$E$9876='2018-19_working'!$AC$6)*(raw!$F$2:$F$9876='2018-19_working'!AJ$7)*(raw!$G$2:$G$9876))</f>
        <v>0</v>
      </c>
    </row>
    <row r="29" spans="1:36" x14ac:dyDescent="0.3">
      <c r="A29" s="8" t="s">
        <v>36</v>
      </c>
      <c r="B29" s="8">
        <f>SUMPRODUCT((raw!$A$2:$A$9876='2018-19_working'!$A$2)*(raw!$B$2:$B$9876='2018-19_working'!$A29)*(raw!$E$2:$E$9876='2018-19_working'!$B$6:$I$6)*(raw!$F$2:$F$9876='2018-19_working'!B$7)*(raw!$G$2:$G$9876))</f>
        <v>21</v>
      </c>
      <c r="C29" s="8">
        <f>SUMPRODUCT((raw!$A$2:$A$9876='2018-19_working'!$A$2)*(raw!$B$2:$B$9876='2018-19_working'!$A29)*(raw!$E$2:$E$9876='2018-19_working'!$B$6:$I$6)*(raw!$F$2:$F$9876='2018-19_working'!C$7)*(raw!$G$2:$G$9876))</f>
        <v>0</v>
      </c>
      <c r="D29" s="8">
        <f>SUMPRODUCT((raw!$A$2:$A$9876='2018-19_working'!$A$2)*(raw!$B$2:$B$9876='2018-19_working'!$A29)*(raw!$E$2:$E$9876='2018-19_working'!$B$6:$I$6)*(raw!$F$2:$F$9876='2018-19_working'!D$7)*(raw!$G$2:$G$9876))</f>
        <v>0</v>
      </c>
      <c r="E29" s="8">
        <f>SUMPRODUCT((raw!$A$2:$A$9876='2018-19_working'!$A$2)*(raw!$B$2:$B$9876='2018-19_working'!$A29)*(raw!$E$2:$E$9876='2018-19_working'!$B$6:$I$6)*(raw!$F$2:$F$9876='2018-19_working'!E$7)*(raw!$G$2:$G$9876))</f>
        <v>0</v>
      </c>
      <c r="F29" s="8">
        <f>SUMPRODUCT((raw!$A$2:$A$9876='2018-19_working'!$A$2)*(raw!$B$2:$B$9876='2018-19_working'!$A29)*(raw!$E$2:$E$9876='2018-19_working'!$B$6:$I$6)*(raw!$F$2:$F$9876='2018-19_working'!F$7)*(raw!$G$2:$G$9876))</f>
        <v>0</v>
      </c>
      <c r="G29" s="8">
        <f>SUMPRODUCT((raw!$A$2:$A$9876='2018-19_working'!$A$2)*(raw!$B$2:$B$9876='2018-19_working'!$A29)*(raw!$E$2:$E$9876='2018-19_working'!$B$6:$I$6)*(raw!$F$2:$F$9876='2018-19_working'!G$7)*(raw!$G$2:$G$9876))</f>
        <v>0</v>
      </c>
      <c r="H29" s="8">
        <f>SUMPRODUCT((raw!$A$2:$A$9876='2018-19_working'!$A$2)*(raw!$B$2:$B$9876='2018-19_working'!$A29)*(raw!$E$2:$E$9876='2018-19_working'!$B$6:$I$6)*(raw!$F$2:$F$9876='2018-19_working'!H$7)*(raw!$G$2:$G$9876))</f>
        <v>1</v>
      </c>
      <c r="I29" s="8">
        <f>SUMPRODUCT((raw!$A$2:$A$9876='2018-19_working'!$A$2)*(raw!$B$2:$B$9876='2018-19_working'!$A29)*(raw!$E$2:$E$9876='2018-19_working'!$B$6:$I$6)*(raw!$F$2:$F$9876='2018-19_working'!I$7)*(raw!$G$2:$G$9876))</f>
        <v>0</v>
      </c>
      <c r="K29" s="8">
        <f>SUMPRODUCT((raw!$A$2:$A$9876='2018-19_working'!$A$2)*(raw!$B$2:$B$9876='2018-19_working'!$A29)*(raw!$E$2:$E$9876='2018-19_working'!$K$6)*(raw!$F$2:$F$9876='2018-19_working'!K$7)*(raw!$G$2:$G$9876))</f>
        <v>29</v>
      </c>
      <c r="L29" s="8">
        <f>SUMPRODUCT((raw!$A$2:$A$9876='2018-19_working'!$A$2)*(raw!$B$2:$B$9876='2018-19_working'!$A29)*(raw!$E$2:$E$9876='2018-19_working'!$K$6)*(raw!$F$2:$F$9876='2018-19_working'!L$7)*(raw!$G$2:$G$9876))</f>
        <v>2</v>
      </c>
      <c r="M29" s="8">
        <f>SUMPRODUCT((raw!$A$2:$A$9876='2018-19_working'!$A$2)*(raw!$B$2:$B$9876='2018-19_working'!$A29)*(raw!$E$2:$E$9876='2018-19_working'!$K$6)*(raw!$F$2:$F$9876='2018-19_working'!M$7)*(raw!$G$2:$G$9876))</f>
        <v>0</v>
      </c>
      <c r="N29" s="8">
        <f>SUMPRODUCT((raw!$A$2:$A$9876='2018-19_working'!$A$2)*(raw!$B$2:$B$9876='2018-19_working'!$A29)*(raw!$E$2:$E$9876='2018-19_working'!$K$6)*(raw!$F$2:$F$9876='2018-19_working'!N$7)*(raw!$G$2:$G$9876))</f>
        <v>0</v>
      </c>
      <c r="O29" s="8">
        <f>SUMPRODUCT((raw!$A$2:$A$9876='2018-19_working'!$A$2)*(raw!$B$2:$B$9876='2018-19_working'!$A29)*(raw!$E$2:$E$9876='2018-19_working'!$K$6)*(raw!$F$2:$F$9876='2018-19_working'!O$7)*(raw!$G$2:$G$9876))</f>
        <v>0</v>
      </c>
      <c r="P29" s="8">
        <f>SUMPRODUCT((raw!$A$2:$A$9876='2018-19_working'!$A$2)*(raw!$B$2:$B$9876='2018-19_working'!$A29)*(raw!$E$2:$E$9876='2018-19_working'!$K$6)*(raw!$F$2:$F$9876='2018-19_working'!P$7)*(raw!$G$2:$G$9876))</f>
        <v>0</v>
      </c>
      <c r="Q29" s="8">
        <f>SUMPRODUCT((raw!$A$2:$A$9876='2018-19_working'!$A$2)*(raw!$B$2:$B$9876='2018-19_working'!$A29)*(raw!$E$2:$E$9876='2018-19_working'!$K$6)*(raw!$F$2:$F$9876='2018-19_working'!Q$7)*(raw!$G$2:$G$9876))</f>
        <v>0</v>
      </c>
      <c r="R29" s="8">
        <f>SUMPRODUCT((raw!$A$2:$A$9876='2018-19_working'!$A$2)*(raw!$B$2:$B$9876='2018-19_working'!$A29)*(raw!$E$2:$E$9876='2018-19_working'!$K$6)*(raw!$F$2:$F$9876='2018-19_working'!R$7)*(raw!$G$2:$G$9876))</f>
        <v>0</v>
      </c>
      <c r="T29" s="8">
        <f>SUMPRODUCT((raw!$A$2:$A$9876='2018-19_working'!$A$2)*(raw!$B$2:$B$9876='2018-19_working'!$A29)*(raw!$E$2:$E$9876='2018-19_working'!$T$6)*(raw!$F$2:$F$9876='2018-19_working'!T$7)*(raw!$G$2:$G$9876))</f>
        <v>4</v>
      </c>
      <c r="U29" s="8">
        <f>SUMPRODUCT((raw!$A$2:$A$9876='2018-19_working'!$A$2)*(raw!$B$2:$B$9876='2018-19_working'!$A29)*(raw!$E$2:$E$9876='2018-19_working'!$T$6)*(raw!$F$2:$F$9876='2018-19_working'!U$7)*(raw!$G$2:$G$9876))</f>
        <v>0</v>
      </c>
      <c r="V29" s="8">
        <f>SUMPRODUCT((raw!$A$2:$A$9876='2018-19_working'!$A$2)*(raw!$B$2:$B$9876='2018-19_working'!$A29)*(raw!$E$2:$E$9876='2018-19_working'!$T$6)*(raw!$F$2:$F$9876='2018-19_working'!V$7)*(raw!$G$2:$G$9876))</f>
        <v>0</v>
      </c>
      <c r="W29" s="8">
        <f>SUMPRODUCT((raw!$A$2:$A$9876='2018-19_working'!$A$2)*(raw!$B$2:$B$9876='2018-19_working'!$A29)*(raw!$E$2:$E$9876='2018-19_working'!$T$6)*(raw!$F$2:$F$9876='2018-19_working'!W$7)*(raw!$G$2:$G$9876))</f>
        <v>0</v>
      </c>
      <c r="X29" s="8">
        <f>SUMPRODUCT((raw!$A$2:$A$9876='2018-19_working'!$A$2)*(raw!$B$2:$B$9876='2018-19_working'!$A29)*(raw!$E$2:$E$9876='2018-19_working'!$T$6)*(raw!$F$2:$F$9876='2018-19_working'!X$7)*(raw!$G$2:$G$9876))</f>
        <v>0</v>
      </c>
      <c r="Y29" s="8">
        <f>SUMPRODUCT((raw!$A$2:$A$9876='2018-19_working'!$A$2)*(raw!$B$2:$B$9876='2018-19_working'!$A29)*(raw!$E$2:$E$9876='2018-19_working'!$T$6)*(raw!$F$2:$F$9876='2018-19_working'!Y$7)*(raw!$G$2:$G$9876))</f>
        <v>0</v>
      </c>
      <c r="Z29" s="8">
        <f>SUMPRODUCT((raw!$A$2:$A$9876='2018-19_working'!$A$2)*(raw!$B$2:$B$9876='2018-19_working'!$A29)*(raw!$E$2:$E$9876='2018-19_working'!$T$6)*(raw!$F$2:$F$9876='2018-19_working'!Z$7)*(raw!$G$2:$G$9876))</f>
        <v>0</v>
      </c>
      <c r="AA29" s="8">
        <f>SUMPRODUCT((raw!$A$2:$A$9876='2018-19_working'!$A$2)*(raw!$B$2:$B$9876='2018-19_working'!$A29)*(raw!$E$2:$E$9876='2018-19_working'!$T$6)*(raw!$F$2:$F$9876='2018-19_working'!AA$7)*(raw!$G$2:$G$9876))</f>
        <v>0</v>
      </c>
      <c r="AC29" s="8">
        <f>SUMPRODUCT((raw!$A$2:$A$9876='2018-19_working'!$A$2)*(raw!$B$2:$B$9876='2018-19_working'!$A29)*(raw!$E$2:$E$9876='2018-19_working'!$AC$6)*(raw!$F$2:$F$9876='2018-19_working'!AC$7)*(raw!$G$2:$G$9876))</f>
        <v>17</v>
      </c>
      <c r="AD29" s="8">
        <f>SUMPRODUCT((raw!$A$2:$A$9876='2018-19_working'!$A$2)*(raw!$B$2:$B$9876='2018-19_working'!$A29)*(raw!$E$2:$E$9876='2018-19_working'!$AC$6)*(raw!$F$2:$F$9876='2018-19_working'!AD$7)*(raw!$G$2:$G$9876))</f>
        <v>0</v>
      </c>
      <c r="AE29" s="8">
        <f>SUMPRODUCT((raw!$A$2:$A$9876='2018-19_working'!$A$2)*(raw!$B$2:$B$9876='2018-19_working'!$A29)*(raw!$E$2:$E$9876='2018-19_working'!$AC$6)*(raw!$F$2:$F$9876='2018-19_working'!AE$7)*(raw!$G$2:$G$9876))</f>
        <v>0</v>
      </c>
      <c r="AF29" s="8">
        <f>SUMPRODUCT((raw!$A$2:$A$9876='2018-19_working'!$A$2)*(raw!$B$2:$B$9876='2018-19_working'!$A29)*(raw!$E$2:$E$9876='2018-19_working'!$AC$6)*(raw!$F$2:$F$9876='2018-19_working'!AF$7)*(raw!$G$2:$G$9876))</f>
        <v>1</v>
      </c>
      <c r="AG29" s="8">
        <f>SUMPRODUCT((raw!$A$2:$A$9876='2018-19_working'!$A$2)*(raw!$B$2:$B$9876='2018-19_working'!$A29)*(raw!$E$2:$E$9876='2018-19_working'!$AC$6)*(raw!$F$2:$F$9876='2018-19_working'!AG$7)*(raw!$G$2:$G$9876))</f>
        <v>0</v>
      </c>
      <c r="AH29" s="8">
        <f>SUMPRODUCT((raw!$A$2:$A$9876='2018-19_working'!$A$2)*(raw!$B$2:$B$9876='2018-19_working'!$A29)*(raw!$E$2:$E$9876='2018-19_working'!$AC$6)*(raw!$F$2:$F$9876='2018-19_working'!AH$7)*(raw!$G$2:$G$9876))</f>
        <v>0</v>
      </c>
      <c r="AI29" s="8">
        <f>SUMPRODUCT((raw!$A$2:$A$9876='2018-19_working'!$A$2)*(raw!$B$2:$B$9876='2018-19_working'!$A29)*(raw!$E$2:$E$9876='2018-19_working'!$AC$6)*(raw!$F$2:$F$9876='2018-19_working'!AI$7)*(raw!$G$2:$G$9876))</f>
        <v>0</v>
      </c>
      <c r="AJ29" s="8">
        <f>SUMPRODUCT((raw!$A$2:$A$9876='2018-19_working'!$A$2)*(raw!$B$2:$B$9876='2018-19_working'!$A29)*(raw!$E$2:$E$9876='2018-19_working'!$AC$6)*(raw!$F$2:$F$9876='2018-19_working'!AJ$7)*(raw!$G$2:$G$9876))</f>
        <v>0</v>
      </c>
    </row>
    <row r="30" spans="1:36" x14ac:dyDescent="0.3">
      <c r="A30" s="8" t="s">
        <v>37</v>
      </c>
      <c r="B30" s="8">
        <f>SUMPRODUCT((raw!$A$2:$A$9876='2018-19_working'!$A$2)*(raw!$B$2:$B$9876='2018-19_working'!$A30)*(raw!$E$2:$E$9876='2018-19_working'!$B$6:$I$6)*(raw!$F$2:$F$9876='2018-19_working'!B$7)*(raw!$G$2:$G$9876))</f>
        <v>0</v>
      </c>
      <c r="C30" s="8">
        <f>SUMPRODUCT((raw!$A$2:$A$9876='2018-19_working'!$A$2)*(raw!$B$2:$B$9876='2018-19_working'!$A30)*(raw!$E$2:$E$9876='2018-19_working'!$B$6:$I$6)*(raw!$F$2:$F$9876='2018-19_working'!C$7)*(raw!$G$2:$G$9876))</f>
        <v>0</v>
      </c>
      <c r="D30" s="8">
        <f>SUMPRODUCT((raw!$A$2:$A$9876='2018-19_working'!$A$2)*(raw!$B$2:$B$9876='2018-19_working'!$A30)*(raw!$E$2:$E$9876='2018-19_working'!$B$6:$I$6)*(raw!$F$2:$F$9876='2018-19_working'!D$7)*(raw!$G$2:$G$9876))</f>
        <v>0</v>
      </c>
      <c r="E30" s="8">
        <f>SUMPRODUCT((raw!$A$2:$A$9876='2018-19_working'!$A$2)*(raw!$B$2:$B$9876='2018-19_working'!$A30)*(raw!$E$2:$E$9876='2018-19_working'!$B$6:$I$6)*(raw!$F$2:$F$9876='2018-19_working'!E$7)*(raw!$G$2:$G$9876))</f>
        <v>0</v>
      </c>
      <c r="F30" s="8">
        <f>SUMPRODUCT((raw!$A$2:$A$9876='2018-19_working'!$A$2)*(raw!$B$2:$B$9876='2018-19_working'!$A30)*(raw!$E$2:$E$9876='2018-19_working'!$B$6:$I$6)*(raw!$F$2:$F$9876='2018-19_working'!F$7)*(raw!$G$2:$G$9876))</f>
        <v>0</v>
      </c>
      <c r="G30" s="8">
        <f>SUMPRODUCT((raw!$A$2:$A$9876='2018-19_working'!$A$2)*(raw!$B$2:$B$9876='2018-19_working'!$A30)*(raw!$E$2:$E$9876='2018-19_working'!$B$6:$I$6)*(raw!$F$2:$F$9876='2018-19_working'!G$7)*(raw!$G$2:$G$9876))</f>
        <v>0</v>
      </c>
      <c r="H30" s="8">
        <f>SUMPRODUCT((raw!$A$2:$A$9876='2018-19_working'!$A$2)*(raw!$B$2:$B$9876='2018-19_working'!$A30)*(raw!$E$2:$E$9876='2018-19_working'!$B$6:$I$6)*(raw!$F$2:$F$9876='2018-19_working'!H$7)*(raw!$G$2:$G$9876))</f>
        <v>0</v>
      </c>
      <c r="I30" s="8">
        <f>SUMPRODUCT((raw!$A$2:$A$9876='2018-19_working'!$A$2)*(raw!$B$2:$B$9876='2018-19_working'!$A30)*(raw!$E$2:$E$9876='2018-19_working'!$B$6:$I$6)*(raw!$F$2:$F$9876='2018-19_working'!I$7)*(raw!$G$2:$G$9876))</f>
        <v>0</v>
      </c>
      <c r="K30" s="8">
        <f>SUMPRODUCT((raw!$A$2:$A$9876='2018-19_working'!$A$2)*(raw!$B$2:$B$9876='2018-19_working'!$A30)*(raw!$E$2:$E$9876='2018-19_working'!$K$6)*(raw!$F$2:$F$9876='2018-19_working'!K$7)*(raw!$G$2:$G$9876))</f>
        <v>9</v>
      </c>
      <c r="L30" s="8">
        <f>SUMPRODUCT((raw!$A$2:$A$9876='2018-19_working'!$A$2)*(raw!$B$2:$B$9876='2018-19_working'!$A30)*(raw!$E$2:$E$9876='2018-19_working'!$K$6)*(raw!$F$2:$F$9876='2018-19_working'!L$7)*(raw!$G$2:$G$9876))</f>
        <v>0</v>
      </c>
      <c r="M30" s="8">
        <f>SUMPRODUCT((raw!$A$2:$A$9876='2018-19_working'!$A$2)*(raw!$B$2:$B$9876='2018-19_working'!$A30)*(raw!$E$2:$E$9876='2018-19_working'!$K$6)*(raw!$F$2:$F$9876='2018-19_working'!M$7)*(raw!$G$2:$G$9876))</f>
        <v>0</v>
      </c>
      <c r="N30" s="8">
        <f>SUMPRODUCT((raw!$A$2:$A$9876='2018-19_working'!$A$2)*(raw!$B$2:$B$9876='2018-19_working'!$A30)*(raw!$E$2:$E$9876='2018-19_working'!$K$6)*(raw!$F$2:$F$9876='2018-19_working'!N$7)*(raw!$G$2:$G$9876))</f>
        <v>0</v>
      </c>
      <c r="O30" s="8">
        <f>SUMPRODUCT((raw!$A$2:$A$9876='2018-19_working'!$A$2)*(raw!$B$2:$B$9876='2018-19_working'!$A30)*(raw!$E$2:$E$9876='2018-19_working'!$K$6)*(raw!$F$2:$F$9876='2018-19_working'!O$7)*(raw!$G$2:$G$9876))</f>
        <v>0</v>
      </c>
      <c r="P30" s="8">
        <f>SUMPRODUCT((raw!$A$2:$A$9876='2018-19_working'!$A$2)*(raw!$B$2:$B$9876='2018-19_working'!$A30)*(raw!$E$2:$E$9876='2018-19_working'!$K$6)*(raw!$F$2:$F$9876='2018-19_working'!P$7)*(raw!$G$2:$G$9876))</f>
        <v>0</v>
      </c>
      <c r="Q30" s="8">
        <f>SUMPRODUCT((raw!$A$2:$A$9876='2018-19_working'!$A$2)*(raw!$B$2:$B$9876='2018-19_working'!$A30)*(raw!$E$2:$E$9876='2018-19_working'!$K$6)*(raw!$F$2:$F$9876='2018-19_working'!Q$7)*(raw!$G$2:$G$9876))</f>
        <v>0</v>
      </c>
      <c r="R30" s="8">
        <f>SUMPRODUCT((raw!$A$2:$A$9876='2018-19_working'!$A$2)*(raw!$B$2:$B$9876='2018-19_working'!$A30)*(raw!$E$2:$E$9876='2018-19_working'!$K$6)*(raw!$F$2:$F$9876='2018-19_working'!R$7)*(raw!$G$2:$G$9876))</f>
        <v>0</v>
      </c>
      <c r="T30" s="8">
        <f>SUMPRODUCT((raw!$A$2:$A$9876='2018-19_working'!$A$2)*(raw!$B$2:$B$9876='2018-19_working'!$A30)*(raw!$E$2:$E$9876='2018-19_working'!$T$6)*(raw!$F$2:$F$9876='2018-19_working'!T$7)*(raw!$G$2:$G$9876))</f>
        <v>0</v>
      </c>
      <c r="U30" s="8">
        <f>SUMPRODUCT((raw!$A$2:$A$9876='2018-19_working'!$A$2)*(raw!$B$2:$B$9876='2018-19_working'!$A30)*(raw!$E$2:$E$9876='2018-19_working'!$T$6)*(raw!$F$2:$F$9876='2018-19_working'!U$7)*(raw!$G$2:$G$9876))</f>
        <v>0</v>
      </c>
      <c r="V30" s="8">
        <f>SUMPRODUCT((raw!$A$2:$A$9876='2018-19_working'!$A$2)*(raw!$B$2:$B$9876='2018-19_working'!$A30)*(raw!$E$2:$E$9876='2018-19_working'!$T$6)*(raw!$F$2:$F$9876='2018-19_working'!V$7)*(raw!$G$2:$G$9876))</f>
        <v>0</v>
      </c>
      <c r="W30" s="8">
        <f>SUMPRODUCT((raw!$A$2:$A$9876='2018-19_working'!$A$2)*(raw!$B$2:$B$9876='2018-19_working'!$A30)*(raw!$E$2:$E$9876='2018-19_working'!$T$6)*(raw!$F$2:$F$9876='2018-19_working'!W$7)*(raw!$G$2:$G$9876))</f>
        <v>0</v>
      </c>
      <c r="X30" s="8">
        <f>SUMPRODUCT((raw!$A$2:$A$9876='2018-19_working'!$A$2)*(raw!$B$2:$B$9876='2018-19_working'!$A30)*(raw!$E$2:$E$9876='2018-19_working'!$T$6)*(raw!$F$2:$F$9876='2018-19_working'!X$7)*(raw!$G$2:$G$9876))</f>
        <v>0</v>
      </c>
      <c r="Y30" s="8">
        <f>SUMPRODUCT((raw!$A$2:$A$9876='2018-19_working'!$A$2)*(raw!$B$2:$B$9876='2018-19_working'!$A30)*(raw!$E$2:$E$9876='2018-19_working'!$T$6)*(raw!$F$2:$F$9876='2018-19_working'!Y$7)*(raw!$G$2:$G$9876))</f>
        <v>0</v>
      </c>
      <c r="Z30" s="8">
        <f>SUMPRODUCT((raw!$A$2:$A$9876='2018-19_working'!$A$2)*(raw!$B$2:$B$9876='2018-19_working'!$A30)*(raw!$E$2:$E$9876='2018-19_working'!$T$6)*(raw!$F$2:$F$9876='2018-19_working'!Z$7)*(raw!$G$2:$G$9876))</f>
        <v>0</v>
      </c>
      <c r="AA30" s="8">
        <f>SUMPRODUCT((raw!$A$2:$A$9876='2018-19_working'!$A$2)*(raw!$B$2:$B$9876='2018-19_working'!$A30)*(raw!$E$2:$E$9876='2018-19_working'!$T$6)*(raw!$F$2:$F$9876='2018-19_working'!AA$7)*(raw!$G$2:$G$9876))</f>
        <v>0</v>
      </c>
      <c r="AC30" s="8">
        <f>SUMPRODUCT((raw!$A$2:$A$9876='2018-19_working'!$A$2)*(raw!$B$2:$B$9876='2018-19_working'!$A30)*(raw!$E$2:$E$9876='2018-19_working'!$AC$6)*(raw!$F$2:$F$9876='2018-19_working'!AC$7)*(raw!$G$2:$G$9876))</f>
        <v>2</v>
      </c>
      <c r="AD30" s="8">
        <f>SUMPRODUCT((raw!$A$2:$A$9876='2018-19_working'!$A$2)*(raw!$B$2:$B$9876='2018-19_working'!$A30)*(raw!$E$2:$E$9876='2018-19_working'!$AC$6)*(raw!$F$2:$F$9876='2018-19_working'!AD$7)*(raw!$G$2:$G$9876))</f>
        <v>0</v>
      </c>
      <c r="AE30" s="8">
        <f>SUMPRODUCT((raw!$A$2:$A$9876='2018-19_working'!$A$2)*(raw!$B$2:$B$9876='2018-19_working'!$A30)*(raw!$E$2:$E$9876='2018-19_working'!$AC$6)*(raw!$F$2:$F$9876='2018-19_working'!AE$7)*(raw!$G$2:$G$9876))</f>
        <v>0</v>
      </c>
      <c r="AF30" s="8">
        <f>SUMPRODUCT((raw!$A$2:$A$9876='2018-19_working'!$A$2)*(raw!$B$2:$B$9876='2018-19_working'!$A30)*(raw!$E$2:$E$9876='2018-19_working'!$AC$6)*(raw!$F$2:$F$9876='2018-19_working'!AF$7)*(raw!$G$2:$G$9876))</f>
        <v>0</v>
      </c>
      <c r="AG30" s="8">
        <f>SUMPRODUCT((raw!$A$2:$A$9876='2018-19_working'!$A$2)*(raw!$B$2:$B$9876='2018-19_working'!$A30)*(raw!$E$2:$E$9876='2018-19_working'!$AC$6)*(raw!$F$2:$F$9876='2018-19_working'!AG$7)*(raw!$G$2:$G$9876))</f>
        <v>0</v>
      </c>
      <c r="AH30" s="8">
        <f>SUMPRODUCT((raw!$A$2:$A$9876='2018-19_working'!$A$2)*(raw!$B$2:$B$9876='2018-19_working'!$A30)*(raw!$E$2:$E$9876='2018-19_working'!$AC$6)*(raw!$F$2:$F$9876='2018-19_working'!AH$7)*(raw!$G$2:$G$9876))</f>
        <v>0</v>
      </c>
      <c r="AI30" s="8">
        <f>SUMPRODUCT((raw!$A$2:$A$9876='2018-19_working'!$A$2)*(raw!$B$2:$B$9876='2018-19_working'!$A30)*(raw!$E$2:$E$9876='2018-19_working'!$AC$6)*(raw!$F$2:$F$9876='2018-19_working'!AI$7)*(raw!$G$2:$G$9876))</f>
        <v>0</v>
      </c>
      <c r="AJ30" s="8">
        <f>SUMPRODUCT((raw!$A$2:$A$9876='2018-19_working'!$A$2)*(raw!$B$2:$B$9876='2018-19_working'!$A30)*(raw!$E$2:$E$9876='2018-19_working'!$AC$6)*(raw!$F$2:$F$9876='2018-19_working'!AJ$7)*(raw!$G$2:$G$9876))</f>
        <v>0</v>
      </c>
    </row>
    <row r="31" spans="1:36" x14ac:dyDescent="0.3">
      <c r="A31" s="8" t="s">
        <v>38</v>
      </c>
      <c r="B31" s="8">
        <f>SUMPRODUCT((raw!$A$2:$A$9876='2018-19_working'!$A$2)*(raw!$B$2:$B$9876='2018-19_working'!$A31)*(raw!$E$2:$E$9876='2018-19_working'!$B$6:$I$6)*(raw!$F$2:$F$9876='2018-19_working'!B$7)*(raw!$G$2:$G$9876))</f>
        <v>13</v>
      </c>
      <c r="C31" s="8">
        <f>SUMPRODUCT((raw!$A$2:$A$9876='2018-19_working'!$A$2)*(raw!$B$2:$B$9876='2018-19_working'!$A31)*(raw!$E$2:$E$9876='2018-19_working'!$B$6:$I$6)*(raw!$F$2:$F$9876='2018-19_working'!C$7)*(raw!$G$2:$G$9876))</f>
        <v>0</v>
      </c>
      <c r="D31" s="8">
        <f>SUMPRODUCT((raw!$A$2:$A$9876='2018-19_working'!$A$2)*(raw!$B$2:$B$9876='2018-19_working'!$A31)*(raw!$E$2:$E$9876='2018-19_working'!$B$6:$I$6)*(raw!$F$2:$F$9876='2018-19_working'!D$7)*(raw!$G$2:$G$9876))</f>
        <v>0</v>
      </c>
      <c r="E31" s="8">
        <f>SUMPRODUCT((raw!$A$2:$A$9876='2018-19_working'!$A$2)*(raw!$B$2:$B$9876='2018-19_working'!$A31)*(raw!$E$2:$E$9876='2018-19_working'!$B$6:$I$6)*(raw!$F$2:$F$9876='2018-19_working'!E$7)*(raw!$G$2:$G$9876))</f>
        <v>0</v>
      </c>
      <c r="F31" s="8">
        <f>SUMPRODUCT((raw!$A$2:$A$9876='2018-19_working'!$A$2)*(raw!$B$2:$B$9876='2018-19_working'!$A31)*(raw!$E$2:$E$9876='2018-19_working'!$B$6:$I$6)*(raw!$F$2:$F$9876='2018-19_working'!F$7)*(raw!$G$2:$G$9876))</f>
        <v>0</v>
      </c>
      <c r="G31" s="8">
        <f>SUMPRODUCT((raw!$A$2:$A$9876='2018-19_working'!$A$2)*(raw!$B$2:$B$9876='2018-19_working'!$A31)*(raw!$E$2:$E$9876='2018-19_working'!$B$6:$I$6)*(raw!$F$2:$F$9876='2018-19_working'!G$7)*(raw!$G$2:$G$9876))</f>
        <v>0</v>
      </c>
      <c r="H31" s="8">
        <f>SUMPRODUCT((raw!$A$2:$A$9876='2018-19_working'!$A$2)*(raw!$B$2:$B$9876='2018-19_working'!$A31)*(raw!$E$2:$E$9876='2018-19_working'!$B$6:$I$6)*(raw!$F$2:$F$9876='2018-19_working'!H$7)*(raw!$G$2:$G$9876))</f>
        <v>0</v>
      </c>
      <c r="I31" s="8">
        <f>SUMPRODUCT((raw!$A$2:$A$9876='2018-19_working'!$A$2)*(raw!$B$2:$B$9876='2018-19_working'!$A31)*(raw!$E$2:$E$9876='2018-19_working'!$B$6:$I$6)*(raw!$F$2:$F$9876='2018-19_working'!I$7)*(raw!$G$2:$G$9876))</f>
        <v>20</v>
      </c>
      <c r="K31" s="8">
        <f>SUMPRODUCT((raw!$A$2:$A$9876='2018-19_working'!$A$2)*(raw!$B$2:$B$9876='2018-19_working'!$A31)*(raw!$E$2:$E$9876='2018-19_working'!$K$6)*(raw!$F$2:$F$9876='2018-19_working'!K$7)*(raw!$G$2:$G$9876))</f>
        <v>15</v>
      </c>
      <c r="L31" s="8">
        <f>SUMPRODUCT((raw!$A$2:$A$9876='2018-19_working'!$A$2)*(raw!$B$2:$B$9876='2018-19_working'!$A31)*(raw!$E$2:$E$9876='2018-19_working'!$K$6)*(raw!$F$2:$F$9876='2018-19_working'!L$7)*(raw!$G$2:$G$9876))</f>
        <v>0</v>
      </c>
      <c r="M31" s="8">
        <f>SUMPRODUCT((raw!$A$2:$A$9876='2018-19_working'!$A$2)*(raw!$B$2:$B$9876='2018-19_working'!$A31)*(raw!$E$2:$E$9876='2018-19_working'!$K$6)*(raw!$F$2:$F$9876='2018-19_working'!M$7)*(raw!$G$2:$G$9876))</f>
        <v>0</v>
      </c>
      <c r="N31" s="8">
        <f>SUMPRODUCT((raw!$A$2:$A$9876='2018-19_working'!$A$2)*(raw!$B$2:$B$9876='2018-19_working'!$A31)*(raw!$E$2:$E$9876='2018-19_working'!$K$6)*(raw!$F$2:$F$9876='2018-19_working'!N$7)*(raw!$G$2:$G$9876))</f>
        <v>0</v>
      </c>
      <c r="O31" s="8">
        <f>SUMPRODUCT((raw!$A$2:$A$9876='2018-19_working'!$A$2)*(raw!$B$2:$B$9876='2018-19_working'!$A31)*(raw!$E$2:$E$9876='2018-19_working'!$K$6)*(raw!$F$2:$F$9876='2018-19_working'!O$7)*(raw!$G$2:$G$9876))</f>
        <v>0</v>
      </c>
      <c r="P31" s="8">
        <f>SUMPRODUCT((raw!$A$2:$A$9876='2018-19_working'!$A$2)*(raw!$B$2:$B$9876='2018-19_working'!$A31)*(raw!$E$2:$E$9876='2018-19_working'!$K$6)*(raw!$F$2:$F$9876='2018-19_working'!P$7)*(raw!$G$2:$G$9876))</f>
        <v>0</v>
      </c>
      <c r="Q31" s="8">
        <f>SUMPRODUCT((raw!$A$2:$A$9876='2018-19_working'!$A$2)*(raw!$B$2:$B$9876='2018-19_working'!$A31)*(raw!$E$2:$E$9876='2018-19_working'!$K$6)*(raw!$F$2:$F$9876='2018-19_working'!Q$7)*(raw!$G$2:$G$9876))</f>
        <v>0</v>
      </c>
      <c r="R31" s="8">
        <f>SUMPRODUCT((raw!$A$2:$A$9876='2018-19_working'!$A$2)*(raw!$B$2:$B$9876='2018-19_working'!$A31)*(raw!$E$2:$E$9876='2018-19_working'!$K$6)*(raw!$F$2:$F$9876='2018-19_working'!R$7)*(raw!$G$2:$G$9876))</f>
        <v>87</v>
      </c>
      <c r="T31" s="8">
        <f>SUMPRODUCT((raw!$A$2:$A$9876='2018-19_working'!$A$2)*(raw!$B$2:$B$9876='2018-19_working'!$A31)*(raw!$E$2:$E$9876='2018-19_working'!$T$6)*(raw!$F$2:$F$9876='2018-19_working'!T$7)*(raw!$G$2:$G$9876))</f>
        <v>0</v>
      </c>
      <c r="U31" s="8">
        <f>SUMPRODUCT((raw!$A$2:$A$9876='2018-19_working'!$A$2)*(raw!$B$2:$B$9876='2018-19_working'!$A31)*(raw!$E$2:$E$9876='2018-19_working'!$T$6)*(raw!$F$2:$F$9876='2018-19_working'!U$7)*(raw!$G$2:$G$9876))</f>
        <v>0</v>
      </c>
      <c r="V31" s="8">
        <f>SUMPRODUCT((raw!$A$2:$A$9876='2018-19_working'!$A$2)*(raw!$B$2:$B$9876='2018-19_working'!$A31)*(raw!$E$2:$E$9876='2018-19_working'!$T$6)*(raw!$F$2:$F$9876='2018-19_working'!V$7)*(raw!$G$2:$G$9876))</f>
        <v>0</v>
      </c>
      <c r="W31" s="8">
        <f>SUMPRODUCT((raw!$A$2:$A$9876='2018-19_working'!$A$2)*(raw!$B$2:$B$9876='2018-19_working'!$A31)*(raw!$E$2:$E$9876='2018-19_working'!$T$6)*(raw!$F$2:$F$9876='2018-19_working'!W$7)*(raw!$G$2:$G$9876))</f>
        <v>0</v>
      </c>
      <c r="X31" s="8">
        <f>SUMPRODUCT((raw!$A$2:$A$9876='2018-19_working'!$A$2)*(raw!$B$2:$B$9876='2018-19_working'!$A31)*(raw!$E$2:$E$9876='2018-19_working'!$T$6)*(raw!$F$2:$F$9876='2018-19_working'!X$7)*(raw!$G$2:$G$9876))</f>
        <v>0</v>
      </c>
      <c r="Y31" s="8">
        <f>SUMPRODUCT((raw!$A$2:$A$9876='2018-19_working'!$A$2)*(raw!$B$2:$B$9876='2018-19_working'!$A31)*(raw!$E$2:$E$9876='2018-19_working'!$T$6)*(raw!$F$2:$F$9876='2018-19_working'!Y$7)*(raw!$G$2:$G$9876))</f>
        <v>0</v>
      </c>
      <c r="Z31" s="8">
        <f>SUMPRODUCT((raw!$A$2:$A$9876='2018-19_working'!$A$2)*(raw!$B$2:$B$9876='2018-19_working'!$A31)*(raw!$E$2:$E$9876='2018-19_working'!$T$6)*(raw!$F$2:$F$9876='2018-19_working'!Z$7)*(raw!$G$2:$G$9876))</f>
        <v>0</v>
      </c>
      <c r="AA31" s="8">
        <f>SUMPRODUCT((raw!$A$2:$A$9876='2018-19_working'!$A$2)*(raw!$B$2:$B$9876='2018-19_working'!$A31)*(raw!$E$2:$E$9876='2018-19_working'!$T$6)*(raw!$F$2:$F$9876='2018-19_working'!AA$7)*(raw!$G$2:$G$9876))</f>
        <v>1</v>
      </c>
      <c r="AC31" s="8">
        <f>SUMPRODUCT((raw!$A$2:$A$9876='2018-19_working'!$A$2)*(raw!$B$2:$B$9876='2018-19_working'!$A31)*(raw!$E$2:$E$9876='2018-19_working'!$AC$6)*(raw!$F$2:$F$9876='2018-19_working'!AC$7)*(raw!$G$2:$G$9876))</f>
        <v>11</v>
      </c>
      <c r="AD31" s="8">
        <f>SUMPRODUCT((raw!$A$2:$A$9876='2018-19_working'!$A$2)*(raw!$B$2:$B$9876='2018-19_working'!$A31)*(raw!$E$2:$E$9876='2018-19_working'!$AC$6)*(raw!$F$2:$F$9876='2018-19_working'!AD$7)*(raw!$G$2:$G$9876))</f>
        <v>0</v>
      </c>
      <c r="AE31" s="8">
        <f>SUMPRODUCT((raw!$A$2:$A$9876='2018-19_working'!$A$2)*(raw!$B$2:$B$9876='2018-19_working'!$A31)*(raw!$E$2:$E$9876='2018-19_working'!$AC$6)*(raw!$F$2:$F$9876='2018-19_working'!AE$7)*(raw!$G$2:$G$9876))</f>
        <v>0</v>
      </c>
      <c r="AF31" s="8">
        <f>SUMPRODUCT((raw!$A$2:$A$9876='2018-19_working'!$A$2)*(raw!$B$2:$B$9876='2018-19_working'!$A31)*(raw!$E$2:$E$9876='2018-19_working'!$AC$6)*(raw!$F$2:$F$9876='2018-19_working'!AF$7)*(raw!$G$2:$G$9876))</f>
        <v>0</v>
      </c>
      <c r="AG31" s="8">
        <f>SUMPRODUCT((raw!$A$2:$A$9876='2018-19_working'!$A$2)*(raw!$B$2:$B$9876='2018-19_working'!$A31)*(raw!$E$2:$E$9876='2018-19_working'!$AC$6)*(raw!$F$2:$F$9876='2018-19_working'!AG$7)*(raw!$G$2:$G$9876))</f>
        <v>0</v>
      </c>
      <c r="AH31" s="8">
        <f>SUMPRODUCT((raw!$A$2:$A$9876='2018-19_working'!$A$2)*(raw!$B$2:$B$9876='2018-19_working'!$A31)*(raw!$E$2:$E$9876='2018-19_working'!$AC$6)*(raw!$F$2:$F$9876='2018-19_working'!AH$7)*(raw!$G$2:$G$9876))</f>
        <v>0</v>
      </c>
      <c r="AI31" s="8">
        <f>SUMPRODUCT((raw!$A$2:$A$9876='2018-19_working'!$A$2)*(raw!$B$2:$B$9876='2018-19_working'!$A31)*(raw!$E$2:$E$9876='2018-19_working'!$AC$6)*(raw!$F$2:$F$9876='2018-19_working'!AI$7)*(raw!$G$2:$G$9876))</f>
        <v>0</v>
      </c>
      <c r="AJ31" s="8">
        <f>SUMPRODUCT((raw!$A$2:$A$9876='2018-19_working'!$A$2)*(raw!$B$2:$B$9876='2018-19_working'!$A31)*(raw!$E$2:$E$9876='2018-19_working'!$AC$6)*(raw!$F$2:$F$9876='2018-19_working'!AJ$7)*(raw!$G$2:$G$9876))</f>
        <v>29</v>
      </c>
    </row>
    <row r="32" spans="1:36" x14ac:dyDescent="0.3">
      <c r="A32" s="8" t="s">
        <v>39</v>
      </c>
      <c r="B32" s="8">
        <f>SUMPRODUCT((raw!$A$2:$A$9876='2018-19_working'!$A$2)*(raw!$B$2:$B$9876='2018-19_working'!$A32)*(raw!$E$2:$E$9876='2018-19_working'!$B$6:$I$6)*(raw!$F$2:$F$9876='2018-19_working'!B$7)*(raw!$G$2:$G$9876))</f>
        <v>50</v>
      </c>
      <c r="C32" s="8">
        <f>SUMPRODUCT((raw!$A$2:$A$9876='2018-19_working'!$A$2)*(raw!$B$2:$B$9876='2018-19_working'!$A32)*(raw!$E$2:$E$9876='2018-19_working'!$B$6:$I$6)*(raw!$F$2:$F$9876='2018-19_working'!C$7)*(raw!$G$2:$G$9876))</f>
        <v>1</v>
      </c>
      <c r="D32" s="8">
        <f>SUMPRODUCT((raw!$A$2:$A$9876='2018-19_working'!$A$2)*(raw!$B$2:$B$9876='2018-19_working'!$A32)*(raw!$E$2:$E$9876='2018-19_working'!$B$6:$I$6)*(raw!$F$2:$F$9876='2018-19_working'!D$7)*(raw!$G$2:$G$9876))</f>
        <v>3</v>
      </c>
      <c r="E32" s="8">
        <f>SUMPRODUCT((raw!$A$2:$A$9876='2018-19_working'!$A$2)*(raw!$B$2:$B$9876='2018-19_working'!$A32)*(raw!$E$2:$E$9876='2018-19_working'!$B$6:$I$6)*(raw!$F$2:$F$9876='2018-19_working'!E$7)*(raw!$G$2:$G$9876))</f>
        <v>1</v>
      </c>
      <c r="F32" s="8">
        <f>SUMPRODUCT((raw!$A$2:$A$9876='2018-19_working'!$A$2)*(raw!$B$2:$B$9876='2018-19_working'!$A32)*(raw!$E$2:$E$9876='2018-19_working'!$B$6:$I$6)*(raw!$F$2:$F$9876='2018-19_working'!F$7)*(raw!$G$2:$G$9876))</f>
        <v>0</v>
      </c>
      <c r="G32" s="8">
        <f>SUMPRODUCT((raw!$A$2:$A$9876='2018-19_working'!$A$2)*(raw!$B$2:$B$9876='2018-19_working'!$A32)*(raw!$E$2:$E$9876='2018-19_working'!$B$6:$I$6)*(raw!$F$2:$F$9876='2018-19_working'!G$7)*(raw!$G$2:$G$9876))</f>
        <v>0</v>
      </c>
      <c r="H32" s="8">
        <f>SUMPRODUCT((raw!$A$2:$A$9876='2018-19_working'!$A$2)*(raw!$B$2:$B$9876='2018-19_working'!$A32)*(raw!$E$2:$E$9876='2018-19_working'!$B$6:$I$6)*(raw!$F$2:$F$9876='2018-19_working'!H$7)*(raw!$G$2:$G$9876))</f>
        <v>0</v>
      </c>
      <c r="I32" s="8">
        <f>SUMPRODUCT((raw!$A$2:$A$9876='2018-19_working'!$A$2)*(raw!$B$2:$B$9876='2018-19_working'!$A32)*(raw!$E$2:$E$9876='2018-19_working'!$B$6:$I$6)*(raw!$F$2:$F$9876='2018-19_working'!I$7)*(raw!$G$2:$G$9876))</f>
        <v>0</v>
      </c>
      <c r="K32" s="8">
        <f>SUMPRODUCT((raw!$A$2:$A$9876='2018-19_working'!$A$2)*(raw!$B$2:$B$9876='2018-19_working'!$A32)*(raw!$E$2:$E$9876='2018-19_working'!$K$6)*(raw!$F$2:$F$9876='2018-19_working'!K$7)*(raw!$G$2:$G$9876))</f>
        <v>63</v>
      </c>
      <c r="L32" s="8">
        <f>SUMPRODUCT((raw!$A$2:$A$9876='2018-19_working'!$A$2)*(raw!$B$2:$B$9876='2018-19_working'!$A32)*(raw!$E$2:$E$9876='2018-19_working'!$K$6)*(raw!$F$2:$F$9876='2018-19_working'!L$7)*(raw!$G$2:$G$9876))</f>
        <v>0</v>
      </c>
      <c r="M32" s="8">
        <f>SUMPRODUCT((raw!$A$2:$A$9876='2018-19_working'!$A$2)*(raw!$B$2:$B$9876='2018-19_working'!$A32)*(raw!$E$2:$E$9876='2018-19_working'!$K$6)*(raw!$F$2:$F$9876='2018-19_working'!M$7)*(raw!$G$2:$G$9876))</f>
        <v>0</v>
      </c>
      <c r="N32" s="8">
        <f>SUMPRODUCT((raw!$A$2:$A$9876='2018-19_working'!$A$2)*(raw!$B$2:$B$9876='2018-19_working'!$A32)*(raw!$E$2:$E$9876='2018-19_working'!$K$6)*(raw!$F$2:$F$9876='2018-19_working'!N$7)*(raw!$G$2:$G$9876))</f>
        <v>1</v>
      </c>
      <c r="O32" s="8">
        <f>SUMPRODUCT((raw!$A$2:$A$9876='2018-19_working'!$A$2)*(raw!$B$2:$B$9876='2018-19_working'!$A32)*(raw!$E$2:$E$9876='2018-19_working'!$K$6)*(raw!$F$2:$F$9876='2018-19_working'!O$7)*(raw!$G$2:$G$9876))</f>
        <v>0</v>
      </c>
      <c r="P32" s="8">
        <f>SUMPRODUCT((raw!$A$2:$A$9876='2018-19_working'!$A$2)*(raw!$B$2:$B$9876='2018-19_working'!$A32)*(raw!$E$2:$E$9876='2018-19_working'!$K$6)*(raw!$F$2:$F$9876='2018-19_working'!P$7)*(raw!$G$2:$G$9876))</f>
        <v>0</v>
      </c>
      <c r="Q32" s="8">
        <f>SUMPRODUCT((raw!$A$2:$A$9876='2018-19_working'!$A$2)*(raw!$B$2:$B$9876='2018-19_working'!$A32)*(raw!$E$2:$E$9876='2018-19_working'!$K$6)*(raw!$F$2:$F$9876='2018-19_working'!Q$7)*(raw!$G$2:$G$9876))</f>
        <v>1</v>
      </c>
      <c r="R32" s="8">
        <f>SUMPRODUCT((raw!$A$2:$A$9876='2018-19_working'!$A$2)*(raw!$B$2:$B$9876='2018-19_working'!$A32)*(raw!$E$2:$E$9876='2018-19_working'!$K$6)*(raw!$F$2:$F$9876='2018-19_working'!R$7)*(raw!$G$2:$G$9876))</f>
        <v>7</v>
      </c>
      <c r="T32" s="8">
        <f>SUMPRODUCT((raw!$A$2:$A$9876='2018-19_working'!$A$2)*(raw!$B$2:$B$9876='2018-19_working'!$A32)*(raw!$E$2:$E$9876='2018-19_working'!$T$6)*(raw!$F$2:$F$9876='2018-19_working'!T$7)*(raw!$G$2:$G$9876))</f>
        <v>0</v>
      </c>
      <c r="U32" s="8">
        <f>SUMPRODUCT((raw!$A$2:$A$9876='2018-19_working'!$A$2)*(raw!$B$2:$B$9876='2018-19_working'!$A32)*(raw!$E$2:$E$9876='2018-19_working'!$T$6)*(raw!$F$2:$F$9876='2018-19_working'!U$7)*(raw!$G$2:$G$9876))</f>
        <v>0</v>
      </c>
      <c r="V32" s="8">
        <f>SUMPRODUCT((raw!$A$2:$A$9876='2018-19_working'!$A$2)*(raw!$B$2:$B$9876='2018-19_working'!$A32)*(raw!$E$2:$E$9876='2018-19_working'!$T$6)*(raw!$F$2:$F$9876='2018-19_working'!V$7)*(raw!$G$2:$G$9876))</f>
        <v>0</v>
      </c>
      <c r="W32" s="8">
        <f>SUMPRODUCT((raw!$A$2:$A$9876='2018-19_working'!$A$2)*(raw!$B$2:$B$9876='2018-19_working'!$A32)*(raw!$E$2:$E$9876='2018-19_working'!$T$6)*(raw!$F$2:$F$9876='2018-19_working'!W$7)*(raw!$G$2:$G$9876))</f>
        <v>0</v>
      </c>
      <c r="X32" s="8">
        <f>SUMPRODUCT((raw!$A$2:$A$9876='2018-19_working'!$A$2)*(raw!$B$2:$B$9876='2018-19_working'!$A32)*(raw!$E$2:$E$9876='2018-19_working'!$T$6)*(raw!$F$2:$F$9876='2018-19_working'!X$7)*(raw!$G$2:$G$9876))</f>
        <v>0</v>
      </c>
      <c r="Y32" s="8">
        <f>SUMPRODUCT((raw!$A$2:$A$9876='2018-19_working'!$A$2)*(raw!$B$2:$B$9876='2018-19_working'!$A32)*(raw!$E$2:$E$9876='2018-19_working'!$T$6)*(raw!$F$2:$F$9876='2018-19_working'!Y$7)*(raw!$G$2:$G$9876))</f>
        <v>0</v>
      </c>
      <c r="Z32" s="8">
        <f>SUMPRODUCT((raw!$A$2:$A$9876='2018-19_working'!$A$2)*(raw!$B$2:$B$9876='2018-19_working'!$A32)*(raw!$E$2:$E$9876='2018-19_working'!$T$6)*(raw!$F$2:$F$9876='2018-19_working'!Z$7)*(raw!$G$2:$G$9876))</f>
        <v>0</v>
      </c>
      <c r="AA32" s="8">
        <f>SUMPRODUCT((raw!$A$2:$A$9876='2018-19_working'!$A$2)*(raw!$B$2:$B$9876='2018-19_working'!$A32)*(raw!$E$2:$E$9876='2018-19_working'!$T$6)*(raw!$F$2:$F$9876='2018-19_working'!AA$7)*(raw!$G$2:$G$9876))</f>
        <v>0</v>
      </c>
      <c r="AC32" s="8">
        <f>SUMPRODUCT((raw!$A$2:$A$9876='2018-19_working'!$A$2)*(raw!$B$2:$B$9876='2018-19_working'!$A32)*(raw!$E$2:$E$9876='2018-19_working'!$AC$6)*(raw!$F$2:$F$9876='2018-19_working'!AC$7)*(raw!$G$2:$G$9876))</f>
        <v>19</v>
      </c>
      <c r="AD32" s="8">
        <f>SUMPRODUCT((raw!$A$2:$A$9876='2018-19_working'!$A$2)*(raw!$B$2:$B$9876='2018-19_working'!$A32)*(raw!$E$2:$E$9876='2018-19_working'!$AC$6)*(raw!$F$2:$F$9876='2018-19_working'!AD$7)*(raw!$G$2:$G$9876))</f>
        <v>1</v>
      </c>
      <c r="AE32" s="8">
        <f>SUMPRODUCT((raw!$A$2:$A$9876='2018-19_working'!$A$2)*(raw!$B$2:$B$9876='2018-19_working'!$A32)*(raw!$E$2:$E$9876='2018-19_working'!$AC$6)*(raw!$F$2:$F$9876='2018-19_working'!AE$7)*(raw!$G$2:$G$9876))</f>
        <v>0</v>
      </c>
      <c r="AF32" s="8">
        <f>SUMPRODUCT((raw!$A$2:$A$9876='2018-19_working'!$A$2)*(raw!$B$2:$B$9876='2018-19_working'!$A32)*(raw!$E$2:$E$9876='2018-19_working'!$AC$6)*(raw!$F$2:$F$9876='2018-19_working'!AF$7)*(raw!$G$2:$G$9876))</f>
        <v>2</v>
      </c>
      <c r="AG32" s="8">
        <f>SUMPRODUCT((raw!$A$2:$A$9876='2018-19_working'!$A$2)*(raw!$B$2:$B$9876='2018-19_working'!$A32)*(raw!$E$2:$E$9876='2018-19_working'!$AC$6)*(raw!$F$2:$F$9876='2018-19_working'!AG$7)*(raw!$G$2:$G$9876))</f>
        <v>0</v>
      </c>
      <c r="AH32" s="8">
        <f>SUMPRODUCT((raw!$A$2:$A$9876='2018-19_working'!$A$2)*(raw!$B$2:$B$9876='2018-19_working'!$A32)*(raw!$E$2:$E$9876='2018-19_working'!$AC$6)*(raw!$F$2:$F$9876='2018-19_working'!AH$7)*(raw!$G$2:$G$9876))</f>
        <v>0</v>
      </c>
      <c r="AI32" s="8">
        <f>SUMPRODUCT((raw!$A$2:$A$9876='2018-19_working'!$A$2)*(raw!$B$2:$B$9876='2018-19_working'!$A32)*(raw!$E$2:$E$9876='2018-19_working'!$AC$6)*(raw!$F$2:$F$9876='2018-19_working'!AI$7)*(raw!$G$2:$G$9876))</f>
        <v>0</v>
      </c>
      <c r="AJ32" s="8">
        <f>SUMPRODUCT((raw!$A$2:$A$9876='2018-19_working'!$A$2)*(raw!$B$2:$B$9876='2018-19_working'!$A32)*(raw!$E$2:$E$9876='2018-19_working'!$AC$6)*(raw!$F$2:$F$9876='2018-19_working'!AJ$7)*(raw!$G$2:$G$9876))</f>
        <v>0</v>
      </c>
    </row>
    <row r="33" spans="1:36" x14ac:dyDescent="0.3">
      <c r="A33" s="8" t="s">
        <v>40</v>
      </c>
      <c r="B33" s="8">
        <f>SUMPRODUCT((raw!$A$2:$A$9876='2018-19_working'!$A$2)*(raw!$B$2:$B$9876='2018-19_working'!$A33)*(raw!$E$2:$E$9876='2018-19_working'!$B$6:$I$6)*(raw!$F$2:$F$9876='2018-19_working'!B$7)*(raw!$G$2:$G$9876))</f>
        <v>6</v>
      </c>
      <c r="C33" s="8">
        <f>SUMPRODUCT((raw!$A$2:$A$9876='2018-19_working'!$A$2)*(raw!$B$2:$B$9876='2018-19_working'!$A33)*(raw!$E$2:$E$9876='2018-19_working'!$B$6:$I$6)*(raw!$F$2:$F$9876='2018-19_working'!C$7)*(raw!$G$2:$G$9876))</f>
        <v>0</v>
      </c>
      <c r="D33" s="8">
        <f>SUMPRODUCT((raw!$A$2:$A$9876='2018-19_working'!$A$2)*(raw!$B$2:$B$9876='2018-19_working'!$A33)*(raw!$E$2:$E$9876='2018-19_working'!$B$6:$I$6)*(raw!$F$2:$F$9876='2018-19_working'!D$7)*(raw!$G$2:$G$9876))</f>
        <v>0</v>
      </c>
      <c r="E33" s="8">
        <f>SUMPRODUCT((raw!$A$2:$A$9876='2018-19_working'!$A$2)*(raw!$B$2:$B$9876='2018-19_working'!$A33)*(raw!$E$2:$E$9876='2018-19_working'!$B$6:$I$6)*(raw!$F$2:$F$9876='2018-19_working'!E$7)*(raw!$G$2:$G$9876))</f>
        <v>0</v>
      </c>
      <c r="F33" s="8">
        <f>SUMPRODUCT((raw!$A$2:$A$9876='2018-19_working'!$A$2)*(raw!$B$2:$B$9876='2018-19_working'!$A33)*(raw!$E$2:$E$9876='2018-19_working'!$B$6:$I$6)*(raw!$F$2:$F$9876='2018-19_working'!F$7)*(raw!$G$2:$G$9876))</f>
        <v>0</v>
      </c>
      <c r="G33" s="8">
        <f>SUMPRODUCT((raw!$A$2:$A$9876='2018-19_working'!$A$2)*(raw!$B$2:$B$9876='2018-19_working'!$A33)*(raw!$E$2:$E$9876='2018-19_working'!$B$6:$I$6)*(raw!$F$2:$F$9876='2018-19_working'!G$7)*(raw!$G$2:$G$9876))</f>
        <v>0</v>
      </c>
      <c r="H33" s="8">
        <f>SUMPRODUCT((raw!$A$2:$A$9876='2018-19_working'!$A$2)*(raw!$B$2:$B$9876='2018-19_working'!$A33)*(raw!$E$2:$E$9876='2018-19_working'!$B$6:$I$6)*(raw!$F$2:$F$9876='2018-19_working'!H$7)*(raw!$G$2:$G$9876))</f>
        <v>0</v>
      </c>
      <c r="I33" s="8">
        <f>SUMPRODUCT((raw!$A$2:$A$9876='2018-19_working'!$A$2)*(raw!$B$2:$B$9876='2018-19_working'!$A33)*(raw!$E$2:$E$9876='2018-19_working'!$B$6:$I$6)*(raw!$F$2:$F$9876='2018-19_working'!I$7)*(raw!$G$2:$G$9876))</f>
        <v>2</v>
      </c>
      <c r="K33" s="8">
        <f>SUMPRODUCT((raw!$A$2:$A$9876='2018-19_working'!$A$2)*(raw!$B$2:$B$9876='2018-19_working'!$A33)*(raw!$E$2:$E$9876='2018-19_working'!$K$6)*(raw!$F$2:$F$9876='2018-19_working'!K$7)*(raw!$G$2:$G$9876))</f>
        <v>20</v>
      </c>
      <c r="L33" s="8">
        <f>SUMPRODUCT((raw!$A$2:$A$9876='2018-19_working'!$A$2)*(raw!$B$2:$B$9876='2018-19_working'!$A33)*(raw!$E$2:$E$9876='2018-19_working'!$K$6)*(raw!$F$2:$F$9876='2018-19_working'!L$7)*(raw!$G$2:$G$9876))</f>
        <v>0</v>
      </c>
      <c r="M33" s="8">
        <f>SUMPRODUCT((raw!$A$2:$A$9876='2018-19_working'!$A$2)*(raw!$B$2:$B$9876='2018-19_working'!$A33)*(raw!$E$2:$E$9876='2018-19_working'!$K$6)*(raw!$F$2:$F$9876='2018-19_working'!M$7)*(raw!$G$2:$G$9876))</f>
        <v>1</v>
      </c>
      <c r="N33" s="8">
        <f>SUMPRODUCT((raw!$A$2:$A$9876='2018-19_working'!$A$2)*(raw!$B$2:$B$9876='2018-19_working'!$A33)*(raw!$E$2:$E$9876='2018-19_working'!$K$6)*(raw!$F$2:$F$9876='2018-19_working'!N$7)*(raw!$G$2:$G$9876))</f>
        <v>0</v>
      </c>
      <c r="O33" s="8">
        <f>SUMPRODUCT((raw!$A$2:$A$9876='2018-19_working'!$A$2)*(raw!$B$2:$B$9876='2018-19_working'!$A33)*(raw!$E$2:$E$9876='2018-19_working'!$K$6)*(raw!$F$2:$F$9876='2018-19_working'!O$7)*(raw!$G$2:$G$9876))</f>
        <v>0</v>
      </c>
      <c r="P33" s="8">
        <f>SUMPRODUCT((raw!$A$2:$A$9876='2018-19_working'!$A$2)*(raw!$B$2:$B$9876='2018-19_working'!$A33)*(raw!$E$2:$E$9876='2018-19_working'!$K$6)*(raw!$F$2:$F$9876='2018-19_working'!P$7)*(raw!$G$2:$G$9876))</f>
        <v>0</v>
      </c>
      <c r="Q33" s="8">
        <f>SUMPRODUCT((raw!$A$2:$A$9876='2018-19_working'!$A$2)*(raw!$B$2:$B$9876='2018-19_working'!$A33)*(raw!$E$2:$E$9876='2018-19_working'!$K$6)*(raw!$F$2:$F$9876='2018-19_working'!Q$7)*(raw!$G$2:$G$9876))</f>
        <v>0</v>
      </c>
      <c r="R33" s="8">
        <f>SUMPRODUCT((raw!$A$2:$A$9876='2018-19_working'!$A$2)*(raw!$B$2:$B$9876='2018-19_working'!$A33)*(raw!$E$2:$E$9876='2018-19_working'!$K$6)*(raw!$F$2:$F$9876='2018-19_working'!R$7)*(raw!$G$2:$G$9876))</f>
        <v>12</v>
      </c>
      <c r="T33" s="8">
        <f>SUMPRODUCT((raw!$A$2:$A$9876='2018-19_working'!$A$2)*(raw!$B$2:$B$9876='2018-19_working'!$A33)*(raw!$E$2:$E$9876='2018-19_working'!$T$6)*(raw!$F$2:$F$9876='2018-19_working'!T$7)*(raw!$G$2:$G$9876))</f>
        <v>0</v>
      </c>
      <c r="U33" s="8">
        <f>SUMPRODUCT((raw!$A$2:$A$9876='2018-19_working'!$A$2)*(raw!$B$2:$B$9876='2018-19_working'!$A33)*(raw!$E$2:$E$9876='2018-19_working'!$T$6)*(raw!$F$2:$F$9876='2018-19_working'!U$7)*(raw!$G$2:$G$9876))</f>
        <v>0</v>
      </c>
      <c r="V33" s="8">
        <f>SUMPRODUCT((raw!$A$2:$A$9876='2018-19_working'!$A$2)*(raw!$B$2:$B$9876='2018-19_working'!$A33)*(raw!$E$2:$E$9876='2018-19_working'!$T$6)*(raw!$F$2:$F$9876='2018-19_working'!V$7)*(raw!$G$2:$G$9876))</f>
        <v>0</v>
      </c>
      <c r="W33" s="8">
        <f>SUMPRODUCT((raw!$A$2:$A$9876='2018-19_working'!$A$2)*(raw!$B$2:$B$9876='2018-19_working'!$A33)*(raw!$E$2:$E$9876='2018-19_working'!$T$6)*(raw!$F$2:$F$9876='2018-19_working'!W$7)*(raw!$G$2:$G$9876))</f>
        <v>0</v>
      </c>
      <c r="X33" s="8">
        <f>SUMPRODUCT((raw!$A$2:$A$9876='2018-19_working'!$A$2)*(raw!$B$2:$B$9876='2018-19_working'!$A33)*(raw!$E$2:$E$9876='2018-19_working'!$T$6)*(raw!$F$2:$F$9876='2018-19_working'!X$7)*(raw!$G$2:$G$9876))</f>
        <v>0</v>
      </c>
      <c r="Y33" s="8">
        <f>SUMPRODUCT((raw!$A$2:$A$9876='2018-19_working'!$A$2)*(raw!$B$2:$B$9876='2018-19_working'!$A33)*(raw!$E$2:$E$9876='2018-19_working'!$T$6)*(raw!$F$2:$F$9876='2018-19_working'!Y$7)*(raw!$G$2:$G$9876))</f>
        <v>0</v>
      </c>
      <c r="Z33" s="8">
        <f>SUMPRODUCT((raw!$A$2:$A$9876='2018-19_working'!$A$2)*(raw!$B$2:$B$9876='2018-19_working'!$A33)*(raw!$E$2:$E$9876='2018-19_working'!$T$6)*(raw!$F$2:$F$9876='2018-19_working'!Z$7)*(raw!$G$2:$G$9876))</f>
        <v>0</v>
      </c>
      <c r="AA33" s="8">
        <f>SUMPRODUCT((raw!$A$2:$A$9876='2018-19_working'!$A$2)*(raw!$B$2:$B$9876='2018-19_working'!$A33)*(raw!$E$2:$E$9876='2018-19_working'!$T$6)*(raw!$F$2:$F$9876='2018-19_working'!AA$7)*(raw!$G$2:$G$9876))</f>
        <v>0</v>
      </c>
      <c r="AC33" s="8">
        <f>SUMPRODUCT((raw!$A$2:$A$9876='2018-19_working'!$A$2)*(raw!$B$2:$B$9876='2018-19_working'!$A33)*(raw!$E$2:$E$9876='2018-19_working'!$AC$6)*(raw!$F$2:$F$9876='2018-19_working'!AC$7)*(raw!$G$2:$G$9876))</f>
        <v>9</v>
      </c>
      <c r="AD33" s="8">
        <f>SUMPRODUCT((raw!$A$2:$A$9876='2018-19_working'!$A$2)*(raw!$B$2:$B$9876='2018-19_working'!$A33)*(raw!$E$2:$E$9876='2018-19_working'!$AC$6)*(raw!$F$2:$F$9876='2018-19_working'!AD$7)*(raw!$G$2:$G$9876))</f>
        <v>0</v>
      </c>
      <c r="AE33" s="8">
        <f>SUMPRODUCT((raw!$A$2:$A$9876='2018-19_working'!$A$2)*(raw!$B$2:$B$9876='2018-19_working'!$A33)*(raw!$E$2:$E$9876='2018-19_working'!$AC$6)*(raw!$F$2:$F$9876='2018-19_working'!AE$7)*(raw!$G$2:$G$9876))</f>
        <v>0</v>
      </c>
      <c r="AF33" s="8">
        <f>SUMPRODUCT((raw!$A$2:$A$9876='2018-19_working'!$A$2)*(raw!$B$2:$B$9876='2018-19_working'!$A33)*(raw!$E$2:$E$9876='2018-19_working'!$AC$6)*(raw!$F$2:$F$9876='2018-19_working'!AF$7)*(raw!$G$2:$G$9876))</f>
        <v>0</v>
      </c>
      <c r="AG33" s="8">
        <f>SUMPRODUCT((raw!$A$2:$A$9876='2018-19_working'!$A$2)*(raw!$B$2:$B$9876='2018-19_working'!$A33)*(raw!$E$2:$E$9876='2018-19_working'!$AC$6)*(raw!$F$2:$F$9876='2018-19_working'!AG$7)*(raw!$G$2:$G$9876))</f>
        <v>0</v>
      </c>
      <c r="AH33" s="8">
        <f>SUMPRODUCT((raw!$A$2:$A$9876='2018-19_working'!$A$2)*(raw!$B$2:$B$9876='2018-19_working'!$A33)*(raw!$E$2:$E$9876='2018-19_working'!$AC$6)*(raw!$F$2:$F$9876='2018-19_working'!AH$7)*(raw!$G$2:$G$9876))</f>
        <v>0</v>
      </c>
      <c r="AI33" s="8">
        <f>SUMPRODUCT((raw!$A$2:$A$9876='2018-19_working'!$A$2)*(raw!$B$2:$B$9876='2018-19_working'!$A33)*(raw!$E$2:$E$9876='2018-19_working'!$AC$6)*(raw!$F$2:$F$9876='2018-19_working'!AI$7)*(raw!$G$2:$G$9876))</f>
        <v>0</v>
      </c>
      <c r="AJ33" s="8">
        <f>SUMPRODUCT((raw!$A$2:$A$9876='2018-19_working'!$A$2)*(raw!$B$2:$B$9876='2018-19_working'!$A33)*(raw!$E$2:$E$9876='2018-19_working'!$AC$6)*(raw!$F$2:$F$9876='2018-19_working'!AJ$7)*(raw!$G$2:$G$9876))</f>
        <v>0</v>
      </c>
    </row>
    <row r="34" spans="1:36" x14ac:dyDescent="0.3">
      <c r="A34" s="8" t="s">
        <v>41</v>
      </c>
      <c r="B34" s="8">
        <f>SUMPRODUCT((raw!$A$2:$A$9876='2018-19_working'!$A$2)*(raw!$B$2:$B$9876='2018-19_working'!$A34)*(raw!$E$2:$E$9876='2018-19_working'!$B$6:$I$6)*(raw!$F$2:$F$9876='2018-19_working'!B$7)*(raw!$G$2:$G$9876))</f>
        <v>12</v>
      </c>
      <c r="C34" s="8">
        <f>SUMPRODUCT((raw!$A$2:$A$9876='2018-19_working'!$A$2)*(raw!$B$2:$B$9876='2018-19_working'!$A34)*(raw!$E$2:$E$9876='2018-19_working'!$B$6:$I$6)*(raw!$F$2:$F$9876='2018-19_working'!C$7)*(raw!$G$2:$G$9876))</f>
        <v>0</v>
      </c>
      <c r="D34" s="8">
        <f>SUMPRODUCT((raw!$A$2:$A$9876='2018-19_working'!$A$2)*(raw!$B$2:$B$9876='2018-19_working'!$A34)*(raw!$E$2:$E$9876='2018-19_working'!$B$6:$I$6)*(raw!$F$2:$F$9876='2018-19_working'!D$7)*(raw!$G$2:$G$9876))</f>
        <v>1</v>
      </c>
      <c r="E34" s="8">
        <f>SUMPRODUCT((raw!$A$2:$A$9876='2018-19_working'!$A$2)*(raw!$B$2:$B$9876='2018-19_working'!$A34)*(raw!$E$2:$E$9876='2018-19_working'!$B$6:$I$6)*(raw!$F$2:$F$9876='2018-19_working'!E$7)*(raw!$G$2:$G$9876))</f>
        <v>0</v>
      </c>
      <c r="F34" s="8">
        <f>SUMPRODUCT((raw!$A$2:$A$9876='2018-19_working'!$A$2)*(raw!$B$2:$B$9876='2018-19_working'!$A34)*(raw!$E$2:$E$9876='2018-19_working'!$B$6:$I$6)*(raw!$F$2:$F$9876='2018-19_working'!F$7)*(raw!$G$2:$G$9876))</f>
        <v>0</v>
      </c>
      <c r="G34" s="8">
        <f>SUMPRODUCT((raw!$A$2:$A$9876='2018-19_working'!$A$2)*(raw!$B$2:$B$9876='2018-19_working'!$A34)*(raw!$E$2:$E$9876='2018-19_working'!$B$6:$I$6)*(raw!$F$2:$F$9876='2018-19_working'!G$7)*(raw!$G$2:$G$9876))</f>
        <v>0</v>
      </c>
      <c r="H34" s="8">
        <f>SUMPRODUCT((raw!$A$2:$A$9876='2018-19_working'!$A$2)*(raw!$B$2:$B$9876='2018-19_working'!$A34)*(raw!$E$2:$E$9876='2018-19_working'!$B$6:$I$6)*(raw!$F$2:$F$9876='2018-19_working'!H$7)*(raw!$G$2:$G$9876))</f>
        <v>0</v>
      </c>
      <c r="I34" s="8">
        <f>SUMPRODUCT((raw!$A$2:$A$9876='2018-19_working'!$A$2)*(raw!$B$2:$B$9876='2018-19_working'!$A34)*(raw!$E$2:$E$9876='2018-19_working'!$B$6:$I$6)*(raw!$F$2:$F$9876='2018-19_working'!I$7)*(raw!$G$2:$G$9876))</f>
        <v>0</v>
      </c>
      <c r="K34" s="8">
        <f>SUMPRODUCT((raw!$A$2:$A$9876='2018-19_working'!$A$2)*(raw!$B$2:$B$9876='2018-19_working'!$A34)*(raw!$E$2:$E$9876='2018-19_working'!$K$6)*(raw!$F$2:$F$9876='2018-19_working'!K$7)*(raw!$G$2:$G$9876))</f>
        <v>49</v>
      </c>
      <c r="L34" s="8">
        <f>SUMPRODUCT((raw!$A$2:$A$9876='2018-19_working'!$A$2)*(raw!$B$2:$B$9876='2018-19_working'!$A34)*(raw!$E$2:$E$9876='2018-19_working'!$K$6)*(raw!$F$2:$F$9876='2018-19_working'!L$7)*(raw!$G$2:$G$9876))</f>
        <v>3</v>
      </c>
      <c r="M34" s="8">
        <f>SUMPRODUCT((raw!$A$2:$A$9876='2018-19_working'!$A$2)*(raw!$B$2:$B$9876='2018-19_working'!$A34)*(raw!$E$2:$E$9876='2018-19_working'!$K$6)*(raw!$F$2:$F$9876='2018-19_working'!M$7)*(raw!$G$2:$G$9876))</f>
        <v>0</v>
      </c>
      <c r="N34" s="8">
        <f>SUMPRODUCT((raw!$A$2:$A$9876='2018-19_working'!$A$2)*(raw!$B$2:$B$9876='2018-19_working'!$A34)*(raw!$E$2:$E$9876='2018-19_working'!$K$6)*(raw!$F$2:$F$9876='2018-19_working'!N$7)*(raw!$G$2:$G$9876))</f>
        <v>0</v>
      </c>
      <c r="O34" s="8">
        <f>SUMPRODUCT((raw!$A$2:$A$9876='2018-19_working'!$A$2)*(raw!$B$2:$B$9876='2018-19_working'!$A34)*(raw!$E$2:$E$9876='2018-19_working'!$K$6)*(raw!$F$2:$F$9876='2018-19_working'!O$7)*(raw!$G$2:$G$9876))</f>
        <v>0</v>
      </c>
      <c r="P34" s="8">
        <f>SUMPRODUCT((raw!$A$2:$A$9876='2018-19_working'!$A$2)*(raw!$B$2:$B$9876='2018-19_working'!$A34)*(raw!$E$2:$E$9876='2018-19_working'!$K$6)*(raw!$F$2:$F$9876='2018-19_working'!P$7)*(raw!$G$2:$G$9876))</f>
        <v>0</v>
      </c>
      <c r="Q34" s="8">
        <f>SUMPRODUCT((raw!$A$2:$A$9876='2018-19_working'!$A$2)*(raw!$B$2:$B$9876='2018-19_working'!$A34)*(raw!$E$2:$E$9876='2018-19_working'!$K$6)*(raw!$F$2:$F$9876='2018-19_working'!Q$7)*(raw!$G$2:$G$9876))</f>
        <v>0</v>
      </c>
      <c r="R34" s="8">
        <f>SUMPRODUCT((raw!$A$2:$A$9876='2018-19_working'!$A$2)*(raw!$B$2:$B$9876='2018-19_working'!$A34)*(raw!$E$2:$E$9876='2018-19_working'!$K$6)*(raw!$F$2:$F$9876='2018-19_working'!R$7)*(raw!$G$2:$G$9876))</f>
        <v>1</v>
      </c>
      <c r="T34" s="8">
        <f>SUMPRODUCT((raw!$A$2:$A$9876='2018-19_working'!$A$2)*(raw!$B$2:$B$9876='2018-19_working'!$A34)*(raw!$E$2:$E$9876='2018-19_working'!$T$6)*(raw!$F$2:$F$9876='2018-19_working'!T$7)*(raw!$G$2:$G$9876))</f>
        <v>4</v>
      </c>
      <c r="U34" s="8">
        <f>SUMPRODUCT((raw!$A$2:$A$9876='2018-19_working'!$A$2)*(raw!$B$2:$B$9876='2018-19_working'!$A34)*(raw!$E$2:$E$9876='2018-19_working'!$T$6)*(raw!$F$2:$F$9876='2018-19_working'!U$7)*(raw!$G$2:$G$9876))</f>
        <v>0</v>
      </c>
      <c r="V34" s="8">
        <f>SUMPRODUCT((raw!$A$2:$A$9876='2018-19_working'!$A$2)*(raw!$B$2:$B$9876='2018-19_working'!$A34)*(raw!$E$2:$E$9876='2018-19_working'!$T$6)*(raw!$F$2:$F$9876='2018-19_working'!V$7)*(raw!$G$2:$G$9876))</f>
        <v>0</v>
      </c>
      <c r="W34" s="8">
        <f>SUMPRODUCT((raw!$A$2:$A$9876='2018-19_working'!$A$2)*(raw!$B$2:$B$9876='2018-19_working'!$A34)*(raw!$E$2:$E$9876='2018-19_working'!$T$6)*(raw!$F$2:$F$9876='2018-19_working'!W$7)*(raw!$G$2:$G$9876))</f>
        <v>0</v>
      </c>
      <c r="X34" s="8">
        <f>SUMPRODUCT((raw!$A$2:$A$9876='2018-19_working'!$A$2)*(raw!$B$2:$B$9876='2018-19_working'!$A34)*(raw!$E$2:$E$9876='2018-19_working'!$T$6)*(raw!$F$2:$F$9876='2018-19_working'!X$7)*(raw!$G$2:$G$9876))</f>
        <v>0</v>
      </c>
      <c r="Y34" s="8">
        <f>SUMPRODUCT((raw!$A$2:$A$9876='2018-19_working'!$A$2)*(raw!$B$2:$B$9876='2018-19_working'!$A34)*(raw!$E$2:$E$9876='2018-19_working'!$T$6)*(raw!$F$2:$F$9876='2018-19_working'!Y$7)*(raw!$G$2:$G$9876))</f>
        <v>0</v>
      </c>
      <c r="Z34" s="8">
        <f>SUMPRODUCT((raw!$A$2:$A$9876='2018-19_working'!$A$2)*(raw!$B$2:$B$9876='2018-19_working'!$A34)*(raw!$E$2:$E$9876='2018-19_working'!$T$6)*(raw!$F$2:$F$9876='2018-19_working'!Z$7)*(raw!$G$2:$G$9876))</f>
        <v>0</v>
      </c>
      <c r="AA34" s="8">
        <f>SUMPRODUCT((raw!$A$2:$A$9876='2018-19_working'!$A$2)*(raw!$B$2:$B$9876='2018-19_working'!$A34)*(raw!$E$2:$E$9876='2018-19_working'!$T$6)*(raw!$F$2:$F$9876='2018-19_working'!AA$7)*(raw!$G$2:$G$9876))</f>
        <v>0</v>
      </c>
      <c r="AC34" s="8">
        <f>SUMPRODUCT((raw!$A$2:$A$9876='2018-19_working'!$A$2)*(raw!$B$2:$B$9876='2018-19_working'!$A34)*(raw!$E$2:$E$9876='2018-19_working'!$AC$6)*(raw!$F$2:$F$9876='2018-19_working'!AC$7)*(raw!$G$2:$G$9876))</f>
        <v>8</v>
      </c>
      <c r="AD34" s="8">
        <f>SUMPRODUCT((raw!$A$2:$A$9876='2018-19_working'!$A$2)*(raw!$B$2:$B$9876='2018-19_working'!$A34)*(raw!$E$2:$E$9876='2018-19_working'!$AC$6)*(raw!$F$2:$F$9876='2018-19_working'!AD$7)*(raw!$G$2:$G$9876))</f>
        <v>0</v>
      </c>
      <c r="AE34" s="8">
        <f>SUMPRODUCT((raw!$A$2:$A$9876='2018-19_working'!$A$2)*(raw!$B$2:$B$9876='2018-19_working'!$A34)*(raw!$E$2:$E$9876='2018-19_working'!$AC$6)*(raw!$F$2:$F$9876='2018-19_working'!AE$7)*(raw!$G$2:$G$9876))</f>
        <v>0</v>
      </c>
      <c r="AF34" s="8">
        <f>SUMPRODUCT((raw!$A$2:$A$9876='2018-19_working'!$A$2)*(raw!$B$2:$B$9876='2018-19_working'!$A34)*(raw!$E$2:$E$9876='2018-19_working'!$AC$6)*(raw!$F$2:$F$9876='2018-19_working'!AF$7)*(raw!$G$2:$G$9876))</f>
        <v>0</v>
      </c>
      <c r="AG34" s="8">
        <f>SUMPRODUCT((raw!$A$2:$A$9876='2018-19_working'!$A$2)*(raw!$B$2:$B$9876='2018-19_working'!$A34)*(raw!$E$2:$E$9876='2018-19_working'!$AC$6)*(raw!$F$2:$F$9876='2018-19_working'!AG$7)*(raw!$G$2:$G$9876))</f>
        <v>1</v>
      </c>
      <c r="AH34" s="8">
        <f>SUMPRODUCT((raw!$A$2:$A$9876='2018-19_working'!$A$2)*(raw!$B$2:$B$9876='2018-19_working'!$A34)*(raw!$E$2:$E$9876='2018-19_working'!$AC$6)*(raw!$F$2:$F$9876='2018-19_working'!AH$7)*(raw!$G$2:$G$9876))</f>
        <v>0</v>
      </c>
      <c r="AI34" s="8">
        <f>SUMPRODUCT((raw!$A$2:$A$9876='2018-19_working'!$A$2)*(raw!$B$2:$B$9876='2018-19_working'!$A34)*(raw!$E$2:$E$9876='2018-19_working'!$AC$6)*(raw!$F$2:$F$9876='2018-19_working'!AI$7)*(raw!$G$2:$G$9876))</f>
        <v>0</v>
      </c>
      <c r="AJ34" s="8">
        <f>SUMPRODUCT((raw!$A$2:$A$9876='2018-19_working'!$A$2)*(raw!$B$2:$B$9876='2018-19_working'!$A34)*(raw!$E$2:$E$9876='2018-19_working'!$AC$6)*(raw!$F$2:$F$9876='2018-19_working'!AJ$7)*(raw!$G$2:$G$9876))</f>
        <v>1</v>
      </c>
    </row>
    <row r="35" spans="1:36" x14ac:dyDescent="0.3">
      <c r="A35" s="8" t="s">
        <v>42</v>
      </c>
      <c r="B35" s="8">
        <f>SUMPRODUCT((raw!$A$2:$A$9876='2018-19_working'!$A$2)*(raw!$B$2:$B$9876='2018-19_working'!$A35)*(raw!$E$2:$E$9876='2018-19_working'!$B$6:$I$6)*(raw!$F$2:$F$9876='2018-19_working'!B$7)*(raw!$G$2:$G$9876))</f>
        <v>22</v>
      </c>
      <c r="C35" s="8">
        <f>SUMPRODUCT((raw!$A$2:$A$9876='2018-19_working'!$A$2)*(raw!$B$2:$B$9876='2018-19_working'!$A35)*(raw!$E$2:$E$9876='2018-19_working'!$B$6:$I$6)*(raw!$F$2:$F$9876='2018-19_working'!C$7)*(raw!$G$2:$G$9876))</f>
        <v>3</v>
      </c>
      <c r="D35" s="8">
        <f>SUMPRODUCT((raw!$A$2:$A$9876='2018-19_working'!$A$2)*(raw!$B$2:$B$9876='2018-19_working'!$A35)*(raw!$E$2:$E$9876='2018-19_working'!$B$6:$I$6)*(raw!$F$2:$F$9876='2018-19_working'!D$7)*(raw!$G$2:$G$9876))</f>
        <v>1</v>
      </c>
      <c r="E35" s="8">
        <f>SUMPRODUCT((raw!$A$2:$A$9876='2018-19_working'!$A$2)*(raw!$B$2:$B$9876='2018-19_working'!$A35)*(raw!$E$2:$E$9876='2018-19_working'!$B$6:$I$6)*(raw!$F$2:$F$9876='2018-19_working'!E$7)*(raw!$G$2:$G$9876))</f>
        <v>0</v>
      </c>
      <c r="F35" s="8">
        <f>SUMPRODUCT((raw!$A$2:$A$9876='2018-19_working'!$A$2)*(raw!$B$2:$B$9876='2018-19_working'!$A35)*(raw!$E$2:$E$9876='2018-19_working'!$B$6:$I$6)*(raw!$F$2:$F$9876='2018-19_working'!F$7)*(raw!$G$2:$G$9876))</f>
        <v>0</v>
      </c>
      <c r="G35" s="8">
        <f>SUMPRODUCT((raw!$A$2:$A$9876='2018-19_working'!$A$2)*(raw!$B$2:$B$9876='2018-19_working'!$A35)*(raw!$E$2:$E$9876='2018-19_working'!$B$6:$I$6)*(raw!$F$2:$F$9876='2018-19_working'!G$7)*(raw!$G$2:$G$9876))</f>
        <v>0</v>
      </c>
      <c r="H35" s="8">
        <f>SUMPRODUCT((raw!$A$2:$A$9876='2018-19_working'!$A$2)*(raw!$B$2:$B$9876='2018-19_working'!$A35)*(raw!$E$2:$E$9876='2018-19_working'!$B$6:$I$6)*(raw!$F$2:$F$9876='2018-19_working'!H$7)*(raw!$G$2:$G$9876))</f>
        <v>0</v>
      </c>
      <c r="I35" s="8">
        <f>SUMPRODUCT((raw!$A$2:$A$9876='2018-19_working'!$A$2)*(raw!$B$2:$B$9876='2018-19_working'!$A35)*(raw!$E$2:$E$9876='2018-19_working'!$B$6:$I$6)*(raw!$F$2:$F$9876='2018-19_working'!I$7)*(raw!$G$2:$G$9876))</f>
        <v>4</v>
      </c>
      <c r="K35" s="8">
        <f>SUMPRODUCT((raw!$A$2:$A$9876='2018-19_working'!$A$2)*(raw!$B$2:$B$9876='2018-19_working'!$A35)*(raw!$E$2:$E$9876='2018-19_working'!$K$6)*(raw!$F$2:$F$9876='2018-19_working'!K$7)*(raw!$G$2:$G$9876))</f>
        <v>31</v>
      </c>
      <c r="L35" s="8">
        <f>SUMPRODUCT((raw!$A$2:$A$9876='2018-19_working'!$A$2)*(raw!$B$2:$B$9876='2018-19_working'!$A35)*(raw!$E$2:$E$9876='2018-19_working'!$K$6)*(raw!$F$2:$F$9876='2018-19_working'!L$7)*(raw!$G$2:$G$9876))</f>
        <v>1</v>
      </c>
      <c r="M35" s="8">
        <f>SUMPRODUCT((raw!$A$2:$A$9876='2018-19_working'!$A$2)*(raw!$B$2:$B$9876='2018-19_working'!$A35)*(raw!$E$2:$E$9876='2018-19_working'!$K$6)*(raw!$F$2:$F$9876='2018-19_working'!M$7)*(raw!$G$2:$G$9876))</f>
        <v>0</v>
      </c>
      <c r="N35" s="8">
        <f>SUMPRODUCT((raw!$A$2:$A$9876='2018-19_working'!$A$2)*(raw!$B$2:$B$9876='2018-19_working'!$A35)*(raw!$E$2:$E$9876='2018-19_working'!$K$6)*(raw!$F$2:$F$9876='2018-19_working'!N$7)*(raw!$G$2:$G$9876))</f>
        <v>0</v>
      </c>
      <c r="O35" s="8">
        <f>SUMPRODUCT((raw!$A$2:$A$9876='2018-19_working'!$A$2)*(raw!$B$2:$B$9876='2018-19_working'!$A35)*(raw!$E$2:$E$9876='2018-19_working'!$K$6)*(raw!$F$2:$F$9876='2018-19_working'!O$7)*(raw!$G$2:$G$9876))</f>
        <v>0</v>
      </c>
      <c r="P35" s="8">
        <f>SUMPRODUCT((raw!$A$2:$A$9876='2018-19_working'!$A$2)*(raw!$B$2:$B$9876='2018-19_working'!$A35)*(raw!$E$2:$E$9876='2018-19_working'!$K$6)*(raw!$F$2:$F$9876='2018-19_working'!P$7)*(raw!$G$2:$G$9876))</f>
        <v>0</v>
      </c>
      <c r="Q35" s="8">
        <f>SUMPRODUCT((raw!$A$2:$A$9876='2018-19_working'!$A$2)*(raw!$B$2:$B$9876='2018-19_working'!$A35)*(raw!$E$2:$E$9876='2018-19_working'!$K$6)*(raw!$F$2:$F$9876='2018-19_working'!Q$7)*(raw!$G$2:$G$9876))</f>
        <v>0</v>
      </c>
      <c r="R35" s="8">
        <f>SUMPRODUCT((raw!$A$2:$A$9876='2018-19_working'!$A$2)*(raw!$B$2:$B$9876='2018-19_working'!$A35)*(raw!$E$2:$E$9876='2018-19_working'!$K$6)*(raw!$F$2:$F$9876='2018-19_working'!R$7)*(raw!$G$2:$G$9876))</f>
        <v>6</v>
      </c>
      <c r="T35" s="8">
        <f>SUMPRODUCT((raw!$A$2:$A$9876='2018-19_working'!$A$2)*(raw!$B$2:$B$9876='2018-19_working'!$A35)*(raw!$E$2:$E$9876='2018-19_working'!$T$6)*(raw!$F$2:$F$9876='2018-19_working'!T$7)*(raw!$G$2:$G$9876))</f>
        <v>2</v>
      </c>
      <c r="U35" s="8">
        <f>SUMPRODUCT((raw!$A$2:$A$9876='2018-19_working'!$A$2)*(raw!$B$2:$B$9876='2018-19_working'!$A35)*(raw!$E$2:$E$9876='2018-19_working'!$T$6)*(raw!$F$2:$F$9876='2018-19_working'!U$7)*(raw!$G$2:$G$9876))</f>
        <v>0</v>
      </c>
      <c r="V35" s="8">
        <f>SUMPRODUCT((raw!$A$2:$A$9876='2018-19_working'!$A$2)*(raw!$B$2:$B$9876='2018-19_working'!$A35)*(raw!$E$2:$E$9876='2018-19_working'!$T$6)*(raw!$F$2:$F$9876='2018-19_working'!V$7)*(raw!$G$2:$G$9876))</f>
        <v>0</v>
      </c>
      <c r="W35" s="8">
        <f>SUMPRODUCT((raw!$A$2:$A$9876='2018-19_working'!$A$2)*(raw!$B$2:$B$9876='2018-19_working'!$A35)*(raw!$E$2:$E$9876='2018-19_working'!$T$6)*(raw!$F$2:$F$9876='2018-19_working'!W$7)*(raw!$G$2:$G$9876))</f>
        <v>0</v>
      </c>
      <c r="X35" s="8">
        <f>SUMPRODUCT((raw!$A$2:$A$9876='2018-19_working'!$A$2)*(raw!$B$2:$B$9876='2018-19_working'!$A35)*(raw!$E$2:$E$9876='2018-19_working'!$T$6)*(raw!$F$2:$F$9876='2018-19_working'!X$7)*(raw!$G$2:$G$9876))</f>
        <v>0</v>
      </c>
      <c r="Y35" s="8">
        <f>SUMPRODUCT((raw!$A$2:$A$9876='2018-19_working'!$A$2)*(raw!$B$2:$B$9876='2018-19_working'!$A35)*(raw!$E$2:$E$9876='2018-19_working'!$T$6)*(raw!$F$2:$F$9876='2018-19_working'!Y$7)*(raw!$G$2:$G$9876))</f>
        <v>0</v>
      </c>
      <c r="Z35" s="8">
        <f>SUMPRODUCT((raw!$A$2:$A$9876='2018-19_working'!$A$2)*(raw!$B$2:$B$9876='2018-19_working'!$A35)*(raw!$E$2:$E$9876='2018-19_working'!$T$6)*(raw!$F$2:$F$9876='2018-19_working'!Z$7)*(raw!$G$2:$G$9876))</f>
        <v>0</v>
      </c>
      <c r="AA35" s="8">
        <f>SUMPRODUCT((raw!$A$2:$A$9876='2018-19_working'!$A$2)*(raw!$B$2:$B$9876='2018-19_working'!$A35)*(raw!$E$2:$E$9876='2018-19_working'!$T$6)*(raw!$F$2:$F$9876='2018-19_working'!AA$7)*(raw!$G$2:$G$9876))</f>
        <v>0</v>
      </c>
      <c r="AC35" s="8">
        <f>SUMPRODUCT((raw!$A$2:$A$9876='2018-19_working'!$A$2)*(raw!$B$2:$B$9876='2018-19_working'!$A35)*(raw!$E$2:$E$9876='2018-19_working'!$AC$6)*(raw!$F$2:$F$9876='2018-19_working'!AC$7)*(raw!$G$2:$G$9876))</f>
        <v>6</v>
      </c>
      <c r="AD35" s="8">
        <f>SUMPRODUCT((raw!$A$2:$A$9876='2018-19_working'!$A$2)*(raw!$B$2:$B$9876='2018-19_working'!$A35)*(raw!$E$2:$E$9876='2018-19_working'!$AC$6)*(raw!$F$2:$F$9876='2018-19_working'!AD$7)*(raw!$G$2:$G$9876))</f>
        <v>0</v>
      </c>
      <c r="AE35" s="8">
        <f>SUMPRODUCT((raw!$A$2:$A$9876='2018-19_working'!$A$2)*(raw!$B$2:$B$9876='2018-19_working'!$A35)*(raw!$E$2:$E$9876='2018-19_working'!$AC$6)*(raw!$F$2:$F$9876='2018-19_working'!AE$7)*(raw!$G$2:$G$9876))</f>
        <v>0</v>
      </c>
      <c r="AF35" s="8">
        <f>SUMPRODUCT((raw!$A$2:$A$9876='2018-19_working'!$A$2)*(raw!$B$2:$B$9876='2018-19_working'!$A35)*(raw!$E$2:$E$9876='2018-19_working'!$AC$6)*(raw!$F$2:$F$9876='2018-19_working'!AF$7)*(raw!$G$2:$G$9876))</f>
        <v>0</v>
      </c>
      <c r="AG35" s="8">
        <f>SUMPRODUCT((raw!$A$2:$A$9876='2018-19_working'!$A$2)*(raw!$B$2:$B$9876='2018-19_working'!$A35)*(raw!$E$2:$E$9876='2018-19_working'!$AC$6)*(raw!$F$2:$F$9876='2018-19_working'!AG$7)*(raw!$G$2:$G$9876))</f>
        <v>0</v>
      </c>
      <c r="AH35" s="8">
        <f>SUMPRODUCT((raw!$A$2:$A$9876='2018-19_working'!$A$2)*(raw!$B$2:$B$9876='2018-19_working'!$A35)*(raw!$E$2:$E$9876='2018-19_working'!$AC$6)*(raw!$F$2:$F$9876='2018-19_working'!AH$7)*(raw!$G$2:$G$9876))</f>
        <v>0</v>
      </c>
      <c r="AI35" s="8">
        <f>SUMPRODUCT((raw!$A$2:$A$9876='2018-19_working'!$A$2)*(raw!$B$2:$B$9876='2018-19_working'!$A35)*(raw!$E$2:$E$9876='2018-19_working'!$AC$6)*(raw!$F$2:$F$9876='2018-19_working'!AI$7)*(raw!$G$2:$G$9876))</f>
        <v>0</v>
      </c>
      <c r="AJ35" s="8">
        <f>SUMPRODUCT((raw!$A$2:$A$9876='2018-19_working'!$A$2)*(raw!$B$2:$B$9876='2018-19_working'!$A35)*(raw!$E$2:$E$9876='2018-19_working'!$AC$6)*(raw!$F$2:$F$9876='2018-19_working'!AJ$7)*(raw!$G$2:$G$9876))</f>
        <v>4</v>
      </c>
    </row>
    <row r="36" spans="1:36" x14ac:dyDescent="0.3">
      <c r="A36" s="8" t="s">
        <v>43</v>
      </c>
      <c r="B36" s="8">
        <f>SUMPRODUCT((raw!$A$2:$A$9876='2018-19_working'!$A$2)*(raw!$B$2:$B$9876='2018-19_working'!$A36)*(raw!$E$2:$E$9876='2018-19_working'!$B$6:$I$6)*(raw!$F$2:$F$9876='2018-19_working'!B$7)*(raw!$G$2:$G$9876))</f>
        <v>0</v>
      </c>
      <c r="C36" s="8">
        <f>SUMPRODUCT((raw!$A$2:$A$9876='2018-19_working'!$A$2)*(raw!$B$2:$B$9876='2018-19_working'!$A36)*(raw!$E$2:$E$9876='2018-19_working'!$B$6:$I$6)*(raw!$F$2:$F$9876='2018-19_working'!C$7)*(raw!$G$2:$G$9876))</f>
        <v>0</v>
      </c>
      <c r="D36" s="8">
        <f>SUMPRODUCT((raw!$A$2:$A$9876='2018-19_working'!$A$2)*(raw!$B$2:$B$9876='2018-19_working'!$A36)*(raw!$E$2:$E$9876='2018-19_working'!$B$6:$I$6)*(raw!$F$2:$F$9876='2018-19_working'!D$7)*(raw!$G$2:$G$9876))</f>
        <v>0</v>
      </c>
      <c r="E36" s="8">
        <f>SUMPRODUCT((raw!$A$2:$A$9876='2018-19_working'!$A$2)*(raw!$B$2:$B$9876='2018-19_working'!$A36)*(raw!$E$2:$E$9876='2018-19_working'!$B$6:$I$6)*(raw!$F$2:$F$9876='2018-19_working'!E$7)*(raw!$G$2:$G$9876))</f>
        <v>0</v>
      </c>
      <c r="F36" s="8">
        <f>SUMPRODUCT((raw!$A$2:$A$9876='2018-19_working'!$A$2)*(raw!$B$2:$B$9876='2018-19_working'!$A36)*(raw!$E$2:$E$9876='2018-19_working'!$B$6:$I$6)*(raw!$F$2:$F$9876='2018-19_working'!F$7)*(raw!$G$2:$G$9876))</f>
        <v>0</v>
      </c>
      <c r="G36" s="8">
        <f>SUMPRODUCT((raw!$A$2:$A$9876='2018-19_working'!$A$2)*(raw!$B$2:$B$9876='2018-19_working'!$A36)*(raw!$E$2:$E$9876='2018-19_working'!$B$6:$I$6)*(raw!$F$2:$F$9876='2018-19_working'!G$7)*(raw!$G$2:$G$9876))</f>
        <v>0</v>
      </c>
      <c r="H36" s="8">
        <f>SUMPRODUCT((raw!$A$2:$A$9876='2018-19_working'!$A$2)*(raw!$B$2:$B$9876='2018-19_working'!$A36)*(raw!$E$2:$E$9876='2018-19_working'!$B$6:$I$6)*(raw!$F$2:$F$9876='2018-19_working'!H$7)*(raw!$G$2:$G$9876))</f>
        <v>0</v>
      </c>
      <c r="I36" s="8">
        <f>SUMPRODUCT((raw!$A$2:$A$9876='2018-19_working'!$A$2)*(raw!$B$2:$B$9876='2018-19_working'!$A36)*(raw!$E$2:$E$9876='2018-19_working'!$B$6:$I$6)*(raw!$F$2:$F$9876='2018-19_working'!I$7)*(raw!$G$2:$G$9876))</f>
        <v>0</v>
      </c>
      <c r="K36" s="8">
        <f>SUMPRODUCT((raw!$A$2:$A$9876='2018-19_working'!$A$2)*(raw!$B$2:$B$9876='2018-19_working'!$A36)*(raw!$E$2:$E$9876='2018-19_working'!$K$6)*(raw!$F$2:$F$9876='2018-19_working'!K$7)*(raw!$G$2:$G$9876))</f>
        <v>0</v>
      </c>
      <c r="L36" s="8">
        <f>SUMPRODUCT((raw!$A$2:$A$9876='2018-19_working'!$A$2)*(raw!$B$2:$B$9876='2018-19_working'!$A36)*(raw!$E$2:$E$9876='2018-19_working'!$K$6)*(raw!$F$2:$F$9876='2018-19_working'!L$7)*(raw!$G$2:$G$9876))</f>
        <v>0</v>
      </c>
      <c r="M36" s="8">
        <f>SUMPRODUCT((raw!$A$2:$A$9876='2018-19_working'!$A$2)*(raw!$B$2:$B$9876='2018-19_working'!$A36)*(raw!$E$2:$E$9876='2018-19_working'!$K$6)*(raw!$F$2:$F$9876='2018-19_working'!M$7)*(raw!$G$2:$G$9876))</f>
        <v>0</v>
      </c>
      <c r="N36" s="8">
        <f>SUMPRODUCT((raw!$A$2:$A$9876='2018-19_working'!$A$2)*(raw!$B$2:$B$9876='2018-19_working'!$A36)*(raw!$E$2:$E$9876='2018-19_working'!$K$6)*(raw!$F$2:$F$9876='2018-19_working'!N$7)*(raw!$G$2:$G$9876))</f>
        <v>0</v>
      </c>
      <c r="O36" s="8">
        <f>SUMPRODUCT((raw!$A$2:$A$9876='2018-19_working'!$A$2)*(raw!$B$2:$B$9876='2018-19_working'!$A36)*(raw!$E$2:$E$9876='2018-19_working'!$K$6)*(raw!$F$2:$F$9876='2018-19_working'!O$7)*(raw!$G$2:$G$9876))</f>
        <v>0</v>
      </c>
      <c r="P36" s="8">
        <f>SUMPRODUCT((raw!$A$2:$A$9876='2018-19_working'!$A$2)*(raw!$B$2:$B$9876='2018-19_working'!$A36)*(raw!$E$2:$E$9876='2018-19_working'!$K$6)*(raw!$F$2:$F$9876='2018-19_working'!P$7)*(raw!$G$2:$G$9876))</f>
        <v>0</v>
      </c>
      <c r="Q36" s="8">
        <f>SUMPRODUCT((raw!$A$2:$A$9876='2018-19_working'!$A$2)*(raw!$B$2:$B$9876='2018-19_working'!$A36)*(raw!$E$2:$E$9876='2018-19_working'!$K$6)*(raw!$F$2:$F$9876='2018-19_working'!Q$7)*(raw!$G$2:$G$9876))</f>
        <v>0</v>
      </c>
      <c r="R36" s="8">
        <f>SUMPRODUCT((raw!$A$2:$A$9876='2018-19_working'!$A$2)*(raw!$B$2:$B$9876='2018-19_working'!$A36)*(raw!$E$2:$E$9876='2018-19_working'!$K$6)*(raw!$F$2:$F$9876='2018-19_working'!R$7)*(raw!$G$2:$G$9876))</f>
        <v>0</v>
      </c>
      <c r="T36" s="8">
        <f>SUMPRODUCT((raw!$A$2:$A$9876='2018-19_working'!$A$2)*(raw!$B$2:$B$9876='2018-19_working'!$A36)*(raw!$E$2:$E$9876='2018-19_working'!$T$6)*(raw!$F$2:$F$9876='2018-19_working'!T$7)*(raw!$G$2:$G$9876))</f>
        <v>5</v>
      </c>
      <c r="U36" s="8">
        <f>SUMPRODUCT((raw!$A$2:$A$9876='2018-19_working'!$A$2)*(raw!$B$2:$B$9876='2018-19_working'!$A36)*(raw!$E$2:$E$9876='2018-19_working'!$T$6)*(raw!$F$2:$F$9876='2018-19_working'!U$7)*(raw!$G$2:$G$9876))</f>
        <v>0</v>
      </c>
      <c r="V36" s="8">
        <f>SUMPRODUCT((raw!$A$2:$A$9876='2018-19_working'!$A$2)*(raw!$B$2:$B$9876='2018-19_working'!$A36)*(raw!$E$2:$E$9876='2018-19_working'!$T$6)*(raw!$F$2:$F$9876='2018-19_working'!V$7)*(raw!$G$2:$G$9876))</f>
        <v>0</v>
      </c>
      <c r="W36" s="8">
        <f>SUMPRODUCT((raw!$A$2:$A$9876='2018-19_working'!$A$2)*(raw!$B$2:$B$9876='2018-19_working'!$A36)*(raw!$E$2:$E$9876='2018-19_working'!$T$6)*(raw!$F$2:$F$9876='2018-19_working'!W$7)*(raw!$G$2:$G$9876))</f>
        <v>0</v>
      </c>
      <c r="X36" s="8">
        <f>SUMPRODUCT((raw!$A$2:$A$9876='2018-19_working'!$A$2)*(raw!$B$2:$B$9876='2018-19_working'!$A36)*(raw!$E$2:$E$9876='2018-19_working'!$T$6)*(raw!$F$2:$F$9876='2018-19_working'!X$7)*(raw!$G$2:$G$9876))</f>
        <v>0</v>
      </c>
      <c r="Y36" s="8">
        <f>SUMPRODUCT((raw!$A$2:$A$9876='2018-19_working'!$A$2)*(raw!$B$2:$B$9876='2018-19_working'!$A36)*(raw!$E$2:$E$9876='2018-19_working'!$T$6)*(raw!$F$2:$F$9876='2018-19_working'!Y$7)*(raw!$G$2:$G$9876))</f>
        <v>1</v>
      </c>
      <c r="Z36" s="8">
        <f>SUMPRODUCT((raw!$A$2:$A$9876='2018-19_working'!$A$2)*(raw!$B$2:$B$9876='2018-19_working'!$A36)*(raw!$E$2:$E$9876='2018-19_working'!$T$6)*(raw!$F$2:$F$9876='2018-19_working'!Z$7)*(raw!$G$2:$G$9876))</f>
        <v>1</v>
      </c>
      <c r="AA36" s="8">
        <f>SUMPRODUCT((raw!$A$2:$A$9876='2018-19_working'!$A$2)*(raw!$B$2:$B$9876='2018-19_working'!$A36)*(raw!$E$2:$E$9876='2018-19_working'!$T$6)*(raw!$F$2:$F$9876='2018-19_working'!AA$7)*(raw!$G$2:$G$9876))</f>
        <v>0</v>
      </c>
      <c r="AC36" s="8">
        <f>SUMPRODUCT((raw!$A$2:$A$9876='2018-19_working'!$A$2)*(raw!$B$2:$B$9876='2018-19_working'!$A36)*(raw!$E$2:$E$9876='2018-19_working'!$AC$6)*(raw!$F$2:$F$9876='2018-19_working'!AC$7)*(raw!$G$2:$G$9876))</f>
        <v>1</v>
      </c>
      <c r="AD36" s="8">
        <f>SUMPRODUCT((raw!$A$2:$A$9876='2018-19_working'!$A$2)*(raw!$B$2:$B$9876='2018-19_working'!$A36)*(raw!$E$2:$E$9876='2018-19_working'!$AC$6)*(raw!$F$2:$F$9876='2018-19_working'!AD$7)*(raw!$G$2:$G$9876))</f>
        <v>0</v>
      </c>
      <c r="AE36" s="8">
        <f>SUMPRODUCT((raw!$A$2:$A$9876='2018-19_working'!$A$2)*(raw!$B$2:$B$9876='2018-19_working'!$A36)*(raw!$E$2:$E$9876='2018-19_working'!$AC$6)*(raw!$F$2:$F$9876='2018-19_working'!AE$7)*(raw!$G$2:$G$9876))</f>
        <v>0</v>
      </c>
      <c r="AF36" s="8">
        <f>SUMPRODUCT((raw!$A$2:$A$9876='2018-19_working'!$A$2)*(raw!$B$2:$B$9876='2018-19_working'!$A36)*(raw!$E$2:$E$9876='2018-19_working'!$AC$6)*(raw!$F$2:$F$9876='2018-19_working'!AF$7)*(raw!$G$2:$G$9876))</f>
        <v>0</v>
      </c>
      <c r="AG36" s="8">
        <f>SUMPRODUCT((raw!$A$2:$A$9876='2018-19_working'!$A$2)*(raw!$B$2:$B$9876='2018-19_working'!$A36)*(raw!$E$2:$E$9876='2018-19_working'!$AC$6)*(raw!$F$2:$F$9876='2018-19_working'!AG$7)*(raw!$G$2:$G$9876))</f>
        <v>0</v>
      </c>
      <c r="AH36" s="8">
        <f>SUMPRODUCT((raw!$A$2:$A$9876='2018-19_working'!$A$2)*(raw!$B$2:$B$9876='2018-19_working'!$A36)*(raw!$E$2:$E$9876='2018-19_working'!$AC$6)*(raw!$F$2:$F$9876='2018-19_working'!AH$7)*(raw!$G$2:$G$9876))</f>
        <v>0</v>
      </c>
      <c r="AI36" s="8">
        <f>SUMPRODUCT((raw!$A$2:$A$9876='2018-19_working'!$A$2)*(raw!$B$2:$B$9876='2018-19_working'!$A36)*(raw!$E$2:$E$9876='2018-19_working'!$AC$6)*(raw!$F$2:$F$9876='2018-19_working'!AI$7)*(raw!$G$2:$G$9876))</f>
        <v>0</v>
      </c>
      <c r="AJ36" s="8">
        <f>SUMPRODUCT((raw!$A$2:$A$9876='2018-19_working'!$A$2)*(raw!$B$2:$B$9876='2018-19_working'!$A36)*(raw!$E$2:$E$9876='2018-19_working'!$AC$6)*(raw!$F$2:$F$9876='2018-19_working'!AJ$7)*(raw!$G$2:$G$9876))</f>
        <v>0</v>
      </c>
    </row>
    <row r="37" spans="1:36" x14ac:dyDescent="0.3">
      <c r="A37" s="8" t="s">
        <v>44</v>
      </c>
      <c r="B37" s="8">
        <f>SUMPRODUCT((raw!$A$2:$A$9876='2018-19_working'!$A$2)*(raw!$B$2:$B$9876='2018-19_working'!$A37)*(raw!$E$2:$E$9876='2018-19_working'!$B$6:$I$6)*(raw!$F$2:$F$9876='2018-19_working'!B$7)*(raw!$G$2:$G$9876))</f>
        <v>24</v>
      </c>
      <c r="C37" s="8">
        <f>SUMPRODUCT((raw!$A$2:$A$9876='2018-19_working'!$A$2)*(raw!$B$2:$B$9876='2018-19_working'!$A37)*(raw!$E$2:$E$9876='2018-19_working'!$B$6:$I$6)*(raw!$F$2:$F$9876='2018-19_working'!C$7)*(raw!$G$2:$G$9876))</f>
        <v>1</v>
      </c>
      <c r="D37" s="8">
        <f>SUMPRODUCT((raw!$A$2:$A$9876='2018-19_working'!$A$2)*(raw!$B$2:$B$9876='2018-19_working'!$A37)*(raw!$E$2:$E$9876='2018-19_working'!$B$6:$I$6)*(raw!$F$2:$F$9876='2018-19_working'!D$7)*(raw!$G$2:$G$9876))</f>
        <v>0</v>
      </c>
      <c r="E37" s="8">
        <f>SUMPRODUCT((raw!$A$2:$A$9876='2018-19_working'!$A$2)*(raw!$B$2:$B$9876='2018-19_working'!$A37)*(raw!$E$2:$E$9876='2018-19_working'!$B$6:$I$6)*(raw!$F$2:$F$9876='2018-19_working'!E$7)*(raw!$G$2:$G$9876))</f>
        <v>0</v>
      </c>
      <c r="F37" s="8">
        <f>SUMPRODUCT((raw!$A$2:$A$9876='2018-19_working'!$A$2)*(raw!$B$2:$B$9876='2018-19_working'!$A37)*(raw!$E$2:$E$9876='2018-19_working'!$B$6:$I$6)*(raw!$F$2:$F$9876='2018-19_working'!F$7)*(raw!$G$2:$G$9876))</f>
        <v>0</v>
      </c>
      <c r="G37" s="8">
        <f>SUMPRODUCT((raw!$A$2:$A$9876='2018-19_working'!$A$2)*(raw!$B$2:$B$9876='2018-19_working'!$A37)*(raw!$E$2:$E$9876='2018-19_working'!$B$6:$I$6)*(raw!$F$2:$F$9876='2018-19_working'!G$7)*(raw!$G$2:$G$9876))</f>
        <v>0</v>
      </c>
      <c r="H37" s="8">
        <f>SUMPRODUCT((raw!$A$2:$A$9876='2018-19_working'!$A$2)*(raw!$B$2:$B$9876='2018-19_working'!$A37)*(raw!$E$2:$E$9876='2018-19_working'!$B$6:$I$6)*(raw!$F$2:$F$9876='2018-19_working'!H$7)*(raw!$G$2:$G$9876))</f>
        <v>0</v>
      </c>
      <c r="I37" s="8">
        <f>SUMPRODUCT((raw!$A$2:$A$9876='2018-19_working'!$A$2)*(raw!$B$2:$B$9876='2018-19_working'!$A37)*(raw!$E$2:$E$9876='2018-19_working'!$B$6:$I$6)*(raw!$F$2:$F$9876='2018-19_working'!I$7)*(raw!$G$2:$G$9876))</f>
        <v>5</v>
      </c>
      <c r="K37" s="8">
        <f>SUMPRODUCT((raw!$A$2:$A$9876='2018-19_working'!$A$2)*(raw!$B$2:$B$9876='2018-19_working'!$A37)*(raw!$E$2:$E$9876='2018-19_working'!$K$6)*(raw!$F$2:$F$9876='2018-19_working'!K$7)*(raw!$G$2:$G$9876))</f>
        <v>41</v>
      </c>
      <c r="L37" s="8">
        <f>SUMPRODUCT((raw!$A$2:$A$9876='2018-19_working'!$A$2)*(raw!$B$2:$B$9876='2018-19_working'!$A37)*(raw!$E$2:$E$9876='2018-19_working'!$K$6)*(raw!$F$2:$F$9876='2018-19_working'!L$7)*(raw!$G$2:$G$9876))</f>
        <v>0</v>
      </c>
      <c r="M37" s="8">
        <f>SUMPRODUCT((raw!$A$2:$A$9876='2018-19_working'!$A$2)*(raw!$B$2:$B$9876='2018-19_working'!$A37)*(raw!$E$2:$E$9876='2018-19_working'!$K$6)*(raw!$F$2:$F$9876='2018-19_working'!M$7)*(raw!$G$2:$G$9876))</f>
        <v>0</v>
      </c>
      <c r="N37" s="8">
        <f>SUMPRODUCT((raw!$A$2:$A$9876='2018-19_working'!$A$2)*(raw!$B$2:$B$9876='2018-19_working'!$A37)*(raw!$E$2:$E$9876='2018-19_working'!$K$6)*(raw!$F$2:$F$9876='2018-19_working'!N$7)*(raw!$G$2:$G$9876))</f>
        <v>0</v>
      </c>
      <c r="O37" s="8">
        <f>SUMPRODUCT((raw!$A$2:$A$9876='2018-19_working'!$A$2)*(raw!$B$2:$B$9876='2018-19_working'!$A37)*(raw!$E$2:$E$9876='2018-19_working'!$K$6)*(raw!$F$2:$F$9876='2018-19_working'!O$7)*(raw!$G$2:$G$9876))</f>
        <v>0</v>
      </c>
      <c r="P37" s="8">
        <f>SUMPRODUCT((raw!$A$2:$A$9876='2018-19_working'!$A$2)*(raw!$B$2:$B$9876='2018-19_working'!$A37)*(raw!$E$2:$E$9876='2018-19_working'!$K$6)*(raw!$F$2:$F$9876='2018-19_working'!P$7)*(raw!$G$2:$G$9876))</f>
        <v>0</v>
      </c>
      <c r="Q37" s="8">
        <f>SUMPRODUCT((raw!$A$2:$A$9876='2018-19_working'!$A$2)*(raw!$B$2:$B$9876='2018-19_working'!$A37)*(raw!$E$2:$E$9876='2018-19_working'!$K$6)*(raw!$F$2:$F$9876='2018-19_working'!Q$7)*(raw!$G$2:$G$9876))</f>
        <v>0</v>
      </c>
      <c r="R37" s="8">
        <f>SUMPRODUCT((raw!$A$2:$A$9876='2018-19_working'!$A$2)*(raw!$B$2:$B$9876='2018-19_working'!$A37)*(raw!$E$2:$E$9876='2018-19_working'!$K$6)*(raw!$F$2:$F$9876='2018-19_working'!R$7)*(raw!$G$2:$G$9876))</f>
        <v>0</v>
      </c>
      <c r="T37" s="8">
        <f>SUMPRODUCT((raw!$A$2:$A$9876='2018-19_working'!$A$2)*(raw!$B$2:$B$9876='2018-19_working'!$A37)*(raw!$E$2:$E$9876='2018-19_working'!$T$6)*(raw!$F$2:$F$9876='2018-19_working'!T$7)*(raw!$G$2:$G$9876))</f>
        <v>4</v>
      </c>
      <c r="U37" s="8">
        <f>SUMPRODUCT((raw!$A$2:$A$9876='2018-19_working'!$A$2)*(raw!$B$2:$B$9876='2018-19_working'!$A37)*(raw!$E$2:$E$9876='2018-19_working'!$T$6)*(raw!$F$2:$F$9876='2018-19_working'!U$7)*(raw!$G$2:$G$9876))</f>
        <v>0</v>
      </c>
      <c r="V37" s="8">
        <f>SUMPRODUCT((raw!$A$2:$A$9876='2018-19_working'!$A$2)*(raw!$B$2:$B$9876='2018-19_working'!$A37)*(raw!$E$2:$E$9876='2018-19_working'!$T$6)*(raw!$F$2:$F$9876='2018-19_working'!V$7)*(raw!$G$2:$G$9876))</f>
        <v>0</v>
      </c>
      <c r="W37" s="8">
        <f>SUMPRODUCT((raw!$A$2:$A$9876='2018-19_working'!$A$2)*(raw!$B$2:$B$9876='2018-19_working'!$A37)*(raw!$E$2:$E$9876='2018-19_working'!$T$6)*(raw!$F$2:$F$9876='2018-19_working'!W$7)*(raw!$G$2:$G$9876))</f>
        <v>0</v>
      </c>
      <c r="X37" s="8">
        <f>SUMPRODUCT((raw!$A$2:$A$9876='2018-19_working'!$A$2)*(raw!$B$2:$B$9876='2018-19_working'!$A37)*(raw!$E$2:$E$9876='2018-19_working'!$T$6)*(raw!$F$2:$F$9876='2018-19_working'!X$7)*(raw!$G$2:$G$9876))</f>
        <v>0</v>
      </c>
      <c r="Y37" s="8">
        <f>SUMPRODUCT((raw!$A$2:$A$9876='2018-19_working'!$A$2)*(raw!$B$2:$B$9876='2018-19_working'!$A37)*(raw!$E$2:$E$9876='2018-19_working'!$T$6)*(raw!$F$2:$F$9876='2018-19_working'!Y$7)*(raw!$G$2:$G$9876))</f>
        <v>0</v>
      </c>
      <c r="Z37" s="8">
        <f>SUMPRODUCT((raw!$A$2:$A$9876='2018-19_working'!$A$2)*(raw!$B$2:$B$9876='2018-19_working'!$A37)*(raw!$E$2:$E$9876='2018-19_working'!$T$6)*(raw!$F$2:$F$9876='2018-19_working'!Z$7)*(raw!$G$2:$G$9876))</f>
        <v>0</v>
      </c>
      <c r="AA37" s="8">
        <f>SUMPRODUCT((raw!$A$2:$A$9876='2018-19_working'!$A$2)*(raw!$B$2:$B$9876='2018-19_working'!$A37)*(raw!$E$2:$E$9876='2018-19_working'!$T$6)*(raw!$F$2:$F$9876='2018-19_working'!AA$7)*(raw!$G$2:$G$9876))</f>
        <v>0</v>
      </c>
      <c r="AC37" s="8">
        <f>SUMPRODUCT((raw!$A$2:$A$9876='2018-19_working'!$A$2)*(raw!$B$2:$B$9876='2018-19_working'!$A37)*(raw!$E$2:$E$9876='2018-19_working'!$AC$6)*(raw!$F$2:$F$9876='2018-19_working'!AC$7)*(raw!$G$2:$G$9876))</f>
        <v>18</v>
      </c>
      <c r="AD37" s="8">
        <f>SUMPRODUCT((raw!$A$2:$A$9876='2018-19_working'!$A$2)*(raw!$B$2:$B$9876='2018-19_working'!$A37)*(raw!$E$2:$E$9876='2018-19_working'!$AC$6)*(raw!$F$2:$F$9876='2018-19_working'!AD$7)*(raw!$G$2:$G$9876))</f>
        <v>0</v>
      </c>
      <c r="AE37" s="8">
        <f>SUMPRODUCT((raw!$A$2:$A$9876='2018-19_working'!$A$2)*(raw!$B$2:$B$9876='2018-19_working'!$A37)*(raw!$E$2:$E$9876='2018-19_working'!$AC$6)*(raw!$F$2:$F$9876='2018-19_working'!AE$7)*(raw!$G$2:$G$9876))</f>
        <v>0</v>
      </c>
      <c r="AF37" s="8">
        <f>SUMPRODUCT((raw!$A$2:$A$9876='2018-19_working'!$A$2)*(raw!$B$2:$B$9876='2018-19_working'!$A37)*(raw!$E$2:$E$9876='2018-19_working'!$AC$6)*(raw!$F$2:$F$9876='2018-19_working'!AF$7)*(raw!$G$2:$G$9876))</f>
        <v>0</v>
      </c>
      <c r="AG37" s="8">
        <f>SUMPRODUCT((raw!$A$2:$A$9876='2018-19_working'!$A$2)*(raw!$B$2:$B$9876='2018-19_working'!$A37)*(raw!$E$2:$E$9876='2018-19_working'!$AC$6)*(raw!$F$2:$F$9876='2018-19_working'!AG$7)*(raw!$G$2:$G$9876))</f>
        <v>0</v>
      </c>
      <c r="AH37" s="8">
        <f>SUMPRODUCT((raw!$A$2:$A$9876='2018-19_working'!$A$2)*(raw!$B$2:$B$9876='2018-19_working'!$A37)*(raw!$E$2:$E$9876='2018-19_working'!$AC$6)*(raw!$F$2:$F$9876='2018-19_working'!AH$7)*(raw!$G$2:$G$9876))</f>
        <v>0</v>
      </c>
      <c r="AI37" s="8">
        <f>SUMPRODUCT((raw!$A$2:$A$9876='2018-19_working'!$A$2)*(raw!$B$2:$B$9876='2018-19_working'!$A37)*(raw!$E$2:$E$9876='2018-19_working'!$AC$6)*(raw!$F$2:$F$9876='2018-19_working'!AI$7)*(raw!$G$2:$G$9876))</f>
        <v>0</v>
      </c>
      <c r="AJ37" s="8">
        <f>SUMPRODUCT((raw!$A$2:$A$9876='2018-19_working'!$A$2)*(raw!$B$2:$B$9876='2018-19_working'!$A37)*(raw!$E$2:$E$9876='2018-19_working'!$AC$6)*(raw!$F$2:$F$9876='2018-19_working'!AJ$7)*(raw!$G$2:$G$9876))</f>
        <v>0</v>
      </c>
    </row>
    <row r="38" spans="1:36" x14ac:dyDescent="0.3">
      <c r="A38" s="8" t="s">
        <v>45</v>
      </c>
      <c r="B38" s="8">
        <f>SUMPRODUCT((raw!$A$2:$A$9876='2018-19_working'!$A$2)*(raw!$B$2:$B$9876='2018-19_working'!$A38)*(raw!$E$2:$E$9876='2018-19_working'!$B$6:$I$6)*(raw!$F$2:$F$9876='2018-19_working'!B$7)*(raw!$G$2:$G$9876))</f>
        <v>1</v>
      </c>
      <c r="C38" s="8">
        <f>SUMPRODUCT((raw!$A$2:$A$9876='2018-19_working'!$A$2)*(raw!$B$2:$B$9876='2018-19_working'!$A38)*(raw!$E$2:$E$9876='2018-19_working'!$B$6:$I$6)*(raw!$F$2:$F$9876='2018-19_working'!C$7)*(raw!$G$2:$G$9876))</f>
        <v>0</v>
      </c>
      <c r="D38" s="8">
        <f>SUMPRODUCT((raw!$A$2:$A$9876='2018-19_working'!$A$2)*(raw!$B$2:$B$9876='2018-19_working'!$A38)*(raw!$E$2:$E$9876='2018-19_working'!$B$6:$I$6)*(raw!$F$2:$F$9876='2018-19_working'!D$7)*(raw!$G$2:$G$9876))</f>
        <v>0</v>
      </c>
      <c r="E38" s="8">
        <f>SUMPRODUCT((raw!$A$2:$A$9876='2018-19_working'!$A$2)*(raw!$B$2:$B$9876='2018-19_working'!$A38)*(raw!$E$2:$E$9876='2018-19_working'!$B$6:$I$6)*(raw!$F$2:$F$9876='2018-19_working'!E$7)*(raw!$G$2:$G$9876))</f>
        <v>0</v>
      </c>
      <c r="F38" s="8">
        <f>SUMPRODUCT((raw!$A$2:$A$9876='2018-19_working'!$A$2)*(raw!$B$2:$B$9876='2018-19_working'!$A38)*(raw!$E$2:$E$9876='2018-19_working'!$B$6:$I$6)*(raw!$F$2:$F$9876='2018-19_working'!F$7)*(raw!$G$2:$G$9876))</f>
        <v>0</v>
      </c>
      <c r="G38" s="8">
        <f>SUMPRODUCT((raw!$A$2:$A$9876='2018-19_working'!$A$2)*(raw!$B$2:$B$9876='2018-19_working'!$A38)*(raw!$E$2:$E$9876='2018-19_working'!$B$6:$I$6)*(raw!$F$2:$F$9876='2018-19_working'!G$7)*(raw!$G$2:$G$9876))</f>
        <v>0</v>
      </c>
      <c r="H38" s="8">
        <f>SUMPRODUCT((raw!$A$2:$A$9876='2018-19_working'!$A$2)*(raw!$B$2:$B$9876='2018-19_working'!$A38)*(raw!$E$2:$E$9876='2018-19_working'!$B$6:$I$6)*(raw!$F$2:$F$9876='2018-19_working'!H$7)*(raw!$G$2:$G$9876))</f>
        <v>0</v>
      </c>
      <c r="I38" s="8">
        <f>SUMPRODUCT((raw!$A$2:$A$9876='2018-19_working'!$A$2)*(raw!$B$2:$B$9876='2018-19_working'!$A38)*(raw!$E$2:$E$9876='2018-19_working'!$B$6:$I$6)*(raw!$F$2:$F$9876='2018-19_working'!I$7)*(raw!$G$2:$G$9876))</f>
        <v>8</v>
      </c>
      <c r="K38" s="8">
        <f>SUMPRODUCT((raw!$A$2:$A$9876='2018-19_working'!$A$2)*(raw!$B$2:$B$9876='2018-19_working'!$A38)*(raw!$E$2:$E$9876='2018-19_working'!$K$6)*(raw!$F$2:$F$9876='2018-19_working'!K$7)*(raw!$G$2:$G$9876))</f>
        <v>0</v>
      </c>
      <c r="L38" s="8">
        <f>SUMPRODUCT((raw!$A$2:$A$9876='2018-19_working'!$A$2)*(raw!$B$2:$B$9876='2018-19_working'!$A38)*(raw!$E$2:$E$9876='2018-19_working'!$K$6)*(raw!$F$2:$F$9876='2018-19_working'!L$7)*(raw!$G$2:$G$9876))</f>
        <v>0</v>
      </c>
      <c r="M38" s="8">
        <f>SUMPRODUCT((raw!$A$2:$A$9876='2018-19_working'!$A$2)*(raw!$B$2:$B$9876='2018-19_working'!$A38)*(raw!$E$2:$E$9876='2018-19_working'!$K$6)*(raw!$F$2:$F$9876='2018-19_working'!M$7)*(raw!$G$2:$G$9876))</f>
        <v>0</v>
      </c>
      <c r="N38" s="8">
        <f>SUMPRODUCT((raw!$A$2:$A$9876='2018-19_working'!$A$2)*(raw!$B$2:$B$9876='2018-19_working'!$A38)*(raw!$E$2:$E$9876='2018-19_working'!$K$6)*(raw!$F$2:$F$9876='2018-19_working'!N$7)*(raw!$G$2:$G$9876))</f>
        <v>0</v>
      </c>
      <c r="O38" s="8">
        <f>SUMPRODUCT((raw!$A$2:$A$9876='2018-19_working'!$A$2)*(raw!$B$2:$B$9876='2018-19_working'!$A38)*(raw!$E$2:$E$9876='2018-19_working'!$K$6)*(raw!$F$2:$F$9876='2018-19_working'!O$7)*(raw!$G$2:$G$9876))</f>
        <v>0</v>
      </c>
      <c r="P38" s="8">
        <f>SUMPRODUCT((raw!$A$2:$A$9876='2018-19_working'!$A$2)*(raw!$B$2:$B$9876='2018-19_working'!$A38)*(raw!$E$2:$E$9876='2018-19_working'!$K$6)*(raw!$F$2:$F$9876='2018-19_working'!P$7)*(raw!$G$2:$G$9876))</f>
        <v>0</v>
      </c>
      <c r="Q38" s="8">
        <f>SUMPRODUCT((raw!$A$2:$A$9876='2018-19_working'!$A$2)*(raw!$B$2:$B$9876='2018-19_working'!$A38)*(raw!$E$2:$E$9876='2018-19_working'!$K$6)*(raw!$F$2:$F$9876='2018-19_working'!Q$7)*(raw!$G$2:$G$9876))</f>
        <v>0</v>
      </c>
      <c r="R38" s="8">
        <f>SUMPRODUCT((raw!$A$2:$A$9876='2018-19_working'!$A$2)*(raw!$B$2:$B$9876='2018-19_working'!$A38)*(raw!$E$2:$E$9876='2018-19_working'!$K$6)*(raw!$F$2:$F$9876='2018-19_working'!R$7)*(raw!$G$2:$G$9876))</f>
        <v>48</v>
      </c>
      <c r="T38" s="8">
        <f>SUMPRODUCT((raw!$A$2:$A$9876='2018-19_working'!$A$2)*(raw!$B$2:$B$9876='2018-19_working'!$A38)*(raw!$E$2:$E$9876='2018-19_working'!$T$6)*(raw!$F$2:$F$9876='2018-19_working'!T$7)*(raw!$G$2:$G$9876))</f>
        <v>3</v>
      </c>
      <c r="U38" s="8">
        <f>SUMPRODUCT((raw!$A$2:$A$9876='2018-19_working'!$A$2)*(raw!$B$2:$B$9876='2018-19_working'!$A38)*(raw!$E$2:$E$9876='2018-19_working'!$T$6)*(raw!$F$2:$F$9876='2018-19_working'!U$7)*(raw!$G$2:$G$9876))</f>
        <v>0</v>
      </c>
      <c r="V38" s="8">
        <f>SUMPRODUCT((raw!$A$2:$A$9876='2018-19_working'!$A$2)*(raw!$B$2:$B$9876='2018-19_working'!$A38)*(raw!$E$2:$E$9876='2018-19_working'!$T$6)*(raw!$F$2:$F$9876='2018-19_working'!V$7)*(raw!$G$2:$G$9876))</f>
        <v>0</v>
      </c>
      <c r="W38" s="8">
        <f>SUMPRODUCT((raw!$A$2:$A$9876='2018-19_working'!$A$2)*(raw!$B$2:$B$9876='2018-19_working'!$A38)*(raw!$E$2:$E$9876='2018-19_working'!$T$6)*(raw!$F$2:$F$9876='2018-19_working'!W$7)*(raw!$G$2:$G$9876))</f>
        <v>0</v>
      </c>
      <c r="X38" s="8">
        <f>SUMPRODUCT((raw!$A$2:$A$9876='2018-19_working'!$A$2)*(raw!$B$2:$B$9876='2018-19_working'!$A38)*(raw!$E$2:$E$9876='2018-19_working'!$T$6)*(raw!$F$2:$F$9876='2018-19_working'!X$7)*(raw!$G$2:$G$9876))</f>
        <v>0</v>
      </c>
      <c r="Y38" s="8">
        <f>SUMPRODUCT((raw!$A$2:$A$9876='2018-19_working'!$A$2)*(raw!$B$2:$B$9876='2018-19_working'!$A38)*(raw!$E$2:$E$9876='2018-19_working'!$T$6)*(raw!$F$2:$F$9876='2018-19_working'!Y$7)*(raw!$G$2:$G$9876))</f>
        <v>0</v>
      </c>
      <c r="Z38" s="8">
        <f>SUMPRODUCT((raw!$A$2:$A$9876='2018-19_working'!$A$2)*(raw!$B$2:$B$9876='2018-19_working'!$A38)*(raw!$E$2:$E$9876='2018-19_working'!$T$6)*(raw!$F$2:$F$9876='2018-19_working'!Z$7)*(raw!$G$2:$G$9876))</f>
        <v>0</v>
      </c>
      <c r="AA38" s="8">
        <f>SUMPRODUCT((raw!$A$2:$A$9876='2018-19_working'!$A$2)*(raw!$B$2:$B$9876='2018-19_working'!$A38)*(raw!$E$2:$E$9876='2018-19_working'!$T$6)*(raw!$F$2:$F$9876='2018-19_working'!AA$7)*(raw!$G$2:$G$9876))</f>
        <v>1</v>
      </c>
      <c r="AC38" s="8">
        <f>SUMPRODUCT((raw!$A$2:$A$9876='2018-19_working'!$A$2)*(raw!$B$2:$B$9876='2018-19_working'!$A38)*(raw!$E$2:$E$9876='2018-19_working'!$AC$6)*(raw!$F$2:$F$9876='2018-19_working'!AC$7)*(raw!$G$2:$G$9876))</f>
        <v>3</v>
      </c>
      <c r="AD38" s="8">
        <f>SUMPRODUCT((raw!$A$2:$A$9876='2018-19_working'!$A$2)*(raw!$B$2:$B$9876='2018-19_working'!$A38)*(raw!$E$2:$E$9876='2018-19_working'!$AC$6)*(raw!$F$2:$F$9876='2018-19_working'!AD$7)*(raw!$G$2:$G$9876))</f>
        <v>0</v>
      </c>
      <c r="AE38" s="8">
        <f>SUMPRODUCT((raw!$A$2:$A$9876='2018-19_working'!$A$2)*(raw!$B$2:$B$9876='2018-19_working'!$A38)*(raw!$E$2:$E$9876='2018-19_working'!$AC$6)*(raw!$F$2:$F$9876='2018-19_working'!AE$7)*(raw!$G$2:$G$9876))</f>
        <v>0</v>
      </c>
      <c r="AF38" s="8">
        <f>SUMPRODUCT((raw!$A$2:$A$9876='2018-19_working'!$A$2)*(raw!$B$2:$B$9876='2018-19_working'!$A38)*(raw!$E$2:$E$9876='2018-19_working'!$AC$6)*(raw!$F$2:$F$9876='2018-19_working'!AF$7)*(raw!$G$2:$G$9876))</f>
        <v>0</v>
      </c>
      <c r="AG38" s="8">
        <f>SUMPRODUCT((raw!$A$2:$A$9876='2018-19_working'!$A$2)*(raw!$B$2:$B$9876='2018-19_working'!$A38)*(raw!$E$2:$E$9876='2018-19_working'!$AC$6)*(raw!$F$2:$F$9876='2018-19_working'!AG$7)*(raw!$G$2:$G$9876))</f>
        <v>0</v>
      </c>
      <c r="AH38" s="8">
        <f>SUMPRODUCT((raw!$A$2:$A$9876='2018-19_working'!$A$2)*(raw!$B$2:$B$9876='2018-19_working'!$A38)*(raw!$E$2:$E$9876='2018-19_working'!$AC$6)*(raw!$F$2:$F$9876='2018-19_working'!AH$7)*(raw!$G$2:$G$9876))</f>
        <v>0</v>
      </c>
      <c r="AI38" s="8">
        <f>SUMPRODUCT((raw!$A$2:$A$9876='2018-19_working'!$A$2)*(raw!$B$2:$B$9876='2018-19_working'!$A38)*(raw!$E$2:$E$9876='2018-19_working'!$AC$6)*(raw!$F$2:$F$9876='2018-19_working'!AI$7)*(raw!$G$2:$G$9876))</f>
        <v>0</v>
      </c>
      <c r="AJ38" s="8">
        <f>SUMPRODUCT((raw!$A$2:$A$9876='2018-19_working'!$A$2)*(raw!$B$2:$B$9876='2018-19_working'!$A38)*(raw!$E$2:$E$9876='2018-19_working'!$AC$6)*(raw!$F$2:$F$9876='2018-19_working'!AJ$7)*(raw!$G$2:$G$9876))</f>
        <v>6</v>
      </c>
    </row>
    <row r="39" spans="1:36" x14ac:dyDescent="0.3">
      <c r="A39" s="8" t="s">
        <v>46</v>
      </c>
      <c r="B39" s="8">
        <f>SUMPRODUCT((raw!$A$2:$A$9876='2018-19_working'!$A$2)*(raw!$B$2:$B$9876='2018-19_working'!$A39)*(raw!$E$2:$E$9876='2018-19_working'!$B$6:$I$6)*(raw!$F$2:$F$9876='2018-19_working'!B$7)*(raw!$G$2:$G$9876))</f>
        <v>9</v>
      </c>
      <c r="C39" s="8">
        <f>SUMPRODUCT((raw!$A$2:$A$9876='2018-19_working'!$A$2)*(raw!$B$2:$B$9876='2018-19_working'!$A39)*(raw!$E$2:$E$9876='2018-19_working'!$B$6:$I$6)*(raw!$F$2:$F$9876='2018-19_working'!C$7)*(raw!$G$2:$G$9876))</f>
        <v>0</v>
      </c>
      <c r="D39" s="8">
        <f>SUMPRODUCT((raw!$A$2:$A$9876='2018-19_working'!$A$2)*(raw!$B$2:$B$9876='2018-19_working'!$A39)*(raw!$E$2:$E$9876='2018-19_working'!$B$6:$I$6)*(raw!$F$2:$F$9876='2018-19_working'!D$7)*(raw!$G$2:$G$9876))</f>
        <v>0</v>
      </c>
      <c r="E39" s="8">
        <f>SUMPRODUCT((raw!$A$2:$A$9876='2018-19_working'!$A$2)*(raw!$B$2:$B$9876='2018-19_working'!$A39)*(raw!$E$2:$E$9876='2018-19_working'!$B$6:$I$6)*(raw!$F$2:$F$9876='2018-19_working'!E$7)*(raw!$G$2:$G$9876))</f>
        <v>0</v>
      </c>
      <c r="F39" s="8">
        <f>SUMPRODUCT((raw!$A$2:$A$9876='2018-19_working'!$A$2)*(raw!$B$2:$B$9876='2018-19_working'!$A39)*(raw!$E$2:$E$9876='2018-19_working'!$B$6:$I$6)*(raw!$F$2:$F$9876='2018-19_working'!F$7)*(raw!$G$2:$G$9876))</f>
        <v>0</v>
      </c>
      <c r="G39" s="8">
        <f>SUMPRODUCT((raw!$A$2:$A$9876='2018-19_working'!$A$2)*(raw!$B$2:$B$9876='2018-19_working'!$A39)*(raw!$E$2:$E$9876='2018-19_working'!$B$6:$I$6)*(raw!$F$2:$F$9876='2018-19_working'!G$7)*(raw!$G$2:$G$9876))</f>
        <v>0</v>
      </c>
      <c r="H39" s="8">
        <f>SUMPRODUCT((raw!$A$2:$A$9876='2018-19_working'!$A$2)*(raw!$B$2:$B$9876='2018-19_working'!$A39)*(raw!$E$2:$E$9876='2018-19_working'!$B$6:$I$6)*(raw!$F$2:$F$9876='2018-19_working'!H$7)*(raw!$G$2:$G$9876))</f>
        <v>0</v>
      </c>
      <c r="I39" s="8">
        <f>SUMPRODUCT((raw!$A$2:$A$9876='2018-19_working'!$A$2)*(raw!$B$2:$B$9876='2018-19_working'!$A39)*(raw!$E$2:$E$9876='2018-19_working'!$B$6:$I$6)*(raw!$F$2:$F$9876='2018-19_working'!I$7)*(raw!$G$2:$G$9876))</f>
        <v>0</v>
      </c>
      <c r="K39" s="8">
        <f>SUMPRODUCT((raw!$A$2:$A$9876='2018-19_working'!$A$2)*(raw!$B$2:$B$9876='2018-19_working'!$A39)*(raw!$E$2:$E$9876='2018-19_working'!$K$6)*(raw!$F$2:$F$9876='2018-19_working'!K$7)*(raw!$G$2:$G$9876))</f>
        <v>16</v>
      </c>
      <c r="L39" s="8">
        <f>SUMPRODUCT((raw!$A$2:$A$9876='2018-19_working'!$A$2)*(raw!$B$2:$B$9876='2018-19_working'!$A39)*(raw!$E$2:$E$9876='2018-19_working'!$K$6)*(raw!$F$2:$F$9876='2018-19_working'!L$7)*(raw!$G$2:$G$9876))</f>
        <v>1</v>
      </c>
      <c r="M39" s="8">
        <f>SUMPRODUCT((raw!$A$2:$A$9876='2018-19_working'!$A$2)*(raw!$B$2:$B$9876='2018-19_working'!$A39)*(raw!$E$2:$E$9876='2018-19_working'!$K$6)*(raw!$F$2:$F$9876='2018-19_working'!M$7)*(raw!$G$2:$G$9876))</f>
        <v>0</v>
      </c>
      <c r="N39" s="8">
        <f>SUMPRODUCT((raw!$A$2:$A$9876='2018-19_working'!$A$2)*(raw!$B$2:$B$9876='2018-19_working'!$A39)*(raw!$E$2:$E$9876='2018-19_working'!$K$6)*(raw!$F$2:$F$9876='2018-19_working'!N$7)*(raw!$G$2:$G$9876))</f>
        <v>0</v>
      </c>
      <c r="O39" s="8">
        <f>SUMPRODUCT((raw!$A$2:$A$9876='2018-19_working'!$A$2)*(raw!$B$2:$B$9876='2018-19_working'!$A39)*(raw!$E$2:$E$9876='2018-19_working'!$K$6)*(raw!$F$2:$F$9876='2018-19_working'!O$7)*(raw!$G$2:$G$9876))</f>
        <v>0</v>
      </c>
      <c r="P39" s="8">
        <f>SUMPRODUCT((raw!$A$2:$A$9876='2018-19_working'!$A$2)*(raw!$B$2:$B$9876='2018-19_working'!$A39)*(raw!$E$2:$E$9876='2018-19_working'!$K$6)*(raw!$F$2:$F$9876='2018-19_working'!P$7)*(raw!$G$2:$G$9876))</f>
        <v>0</v>
      </c>
      <c r="Q39" s="8">
        <f>SUMPRODUCT((raw!$A$2:$A$9876='2018-19_working'!$A$2)*(raw!$B$2:$B$9876='2018-19_working'!$A39)*(raw!$E$2:$E$9876='2018-19_working'!$K$6)*(raw!$F$2:$F$9876='2018-19_working'!Q$7)*(raw!$G$2:$G$9876))</f>
        <v>0</v>
      </c>
      <c r="R39" s="8">
        <f>SUMPRODUCT((raw!$A$2:$A$9876='2018-19_working'!$A$2)*(raw!$B$2:$B$9876='2018-19_working'!$A39)*(raw!$E$2:$E$9876='2018-19_working'!$K$6)*(raw!$F$2:$F$9876='2018-19_working'!R$7)*(raw!$G$2:$G$9876))</f>
        <v>2</v>
      </c>
      <c r="T39" s="8">
        <f>SUMPRODUCT((raw!$A$2:$A$9876='2018-19_working'!$A$2)*(raw!$B$2:$B$9876='2018-19_working'!$A39)*(raw!$E$2:$E$9876='2018-19_working'!$T$6)*(raw!$F$2:$F$9876='2018-19_working'!T$7)*(raw!$G$2:$G$9876))</f>
        <v>0</v>
      </c>
      <c r="U39" s="8">
        <f>SUMPRODUCT((raw!$A$2:$A$9876='2018-19_working'!$A$2)*(raw!$B$2:$B$9876='2018-19_working'!$A39)*(raw!$E$2:$E$9876='2018-19_working'!$T$6)*(raw!$F$2:$F$9876='2018-19_working'!U$7)*(raw!$G$2:$G$9876))</f>
        <v>0</v>
      </c>
      <c r="V39" s="8">
        <f>SUMPRODUCT((raw!$A$2:$A$9876='2018-19_working'!$A$2)*(raw!$B$2:$B$9876='2018-19_working'!$A39)*(raw!$E$2:$E$9876='2018-19_working'!$T$6)*(raw!$F$2:$F$9876='2018-19_working'!V$7)*(raw!$G$2:$G$9876))</f>
        <v>0</v>
      </c>
      <c r="W39" s="8">
        <f>SUMPRODUCT((raw!$A$2:$A$9876='2018-19_working'!$A$2)*(raw!$B$2:$B$9876='2018-19_working'!$A39)*(raw!$E$2:$E$9876='2018-19_working'!$T$6)*(raw!$F$2:$F$9876='2018-19_working'!W$7)*(raw!$G$2:$G$9876))</f>
        <v>0</v>
      </c>
      <c r="X39" s="8">
        <f>SUMPRODUCT((raw!$A$2:$A$9876='2018-19_working'!$A$2)*(raw!$B$2:$B$9876='2018-19_working'!$A39)*(raw!$E$2:$E$9876='2018-19_working'!$T$6)*(raw!$F$2:$F$9876='2018-19_working'!X$7)*(raw!$G$2:$G$9876))</f>
        <v>0</v>
      </c>
      <c r="Y39" s="8">
        <f>SUMPRODUCT((raw!$A$2:$A$9876='2018-19_working'!$A$2)*(raw!$B$2:$B$9876='2018-19_working'!$A39)*(raw!$E$2:$E$9876='2018-19_working'!$T$6)*(raw!$F$2:$F$9876='2018-19_working'!Y$7)*(raw!$G$2:$G$9876))</f>
        <v>0</v>
      </c>
      <c r="Z39" s="8">
        <f>SUMPRODUCT((raw!$A$2:$A$9876='2018-19_working'!$A$2)*(raw!$B$2:$B$9876='2018-19_working'!$A39)*(raw!$E$2:$E$9876='2018-19_working'!$T$6)*(raw!$F$2:$F$9876='2018-19_working'!Z$7)*(raw!$G$2:$G$9876))</f>
        <v>0</v>
      </c>
      <c r="AA39" s="8">
        <f>SUMPRODUCT((raw!$A$2:$A$9876='2018-19_working'!$A$2)*(raw!$B$2:$B$9876='2018-19_working'!$A39)*(raw!$E$2:$E$9876='2018-19_working'!$T$6)*(raw!$F$2:$F$9876='2018-19_working'!AA$7)*(raw!$G$2:$G$9876))</f>
        <v>0</v>
      </c>
      <c r="AC39" s="8">
        <f>SUMPRODUCT((raw!$A$2:$A$9876='2018-19_working'!$A$2)*(raw!$B$2:$B$9876='2018-19_working'!$A39)*(raw!$E$2:$E$9876='2018-19_working'!$AC$6)*(raw!$F$2:$F$9876='2018-19_working'!AC$7)*(raw!$G$2:$G$9876))</f>
        <v>1</v>
      </c>
      <c r="AD39" s="8">
        <f>SUMPRODUCT((raw!$A$2:$A$9876='2018-19_working'!$A$2)*(raw!$B$2:$B$9876='2018-19_working'!$A39)*(raw!$E$2:$E$9876='2018-19_working'!$AC$6)*(raw!$F$2:$F$9876='2018-19_working'!AD$7)*(raw!$G$2:$G$9876))</f>
        <v>0</v>
      </c>
      <c r="AE39" s="8">
        <f>SUMPRODUCT((raw!$A$2:$A$9876='2018-19_working'!$A$2)*(raw!$B$2:$B$9876='2018-19_working'!$A39)*(raw!$E$2:$E$9876='2018-19_working'!$AC$6)*(raw!$F$2:$F$9876='2018-19_working'!AE$7)*(raw!$G$2:$G$9876))</f>
        <v>0</v>
      </c>
      <c r="AF39" s="8">
        <f>SUMPRODUCT((raw!$A$2:$A$9876='2018-19_working'!$A$2)*(raw!$B$2:$B$9876='2018-19_working'!$A39)*(raw!$E$2:$E$9876='2018-19_working'!$AC$6)*(raw!$F$2:$F$9876='2018-19_working'!AF$7)*(raw!$G$2:$G$9876))</f>
        <v>0</v>
      </c>
      <c r="AG39" s="8">
        <f>SUMPRODUCT((raw!$A$2:$A$9876='2018-19_working'!$A$2)*(raw!$B$2:$B$9876='2018-19_working'!$A39)*(raw!$E$2:$E$9876='2018-19_working'!$AC$6)*(raw!$F$2:$F$9876='2018-19_working'!AG$7)*(raw!$G$2:$G$9876))</f>
        <v>0</v>
      </c>
      <c r="AH39" s="8">
        <f>SUMPRODUCT((raw!$A$2:$A$9876='2018-19_working'!$A$2)*(raw!$B$2:$B$9876='2018-19_working'!$A39)*(raw!$E$2:$E$9876='2018-19_working'!$AC$6)*(raw!$F$2:$F$9876='2018-19_working'!AH$7)*(raw!$G$2:$G$9876))</f>
        <v>0</v>
      </c>
      <c r="AI39" s="8">
        <f>SUMPRODUCT((raw!$A$2:$A$9876='2018-19_working'!$A$2)*(raw!$B$2:$B$9876='2018-19_working'!$A39)*(raw!$E$2:$E$9876='2018-19_working'!$AC$6)*(raw!$F$2:$F$9876='2018-19_working'!AI$7)*(raw!$G$2:$G$9876))</f>
        <v>0</v>
      </c>
      <c r="AJ39" s="8">
        <f>SUMPRODUCT((raw!$A$2:$A$9876='2018-19_working'!$A$2)*(raw!$B$2:$B$9876='2018-19_working'!$A39)*(raw!$E$2:$E$9876='2018-19_working'!$AC$6)*(raw!$F$2:$F$9876='2018-19_working'!AJ$7)*(raw!$G$2:$G$9876))</f>
        <v>0</v>
      </c>
    </row>
    <row r="40" spans="1:36" x14ac:dyDescent="0.3">
      <c r="A40" s="8" t="s">
        <v>47</v>
      </c>
      <c r="B40" s="8">
        <f>SUMPRODUCT((raw!$A$2:$A$9876='2018-19_working'!$A$2)*(raw!$B$2:$B$9876='2018-19_working'!$A40)*(raw!$E$2:$E$9876='2018-19_working'!$B$6:$I$6)*(raw!$F$2:$F$9876='2018-19_working'!B$7)*(raw!$G$2:$G$9876))</f>
        <v>24</v>
      </c>
      <c r="C40" s="8">
        <f>SUMPRODUCT((raw!$A$2:$A$9876='2018-19_working'!$A$2)*(raw!$B$2:$B$9876='2018-19_working'!$A40)*(raw!$E$2:$E$9876='2018-19_working'!$B$6:$I$6)*(raw!$F$2:$F$9876='2018-19_working'!C$7)*(raw!$G$2:$G$9876))</f>
        <v>0</v>
      </c>
      <c r="D40" s="8">
        <f>SUMPRODUCT((raw!$A$2:$A$9876='2018-19_working'!$A$2)*(raw!$B$2:$B$9876='2018-19_working'!$A40)*(raw!$E$2:$E$9876='2018-19_working'!$B$6:$I$6)*(raw!$F$2:$F$9876='2018-19_working'!D$7)*(raw!$G$2:$G$9876))</f>
        <v>5</v>
      </c>
      <c r="E40" s="8">
        <f>SUMPRODUCT((raw!$A$2:$A$9876='2018-19_working'!$A$2)*(raw!$B$2:$B$9876='2018-19_working'!$A40)*(raw!$E$2:$E$9876='2018-19_working'!$B$6:$I$6)*(raw!$F$2:$F$9876='2018-19_working'!E$7)*(raw!$G$2:$G$9876))</f>
        <v>1</v>
      </c>
      <c r="F40" s="8">
        <f>SUMPRODUCT((raw!$A$2:$A$9876='2018-19_working'!$A$2)*(raw!$B$2:$B$9876='2018-19_working'!$A40)*(raw!$E$2:$E$9876='2018-19_working'!$B$6:$I$6)*(raw!$F$2:$F$9876='2018-19_working'!F$7)*(raw!$G$2:$G$9876))</f>
        <v>0</v>
      </c>
      <c r="G40" s="8">
        <f>SUMPRODUCT((raw!$A$2:$A$9876='2018-19_working'!$A$2)*(raw!$B$2:$B$9876='2018-19_working'!$A40)*(raw!$E$2:$E$9876='2018-19_working'!$B$6:$I$6)*(raw!$F$2:$F$9876='2018-19_working'!G$7)*(raw!$G$2:$G$9876))</f>
        <v>0</v>
      </c>
      <c r="H40" s="8">
        <f>SUMPRODUCT((raw!$A$2:$A$9876='2018-19_working'!$A$2)*(raw!$B$2:$B$9876='2018-19_working'!$A40)*(raw!$E$2:$E$9876='2018-19_working'!$B$6:$I$6)*(raw!$F$2:$F$9876='2018-19_working'!H$7)*(raw!$G$2:$G$9876))</f>
        <v>0</v>
      </c>
      <c r="I40" s="8">
        <f>SUMPRODUCT((raw!$A$2:$A$9876='2018-19_working'!$A$2)*(raw!$B$2:$B$9876='2018-19_working'!$A40)*(raw!$E$2:$E$9876='2018-19_working'!$B$6:$I$6)*(raw!$F$2:$F$9876='2018-19_working'!I$7)*(raw!$G$2:$G$9876))</f>
        <v>0</v>
      </c>
      <c r="K40" s="8">
        <f>SUMPRODUCT((raw!$A$2:$A$9876='2018-19_working'!$A$2)*(raw!$B$2:$B$9876='2018-19_working'!$A40)*(raw!$E$2:$E$9876='2018-19_working'!$K$6)*(raw!$F$2:$F$9876='2018-19_working'!K$7)*(raw!$G$2:$G$9876))</f>
        <v>25</v>
      </c>
      <c r="L40" s="8">
        <f>SUMPRODUCT((raw!$A$2:$A$9876='2018-19_working'!$A$2)*(raw!$B$2:$B$9876='2018-19_working'!$A40)*(raw!$E$2:$E$9876='2018-19_working'!$K$6)*(raw!$F$2:$F$9876='2018-19_working'!L$7)*(raw!$G$2:$G$9876))</f>
        <v>0</v>
      </c>
      <c r="M40" s="8">
        <f>SUMPRODUCT((raw!$A$2:$A$9876='2018-19_working'!$A$2)*(raw!$B$2:$B$9876='2018-19_working'!$A40)*(raw!$E$2:$E$9876='2018-19_working'!$K$6)*(raw!$F$2:$F$9876='2018-19_working'!M$7)*(raw!$G$2:$G$9876))</f>
        <v>0</v>
      </c>
      <c r="N40" s="8">
        <f>SUMPRODUCT((raw!$A$2:$A$9876='2018-19_working'!$A$2)*(raw!$B$2:$B$9876='2018-19_working'!$A40)*(raw!$E$2:$E$9876='2018-19_working'!$K$6)*(raw!$F$2:$F$9876='2018-19_working'!N$7)*(raw!$G$2:$G$9876))</f>
        <v>0</v>
      </c>
      <c r="O40" s="8">
        <f>SUMPRODUCT((raw!$A$2:$A$9876='2018-19_working'!$A$2)*(raw!$B$2:$B$9876='2018-19_working'!$A40)*(raw!$E$2:$E$9876='2018-19_working'!$K$6)*(raw!$F$2:$F$9876='2018-19_working'!O$7)*(raw!$G$2:$G$9876))</f>
        <v>0</v>
      </c>
      <c r="P40" s="8">
        <f>SUMPRODUCT((raw!$A$2:$A$9876='2018-19_working'!$A$2)*(raw!$B$2:$B$9876='2018-19_working'!$A40)*(raw!$E$2:$E$9876='2018-19_working'!$K$6)*(raw!$F$2:$F$9876='2018-19_working'!P$7)*(raw!$G$2:$G$9876))</f>
        <v>0</v>
      </c>
      <c r="Q40" s="8">
        <f>SUMPRODUCT((raw!$A$2:$A$9876='2018-19_working'!$A$2)*(raw!$B$2:$B$9876='2018-19_working'!$A40)*(raw!$E$2:$E$9876='2018-19_working'!$K$6)*(raw!$F$2:$F$9876='2018-19_working'!Q$7)*(raw!$G$2:$G$9876))</f>
        <v>0</v>
      </c>
      <c r="R40" s="8">
        <f>SUMPRODUCT((raw!$A$2:$A$9876='2018-19_working'!$A$2)*(raw!$B$2:$B$9876='2018-19_working'!$A40)*(raw!$E$2:$E$9876='2018-19_working'!$K$6)*(raw!$F$2:$F$9876='2018-19_working'!R$7)*(raw!$G$2:$G$9876))</f>
        <v>0</v>
      </c>
      <c r="T40" s="8">
        <f>SUMPRODUCT((raw!$A$2:$A$9876='2018-19_working'!$A$2)*(raw!$B$2:$B$9876='2018-19_working'!$A40)*(raw!$E$2:$E$9876='2018-19_working'!$T$6)*(raw!$F$2:$F$9876='2018-19_working'!T$7)*(raw!$G$2:$G$9876))</f>
        <v>0</v>
      </c>
      <c r="U40" s="8">
        <f>SUMPRODUCT((raw!$A$2:$A$9876='2018-19_working'!$A$2)*(raw!$B$2:$B$9876='2018-19_working'!$A40)*(raw!$E$2:$E$9876='2018-19_working'!$T$6)*(raw!$F$2:$F$9876='2018-19_working'!U$7)*(raw!$G$2:$G$9876))</f>
        <v>0</v>
      </c>
      <c r="V40" s="8">
        <f>SUMPRODUCT((raw!$A$2:$A$9876='2018-19_working'!$A$2)*(raw!$B$2:$B$9876='2018-19_working'!$A40)*(raw!$E$2:$E$9876='2018-19_working'!$T$6)*(raw!$F$2:$F$9876='2018-19_working'!V$7)*(raw!$G$2:$G$9876))</f>
        <v>0</v>
      </c>
      <c r="W40" s="8">
        <f>SUMPRODUCT((raw!$A$2:$A$9876='2018-19_working'!$A$2)*(raw!$B$2:$B$9876='2018-19_working'!$A40)*(raw!$E$2:$E$9876='2018-19_working'!$T$6)*(raw!$F$2:$F$9876='2018-19_working'!W$7)*(raw!$G$2:$G$9876))</f>
        <v>0</v>
      </c>
      <c r="X40" s="8">
        <f>SUMPRODUCT((raw!$A$2:$A$9876='2018-19_working'!$A$2)*(raw!$B$2:$B$9876='2018-19_working'!$A40)*(raw!$E$2:$E$9876='2018-19_working'!$T$6)*(raw!$F$2:$F$9876='2018-19_working'!X$7)*(raw!$G$2:$G$9876))</f>
        <v>0</v>
      </c>
      <c r="Y40" s="8">
        <f>SUMPRODUCT((raw!$A$2:$A$9876='2018-19_working'!$A$2)*(raw!$B$2:$B$9876='2018-19_working'!$A40)*(raw!$E$2:$E$9876='2018-19_working'!$T$6)*(raw!$F$2:$F$9876='2018-19_working'!Y$7)*(raw!$G$2:$G$9876))</f>
        <v>0</v>
      </c>
      <c r="Z40" s="8">
        <f>SUMPRODUCT((raw!$A$2:$A$9876='2018-19_working'!$A$2)*(raw!$B$2:$B$9876='2018-19_working'!$A40)*(raw!$E$2:$E$9876='2018-19_working'!$T$6)*(raw!$F$2:$F$9876='2018-19_working'!Z$7)*(raw!$G$2:$G$9876))</f>
        <v>0</v>
      </c>
      <c r="AA40" s="8">
        <f>SUMPRODUCT((raw!$A$2:$A$9876='2018-19_working'!$A$2)*(raw!$B$2:$B$9876='2018-19_working'!$A40)*(raw!$E$2:$E$9876='2018-19_working'!$T$6)*(raw!$F$2:$F$9876='2018-19_working'!AA$7)*(raw!$G$2:$G$9876))</f>
        <v>0</v>
      </c>
      <c r="AC40" s="8">
        <f>SUMPRODUCT((raw!$A$2:$A$9876='2018-19_working'!$A$2)*(raw!$B$2:$B$9876='2018-19_working'!$A40)*(raw!$E$2:$E$9876='2018-19_working'!$AC$6)*(raw!$F$2:$F$9876='2018-19_working'!AC$7)*(raw!$G$2:$G$9876))</f>
        <v>3</v>
      </c>
      <c r="AD40" s="8">
        <f>SUMPRODUCT((raw!$A$2:$A$9876='2018-19_working'!$A$2)*(raw!$B$2:$B$9876='2018-19_working'!$A40)*(raw!$E$2:$E$9876='2018-19_working'!$AC$6)*(raw!$F$2:$F$9876='2018-19_working'!AD$7)*(raw!$G$2:$G$9876))</f>
        <v>0</v>
      </c>
      <c r="AE40" s="8">
        <f>SUMPRODUCT((raw!$A$2:$A$9876='2018-19_working'!$A$2)*(raw!$B$2:$B$9876='2018-19_working'!$A40)*(raw!$E$2:$E$9876='2018-19_working'!$AC$6)*(raw!$F$2:$F$9876='2018-19_working'!AE$7)*(raw!$G$2:$G$9876))</f>
        <v>0</v>
      </c>
      <c r="AF40" s="8">
        <f>SUMPRODUCT((raw!$A$2:$A$9876='2018-19_working'!$A$2)*(raw!$B$2:$B$9876='2018-19_working'!$A40)*(raw!$E$2:$E$9876='2018-19_working'!$AC$6)*(raw!$F$2:$F$9876='2018-19_working'!AF$7)*(raw!$G$2:$G$9876))</f>
        <v>0</v>
      </c>
      <c r="AG40" s="8">
        <f>SUMPRODUCT((raw!$A$2:$A$9876='2018-19_working'!$A$2)*(raw!$B$2:$B$9876='2018-19_working'!$A40)*(raw!$E$2:$E$9876='2018-19_working'!$AC$6)*(raw!$F$2:$F$9876='2018-19_working'!AG$7)*(raw!$G$2:$G$9876))</f>
        <v>1</v>
      </c>
      <c r="AH40" s="8">
        <f>SUMPRODUCT((raw!$A$2:$A$9876='2018-19_working'!$A$2)*(raw!$B$2:$B$9876='2018-19_working'!$A40)*(raw!$E$2:$E$9876='2018-19_working'!$AC$6)*(raw!$F$2:$F$9876='2018-19_working'!AH$7)*(raw!$G$2:$G$9876))</f>
        <v>0</v>
      </c>
      <c r="AI40" s="8">
        <f>SUMPRODUCT((raw!$A$2:$A$9876='2018-19_working'!$A$2)*(raw!$B$2:$B$9876='2018-19_working'!$A40)*(raw!$E$2:$E$9876='2018-19_working'!$AC$6)*(raw!$F$2:$F$9876='2018-19_working'!AI$7)*(raw!$G$2:$G$9876))</f>
        <v>0</v>
      </c>
      <c r="AJ40" s="8">
        <f>SUMPRODUCT((raw!$A$2:$A$9876='2018-19_working'!$A$2)*(raw!$B$2:$B$9876='2018-19_working'!$A40)*(raw!$E$2:$E$9876='2018-19_working'!$AC$6)*(raw!$F$2:$F$9876='2018-19_working'!AJ$7)*(raw!$G$2:$G$9876))</f>
        <v>5</v>
      </c>
    </row>
    <row r="41" spans="1:36" x14ac:dyDescent="0.3">
      <c r="A41" s="8" t="s">
        <v>48</v>
      </c>
      <c r="B41" s="8">
        <f>SUMPRODUCT((raw!$A$2:$A$9876='2018-19_working'!$A$2)*(raw!$B$2:$B$9876='2018-19_working'!$A41)*(raw!$E$2:$E$9876='2018-19_working'!$B$6:$I$6)*(raw!$F$2:$F$9876='2018-19_working'!B$7)*(raw!$G$2:$G$9876))</f>
        <v>2</v>
      </c>
      <c r="C41" s="8">
        <f>SUMPRODUCT((raw!$A$2:$A$9876='2018-19_working'!$A$2)*(raw!$B$2:$B$9876='2018-19_working'!$A41)*(raw!$E$2:$E$9876='2018-19_working'!$B$6:$I$6)*(raw!$F$2:$F$9876='2018-19_working'!C$7)*(raw!$G$2:$G$9876))</f>
        <v>0</v>
      </c>
      <c r="D41" s="8">
        <f>SUMPRODUCT((raw!$A$2:$A$9876='2018-19_working'!$A$2)*(raw!$B$2:$B$9876='2018-19_working'!$A41)*(raw!$E$2:$E$9876='2018-19_working'!$B$6:$I$6)*(raw!$F$2:$F$9876='2018-19_working'!D$7)*(raw!$G$2:$G$9876))</f>
        <v>0</v>
      </c>
      <c r="E41" s="8">
        <f>SUMPRODUCT((raw!$A$2:$A$9876='2018-19_working'!$A$2)*(raw!$B$2:$B$9876='2018-19_working'!$A41)*(raw!$E$2:$E$9876='2018-19_working'!$B$6:$I$6)*(raw!$F$2:$F$9876='2018-19_working'!E$7)*(raw!$G$2:$G$9876))</f>
        <v>0</v>
      </c>
      <c r="F41" s="8">
        <f>SUMPRODUCT((raw!$A$2:$A$9876='2018-19_working'!$A$2)*(raw!$B$2:$B$9876='2018-19_working'!$A41)*(raw!$E$2:$E$9876='2018-19_working'!$B$6:$I$6)*(raw!$F$2:$F$9876='2018-19_working'!F$7)*(raw!$G$2:$G$9876))</f>
        <v>0</v>
      </c>
      <c r="G41" s="8">
        <f>SUMPRODUCT((raw!$A$2:$A$9876='2018-19_working'!$A$2)*(raw!$B$2:$B$9876='2018-19_working'!$A41)*(raw!$E$2:$E$9876='2018-19_working'!$B$6:$I$6)*(raw!$F$2:$F$9876='2018-19_working'!G$7)*(raw!$G$2:$G$9876))</f>
        <v>0</v>
      </c>
      <c r="H41" s="8">
        <f>SUMPRODUCT((raw!$A$2:$A$9876='2018-19_working'!$A$2)*(raw!$B$2:$B$9876='2018-19_working'!$A41)*(raw!$E$2:$E$9876='2018-19_working'!$B$6:$I$6)*(raw!$F$2:$F$9876='2018-19_working'!H$7)*(raw!$G$2:$G$9876))</f>
        <v>0</v>
      </c>
      <c r="I41" s="8">
        <f>SUMPRODUCT((raw!$A$2:$A$9876='2018-19_working'!$A$2)*(raw!$B$2:$B$9876='2018-19_working'!$A41)*(raw!$E$2:$E$9876='2018-19_working'!$B$6:$I$6)*(raw!$F$2:$F$9876='2018-19_working'!I$7)*(raw!$G$2:$G$9876))</f>
        <v>6</v>
      </c>
      <c r="K41" s="8">
        <f>SUMPRODUCT((raw!$A$2:$A$9876='2018-19_working'!$A$2)*(raw!$B$2:$B$9876='2018-19_working'!$A41)*(raw!$E$2:$E$9876='2018-19_working'!$K$6)*(raw!$F$2:$F$9876='2018-19_working'!K$7)*(raw!$G$2:$G$9876))</f>
        <v>31</v>
      </c>
      <c r="L41" s="8">
        <f>SUMPRODUCT((raw!$A$2:$A$9876='2018-19_working'!$A$2)*(raw!$B$2:$B$9876='2018-19_working'!$A41)*(raw!$E$2:$E$9876='2018-19_working'!$K$6)*(raw!$F$2:$F$9876='2018-19_working'!L$7)*(raw!$G$2:$G$9876))</f>
        <v>4</v>
      </c>
      <c r="M41" s="8">
        <f>SUMPRODUCT((raw!$A$2:$A$9876='2018-19_working'!$A$2)*(raw!$B$2:$B$9876='2018-19_working'!$A41)*(raw!$E$2:$E$9876='2018-19_working'!$K$6)*(raw!$F$2:$F$9876='2018-19_working'!M$7)*(raw!$G$2:$G$9876))</f>
        <v>1</v>
      </c>
      <c r="N41" s="8">
        <f>SUMPRODUCT((raw!$A$2:$A$9876='2018-19_working'!$A$2)*(raw!$B$2:$B$9876='2018-19_working'!$A41)*(raw!$E$2:$E$9876='2018-19_working'!$K$6)*(raw!$F$2:$F$9876='2018-19_working'!N$7)*(raw!$G$2:$G$9876))</f>
        <v>0</v>
      </c>
      <c r="O41" s="8">
        <f>SUMPRODUCT((raw!$A$2:$A$9876='2018-19_working'!$A$2)*(raw!$B$2:$B$9876='2018-19_working'!$A41)*(raw!$E$2:$E$9876='2018-19_working'!$K$6)*(raw!$F$2:$F$9876='2018-19_working'!O$7)*(raw!$G$2:$G$9876))</f>
        <v>1</v>
      </c>
      <c r="P41" s="8">
        <f>SUMPRODUCT((raw!$A$2:$A$9876='2018-19_working'!$A$2)*(raw!$B$2:$B$9876='2018-19_working'!$A41)*(raw!$E$2:$E$9876='2018-19_working'!$K$6)*(raw!$F$2:$F$9876='2018-19_working'!P$7)*(raw!$G$2:$G$9876))</f>
        <v>0</v>
      </c>
      <c r="Q41" s="8">
        <f>SUMPRODUCT((raw!$A$2:$A$9876='2018-19_working'!$A$2)*(raw!$B$2:$B$9876='2018-19_working'!$A41)*(raw!$E$2:$E$9876='2018-19_working'!$K$6)*(raw!$F$2:$F$9876='2018-19_working'!Q$7)*(raw!$G$2:$G$9876))</f>
        <v>0</v>
      </c>
      <c r="R41" s="8">
        <f>SUMPRODUCT((raw!$A$2:$A$9876='2018-19_working'!$A$2)*(raw!$B$2:$B$9876='2018-19_working'!$A41)*(raw!$E$2:$E$9876='2018-19_working'!$K$6)*(raw!$F$2:$F$9876='2018-19_working'!R$7)*(raw!$G$2:$G$9876))</f>
        <v>19</v>
      </c>
      <c r="T41" s="8">
        <f>SUMPRODUCT((raw!$A$2:$A$9876='2018-19_working'!$A$2)*(raw!$B$2:$B$9876='2018-19_working'!$A41)*(raw!$E$2:$E$9876='2018-19_working'!$T$6)*(raw!$F$2:$F$9876='2018-19_working'!T$7)*(raw!$G$2:$G$9876))</f>
        <v>0</v>
      </c>
      <c r="U41" s="8">
        <f>SUMPRODUCT((raw!$A$2:$A$9876='2018-19_working'!$A$2)*(raw!$B$2:$B$9876='2018-19_working'!$A41)*(raw!$E$2:$E$9876='2018-19_working'!$T$6)*(raw!$F$2:$F$9876='2018-19_working'!U$7)*(raw!$G$2:$G$9876))</f>
        <v>0</v>
      </c>
      <c r="V41" s="8">
        <f>SUMPRODUCT((raw!$A$2:$A$9876='2018-19_working'!$A$2)*(raw!$B$2:$B$9876='2018-19_working'!$A41)*(raw!$E$2:$E$9876='2018-19_working'!$T$6)*(raw!$F$2:$F$9876='2018-19_working'!V$7)*(raw!$G$2:$G$9876))</f>
        <v>0</v>
      </c>
      <c r="W41" s="8">
        <f>SUMPRODUCT((raw!$A$2:$A$9876='2018-19_working'!$A$2)*(raw!$B$2:$B$9876='2018-19_working'!$A41)*(raw!$E$2:$E$9876='2018-19_working'!$T$6)*(raw!$F$2:$F$9876='2018-19_working'!W$7)*(raw!$G$2:$G$9876))</f>
        <v>0</v>
      </c>
      <c r="X41" s="8">
        <f>SUMPRODUCT((raw!$A$2:$A$9876='2018-19_working'!$A$2)*(raw!$B$2:$B$9876='2018-19_working'!$A41)*(raw!$E$2:$E$9876='2018-19_working'!$T$6)*(raw!$F$2:$F$9876='2018-19_working'!X$7)*(raw!$G$2:$G$9876))</f>
        <v>0</v>
      </c>
      <c r="Y41" s="8">
        <f>SUMPRODUCT((raw!$A$2:$A$9876='2018-19_working'!$A$2)*(raw!$B$2:$B$9876='2018-19_working'!$A41)*(raw!$E$2:$E$9876='2018-19_working'!$T$6)*(raw!$F$2:$F$9876='2018-19_working'!Y$7)*(raw!$G$2:$G$9876))</f>
        <v>0</v>
      </c>
      <c r="Z41" s="8">
        <f>SUMPRODUCT((raw!$A$2:$A$9876='2018-19_working'!$A$2)*(raw!$B$2:$B$9876='2018-19_working'!$A41)*(raw!$E$2:$E$9876='2018-19_working'!$T$6)*(raw!$F$2:$F$9876='2018-19_working'!Z$7)*(raw!$G$2:$G$9876))</f>
        <v>0</v>
      </c>
      <c r="AA41" s="8">
        <f>SUMPRODUCT((raw!$A$2:$A$9876='2018-19_working'!$A$2)*(raw!$B$2:$B$9876='2018-19_working'!$A41)*(raw!$E$2:$E$9876='2018-19_working'!$T$6)*(raw!$F$2:$F$9876='2018-19_working'!AA$7)*(raw!$G$2:$G$9876))</f>
        <v>0</v>
      </c>
      <c r="AC41" s="8">
        <f>SUMPRODUCT((raw!$A$2:$A$9876='2018-19_working'!$A$2)*(raw!$B$2:$B$9876='2018-19_working'!$A41)*(raw!$E$2:$E$9876='2018-19_working'!$AC$6)*(raw!$F$2:$F$9876='2018-19_working'!AC$7)*(raw!$G$2:$G$9876))</f>
        <v>6</v>
      </c>
      <c r="AD41" s="8">
        <f>SUMPRODUCT((raw!$A$2:$A$9876='2018-19_working'!$A$2)*(raw!$B$2:$B$9876='2018-19_working'!$A41)*(raw!$E$2:$E$9876='2018-19_working'!$AC$6)*(raw!$F$2:$F$9876='2018-19_working'!AD$7)*(raw!$G$2:$G$9876))</f>
        <v>2</v>
      </c>
      <c r="AE41" s="8">
        <f>SUMPRODUCT((raw!$A$2:$A$9876='2018-19_working'!$A$2)*(raw!$B$2:$B$9876='2018-19_working'!$A41)*(raw!$E$2:$E$9876='2018-19_working'!$AC$6)*(raw!$F$2:$F$9876='2018-19_working'!AE$7)*(raw!$G$2:$G$9876))</f>
        <v>0</v>
      </c>
      <c r="AF41" s="8">
        <f>SUMPRODUCT((raw!$A$2:$A$9876='2018-19_working'!$A$2)*(raw!$B$2:$B$9876='2018-19_working'!$A41)*(raw!$E$2:$E$9876='2018-19_working'!$AC$6)*(raw!$F$2:$F$9876='2018-19_working'!AF$7)*(raw!$G$2:$G$9876))</f>
        <v>0</v>
      </c>
      <c r="AG41" s="8">
        <f>SUMPRODUCT((raw!$A$2:$A$9876='2018-19_working'!$A$2)*(raw!$B$2:$B$9876='2018-19_working'!$A41)*(raw!$E$2:$E$9876='2018-19_working'!$AC$6)*(raw!$F$2:$F$9876='2018-19_working'!AG$7)*(raw!$G$2:$G$9876))</f>
        <v>0</v>
      </c>
      <c r="AH41" s="8">
        <f>SUMPRODUCT((raw!$A$2:$A$9876='2018-19_working'!$A$2)*(raw!$B$2:$B$9876='2018-19_working'!$A41)*(raw!$E$2:$E$9876='2018-19_working'!$AC$6)*(raw!$F$2:$F$9876='2018-19_working'!AH$7)*(raw!$G$2:$G$9876))</f>
        <v>0</v>
      </c>
      <c r="AI41" s="8">
        <f>SUMPRODUCT((raw!$A$2:$A$9876='2018-19_working'!$A$2)*(raw!$B$2:$B$9876='2018-19_working'!$A41)*(raw!$E$2:$E$9876='2018-19_working'!$AC$6)*(raw!$F$2:$F$9876='2018-19_working'!AI$7)*(raw!$G$2:$G$9876))</f>
        <v>0</v>
      </c>
      <c r="AJ41" s="8">
        <f>SUMPRODUCT((raw!$A$2:$A$9876='2018-19_working'!$A$2)*(raw!$B$2:$B$9876='2018-19_working'!$A41)*(raw!$E$2:$E$9876='2018-19_working'!$AC$6)*(raw!$F$2:$F$9876='2018-19_working'!AJ$7)*(raw!$G$2:$G$9876))</f>
        <v>1</v>
      </c>
    </row>
    <row r="42" spans="1:36" x14ac:dyDescent="0.3">
      <c r="A42" s="8" t="s">
        <v>49</v>
      </c>
      <c r="B42" s="8">
        <f>SUMPRODUCT((raw!$A$2:$A$9876='2018-19_working'!$A$2)*(raw!$B$2:$B$9876='2018-19_working'!$A42)*(raw!$E$2:$E$9876='2018-19_working'!$B$6:$I$6)*(raw!$F$2:$F$9876='2018-19_working'!B$7)*(raw!$G$2:$G$9876))</f>
        <v>11</v>
      </c>
      <c r="C42" s="8">
        <f>SUMPRODUCT((raw!$A$2:$A$9876='2018-19_working'!$A$2)*(raw!$B$2:$B$9876='2018-19_working'!$A42)*(raw!$E$2:$E$9876='2018-19_working'!$B$6:$I$6)*(raw!$F$2:$F$9876='2018-19_working'!C$7)*(raw!$G$2:$G$9876))</f>
        <v>0</v>
      </c>
      <c r="D42" s="8">
        <f>SUMPRODUCT((raw!$A$2:$A$9876='2018-19_working'!$A$2)*(raw!$B$2:$B$9876='2018-19_working'!$A42)*(raw!$E$2:$E$9876='2018-19_working'!$B$6:$I$6)*(raw!$F$2:$F$9876='2018-19_working'!D$7)*(raw!$G$2:$G$9876))</f>
        <v>0</v>
      </c>
      <c r="E42" s="8">
        <f>SUMPRODUCT((raw!$A$2:$A$9876='2018-19_working'!$A$2)*(raw!$B$2:$B$9876='2018-19_working'!$A42)*(raw!$E$2:$E$9876='2018-19_working'!$B$6:$I$6)*(raw!$F$2:$F$9876='2018-19_working'!E$7)*(raw!$G$2:$G$9876))</f>
        <v>0</v>
      </c>
      <c r="F42" s="8">
        <f>SUMPRODUCT((raw!$A$2:$A$9876='2018-19_working'!$A$2)*(raw!$B$2:$B$9876='2018-19_working'!$A42)*(raw!$E$2:$E$9876='2018-19_working'!$B$6:$I$6)*(raw!$F$2:$F$9876='2018-19_working'!F$7)*(raw!$G$2:$G$9876))</f>
        <v>0</v>
      </c>
      <c r="G42" s="8">
        <f>SUMPRODUCT((raw!$A$2:$A$9876='2018-19_working'!$A$2)*(raw!$B$2:$B$9876='2018-19_working'!$A42)*(raw!$E$2:$E$9876='2018-19_working'!$B$6:$I$6)*(raw!$F$2:$F$9876='2018-19_working'!G$7)*(raw!$G$2:$G$9876))</f>
        <v>0</v>
      </c>
      <c r="H42" s="8">
        <f>SUMPRODUCT((raw!$A$2:$A$9876='2018-19_working'!$A$2)*(raw!$B$2:$B$9876='2018-19_working'!$A42)*(raw!$E$2:$E$9876='2018-19_working'!$B$6:$I$6)*(raw!$F$2:$F$9876='2018-19_working'!H$7)*(raw!$G$2:$G$9876))</f>
        <v>1</v>
      </c>
      <c r="I42" s="8">
        <f>SUMPRODUCT((raw!$A$2:$A$9876='2018-19_working'!$A$2)*(raw!$B$2:$B$9876='2018-19_working'!$A42)*(raw!$E$2:$E$9876='2018-19_working'!$B$6:$I$6)*(raw!$F$2:$F$9876='2018-19_working'!I$7)*(raw!$G$2:$G$9876))</f>
        <v>0</v>
      </c>
      <c r="K42" s="8">
        <f>SUMPRODUCT((raw!$A$2:$A$9876='2018-19_working'!$A$2)*(raw!$B$2:$B$9876='2018-19_working'!$A42)*(raw!$E$2:$E$9876='2018-19_working'!$K$6)*(raw!$F$2:$F$9876='2018-19_working'!K$7)*(raw!$G$2:$G$9876))</f>
        <v>21</v>
      </c>
      <c r="L42" s="8">
        <f>SUMPRODUCT((raw!$A$2:$A$9876='2018-19_working'!$A$2)*(raw!$B$2:$B$9876='2018-19_working'!$A42)*(raw!$E$2:$E$9876='2018-19_working'!$K$6)*(raw!$F$2:$F$9876='2018-19_working'!L$7)*(raw!$G$2:$G$9876))</f>
        <v>0</v>
      </c>
      <c r="M42" s="8">
        <f>SUMPRODUCT((raw!$A$2:$A$9876='2018-19_working'!$A$2)*(raw!$B$2:$B$9876='2018-19_working'!$A42)*(raw!$E$2:$E$9876='2018-19_working'!$K$6)*(raw!$F$2:$F$9876='2018-19_working'!M$7)*(raw!$G$2:$G$9876))</f>
        <v>0</v>
      </c>
      <c r="N42" s="8">
        <f>SUMPRODUCT((raw!$A$2:$A$9876='2018-19_working'!$A$2)*(raw!$B$2:$B$9876='2018-19_working'!$A42)*(raw!$E$2:$E$9876='2018-19_working'!$K$6)*(raw!$F$2:$F$9876='2018-19_working'!N$7)*(raw!$G$2:$G$9876))</f>
        <v>0</v>
      </c>
      <c r="O42" s="8">
        <f>SUMPRODUCT((raw!$A$2:$A$9876='2018-19_working'!$A$2)*(raw!$B$2:$B$9876='2018-19_working'!$A42)*(raw!$E$2:$E$9876='2018-19_working'!$K$6)*(raw!$F$2:$F$9876='2018-19_working'!O$7)*(raw!$G$2:$G$9876))</f>
        <v>0</v>
      </c>
      <c r="P42" s="8">
        <f>SUMPRODUCT((raw!$A$2:$A$9876='2018-19_working'!$A$2)*(raw!$B$2:$B$9876='2018-19_working'!$A42)*(raw!$E$2:$E$9876='2018-19_working'!$K$6)*(raw!$F$2:$F$9876='2018-19_working'!P$7)*(raw!$G$2:$G$9876))</f>
        <v>0</v>
      </c>
      <c r="Q42" s="8">
        <f>SUMPRODUCT((raw!$A$2:$A$9876='2018-19_working'!$A$2)*(raw!$B$2:$B$9876='2018-19_working'!$A42)*(raw!$E$2:$E$9876='2018-19_working'!$K$6)*(raw!$F$2:$F$9876='2018-19_working'!Q$7)*(raw!$G$2:$G$9876))</f>
        <v>1</v>
      </c>
      <c r="R42" s="8">
        <f>SUMPRODUCT((raw!$A$2:$A$9876='2018-19_working'!$A$2)*(raw!$B$2:$B$9876='2018-19_working'!$A42)*(raw!$E$2:$E$9876='2018-19_working'!$K$6)*(raw!$F$2:$F$9876='2018-19_working'!R$7)*(raw!$G$2:$G$9876))</f>
        <v>6</v>
      </c>
      <c r="T42" s="8">
        <f>SUMPRODUCT((raw!$A$2:$A$9876='2018-19_working'!$A$2)*(raw!$B$2:$B$9876='2018-19_working'!$A42)*(raw!$E$2:$E$9876='2018-19_working'!$T$6)*(raw!$F$2:$F$9876='2018-19_working'!T$7)*(raw!$G$2:$G$9876))</f>
        <v>1</v>
      </c>
      <c r="U42" s="8">
        <f>SUMPRODUCT((raw!$A$2:$A$9876='2018-19_working'!$A$2)*(raw!$B$2:$B$9876='2018-19_working'!$A42)*(raw!$E$2:$E$9876='2018-19_working'!$T$6)*(raw!$F$2:$F$9876='2018-19_working'!U$7)*(raw!$G$2:$G$9876))</f>
        <v>0</v>
      </c>
      <c r="V42" s="8">
        <f>SUMPRODUCT((raw!$A$2:$A$9876='2018-19_working'!$A$2)*(raw!$B$2:$B$9876='2018-19_working'!$A42)*(raw!$E$2:$E$9876='2018-19_working'!$T$6)*(raw!$F$2:$F$9876='2018-19_working'!V$7)*(raw!$G$2:$G$9876))</f>
        <v>0</v>
      </c>
      <c r="W42" s="8">
        <f>SUMPRODUCT((raw!$A$2:$A$9876='2018-19_working'!$A$2)*(raw!$B$2:$B$9876='2018-19_working'!$A42)*(raw!$E$2:$E$9876='2018-19_working'!$T$6)*(raw!$F$2:$F$9876='2018-19_working'!W$7)*(raw!$G$2:$G$9876))</f>
        <v>0</v>
      </c>
      <c r="X42" s="8">
        <f>SUMPRODUCT((raw!$A$2:$A$9876='2018-19_working'!$A$2)*(raw!$B$2:$B$9876='2018-19_working'!$A42)*(raw!$E$2:$E$9876='2018-19_working'!$T$6)*(raw!$F$2:$F$9876='2018-19_working'!X$7)*(raw!$G$2:$G$9876))</f>
        <v>0</v>
      </c>
      <c r="Y42" s="8">
        <f>SUMPRODUCT((raw!$A$2:$A$9876='2018-19_working'!$A$2)*(raw!$B$2:$B$9876='2018-19_working'!$A42)*(raw!$E$2:$E$9876='2018-19_working'!$T$6)*(raw!$F$2:$F$9876='2018-19_working'!Y$7)*(raw!$G$2:$G$9876))</f>
        <v>0</v>
      </c>
      <c r="Z42" s="8">
        <f>SUMPRODUCT((raw!$A$2:$A$9876='2018-19_working'!$A$2)*(raw!$B$2:$B$9876='2018-19_working'!$A42)*(raw!$E$2:$E$9876='2018-19_working'!$T$6)*(raw!$F$2:$F$9876='2018-19_working'!Z$7)*(raw!$G$2:$G$9876))</f>
        <v>0</v>
      </c>
      <c r="AA42" s="8">
        <f>SUMPRODUCT((raw!$A$2:$A$9876='2018-19_working'!$A$2)*(raw!$B$2:$B$9876='2018-19_working'!$A42)*(raw!$E$2:$E$9876='2018-19_working'!$T$6)*(raw!$F$2:$F$9876='2018-19_working'!AA$7)*(raw!$G$2:$G$9876))</f>
        <v>1</v>
      </c>
      <c r="AC42" s="8">
        <f>SUMPRODUCT((raw!$A$2:$A$9876='2018-19_working'!$A$2)*(raw!$B$2:$B$9876='2018-19_working'!$A42)*(raw!$E$2:$E$9876='2018-19_working'!$AC$6)*(raw!$F$2:$F$9876='2018-19_working'!AC$7)*(raw!$G$2:$G$9876))</f>
        <v>6</v>
      </c>
      <c r="AD42" s="8">
        <f>SUMPRODUCT((raw!$A$2:$A$9876='2018-19_working'!$A$2)*(raw!$B$2:$B$9876='2018-19_working'!$A42)*(raw!$E$2:$E$9876='2018-19_working'!$AC$6)*(raw!$F$2:$F$9876='2018-19_working'!AD$7)*(raw!$G$2:$G$9876))</f>
        <v>0</v>
      </c>
      <c r="AE42" s="8">
        <f>SUMPRODUCT((raw!$A$2:$A$9876='2018-19_working'!$A$2)*(raw!$B$2:$B$9876='2018-19_working'!$A42)*(raw!$E$2:$E$9876='2018-19_working'!$AC$6)*(raw!$F$2:$F$9876='2018-19_working'!AE$7)*(raw!$G$2:$G$9876))</f>
        <v>0</v>
      </c>
      <c r="AF42" s="8">
        <f>SUMPRODUCT((raw!$A$2:$A$9876='2018-19_working'!$A$2)*(raw!$B$2:$B$9876='2018-19_working'!$A42)*(raw!$E$2:$E$9876='2018-19_working'!$AC$6)*(raw!$F$2:$F$9876='2018-19_working'!AF$7)*(raw!$G$2:$G$9876))</f>
        <v>0</v>
      </c>
      <c r="AG42" s="8">
        <f>SUMPRODUCT((raw!$A$2:$A$9876='2018-19_working'!$A$2)*(raw!$B$2:$B$9876='2018-19_working'!$A42)*(raw!$E$2:$E$9876='2018-19_working'!$AC$6)*(raw!$F$2:$F$9876='2018-19_working'!AG$7)*(raw!$G$2:$G$9876))</f>
        <v>0</v>
      </c>
      <c r="AH42" s="8">
        <f>SUMPRODUCT((raw!$A$2:$A$9876='2018-19_working'!$A$2)*(raw!$B$2:$B$9876='2018-19_working'!$A42)*(raw!$E$2:$E$9876='2018-19_working'!$AC$6)*(raw!$F$2:$F$9876='2018-19_working'!AH$7)*(raw!$G$2:$G$9876))</f>
        <v>0</v>
      </c>
      <c r="AI42" s="8">
        <f>SUMPRODUCT((raw!$A$2:$A$9876='2018-19_working'!$A$2)*(raw!$B$2:$B$9876='2018-19_working'!$A42)*(raw!$E$2:$E$9876='2018-19_working'!$AC$6)*(raw!$F$2:$F$9876='2018-19_working'!AI$7)*(raw!$G$2:$G$9876))</f>
        <v>1</v>
      </c>
      <c r="AJ42" s="8">
        <f>SUMPRODUCT((raw!$A$2:$A$9876='2018-19_working'!$A$2)*(raw!$B$2:$B$9876='2018-19_working'!$A42)*(raw!$E$2:$E$9876='2018-19_working'!$AC$6)*(raw!$F$2:$F$9876='2018-19_working'!AJ$7)*(raw!$G$2:$G$9876))</f>
        <v>1</v>
      </c>
    </row>
    <row r="43" spans="1:36" x14ac:dyDescent="0.3">
      <c r="A43" s="8" t="s">
        <v>50</v>
      </c>
      <c r="B43" s="8">
        <f>SUMPRODUCT((raw!$A$2:$A$9876='2018-19_working'!$A$2)*(raw!$B$2:$B$9876='2018-19_working'!$A43)*(raw!$E$2:$E$9876='2018-19_working'!$B$6:$I$6)*(raw!$F$2:$F$9876='2018-19_working'!B$7)*(raw!$G$2:$G$9876))</f>
        <v>12</v>
      </c>
      <c r="C43" s="8">
        <f>SUMPRODUCT((raw!$A$2:$A$9876='2018-19_working'!$A$2)*(raw!$B$2:$B$9876='2018-19_working'!$A43)*(raw!$E$2:$E$9876='2018-19_working'!$B$6:$I$6)*(raw!$F$2:$F$9876='2018-19_working'!C$7)*(raw!$G$2:$G$9876))</f>
        <v>0</v>
      </c>
      <c r="D43" s="8">
        <f>SUMPRODUCT((raw!$A$2:$A$9876='2018-19_working'!$A$2)*(raw!$B$2:$B$9876='2018-19_working'!$A43)*(raw!$E$2:$E$9876='2018-19_working'!$B$6:$I$6)*(raw!$F$2:$F$9876='2018-19_working'!D$7)*(raw!$G$2:$G$9876))</f>
        <v>0</v>
      </c>
      <c r="E43" s="8">
        <f>SUMPRODUCT((raw!$A$2:$A$9876='2018-19_working'!$A$2)*(raw!$B$2:$B$9876='2018-19_working'!$A43)*(raw!$E$2:$E$9876='2018-19_working'!$B$6:$I$6)*(raw!$F$2:$F$9876='2018-19_working'!E$7)*(raw!$G$2:$G$9876))</f>
        <v>0</v>
      </c>
      <c r="F43" s="8">
        <f>SUMPRODUCT((raw!$A$2:$A$9876='2018-19_working'!$A$2)*(raw!$B$2:$B$9876='2018-19_working'!$A43)*(raw!$E$2:$E$9876='2018-19_working'!$B$6:$I$6)*(raw!$F$2:$F$9876='2018-19_working'!F$7)*(raw!$G$2:$G$9876))</f>
        <v>1</v>
      </c>
      <c r="G43" s="8">
        <f>SUMPRODUCT((raw!$A$2:$A$9876='2018-19_working'!$A$2)*(raw!$B$2:$B$9876='2018-19_working'!$A43)*(raw!$E$2:$E$9876='2018-19_working'!$B$6:$I$6)*(raw!$F$2:$F$9876='2018-19_working'!G$7)*(raw!$G$2:$G$9876))</f>
        <v>0</v>
      </c>
      <c r="H43" s="8">
        <f>SUMPRODUCT((raw!$A$2:$A$9876='2018-19_working'!$A$2)*(raw!$B$2:$B$9876='2018-19_working'!$A43)*(raw!$E$2:$E$9876='2018-19_working'!$B$6:$I$6)*(raw!$F$2:$F$9876='2018-19_working'!H$7)*(raw!$G$2:$G$9876))</f>
        <v>0</v>
      </c>
      <c r="I43" s="8">
        <f>SUMPRODUCT((raw!$A$2:$A$9876='2018-19_working'!$A$2)*(raw!$B$2:$B$9876='2018-19_working'!$A43)*(raw!$E$2:$E$9876='2018-19_working'!$B$6:$I$6)*(raw!$F$2:$F$9876='2018-19_working'!I$7)*(raw!$G$2:$G$9876))</f>
        <v>0</v>
      </c>
      <c r="K43" s="8">
        <f>SUMPRODUCT((raw!$A$2:$A$9876='2018-19_working'!$A$2)*(raw!$B$2:$B$9876='2018-19_working'!$A43)*(raw!$E$2:$E$9876='2018-19_working'!$K$6)*(raw!$F$2:$F$9876='2018-19_working'!K$7)*(raw!$G$2:$G$9876))</f>
        <v>42</v>
      </c>
      <c r="L43" s="8">
        <f>SUMPRODUCT((raw!$A$2:$A$9876='2018-19_working'!$A$2)*(raw!$B$2:$B$9876='2018-19_working'!$A43)*(raw!$E$2:$E$9876='2018-19_working'!$K$6)*(raw!$F$2:$F$9876='2018-19_working'!L$7)*(raw!$G$2:$G$9876))</f>
        <v>0</v>
      </c>
      <c r="M43" s="8">
        <f>SUMPRODUCT((raw!$A$2:$A$9876='2018-19_working'!$A$2)*(raw!$B$2:$B$9876='2018-19_working'!$A43)*(raw!$E$2:$E$9876='2018-19_working'!$K$6)*(raw!$F$2:$F$9876='2018-19_working'!M$7)*(raw!$G$2:$G$9876))</f>
        <v>0</v>
      </c>
      <c r="N43" s="8">
        <f>SUMPRODUCT((raw!$A$2:$A$9876='2018-19_working'!$A$2)*(raw!$B$2:$B$9876='2018-19_working'!$A43)*(raw!$E$2:$E$9876='2018-19_working'!$K$6)*(raw!$F$2:$F$9876='2018-19_working'!N$7)*(raw!$G$2:$G$9876))</f>
        <v>0</v>
      </c>
      <c r="O43" s="8">
        <f>SUMPRODUCT((raw!$A$2:$A$9876='2018-19_working'!$A$2)*(raw!$B$2:$B$9876='2018-19_working'!$A43)*(raw!$E$2:$E$9876='2018-19_working'!$K$6)*(raw!$F$2:$F$9876='2018-19_working'!O$7)*(raw!$G$2:$G$9876))</f>
        <v>2</v>
      </c>
      <c r="P43" s="8">
        <f>SUMPRODUCT((raw!$A$2:$A$9876='2018-19_working'!$A$2)*(raw!$B$2:$B$9876='2018-19_working'!$A43)*(raw!$E$2:$E$9876='2018-19_working'!$K$6)*(raw!$F$2:$F$9876='2018-19_working'!P$7)*(raw!$G$2:$G$9876))</f>
        <v>0</v>
      </c>
      <c r="Q43" s="8">
        <f>SUMPRODUCT((raw!$A$2:$A$9876='2018-19_working'!$A$2)*(raw!$B$2:$B$9876='2018-19_working'!$A43)*(raw!$E$2:$E$9876='2018-19_working'!$K$6)*(raw!$F$2:$F$9876='2018-19_working'!Q$7)*(raw!$G$2:$G$9876))</f>
        <v>0</v>
      </c>
      <c r="R43" s="8">
        <f>SUMPRODUCT((raw!$A$2:$A$9876='2018-19_working'!$A$2)*(raw!$B$2:$B$9876='2018-19_working'!$A43)*(raw!$E$2:$E$9876='2018-19_working'!$K$6)*(raw!$F$2:$F$9876='2018-19_working'!R$7)*(raw!$G$2:$G$9876))</f>
        <v>0</v>
      </c>
      <c r="T43" s="8">
        <f>SUMPRODUCT((raw!$A$2:$A$9876='2018-19_working'!$A$2)*(raw!$B$2:$B$9876='2018-19_working'!$A43)*(raw!$E$2:$E$9876='2018-19_working'!$T$6)*(raw!$F$2:$F$9876='2018-19_working'!T$7)*(raw!$G$2:$G$9876))</f>
        <v>0</v>
      </c>
      <c r="U43" s="8">
        <f>SUMPRODUCT((raw!$A$2:$A$9876='2018-19_working'!$A$2)*(raw!$B$2:$B$9876='2018-19_working'!$A43)*(raw!$E$2:$E$9876='2018-19_working'!$T$6)*(raw!$F$2:$F$9876='2018-19_working'!U$7)*(raw!$G$2:$G$9876))</f>
        <v>0</v>
      </c>
      <c r="V43" s="8">
        <f>SUMPRODUCT((raw!$A$2:$A$9876='2018-19_working'!$A$2)*(raw!$B$2:$B$9876='2018-19_working'!$A43)*(raw!$E$2:$E$9876='2018-19_working'!$T$6)*(raw!$F$2:$F$9876='2018-19_working'!V$7)*(raw!$G$2:$G$9876))</f>
        <v>0</v>
      </c>
      <c r="W43" s="8">
        <f>SUMPRODUCT((raw!$A$2:$A$9876='2018-19_working'!$A$2)*(raw!$B$2:$B$9876='2018-19_working'!$A43)*(raw!$E$2:$E$9876='2018-19_working'!$T$6)*(raw!$F$2:$F$9876='2018-19_working'!W$7)*(raw!$G$2:$G$9876))</f>
        <v>0</v>
      </c>
      <c r="X43" s="8">
        <f>SUMPRODUCT((raw!$A$2:$A$9876='2018-19_working'!$A$2)*(raw!$B$2:$B$9876='2018-19_working'!$A43)*(raw!$E$2:$E$9876='2018-19_working'!$T$6)*(raw!$F$2:$F$9876='2018-19_working'!X$7)*(raw!$G$2:$G$9876))</f>
        <v>0</v>
      </c>
      <c r="Y43" s="8">
        <f>SUMPRODUCT((raw!$A$2:$A$9876='2018-19_working'!$A$2)*(raw!$B$2:$B$9876='2018-19_working'!$A43)*(raw!$E$2:$E$9876='2018-19_working'!$T$6)*(raw!$F$2:$F$9876='2018-19_working'!Y$7)*(raw!$G$2:$G$9876))</f>
        <v>0</v>
      </c>
      <c r="Z43" s="8">
        <f>SUMPRODUCT((raw!$A$2:$A$9876='2018-19_working'!$A$2)*(raw!$B$2:$B$9876='2018-19_working'!$A43)*(raw!$E$2:$E$9876='2018-19_working'!$T$6)*(raw!$F$2:$F$9876='2018-19_working'!Z$7)*(raw!$G$2:$G$9876))</f>
        <v>0</v>
      </c>
      <c r="AA43" s="8">
        <f>SUMPRODUCT((raw!$A$2:$A$9876='2018-19_working'!$A$2)*(raw!$B$2:$B$9876='2018-19_working'!$A43)*(raw!$E$2:$E$9876='2018-19_working'!$T$6)*(raw!$F$2:$F$9876='2018-19_working'!AA$7)*(raw!$G$2:$G$9876))</f>
        <v>0</v>
      </c>
      <c r="AC43" s="8">
        <f>SUMPRODUCT((raw!$A$2:$A$9876='2018-19_working'!$A$2)*(raw!$B$2:$B$9876='2018-19_working'!$A43)*(raw!$E$2:$E$9876='2018-19_working'!$AC$6)*(raw!$F$2:$F$9876='2018-19_working'!AC$7)*(raw!$G$2:$G$9876))</f>
        <v>24</v>
      </c>
      <c r="AD43" s="8">
        <f>SUMPRODUCT((raw!$A$2:$A$9876='2018-19_working'!$A$2)*(raw!$B$2:$B$9876='2018-19_working'!$A43)*(raw!$E$2:$E$9876='2018-19_working'!$AC$6)*(raw!$F$2:$F$9876='2018-19_working'!AD$7)*(raw!$G$2:$G$9876))</f>
        <v>0</v>
      </c>
      <c r="AE43" s="8">
        <f>SUMPRODUCT((raw!$A$2:$A$9876='2018-19_working'!$A$2)*(raw!$B$2:$B$9876='2018-19_working'!$A43)*(raw!$E$2:$E$9876='2018-19_working'!$AC$6)*(raw!$F$2:$F$9876='2018-19_working'!AE$7)*(raw!$G$2:$G$9876))</f>
        <v>0</v>
      </c>
      <c r="AF43" s="8">
        <f>SUMPRODUCT((raw!$A$2:$A$9876='2018-19_working'!$A$2)*(raw!$B$2:$B$9876='2018-19_working'!$A43)*(raw!$E$2:$E$9876='2018-19_working'!$AC$6)*(raw!$F$2:$F$9876='2018-19_working'!AF$7)*(raw!$G$2:$G$9876))</f>
        <v>0</v>
      </c>
      <c r="AG43" s="8">
        <f>SUMPRODUCT((raw!$A$2:$A$9876='2018-19_working'!$A$2)*(raw!$B$2:$B$9876='2018-19_working'!$A43)*(raw!$E$2:$E$9876='2018-19_working'!$AC$6)*(raw!$F$2:$F$9876='2018-19_working'!AG$7)*(raw!$G$2:$G$9876))</f>
        <v>0</v>
      </c>
      <c r="AH43" s="8">
        <f>SUMPRODUCT((raw!$A$2:$A$9876='2018-19_working'!$A$2)*(raw!$B$2:$B$9876='2018-19_working'!$A43)*(raw!$E$2:$E$9876='2018-19_working'!$AC$6)*(raw!$F$2:$F$9876='2018-19_working'!AH$7)*(raw!$G$2:$G$9876))</f>
        <v>0</v>
      </c>
      <c r="AI43" s="8">
        <f>SUMPRODUCT((raw!$A$2:$A$9876='2018-19_working'!$A$2)*(raw!$B$2:$B$9876='2018-19_working'!$A43)*(raw!$E$2:$E$9876='2018-19_working'!$AC$6)*(raw!$F$2:$F$9876='2018-19_working'!AI$7)*(raw!$G$2:$G$9876))</f>
        <v>0</v>
      </c>
      <c r="AJ43" s="8">
        <f>SUMPRODUCT((raw!$A$2:$A$9876='2018-19_working'!$A$2)*(raw!$B$2:$B$9876='2018-19_working'!$A43)*(raw!$E$2:$E$9876='2018-19_working'!$AC$6)*(raw!$F$2:$F$9876='2018-19_working'!AJ$7)*(raw!$G$2:$G$9876))</f>
        <v>0</v>
      </c>
    </row>
    <row r="44" spans="1:36" x14ac:dyDescent="0.3">
      <c r="A44" s="8" t="s">
        <v>51</v>
      </c>
      <c r="B44" s="8">
        <f>SUMPRODUCT((raw!$A$2:$A$9876='2018-19_working'!$A$2)*(raw!$B$2:$B$9876='2018-19_working'!$A44)*(raw!$E$2:$E$9876='2018-19_working'!$B$6:$I$6)*(raw!$F$2:$F$9876='2018-19_working'!B$7)*(raw!$G$2:$G$9876))</f>
        <v>2</v>
      </c>
      <c r="C44" s="8">
        <f>SUMPRODUCT((raw!$A$2:$A$9876='2018-19_working'!$A$2)*(raw!$B$2:$B$9876='2018-19_working'!$A44)*(raw!$E$2:$E$9876='2018-19_working'!$B$6:$I$6)*(raw!$F$2:$F$9876='2018-19_working'!C$7)*(raw!$G$2:$G$9876))</f>
        <v>0</v>
      </c>
      <c r="D44" s="8">
        <f>SUMPRODUCT((raw!$A$2:$A$9876='2018-19_working'!$A$2)*(raw!$B$2:$B$9876='2018-19_working'!$A44)*(raw!$E$2:$E$9876='2018-19_working'!$B$6:$I$6)*(raw!$F$2:$F$9876='2018-19_working'!D$7)*(raw!$G$2:$G$9876))</f>
        <v>1</v>
      </c>
      <c r="E44" s="8">
        <f>SUMPRODUCT((raw!$A$2:$A$9876='2018-19_working'!$A$2)*(raw!$B$2:$B$9876='2018-19_working'!$A44)*(raw!$E$2:$E$9876='2018-19_working'!$B$6:$I$6)*(raw!$F$2:$F$9876='2018-19_working'!E$7)*(raw!$G$2:$G$9876))</f>
        <v>0</v>
      </c>
      <c r="F44" s="8">
        <f>SUMPRODUCT((raw!$A$2:$A$9876='2018-19_working'!$A$2)*(raw!$B$2:$B$9876='2018-19_working'!$A44)*(raw!$E$2:$E$9876='2018-19_working'!$B$6:$I$6)*(raw!$F$2:$F$9876='2018-19_working'!F$7)*(raw!$G$2:$G$9876))</f>
        <v>0</v>
      </c>
      <c r="G44" s="8">
        <f>SUMPRODUCT((raw!$A$2:$A$9876='2018-19_working'!$A$2)*(raw!$B$2:$B$9876='2018-19_working'!$A44)*(raw!$E$2:$E$9876='2018-19_working'!$B$6:$I$6)*(raw!$F$2:$F$9876='2018-19_working'!G$7)*(raw!$G$2:$G$9876))</f>
        <v>0</v>
      </c>
      <c r="H44" s="8">
        <f>SUMPRODUCT((raw!$A$2:$A$9876='2018-19_working'!$A$2)*(raw!$B$2:$B$9876='2018-19_working'!$A44)*(raw!$E$2:$E$9876='2018-19_working'!$B$6:$I$6)*(raw!$F$2:$F$9876='2018-19_working'!H$7)*(raw!$G$2:$G$9876))</f>
        <v>0</v>
      </c>
      <c r="I44" s="8">
        <f>SUMPRODUCT((raw!$A$2:$A$9876='2018-19_working'!$A$2)*(raw!$B$2:$B$9876='2018-19_working'!$A44)*(raw!$E$2:$E$9876='2018-19_working'!$B$6:$I$6)*(raw!$F$2:$F$9876='2018-19_working'!I$7)*(raw!$G$2:$G$9876))</f>
        <v>5</v>
      </c>
      <c r="K44" s="8">
        <f>SUMPRODUCT((raw!$A$2:$A$9876='2018-19_working'!$A$2)*(raw!$B$2:$B$9876='2018-19_working'!$A44)*(raw!$E$2:$E$9876='2018-19_working'!$K$6)*(raw!$F$2:$F$9876='2018-19_working'!K$7)*(raw!$G$2:$G$9876))</f>
        <v>15</v>
      </c>
      <c r="L44" s="8">
        <f>SUMPRODUCT((raw!$A$2:$A$9876='2018-19_working'!$A$2)*(raw!$B$2:$B$9876='2018-19_working'!$A44)*(raw!$E$2:$E$9876='2018-19_working'!$K$6)*(raw!$F$2:$F$9876='2018-19_working'!L$7)*(raw!$G$2:$G$9876))</f>
        <v>0</v>
      </c>
      <c r="M44" s="8">
        <f>SUMPRODUCT((raw!$A$2:$A$9876='2018-19_working'!$A$2)*(raw!$B$2:$B$9876='2018-19_working'!$A44)*(raw!$E$2:$E$9876='2018-19_working'!$K$6)*(raw!$F$2:$F$9876='2018-19_working'!M$7)*(raw!$G$2:$G$9876))</f>
        <v>0</v>
      </c>
      <c r="N44" s="8">
        <f>SUMPRODUCT((raw!$A$2:$A$9876='2018-19_working'!$A$2)*(raw!$B$2:$B$9876='2018-19_working'!$A44)*(raw!$E$2:$E$9876='2018-19_working'!$K$6)*(raw!$F$2:$F$9876='2018-19_working'!N$7)*(raw!$G$2:$G$9876))</f>
        <v>0</v>
      </c>
      <c r="O44" s="8">
        <f>SUMPRODUCT((raw!$A$2:$A$9876='2018-19_working'!$A$2)*(raw!$B$2:$B$9876='2018-19_working'!$A44)*(raw!$E$2:$E$9876='2018-19_working'!$K$6)*(raw!$F$2:$F$9876='2018-19_working'!O$7)*(raw!$G$2:$G$9876))</f>
        <v>0</v>
      </c>
      <c r="P44" s="8">
        <f>SUMPRODUCT((raw!$A$2:$A$9876='2018-19_working'!$A$2)*(raw!$B$2:$B$9876='2018-19_working'!$A44)*(raw!$E$2:$E$9876='2018-19_working'!$K$6)*(raw!$F$2:$F$9876='2018-19_working'!P$7)*(raw!$G$2:$G$9876))</f>
        <v>0</v>
      </c>
      <c r="Q44" s="8">
        <f>SUMPRODUCT((raw!$A$2:$A$9876='2018-19_working'!$A$2)*(raw!$B$2:$B$9876='2018-19_working'!$A44)*(raw!$E$2:$E$9876='2018-19_working'!$K$6)*(raw!$F$2:$F$9876='2018-19_working'!Q$7)*(raw!$G$2:$G$9876))</f>
        <v>0</v>
      </c>
      <c r="R44" s="8">
        <f>SUMPRODUCT((raw!$A$2:$A$9876='2018-19_working'!$A$2)*(raw!$B$2:$B$9876='2018-19_working'!$A44)*(raw!$E$2:$E$9876='2018-19_working'!$K$6)*(raw!$F$2:$F$9876='2018-19_working'!R$7)*(raw!$G$2:$G$9876))</f>
        <v>31</v>
      </c>
      <c r="T44" s="8">
        <f>SUMPRODUCT((raw!$A$2:$A$9876='2018-19_working'!$A$2)*(raw!$B$2:$B$9876='2018-19_working'!$A44)*(raw!$E$2:$E$9876='2018-19_working'!$T$6)*(raw!$F$2:$F$9876='2018-19_working'!T$7)*(raw!$G$2:$G$9876))</f>
        <v>0</v>
      </c>
      <c r="U44" s="8">
        <f>SUMPRODUCT((raw!$A$2:$A$9876='2018-19_working'!$A$2)*(raw!$B$2:$B$9876='2018-19_working'!$A44)*(raw!$E$2:$E$9876='2018-19_working'!$T$6)*(raw!$F$2:$F$9876='2018-19_working'!U$7)*(raw!$G$2:$G$9876))</f>
        <v>0</v>
      </c>
      <c r="V44" s="8">
        <f>SUMPRODUCT((raw!$A$2:$A$9876='2018-19_working'!$A$2)*(raw!$B$2:$B$9876='2018-19_working'!$A44)*(raw!$E$2:$E$9876='2018-19_working'!$T$6)*(raw!$F$2:$F$9876='2018-19_working'!V$7)*(raw!$G$2:$G$9876))</f>
        <v>0</v>
      </c>
      <c r="W44" s="8">
        <f>SUMPRODUCT((raw!$A$2:$A$9876='2018-19_working'!$A$2)*(raw!$B$2:$B$9876='2018-19_working'!$A44)*(raw!$E$2:$E$9876='2018-19_working'!$T$6)*(raw!$F$2:$F$9876='2018-19_working'!W$7)*(raw!$G$2:$G$9876))</f>
        <v>0</v>
      </c>
      <c r="X44" s="8">
        <f>SUMPRODUCT((raw!$A$2:$A$9876='2018-19_working'!$A$2)*(raw!$B$2:$B$9876='2018-19_working'!$A44)*(raw!$E$2:$E$9876='2018-19_working'!$T$6)*(raw!$F$2:$F$9876='2018-19_working'!X$7)*(raw!$G$2:$G$9876))</f>
        <v>0</v>
      </c>
      <c r="Y44" s="8">
        <f>SUMPRODUCT((raw!$A$2:$A$9876='2018-19_working'!$A$2)*(raw!$B$2:$B$9876='2018-19_working'!$A44)*(raw!$E$2:$E$9876='2018-19_working'!$T$6)*(raw!$F$2:$F$9876='2018-19_working'!Y$7)*(raw!$G$2:$G$9876))</f>
        <v>0</v>
      </c>
      <c r="Z44" s="8">
        <f>SUMPRODUCT((raw!$A$2:$A$9876='2018-19_working'!$A$2)*(raw!$B$2:$B$9876='2018-19_working'!$A44)*(raw!$E$2:$E$9876='2018-19_working'!$T$6)*(raw!$F$2:$F$9876='2018-19_working'!Z$7)*(raw!$G$2:$G$9876))</f>
        <v>0</v>
      </c>
      <c r="AA44" s="8">
        <f>SUMPRODUCT((raw!$A$2:$A$9876='2018-19_working'!$A$2)*(raw!$B$2:$B$9876='2018-19_working'!$A44)*(raw!$E$2:$E$9876='2018-19_working'!$T$6)*(raw!$F$2:$F$9876='2018-19_working'!AA$7)*(raw!$G$2:$G$9876))</f>
        <v>0</v>
      </c>
      <c r="AC44" s="8">
        <f>SUMPRODUCT((raw!$A$2:$A$9876='2018-19_working'!$A$2)*(raw!$B$2:$B$9876='2018-19_working'!$A44)*(raw!$E$2:$E$9876='2018-19_working'!$AC$6)*(raw!$F$2:$F$9876='2018-19_working'!AC$7)*(raw!$G$2:$G$9876))</f>
        <v>4</v>
      </c>
      <c r="AD44" s="8">
        <f>SUMPRODUCT((raw!$A$2:$A$9876='2018-19_working'!$A$2)*(raw!$B$2:$B$9876='2018-19_working'!$A44)*(raw!$E$2:$E$9876='2018-19_working'!$AC$6)*(raw!$F$2:$F$9876='2018-19_working'!AD$7)*(raw!$G$2:$G$9876))</f>
        <v>0</v>
      </c>
      <c r="AE44" s="8">
        <f>SUMPRODUCT((raw!$A$2:$A$9876='2018-19_working'!$A$2)*(raw!$B$2:$B$9876='2018-19_working'!$A44)*(raw!$E$2:$E$9876='2018-19_working'!$AC$6)*(raw!$F$2:$F$9876='2018-19_working'!AE$7)*(raw!$G$2:$G$9876))</f>
        <v>0</v>
      </c>
      <c r="AF44" s="8">
        <f>SUMPRODUCT((raw!$A$2:$A$9876='2018-19_working'!$A$2)*(raw!$B$2:$B$9876='2018-19_working'!$A44)*(raw!$E$2:$E$9876='2018-19_working'!$AC$6)*(raw!$F$2:$F$9876='2018-19_working'!AF$7)*(raw!$G$2:$G$9876))</f>
        <v>0</v>
      </c>
      <c r="AG44" s="8">
        <f>SUMPRODUCT((raw!$A$2:$A$9876='2018-19_working'!$A$2)*(raw!$B$2:$B$9876='2018-19_working'!$A44)*(raw!$E$2:$E$9876='2018-19_working'!$AC$6)*(raw!$F$2:$F$9876='2018-19_working'!AG$7)*(raw!$G$2:$G$9876))</f>
        <v>0</v>
      </c>
      <c r="AH44" s="8">
        <f>SUMPRODUCT((raw!$A$2:$A$9876='2018-19_working'!$A$2)*(raw!$B$2:$B$9876='2018-19_working'!$A44)*(raw!$E$2:$E$9876='2018-19_working'!$AC$6)*(raw!$F$2:$F$9876='2018-19_working'!AH$7)*(raw!$G$2:$G$9876))</f>
        <v>0</v>
      </c>
      <c r="AI44" s="8">
        <f>SUMPRODUCT((raw!$A$2:$A$9876='2018-19_working'!$A$2)*(raw!$B$2:$B$9876='2018-19_working'!$A44)*(raw!$E$2:$E$9876='2018-19_working'!$AC$6)*(raw!$F$2:$F$9876='2018-19_working'!AI$7)*(raw!$G$2:$G$9876))</f>
        <v>0</v>
      </c>
      <c r="AJ44" s="8">
        <f>SUMPRODUCT((raw!$A$2:$A$9876='2018-19_working'!$A$2)*(raw!$B$2:$B$9876='2018-19_working'!$A44)*(raw!$E$2:$E$9876='2018-19_working'!$AC$6)*(raw!$F$2:$F$9876='2018-19_working'!AJ$7)*(raw!$G$2:$G$9876))</f>
        <v>2</v>
      </c>
    </row>
    <row r="45" spans="1:36" x14ac:dyDescent="0.3">
      <c r="A45" s="8" t="s">
        <v>52</v>
      </c>
      <c r="B45" s="8">
        <f>SUMPRODUCT((raw!$A$2:$A$9876='2018-19_working'!$A$2)*(raw!$B$2:$B$9876='2018-19_working'!$A45)*(raw!$E$2:$E$9876='2018-19_working'!$B$6:$I$6)*(raw!$F$2:$F$9876='2018-19_working'!B$7)*(raw!$G$2:$G$9876))</f>
        <v>30</v>
      </c>
      <c r="C45" s="8">
        <f>SUMPRODUCT((raw!$A$2:$A$9876='2018-19_working'!$A$2)*(raw!$B$2:$B$9876='2018-19_working'!$A45)*(raw!$E$2:$E$9876='2018-19_working'!$B$6:$I$6)*(raw!$F$2:$F$9876='2018-19_working'!C$7)*(raw!$G$2:$G$9876))</f>
        <v>0</v>
      </c>
      <c r="D45" s="8">
        <f>SUMPRODUCT((raw!$A$2:$A$9876='2018-19_working'!$A$2)*(raw!$B$2:$B$9876='2018-19_working'!$A45)*(raw!$E$2:$E$9876='2018-19_working'!$B$6:$I$6)*(raw!$F$2:$F$9876='2018-19_working'!D$7)*(raw!$G$2:$G$9876))</f>
        <v>0</v>
      </c>
      <c r="E45" s="8">
        <f>SUMPRODUCT((raw!$A$2:$A$9876='2018-19_working'!$A$2)*(raw!$B$2:$B$9876='2018-19_working'!$A45)*(raw!$E$2:$E$9876='2018-19_working'!$B$6:$I$6)*(raw!$F$2:$F$9876='2018-19_working'!E$7)*(raw!$G$2:$G$9876))</f>
        <v>0</v>
      </c>
      <c r="F45" s="8">
        <f>SUMPRODUCT((raw!$A$2:$A$9876='2018-19_working'!$A$2)*(raw!$B$2:$B$9876='2018-19_working'!$A45)*(raw!$E$2:$E$9876='2018-19_working'!$B$6:$I$6)*(raw!$F$2:$F$9876='2018-19_working'!F$7)*(raw!$G$2:$G$9876))</f>
        <v>0</v>
      </c>
      <c r="G45" s="8">
        <f>SUMPRODUCT((raw!$A$2:$A$9876='2018-19_working'!$A$2)*(raw!$B$2:$B$9876='2018-19_working'!$A45)*(raw!$E$2:$E$9876='2018-19_working'!$B$6:$I$6)*(raw!$F$2:$F$9876='2018-19_working'!G$7)*(raw!$G$2:$G$9876))</f>
        <v>0</v>
      </c>
      <c r="H45" s="8">
        <f>SUMPRODUCT((raw!$A$2:$A$9876='2018-19_working'!$A$2)*(raw!$B$2:$B$9876='2018-19_working'!$A45)*(raw!$E$2:$E$9876='2018-19_working'!$B$6:$I$6)*(raw!$F$2:$F$9876='2018-19_working'!H$7)*(raw!$G$2:$G$9876))</f>
        <v>0</v>
      </c>
      <c r="I45" s="8">
        <f>SUMPRODUCT((raw!$A$2:$A$9876='2018-19_working'!$A$2)*(raw!$B$2:$B$9876='2018-19_working'!$A45)*(raw!$E$2:$E$9876='2018-19_working'!$B$6:$I$6)*(raw!$F$2:$F$9876='2018-19_working'!I$7)*(raw!$G$2:$G$9876))</f>
        <v>0</v>
      </c>
      <c r="K45" s="8">
        <f>SUMPRODUCT((raw!$A$2:$A$9876='2018-19_working'!$A$2)*(raw!$B$2:$B$9876='2018-19_working'!$A45)*(raw!$E$2:$E$9876='2018-19_working'!$K$6)*(raw!$F$2:$F$9876='2018-19_working'!K$7)*(raw!$G$2:$G$9876))</f>
        <v>7</v>
      </c>
      <c r="L45" s="8">
        <f>SUMPRODUCT((raw!$A$2:$A$9876='2018-19_working'!$A$2)*(raw!$B$2:$B$9876='2018-19_working'!$A45)*(raw!$E$2:$E$9876='2018-19_working'!$K$6)*(raw!$F$2:$F$9876='2018-19_working'!L$7)*(raw!$G$2:$G$9876))</f>
        <v>0</v>
      </c>
      <c r="M45" s="8">
        <f>SUMPRODUCT((raw!$A$2:$A$9876='2018-19_working'!$A$2)*(raw!$B$2:$B$9876='2018-19_working'!$A45)*(raw!$E$2:$E$9876='2018-19_working'!$K$6)*(raw!$F$2:$F$9876='2018-19_working'!M$7)*(raw!$G$2:$G$9876))</f>
        <v>0</v>
      </c>
      <c r="N45" s="8">
        <f>SUMPRODUCT((raw!$A$2:$A$9876='2018-19_working'!$A$2)*(raw!$B$2:$B$9876='2018-19_working'!$A45)*(raw!$E$2:$E$9876='2018-19_working'!$K$6)*(raw!$F$2:$F$9876='2018-19_working'!N$7)*(raw!$G$2:$G$9876))</f>
        <v>0</v>
      </c>
      <c r="O45" s="8">
        <f>SUMPRODUCT((raw!$A$2:$A$9876='2018-19_working'!$A$2)*(raw!$B$2:$B$9876='2018-19_working'!$A45)*(raw!$E$2:$E$9876='2018-19_working'!$K$6)*(raw!$F$2:$F$9876='2018-19_working'!O$7)*(raw!$G$2:$G$9876))</f>
        <v>0</v>
      </c>
      <c r="P45" s="8">
        <f>SUMPRODUCT((raw!$A$2:$A$9876='2018-19_working'!$A$2)*(raw!$B$2:$B$9876='2018-19_working'!$A45)*(raw!$E$2:$E$9876='2018-19_working'!$K$6)*(raw!$F$2:$F$9876='2018-19_working'!P$7)*(raw!$G$2:$G$9876))</f>
        <v>0</v>
      </c>
      <c r="Q45" s="8">
        <f>SUMPRODUCT((raw!$A$2:$A$9876='2018-19_working'!$A$2)*(raw!$B$2:$B$9876='2018-19_working'!$A45)*(raw!$E$2:$E$9876='2018-19_working'!$K$6)*(raw!$F$2:$F$9876='2018-19_working'!Q$7)*(raw!$G$2:$G$9876))</f>
        <v>0</v>
      </c>
      <c r="R45" s="8">
        <f>SUMPRODUCT((raw!$A$2:$A$9876='2018-19_working'!$A$2)*(raw!$B$2:$B$9876='2018-19_working'!$A45)*(raw!$E$2:$E$9876='2018-19_working'!$K$6)*(raw!$F$2:$F$9876='2018-19_working'!R$7)*(raw!$G$2:$G$9876))</f>
        <v>0</v>
      </c>
      <c r="T45" s="8">
        <f>SUMPRODUCT((raw!$A$2:$A$9876='2018-19_working'!$A$2)*(raw!$B$2:$B$9876='2018-19_working'!$A45)*(raw!$E$2:$E$9876='2018-19_working'!$T$6)*(raw!$F$2:$F$9876='2018-19_working'!T$7)*(raw!$G$2:$G$9876))</f>
        <v>4</v>
      </c>
      <c r="U45" s="8">
        <f>SUMPRODUCT((raw!$A$2:$A$9876='2018-19_working'!$A$2)*(raw!$B$2:$B$9876='2018-19_working'!$A45)*(raw!$E$2:$E$9876='2018-19_working'!$T$6)*(raw!$F$2:$F$9876='2018-19_working'!U$7)*(raw!$G$2:$G$9876))</f>
        <v>0</v>
      </c>
      <c r="V45" s="8">
        <f>SUMPRODUCT((raw!$A$2:$A$9876='2018-19_working'!$A$2)*(raw!$B$2:$B$9876='2018-19_working'!$A45)*(raw!$E$2:$E$9876='2018-19_working'!$T$6)*(raw!$F$2:$F$9876='2018-19_working'!V$7)*(raw!$G$2:$G$9876))</f>
        <v>0</v>
      </c>
      <c r="W45" s="8">
        <f>SUMPRODUCT((raw!$A$2:$A$9876='2018-19_working'!$A$2)*(raw!$B$2:$B$9876='2018-19_working'!$A45)*(raw!$E$2:$E$9876='2018-19_working'!$T$6)*(raw!$F$2:$F$9876='2018-19_working'!W$7)*(raw!$G$2:$G$9876))</f>
        <v>0</v>
      </c>
      <c r="X45" s="8">
        <f>SUMPRODUCT((raw!$A$2:$A$9876='2018-19_working'!$A$2)*(raw!$B$2:$B$9876='2018-19_working'!$A45)*(raw!$E$2:$E$9876='2018-19_working'!$T$6)*(raw!$F$2:$F$9876='2018-19_working'!X$7)*(raw!$G$2:$G$9876))</f>
        <v>0</v>
      </c>
      <c r="Y45" s="8">
        <f>SUMPRODUCT((raw!$A$2:$A$9876='2018-19_working'!$A$2)*(raw!$B$2:$B$9876='2018-19_working'!$A45)*(raw!$E$2:$E$9876='2018-19_working'!$T$6)*(raw!$F$2:$F$9876='2018-19_working'!Y$7)*(raw!$G$2:$G$9876))</f>
        <v>0</v>
      </c>
      <c r="Z45" s="8">
        <f>SUMPRODUCT((raw!$A$2:$A$9876='2018-19_working'!$A$2)*(raw!$B$2:$B$9876='2018-19_working'!$A45)*(raw!$E$2:$E$9876='2018-19_working'!$T$6)*(raw!$F$2:$F$9876='2018-19_working'!Z$7)*(raw!$G$2:$G$9876))</f>
        <v>0</v>
      </c>
      <c r="AA45" s="8">
        <f>SUMPRODUCT((raw!$A$2:$A$9876='2018-19_working'!$A$2)*(raw!$B$2:$B$9876='2018-19_working'!$A45)*(raw!$E$2:$E$9876='2018-19_working'!$T$6)*(raw!$F$2:$F$9876='2018-19_working'!AA$7)*(raw!$G$2:$G$9876))</f>
        <v>0</v>
      </c>
      <c r="AC45" s="8">
        <f>SUMPRODUCT((raw!$A$2:$A$9876='2018-19_working'!$A$2)*(raw!$B$2:$B$9876='2018-19_working'!$A45)*(raw!$E$2:$E$9876='2018-19_working'!$AC$6)*(raw!$F$2:$F$9876='2018-19_working'!AC$7)*(raw!$G$2:$G$9876))</f>
        <v>16</v>
      </c>
      <c r="AD45" s="8">
        <f>SUMPRODUCT((raw!$A$2:$A$9876='2018-19_working'!$A$2)*(raw!$B$2:$B$9876='2018-19_working'!$A45)*(raw!$E$2:$E$9876='2018-19_working'!$AC$6)*(raw!$F$2:$F$9876='2018-19_working'!AD$7)*(raw!$G$2:$G$9876))</f>
        <v>0</v>
      </c>
      <c r="AE45" s="8">
        <f>SUMPRODUCT((raw!$A$2:$A$9876='2018-19_working'!$A$2)*(raw!$B$2:$B$9876='2018-19_working'!$A45)*(raw!$E$2:$E$9876='2018-19_working'!$AC$6)*(raw!$F$2:$F$9876='2018-19_working'!AE$7)*(raw!$G$2:$G$9876))</f>
        <v>0</v>
      </c>
      <c r="AF45" s="8">
        <f>SUMPRODUCT((raw!$A$2:$A$9876='2018-19_working'!$A$2)*(raw!$B$2:$B$9876='2018-19_working'!$A45)*(raw!$E$2:$E$9876='2018-19_working'!$AC$6)*(raw!$F$2:$F$9876='2018-19_working'!AF$7)*(raw!$G$2:$G$9876))</f>
        <v>0</v>
      </c>
      <c r="AG45" s="8">
        <f>SUMPRODUCT((raw!$A$2:$A$9876='2018-19_working'!$A$2)*(raw!$B$2:$B$9876='2018-19_working'!$A45)*(raw!$E$2:$E$9876='2018-19_working'!$AC$6)*(raw!$F$2:$F$9876='2018-19_working'!AG$7)*(raw!$G$2:$G$9876))</f>
        <v>0</v>
      </c>
      <c r="AH45" s="8">
        <f>SUMPRODUCT((raw!$A$2:$A$9876='2018-19_working'!$A$2)*(raw!$B$2:$B$9876='2018-19_working'!$A45)*(raw!$E$2:$E$9876='2018-19_working'!$AC$6)*(raw!$F$2:$F$9876='2018-19_working'!AH$7)*(raw!$G$2:$G$9876))</f>
        <v>0</v>
      </c>
      <c r="AI45" s="8">
        <f>SUMPRODUCT((raw!$A$2:$A$9876='2018-19_working'!$A$2)*(raw!$B$2:$B$9876='2018-19_working'!$A45)*(raw!$E$2:$E$9876='2018-19_working'!$AC$6)*(raw!$F$2:$F$9876='2018-19_working'!AI$7)*(raw!$G$2:$G$9876))</f>
        <v>0</v>
      </c>
      <c r="AJ45" s="8">
        <f>SUMPRODUCT((raw!$A$2:$A$9876='2018-19_working'!$A$2)*(raw!$B$2:$B$9876='2018-19_working'!$A45)*(raw!$E$2:$E$9876='2018-19_working'!$AC$6)*(raw!$F$2:$F$9876='2018-19_working'!AJ$7)*(raw!$G$2:$G$9876))</f>
        <v>0</v>
      </c>
    </row>
    <row r="46" spans="1:36" x14ac:dyDescent="0.3">
      <c r="A46" s="8" t="s">
        <v>53</v>
      </c>
      <c r="B46" s="8">
        <f>SUMPRODUCT((raw!$A$2:$A$9876='2018-19_working'!$A$2)*(raw!$B$2:$B$9876='2018-19_working'!$A46)*(raw!$E$2:$E$9876='2018-19_working'!$B$6:$I$6)*(raw!$F$2:$F$9876='2018-19_working'!B$7)*(raw!$G$2:$G$9876))</f>
        <v>9</v>
      </c>
      <c r="C46" s="8">
        <f>SUMPRODUCT((raw!$A$2:$A$9876='2018-19_working'!$A$2)*(raw!$B$2:$B$9876='2018-19_working'!$A46)*(raw!$E$2:$E$9876='2018-19_working'!$B$6:$I$6)*(raw!$F$2:$F$9876='2018-19_working'!C$7)*(raw!$G$2:$G$9876))</f>
        <v>0</v>
      </c>
      <c r="D46" s="8">
        <f>SUMPRODUCT((raw!$A$2:$A$9876='2018-19_working'!$A$2)*(raw!$B$2:$B$9876='2018-19_working'!$A46)*(raw!$E$2:$E$9876='2018-19_working'!$B$6:$I$6)*(raw!$F$2:$F$9876='2018-19_working'!D$7)*(raw!$G$2:$G$9876))</f>
        <v>0</v>
      </c>
      <c r="E46" s="8">
        <f>SUMPRODUCT((raw!$A$2:$A$9876='2018-19_working'!$A$2)*(raw!$B$2:$B$9876='2018-19_working'!$A46)*(raw!$E$2:$E$9876='2018-19_working'!$B$6:$I$6)*(raw!$F$2:$F$9876='2018-19_working'!E$7)*(raw!$G$2:$G$9876))</f>
        <v>0</v>
      </c>
      <c r="F46" s="8">
        <f>SUMPRODUCT((raw!$A$2:$A$9876='2018-19_working'!$A$2)*(raw!$B$2:$B$9876='2018-19_working'!$A46)*(raw!$E$2:$E$9876='2018-19_working'!$B$6:$I$6)*(raw!$F$2:$F$9876='2018-19_working'!F$7)*(raw!$G$2:$G$9876))</f>
        <v>0</v>
      </c>
      <c r="G46" s="8">
        <f>SUMPRODUCT((raw!$A$2:$A$9876='2018-19_working'!$A$2)*(raw!$B$2:$B$9876='2018-19_working'!$A46)*(raw!$E$2:$E$9876='2018-19_working'!$B$6:$I$6)*(raw!$F$2:$F$9876='2018-19_working'!G$7)*(raw!$G$2:$G$9876))</f>
        <v>0</v>
      </c>
      <c r="H46" s="8">
        <f>SUMPRODUCT((raw!$A$2:$A$9876='2018-19_working'!$A$2)*(raw!$B$2:$B$9876='2018-19_working'!$A46)*(raw!$E$2:$E$9876='2018-19_working'!$B$6:$I$6)*(raw!$F$2:$F$9876='2018-19_working'!H$7)*(raw!$G$2:$G$9876))</f>
        <v>0</v>
      </c>
      <c r="I46" s="8">
        <f>SUMPRODUCT((raw!$A$2:$A$9876='2018-19_working'!$A$2)*(raw!$B$2:$B$9876='2018-19_working'!$A46)*(raw!$E$2:$E$9876='2018-19_working'!$B$6:$I$6)*(raw!$F$2:$F$9876='2018-19_working'!I$7)*(raw!$G$2:$G$9876))</f>
        <v>4</v>
      </c>
      <c r="K46" s="8">
        <f>SUMPRODUCT((raw!$A$2:$A$9876='2018-19_working'!$A$2)*(raw!$B$2:$B$9876='2018-19_working'!$A46)*(raw!$E$2:$E$9876='2018-19_working'!$K$6)*(raw!$F$2:$F$9876='2018-19_working'!K$7)*(raw!$G$2:$G$9876))</f>
        <v>15</v>
      </c>
      <c r="L46" s="8">
        <f>SUMPRODUCT((raw!$A$2:$A$9876='2018-19_working'!$A$2)*(raw!$B$2:$B$9876='2018-19_working'!$A46)*(raw!$E$2:$E$9876='2018-19_working'!$K$6)*(raw!$F$2:$F$9876='2018-19_working'!L$7)*(raw!$G$2:$G$9876))</f>
        <v>0</v>
      </c>
      <c r="M46" s="8">
        <f>SUMPRODUCT((raw!$A$2:$A$9876='2018-19_working'!$A$2)*(raw!$B$2:$B$9876='2018-19_working'!$A46)*(raw!$E$2:$E$9876='2018-19_working'!$K$6)*(raw!$F$2:$F$9876='2018-19_working'!M$7)*(raw!$G$2:$G$9876))</f>
        <v>0</v>
      </c>
      <c r="N46" s="8">
        <f>SUMPRODUCT((raw!$A$2:$A$9876='2018-19_working'!$A$2)*(raw!$B$2:$B$9876='2018-19_working'!$A46)*(raw!$E$2:$E$9876='2018-19_working'!$K$6)*(raw!$F$2:$F$9876='2018-19_working'!N$7)*(raw!$G$2:$G$9876))</f>
        <v>0</v>
      </c>
      <c r="O46" s="8">
        <f>SUMPRODUCT((raw!$A$2:$A$9876='2018-19_working'!$A$2)*(raw!$B$2:$B$9876='2018-19_working'!$A46)*(raw!$E$2:$E$9876='2018-19_working'!$K$6)*(raw!$F$2:$F$9876='2018-19_working'!O$7)*(raw!$G$2:$G$9876))</f>
        <v>0</v>
      </c>
      <c r="P46" s="8">
        <f>SUMPRODUCT((raw!$A$2:$A$9876='2018-19_working'!$A$2)*(raw!$B$2:$B$9876='2018-19_working'!$A46)*(raw!$E$2:$E$9876='2018-19_working'!$K$6)*(raw!$F$2:$F$9876='2018-19_working'!P$7)*(raw!$G$2:$G$9876))</f>
        <v>0</v>
      </c>
      <c r="Q46" s="8">
        <f>SUMPRODUCT((raw!$A$2:$A$9876='2018-19_working'!$A$2)*(raw!$B$2:$B$9876='2018-19_working'!$A46)*(raw!$E$2:$E$9876='2018-19_working'!$K$6)*(raw!$F$2:$F$9876='2018-19_working'!Q$7)*(raw!$G$2:$G$9876))</f>
        <v>0</v>
      </c>
      <c r="R46" s="8">
        <f>SUMPRODUCT((raw!$A$2:$A$9876='2018-19_working'!$A$2)*(raw!$B$2:$B$9876='2018-19_working'!$A46)*(raw!$E$2:$E$9876='2018-19_working'!$K$6)*(raw!$F$2:$F$9876='2018-19_working'!R$7)*(raw!$G$2:$G$9876))</f>
        <v>4</v>
      </c>
      <c r="T46" s="8">
        <f>SUMPRODUCT((raw!$A$2:$A$9876='2018-19_working'!$A$2)*(raw!$B$2:$B$9876='2018-19_working'!$A46)*(raw!$E$2:$E$9876='2018-19_working'!$T$6)*(raw!$F$2:$F$9876='2018-19_working'!T$7)*(raw!$G$2:$G$9876))</f>
        <v>1</v>
      </c>
      <c r="U46" s="8">
        <f>SUMPRODUCT((raw!$A$2:$A$9876='2018-19_working'!$A$2)*(raw!$B$2:$B$9876='2018-19_working'!$A46)*(raw!$E$2:$E$9876='2018-19_working'!$T$6)*(raw!$F$2:$F$9876='2018-19_working'!U$7)*(raw!$G$2:$G$9876))</f>
        <v>0</v>
      </c>
      <c r="V46" s="8">
        <f>SUMPRODUCT((raw!$A$2:$A$9876='2018-19_working'!$A$2)*(raw!$B$2:$B$9876='2018-19_working'!$A46)*(raw!$E$2:$E$9876='2018-19_working'!$T$6)*(raw!$F$2:$F$9876='2018-19_working'!V$7)*(raw!$G$2:$G$9876))</f>
        <v>0</v>
      </c>
      <c r="W46" s="8">
        <f>SUMPRODUCT((raw!$A$2:$A$9876='2018-19_working'!$A$2)*(raw!$B$2:$B$9876='2018-19_working'!$A46)*(raw!$E$2:$E$9876='2018-19_working'!$T$6)*(raw!$F$2:$F$9876='2018-19_working'!W$7)*(raw!$G$2:$G$9876))</f>
        <v>0</v>
      </c>
      <c r="X46" s="8">
        <f>SUMPRODUCT((raw!$A$2:$A$9876='2018-19_working'!$A$2)*(raw!$B$2:$B$9876='2018-19_working'!$A46)*(raw!$E$2:$E$9876='2018-19_working'!$T$6)*(raw!$F$2:$F$9876='2018-19_working'!X$7)*(raw!$G$2:$G$9876))</f>
        <v>0</v>
      </c>
      <c r="Y46" s="8">
        <f>SUMPRODUCT((raw!$A$2:$A$9876='2018-19_working'!$A$2)*(raw!$B$2:$B$9876='2018-19_working'!$A46)*(raw!$E$2:$E$9876='2018-19_working'!$T$6)*(raw!$F$2:$F$9876='2018-19_working'!Y$7)*(raw!$G$2:$G$9876))</f>
        <v>0</v>
      </c>
      <c r="Z46" s="8">
        <f>SUMPRODUCT((raw!$A$2:$A$9876='2018-19_working'!$A$2)*(raw!$B$2:$B$9876='2018-19_working'!$A46)*(raw!$E$2:$E$9876='2018-19_working'!$T$6)*(raw!$F$2:$F$9876='2018-19_working'!Z$7)*(raw!$G$2:$G$9876))</f>
        <v>0</v>
      </c>
      <c r="AA46" s="8">
        <f>SUMPRODUCT((raw!$A$2:$A$9876='2018-19_working'!$A$2)*(raw!$B$2:$B$9876='2018-19_working'!$A46)*(raw!$E$2:$E$9876='2018-19_working'!$T$6)*(raw!$F$2:$F$9876='2018-19_working'!AA$7)*(raw!$G$2:$G$9876))</f>
        <v>0</v>
      </c>
      <c r="AC46" s="8">
        <f>SUMPRODUCT((raw!$A$2:$A$9876='2018-19_working'!$A$2)*(raw!$B$2:$B$9876='2018-19_working'!$A46)*(raw!$E$2:$E$9876='2018-19_working'!$AC$6)*(raw!$F$2:$F$9876='2018-19_working'!AC$7)*(raw!$G$2:$G$9876))</f>
        <v>10</v>
      </c>
      <c r="AD46" s="8">
        <f>SUMPRODUCT((raw!$A$2:$A$9876='2018-19_working'!$A$2)*(raw!$B$2:$B$9876='2018-19_working'!$A46)*(raw!$E$2:$E$9876='2018-19_working'!$AC$6)*(raw!$F$2:$F$9876='2018-19_working'!AD$7)*(raw!$G$2:$G$9876))</f>
        <v>0</v>
      </c>
      <c r="AE46" s="8">
        <f>SUMPRODUCT((raw!$A$2:$A$9876='2018-19_working'!$A$2)*(raw!$B$2:$B$9876='2018-19_working'!$A46)*(raw!$E$2:$E$9876='2018-19_working'!$AC$6)*(raw!$F$2:$F$9876='2018-19_working'!AE$7)*(raw!$G$2:$G$9876))</f>
        <v>0</v>
      </c>
      <c r="AF46" s="8">
        <f>SUMPRODUCT((raw!$A$2:$A$9876='2018-19_working'!$A$2)*(raw!$B$2:$B$9876='2018-19_working'!$A46)*(raw!$E$2:$E$9876='2018-19_working'!$AC$6)*(raw!$F$2:$F$9876='2018-19_working'!AF$7)*(raw!$G$2:$G$9876))</f>
        <v>1</v>
      </c>
      <c r="AG46" s="8">
        <f>SUMPRODUCT((raw!$A$2:$A$9876='2018-19_working'!$A$2)*(raw!$B$2:$B$9876='2018-19_working'!$A46)*(raw!$E$2:$E$9876='2018-19_working'!$AC$6)*(raw!$F$2:$F$9876='2018-19_working'!AG$7)*(raw!$G$2:$G$9876))</f>
        <v>0</v>
      </c>
      <c r="AH46" s="8">
        <f>SUMPRODUCT((raw!$A$2:$A$9876='2018-19_working'!$A$2)*(raw!$B$2:$B$9876='2018-19_working'!$A46)*(raw!$E$2:$E$9876='2018-19_working'!$AC$6)*(raw!$F$2:$F$9876='2018-19_working'!AH$7)*(raw!$G$2:$G$9876))</f>
        <v>0</v>
      </c>
      <c r="AI46" s="8">
        <f>SUMPRODUCT((raw!$A$2:$A$9876='2018-19_working'!$A$2)*(raw!$B$2:$B$9876='2018-19_working'!$A46)*(raw!$E$2:$E$9876='2018-19_working'!$AC$6)*(raw!$F$2:$F$9876='2018-19_working'!AI$7)*(raw!$G$2:$G$9876))</f>
        <v>0</v>
      </c>
      <c r="AJ46" s="8">
        <f>SUMPRODUCT((raw!$A$2:$A$9876='2018-19_working'!$A$2)*(raw!$B$2:$B$9876='2018-19_working'!$A46)*(raw!$E$2:$E$9876='2018-19_working'!$AC$6)*(raw!$F$2:$F$9876='2018-19_working'!AJ$7)*(raw!$G$2:$G$9876))</f>
        <v>2</v>
      </c>
    </row>
    <row r="47" spans="1:36" x14ac:dyDescent="0.3">
      <c r="A47" s="8" t="s">
        <v>54</v>
      </c>
      <c r="B47" s="8">
        <f>SUMPRODUCT((raw!$A$2:$A$9876='2018-19_working'!$A$2)*(raw!$B$2:$B$9876='2018-19_working'!$A47)*(raw!$E$2:$E$9876='2018-19_working'!$B$6:$I$6)*(raw!$F$2:$F$9876='2018-19_working'!B$7)*(raw!$G$2:$G$9876))</f>
        <v>13</v>
      </c>
      <c r="C47" s="8">
        <f>SUMPRODUCT((raw!$A$2:$A$9876='2018-19_working'!$A$2)*(raw!$B$2:$B$9876='2018-19_working'!$A47)*(raw!$E$2:$E$9876='2018-19_working'!$B$6:$I$6)*(raw!$F$2:$F$9876='2018-19_working'!C$7)*(raw!$G$2:$G$9876))</f>
        <v>0</v>
      </c>
      <c r="D47" s="8">
        <f>SUMPRODUCT((raw!$A$2:$A$9876='2018-19_working'!$A$2)*(raw!$B$2:$B$9876='2018-19_working'!$A47)*(raw!$E$2:$E$9876='2018-19_working'!$B$6:$I$6)*(raw!$F$2:$F$9876='2018-19_working'!D$7)*(raw!$G$2:$G$9876))</f>
        <v>0</v>
      </c>
      <c r="E47" s="8">
        <f>SUMPRODUCT((raw!$A$2:$A$9876='2018-19_working'!$A$2)*(raw!$B$2:$B$9876='2018-19_working'!$A47)*(raw!$E$2:$E$9876='2018-19_working'!$B$6:$I$6)*(raw!$F$2:$F$9876='2018-19_working'!E$7)*(raw!$G$2:$G$9876))</f>
        <v>0</v>
      </c>
      <c r="F47" s="8">
        <f>SUMPRODUCT((raw!$A$2:$A$9876='2018-19_working'!$A$2)*(raw!$B$2:$B$9876='2018-19_working'!$A47)*(raw!$E$2:$E$9876='2018-19_working'!$B$6:$I$6)*(raw!$F$2:$F$9876='2018-19_working'!F$7)*(raw!$G$2:$G$9876))</f>
        <v>0</v>
      </c>
      <c r="G47" s="8">
        <f>SUMPRODUCT((raw!$A$2:$A$9876='2018-19_working'!$A$2)*(raw!$B$2:$B$9876='2018-19_working'!$A47)*(raw!$E$2:$E$9876='2018-19_working'!$B$6:$I$6)*(raw!$F$2:$F$9876='2018-19_working'!G$7)*(raw!$G$2:$G$9876))</f>
        <v>0</v>
      </c>
      <c r="H47" s="8">
        <f>SUMPRODUCT((raw!$A$2:$A$9876='2018-19_working'!$A$2)*(raw!$B$2:$B$9876='2018-19_working'!$A47)*(raw!$E$2:$E$9876='2018-19_working'!$B$6:$I$6)*(raw!$F$2:$F$9876='2018-19_working'!H$7)*(raw!$G$2:$G$9876))</f>
        <v>0</v>
      </c>
      <c r="I47" s="8">
        <f>SUMPRODUCT((raw!$A$2:$A$9876='2018-19_working'!$A$2)*(raw!$B$2:$B$9876='2018-19_working'!$A47)*(raw!$E$2:$E$9876='2018-19_working'!$B$6:$I$6)*(raw!$F$2:$F$9876='2018-19_working'!I$7)*(raw!$G$2:$G$9876))</f>
        <v>4</v>
      </c>
      <c r="K47" s="8">
        <f>SUMPRODUCT((raw!$A$2:$A$9876='2018-19_working'!$A$2)*(raw!$B$2:$B$9876='2018-19_working'!$A47)*(raw!$E$2:$E$9876='2018-19_working'!$K$6)*(raw!$F$2:$F$9876='2018-19_working'!K$7)*(raw!$G$2:$G$9876))</f>
        <v>27</v>
      </c>
      <c r="L47" s="8">
        <f>SUMPRODUCT((raw!$A$2:$A$9876='2018-19_working'!$A$2)*(raw!$B$2:$B$9876='2018-19_working'!$A47)*(raw!$E$2:$E$9876='2018-19_working'!$K$6)*(raw!$F$2:$F$9876='2018-19_working'!L$7)*(raw!$G$2:$G$9876))</f>
        <v>1</v>
      </c>
      <c r="M47" s="8">
        <f>SUMPRODUCT((raw!$A$2:$A$9876='2018-19_working'!$A$2)*(raw!$B$2:$B$9876='2018-19_working'!$A47)*(raw!$E$2:$E$9876='2018-19_working'!$K$6)*(raw!$F$2:$F$9876='2018-19_working'!M$7)*(raw!$G$2:$G$9876))</f>
        <v>0</v>
      </c>
      <c r="N47" s="8">
        <f>SUMPRODUCT((raw!$A$2:$A$9876='2018-19_working'!$A$2)*(raw!$B$2:$B$9876='2018-19_working'!$A47)*(raw!$E$2:$E$9876='2018-19_working'!$K$6)*(raw!$F$2:$F$9876='2018-19_working'!N$7)*(raw!$G$2:$G$9876))</f>
        <v>0</v>
      </c>
      <c r="O47" s="8">
        <f>SUMPRODUCT((raw!$A$2:$A$9876='2018-19_working'!$A$2)*(raw!$B$2:$B$9876='2018-19_working'!$A47)*(raw!$E$2:$E$9876='2018-19_working'!$K$6)*(raw!$F$2:$F$9876='2018-19_working'!O$7)*(raw!$G$2:$G$9876))</f>
        <v>0</v>
      </c>
      <c r="P47" s="8">
        <f>SUMPRODUCT((raw!$A$2:$A$9876='2018-19_working'!$A$2)*(raw!$B$2:$B$9876='2018-19_working'!$A47)*(raw!$E$2:$E$9876='2018-19_working'!$K$6)*(raw!$F$2:$F$9876='2018-19_working'!P$7)*(raw!$G$2:$G$9876))</f>
        <v>0</v>
      </c>
      <c r="Q47" s="8">
        <f>SUMPRODUCT((raw!$A$2:$A$9876='2018-19_working'!$A$2)*(raw!$B$2:$B$9876='2018-19_working'!$A47)*(raw!$E$2:$E$9876='2018-19_working'!$K$6)*(raw!$F$2:$F$9876='2018-19_working'!Q$7)*(raw!$G$2:$G$9876))</f>
        <v>0</v>
      </c>
      <c r="R47" s="8">
        <f>SUMPRODUCT((raw!$A$2:$A$9876='2018-19_working'!$A$2)*(raw!$B$2:$B$9876='2018-19_working'!$A47)*(raw!$E$2:$E$9876='2018-19_working'!$K$6)*(raw!$F$2:$F$9876='2018-19_working'!R$7)*(raw!$G$2:$G$9876))</f>
        <v>14</v>
      </c>
      <c r="T47" s="8">
        <f>SUMPRODUCT((raw!$A$2:$A$9876='2018-19_working'!$A$2)*(raw!$B$2:$B$9876='2018-19_working'!$A47)*(raw!$E$2:$E$9876='2018-19_working'!$T$6)*(raw!$F$2:$F$9876='2018-19_working'!T$7)*(raw!$G$2:$G$9876))</f>
        <v>0</v>
      </c>
      <c r="U47" s="8">
        <f>SUMPRODUCT((raw!$A$2:$A$9876='2018-19_working'!$A$2)*(raw!$B$2:$B$9876='2018-19_working'!$A47)*(raw!$E$2:$E$9876='2018-19_working'!$T$6)*(raw!$F$2:$F$9876='2018-19_working'!U$7)*(raw!$G$2:$G$9876))</f>
        <v>0</v>
      </c>
      <c r="V47" s="8">
        <f>SUMPRODUCT((raw!$A$2:$A$9876='2018-19_working'!$A$2)*(raw!$B$2:$B$9876='2018-19_working'!$A47)*(raw!$E$2:$E$9876='2018-19_working'!$T$6)*(raw!$F$2:$F$9876='2018-19_working'!V$7)*(raw!$G$2:$G$9876))</f>
        <v>0</v>
      </c>
      <c r="W47" s="8">
        <f>SUMPRODUCT((raw!$A$2:$A$9876='2018-19_working'!$A$2)*(raw!$B$2:$B$9876='2018-19_working'!$A47)*(raw!$E$2:$E$9876='2018-19_working'!$T$6)*(raw!$F$2:$F$9876='2018-19_working'!W$7)*(raw!$G$2:$G$9876))</f>
        <v>0</v>
      </c>
      <c r="X47" s="8">
        <f>SUMPRODUCT((raw!$A$2:$A$9876='2018-19_working'!$A$2)*(raw!$B$2:$B$9876='2018-19_working'!$A47)*(raw!$E$2:$E$9876='2018-19_working'!$T$6)*(raw!$F$2:$F$9876='2018-19_working'!X$7)*(raw!$G$2:$G$9876))</f>
        <v>0</v>
      </c>
      <c r="Y47" s="8">
        <f>SUMPRODUCT((raw!$A$2:$A$9876='2018-19_working'!$A$2)*(raw!$B$2:$B$9876='2018-19_working'!$A47)*(raw!$E$2:$E$9876='2018-19_working'!$T$6)*(raw!$F$2:$F$9876='2018-19_working'!Y$7)*(raw!$G$2:$G$9876))</f>
        <v>0</v>
      </c>
      <c r="Z47" s="8">
        <f>SUMPRODUCT((raw!$A$2:$A$9876='2018-19_working'!$A$2)*(raw!$B$2:$B$9876='2018-19_working'!$A47)*(raw!$E$2:$E$9876='2018-19_working'!$T$6)*(raw!$F$2:$F$9876='2018-19_working'!Z$7)*(raw!$G$2:$G$9876))</f>
        <v>0</v>
      </c>
      <c r="AA47" s="8">
        <f>SUMPRODUCT((raw!$A$2:$A$9876='2018-19_working'!$A$2)*(raw!$B$2:$B$9876='2018-19_working'!$A47)*(raw!$E$2:$E$9876='2018-19_working'!$T$6)*(raw!$F$2:$F$9876='2018-19_working'!AA$7)*(raw!$G$2:$G$9876))</f>
        <v>0</v>
      </c>
      <c r="AC47" s="8">
        <f>SUMPRODUCT((raw!$A$2:$A$9876='2018-19_working'!$A$2)*(raw!$B$2:$B$9876='2018-19_working'!$A47)*(raw!$E$2:$E$9876='2018-19_working'!$AC$6)*(raw!$F$2:$F$9876='2018-19_working'!AC$7)*(raw!$G$2:$G$9876))</f>
        <v>1</v>
      </c>
      <c r="AD47" s="8">
        <f>SUMPRODUCT((raw!$A$2:$A$9876='2018-19_working'!$A$2)*(raw!$B$2:$B$9876='2018-19_working'!$A47)*(raw!$E$2:$E$9876='2018-19_working'!$AC$6)*(raw!$F$2:$F$9876='2018-19_working'!AD$7)*(raw!$G$2:$G$9876))</f>
        <v>0</v>
      </c>
      <c r="AE47" s="8">
        <f>SUMPRODUCT((raw!$A$2:$A$9876='2018-19_working'!$A$2)*(raw!$B$2:$B$9876='2018-19_working'!$A47)*(raw!$E$2:$E$9876='2018-19_working'!$AC$6)*(raw!$F$2:$F$9876='2018-19_working'!AE$7)*(raw!$G$2:$G$9876))</f>
        <v>0</v>
      </c>
      <c r="AF47" s="8">
        <f>SUMPRODUCT((raw!$A$2:$A$9876='2018-19_working'!$A$2)*(raw!$B$2:$B$9876='2018-19_working'!$A47)*(raw!$E$2:$E$9876='2018-19_working'!$AC$6)*(raw!$F$2:$F$9876='2018-19_working'!AF$7)*(raw!$G$2:$G$9876))</f>
        <v>0</v>
      </c>
      <c r="AG47" s="8">
        <f>SUMPRODUCT((raw!$A$2:$A$9876='2018-19_working'!$A$2)*(raw!$B$2:$B$9876='2018-19_working'!$A47)*(raw!$E$2:$E$9876='2018-19_working'!$AC$6)*(raw!$F$2:$F$9876='2018-19_working'!AG$7)*(raw!$G$2:$G$9876))</f>
        <v>0</v>
      </c>
      <c r="AH47" s="8">
        <f>SUMPRODUCT((raw!$A$2:$A$9876='2018-19_working'!$A$2)*(raw!$B$2:$B$9876='2018-19_working'!$A47)*(raw!$E$2:$E$9876='2018-19_working'!$AC$6)*(raw!$F$2:$F$9876='2018-19_working'!AH$7)*(raw!$G$2:$G$9876))</f>
        <v>0</v>
      </c>
      <c r="AI47" s="8">
        <f>SUMPRODUCT((raw!$A$2:$A$9876='2018-19_working'!$A$2)*(raw!$B$2:$B$9876='2018-19_working'!$A47)*(raw!$E$2:$E$9876='2018-19_working'!$AC$6)*(raw!$F$2:$F$9876='2018-19_working'!AI$7)*(raw!$G$2:$G$9876))</f>
        <v>0</v>
      </c>
      <c r="AJ47" s="8">
        <f>SUMPRODUCT((raw!$A$2:$A$9876='2018-19_working'!$A$2)*(raw!$B$2:$B$9876='2018-19_working'!$A47)*(raw!$E$2:$E$9876='2018-19_working'!$AC$6)*(raw!$F$2:$F$9876='2018-19_working'!AJ$7)*(raw!$G$2:$G$9876))</f>
        <v>10</v>
      </c>
    </row>
    <row r="48" spans="1:36" x14ac:dyDescent="0.3">
      <c r="A48" s="8" t="s">
        <v>55</v>
      </c>
      <c r="B48" s="8">
        <f>SUMPRODUCT((raw!$A$2:$A$9876='2018-19_working'!$A$2)*(raw!$B$2:$B$9876='2018-19_working'!$A48)*(raw!$E$2:$E$9876='2018-19_working'!$B$6:$I$6)*(raw!$F$2:$F$9876='2018-19_working'!B$7)*(raw!$G$2:$G$9876))</f>
        <v>0</v>
      </c>
      <c r="C48" s="8">
        <f>SUMPRODUCT((raw!$A$2:$A$9876='2018-19_working'!$A$2)*(raw!$B$2:$B$9876='2018-19_working'!$A48)*(raw!$E$2:$E$9876='2018-19_working'!$B$6:$I$6)*(raw!$F$2:$F$9876='2018-19_working'!C$7)*(raw!$G$2:$G$9876))</f>
        <v>0</v>
      </c>
      <c r="D48" s="8">
        <f>SUMPRODUCT((raw!$A$2:$A$9876='2018-19_working'!$A$2)*(raw!$B$2:$B$9876='2018-19_working'!$A48)*(raw!$E$2:$E$9876='2018-19_working'!$B$6:$I$6)*(raw!$F$2:$F$9876='2018-19_working'!D$7)*(raw!$G$2:$G$9876))</f>
        <v>0</v>
      </c>
      <c r="E48" s="8">
        <f>SUMPRODUCT((raw!$A$2:$A$9876='2018-19_working'!$A$2)*(raw!$B$2:$B$9876='2018-19_working'!$A48)*(raw!$E$2:$E$9876='2018-19_working'!$B$6:$I$6)*(raw!$F$2:$F$9876='2018-19_working'!E$7)*(raw!$G$2:$G$9876))</f>
        <v>0</v>
      </c>
      <c r="F48" s="8">
        <f>SUMPRODUCT((raw!$A$2:$A$9876='2018-19_working'!$A$2)*(raw!$B$2:$B$9876='2018-19_working'!$A48)*(raw!$E$2:$E$9876='2018-19_working'!$B$6:$I$6)*(raw!$F$2:$F$9876='2018-19_working'!F$7)*(raw!$G$2:$G$9876))</f>
        <v>0</v>
      </c>
      <c r="G48" s="8">
        <f>SUMPRODUCT((raw!$A$2:$A$9876='2018-19_working'!$A$2)*(raw!$B$2:$B$9876='2018-19_working'!$A48)*(raw!$E$2:$E$9876='2018-19_working'!$B$6:$I$6)*(raw!$F$2:$F$9876='2018-19_working'!G$7)*(raw!$G$2:$G$9876))</f>
        <v>0</v>
      </c>
      <c r="H48" s="8">
        <f>SUMPRODUCT((raw!$A$2:$A$9876='2018-19_working'!$A$2)*(raw!$B$2:$B$9876='2018-19_working'!$A48)*(raw!$E$2:$E$9876='2018-19_working'!$B$6:$I$6)*(raw!$F$2:$F$9876='2018-19_working'!H$7)*(raw!$G$2:$G$9876))</f>
        <v>0</v>
      </c>
      <c r="I48" s="8">
        <f>SUMPRODUCT((raw!$A$2:$A$9876='2018-19_working'!$A$2)*(raw!$B$2:$B$9876='2018-19_working'!$A48)*(raw!$E$2:$E$9876='2018-19_working'!$B$6:$I$6)*(raw!$F$2:$F$9876='2018-19_working'!I$7)*(raw!$G$2:$G$9876))</f>
        <v>0</v>
      </c>
      <c r="K48" s="8">
        <f>SUMPRODUCT((raw!$A$2:$A$9876='2018-19_working'!$A$2)*(raw!$B$2:$B$9876='2018-19_working'!$A48)*(raw!$E$2:$E$9876='2018-19_working'!$K$6)*(raw!$F$2:$F$9876='2018-19_working'!K$7)*(raw!$G$2:$G$9876))</f>
        <v>2</v>
      </c>
      <c r="L48" s="8">
        <f>SUMPRODUCT((raw!$A$2:$A$9876='2018-19_working'!$A$2)*(raw!$B$2:$B$9876='2018-19_working'!$A48)*(raw!$E$2:$E$9876='2018-19_working'!$K$6)*(raw!$F$2:$F$9876='2018-19_working'!L$7)*(raw!$G$2:$G$9876))</f>
        <v>0</v>
      </c>
      <c r="M48" s="8">
        <f>SUMPRODUCT((raw!$A$2:$A$9876='2018-19_working'!$A$2)*(raw!$B$2:$B$9876='2018-19_working'!$A48)*(raw!$E$2:$E$9876='2018-19_working'!$K$6)*(raw!$F$2:$F$9876='2018-19_working'!M$7)*(raw!$G$2:$G$9876))</f>
        <v>0</v>
      </c>
      <c r="N48" s="8">
        <f>SUMPRODUCT((raw!$A$2:$A$9876='2018-19_working'!$A$2)*(raw!$B$2:$B$9876='2018-19_working'!$A48)*(raw!$E$2:$E$9876='2018-19_working'!$K$6)*(raw!$F$2:$F$9876='2018-19_working'!N$7)*(raw!$G$2:$G$9876))</f>
        <v>0</v>
      </c>
      <c r="O48" s="8">
        <f>SUMPRODUCT((raw!$A$2:$A$9876='2018-19_working'!$A$2)*(raw!$B$2:$B$9876='2018-19_working'!$A48)*(raw!$E$2:$E$9876='2018-19_working'!$K$6)*(raw!$F$2:$F$9876='2018-19_working'!O$7)*(raw!$G$2:$G$9876))</f>
        <v>1</v>
      </c>
      <c r="P48" s="8">
        <f>SUMPRODUCT((raw!$A$2:$A$9876='2018-19_working'!$A$2)*(raw!$B$2:$B$9876='2018-19_working'!$A48)*(raw!$E$2:$E$9876='2018-19_working'!$K$6)*(raw!$F$2:$F$9876='2018-19_working'!P$7)*(raw!$G$2:$G$9876))</f>
        <v>0</v>
      </c>
      <c r="Q48" s="8">
        <f>SUMPRODUCT((raw!$A$2:$A$9876='2018-19_working'!$A$2)*(raw!$B$2:$B$9876='2018-19_working'!$A48)*(raw!$E$2:$E$9876='2018-19_working'!$K$6)*(raw!$F$2:$F$9876='2018-19_working'!Q$7)*(raw!$G$2:$G$9876))</f>
        <v>0</v>
      </c>
      <c r="R48" s="8">
        <f>SUMPRODUCT((raw!$A$2:$A$9876='2018-19_working'!$A$2)*(raw!$B$2:$B$9876='2018-19_working'!$A48)*(raw!$E$2:$E$9876='2018-19_working'!$K$6)*(raw!$F$2:$F$9876='2018-19_working'!R$7)*(raw!$G$2:$G$9876))</f>
        <v>0</v>
      </c>
      <c r="T48" s="8">
        <f>SUMPRODUCT((raw!$A$2:$A$9876='2018-19_working'!$A$2)*(raw!$B$2:$B$9876='2018-19_working'!$A48)*(raw!$E$2:$E$9876='2018-19_working'!$T$6)*(raw!$F$2:$F$9876='2018-19_working'!T$7)*(raw!$G$2:$G$9876))</f>
        <v>0</v>
      </c>
      <c r="U48" s="8">
        <f>SUMPRODUCT((raw!$A$2:$A$9876='2018-19_working'!$A$2)*(raw!$B$2:$B$9876='2018-19_working'!$A48)*(raw!$E$2:$E$9876='2018-19_working'!$T$6)*(raw!$F$2:$F$9876='2018-19_working'!U$7)*(raw!$G$2:$G$9876))</f>
        <v>0</v>
      </c>
      <c r="V48" s="8">
        <f>SUMPRODUCT((raw!$A$2:$A$9876='2018-19_working'!$A$2)*(raw!$B$2:$B$9876='2018-19_working'!$A48)*(raw!$E$2:$E$9876='2018-19_working'!$T$6)*(raw!$F$2:$F$9876='2018-19_working'!V$7)*(raw!$G$2:$G$9876))</f>
        <v>0</v>
      </c>
      <c r="W48" s="8">
        <f>SUMPRODUCT((raw!$A$2:$A$9876='2018-19_working'!$A$2)*(raw!$B$2:$B$9876='2018-19_working'!$A48)*(raw!$E$2:$E$9876='2018-19_working'!$T$6)*(raw!$F$2:$F$9876='2018-19_working'!W$7)*(raw!$G$2:$G$9876))</f>
        <v>0</v>
      </c>
      <c r="X48" s="8">
        <f>SUMPRODUCT((raw!$A$2:$A$9876='2018-19_working'!$A$2)*(raw!$B$2:$B$9876='2018-19_working'!$A48)*(raw!$E$2:$E$9876='2018-19_working'!$T$6)*(raw!$F$2:$F$9876='2018-19_working'!X$7)*(raw!$G$2:$G$9876))</f>
        <v>0</v>
      </c>
      <c r="Y48" s="8">
        <f>SUMPRODUCT((raw!$A$2:$A$9876='2018-19_working'!$A$2)*(raw!$B$2:$B$9876='2018-19_working'!$A48)*(raw!$E$2:$E$9876='2018-19_working'!$T$6)*(raw!$F$2:$F$9876='2018-19_working'!Y$7)*(raw!$G$2:$G$9876))</f>
        <v>0</v>
      </c>
      <c r="Z48" s="8">
        <f>SUMPRODUCT((raw!$A$2:$A$9876='2018-19_working'!$A$2)*(raw!$B$2:$B$9876='2018-19_working'!$A48)*(raw!$E$2:$E$9876='2018-19_working'!$T$6)*(raw!$F$2:$F$9876='2018-19_working'!Z$7)*(raw!$G$2:$G$9876))</f>
        <v>0</v>
      </c>
      <c r="AA48" s="8">
        <f>SUMPRODUCT((raw!$A$2:$A$9876='2018-19_working'!$A$2)*(raw!$B$2:$B$9876='2018-19_working'!$A48)*(raw!$E$2:$E$9876='2018-19_working'!$T$6)*(raw!$F$2:$F$9876='2018-19_working'!AA$7)*(raw!$G$2:$G$9876))</f>
        <v>0</v>
      </c>
      <c r="AC48" s="8">
        <f>SUMPRODUCT((raw!$A$2:$A$9876='2018-19_working'!$A$2)*(raw!$B$2:$B$9876='2018-19_working'!$A48)*(raw!$E$2:$E$9876='2018-19_working'!$AC$6)*(raw!$F$2:$F$9876='2018-19_working'!AC$7)*(raw!$G$2:$G$9876))</f>
        <v>1</v>
      </c>
      <c r="AD48" s="8">
        <f>SUMPRODUCT((raw!$A$2:$A$9876='2018-19_working'!$A$2)*(raw!$B$2:$B$9876='2018-19_working'!$A48)*(raw!$E$2:$E$9876='2018-19_working'!$AC$6)*(raw!$F$2:$F$9876='2018-19_working'!AD$7)*(raw!$G$2:$G$9876))</f>
        <v>0</v>
      </c>
      <c r="AE48" s="8">
        <f>SUMPRODUCT((raw!$A$2:$A$9876='2018-19_working'!$A$2)*(raw!$B$2:$B$9876='2018-19_working'!$A48)*(raw!$E$2:$E$9876='2018-19_working'!$AC$6)*(raw!$F$2:$F$9876='2018-19_working'!AE$7)*(raw!$G$2:$G$9876))</f>
        <v>0</v>
      </c>
      <c r="AF48" s="8">
        <f>SUMPRODUCT((raw!$A$2:$A$9876='2018-19_working'!$A$2)*(raw!$B$2:$B$9876='2018-19_working'!$A48)*(raw!$E$2:$E$9876='2018-19_working'!$AC$6)*(raw!$F$2:$F$9876='2018-19_working'!AF$7)*(raw!$G$2:$G$9876))</f>
        <v>0</v>
      </c>
      <c r="AG48" s="8">
        <f>SUMPRODUCT((raw!$A$2:$A$9876='2018-19_working'!$A$2)*(raw!$B$2:$B$9876='2018-19_working'!$A48)*(raw!$E$2:$E$9876='2018-19_working'!$AC$6)*(raw!$F$2:$F$9876='2018-19_working'!AG$7)*(raw!$G$2:$G$9876))</f>
        <v>0</v>
      </c>
      <c r="AH48" s="8">
        <f>SUMPRODUCT((raw!$A$2:$A$9876='2018-19_working'!$A$2)*(raw!$B$2:$B$9876='2018-19_working'!$A48)*(raw!$E$2:$E$9876='2018-19_working'!$AC$6)*(raw!$F$2:$F$9876='2018-19_working'!AH$7)*(raw!$G$2:$G$9876))</f>
        <v>0</v>
      </c>
      <c r="AI48" s="8">
        <f>SUMPRODUCT((raw!$A$2:$A$9876='2018-19_working'!$A$2)*(raw!$B$2:$B$9876='2018-19_working'!$A48)*(raw!$E$2:$E$9876='2018-19_working'!$AC$6)*(raw!$F$2:$F$9876='2018-19_working'!AI$7)*(raw!$G$2:$G$9876))</f>
        <v>0</v>
      </c>
      <c r="AJ48" s="8">
        <f>SUMPRODUCT((raw!$A$2:$A$9876='2018-19_working'!$A$2)*(raw!$B$2:$B$9876='2018-19_working'!$A48)*(raw!$E$2:$E$9876='2018-19_working'!$AC$6)*(raw!$F$2:$F$9876='2018-19_working'!AJ$7)*(raw!$G$2:$G$9876))</f>
        <v>0</v>
      </c>
    </row>
    <row r="49" spans="1:36" x14ac:dyDescent="0.3">
      <c r="A49" s="8" t="s">
        <v>56</v>
      </c>
      <c r="B49" s="8">
        <f>SUM(B50:B56)</f>
        <v>620</v>
      </c>
      <c r="C49" s="8">
        <f t="shared" ref="C49:I49" si="8">SUM(C50:C56)</f>
        <v>24</v>
      </c>
      <c r="D49" s="8">
        <f t="shared" si="8"/>
        <v>38</v>
      </c>
      <c r="E49" s="8">
        <f t="shared" si="8"/>
        <v>11</v>
      </c>
      <c r="F49" s="8">
        <f t="shared" si="8"/>
        <v>22</v>
      </c>
      <c r="G49" s="8">
        <f t="shared" si="8"/>
        <v>1</v>
      </c>
      <c r="H49" s="8">
        <f t="shared" si="8"/>
        <v>9</v>
      </c>
      <c r="I49" s="8">
        <f t="shared" si="8"/>
        <v>84</v>
      </c>
      <c r="K49" s="8">
        <f t="shared" ref="K49:R49" si="9">SUM(K50:K56)</f>
        <v>41</v>
      </c>
      <c r="L49" s="8">
        <f t="shared" si="9"/>
        <v>1</v>
      </c>
      <c r="M49" s="8">
        <f t="shared" si="9"/>
        <v>2</v>
      </c>
      <c r="N49" s="8">
        <f t="shared" si="9"/>
        <v>0</v>
      </c>
      <c r="O49" s="8">
        <f t="shared" si="9"/>
        <v>2</v>
      </c>
      <c r="P49" s="8">
        <f t="shared" si="9"/>
        <v>0</v>
      </c>
      <c r="Q49" s="8">
        <f t="shared" si="9"/>
        <v>1</v>
      </c>
      <c r="R49" s="8">
        <f t="shared" si="9"/>
        <v>1</v>
      </c>
      <c r="T49" s="8">
        <f t="shared" ref="T49:AA49" si="10">SUM(T50:T56)</f>
        <v>21</v>
      </c>
      <c r="U49" s="8">
        <f t="shared" si="10"/>
        <v>0</v>
      </c>
      <c r="V49" s="8">
        <f t="shared" si="10"/>
        <v>1</v>
      </c>
      <c r="W49" s="8">
        <f t="shared" si="10"/>
        <v>0</v>
      </c>
      <c r="X49" s="8">
        <f t="shared" si="10"/>
        <v>0</v>
      </c>
      <c r="Y49" s="8">
        <f t="shared" si="10"/>
        <v>0</v>
      </c>
      <c r="Z49" s="8">
        <f t="shared" si="10"/>
        <v>0</v>
      </c>
      <c r="AA49" s="8">
        <f t="shared" si="10"/>
        <v>0</v>
      </c>
      <c r="AC49" s="8">
        <f t="shared" ref="AC49:AJ49" si="11">SUM(AC50:AC56)</f>
        <v>247</v>
      </c>
      <c r="AD49" s="8">
        <f t="shared" si="11"/>
        <v>4</v>
      </c>
      <c r="AE49" s="8">
        <f t="shared" si="11"/>
        <v>6</v>
      </c>
      <c r="AF49" s="8">
        <f t="shared" si="11"/>
        <v>17</v>
      </c>
      <c r="AG49" s="8">
        <f t="shared" si="11"/>
        <v>19</v>
      </c>
      <c r="AH49" s="8">
        <f t="shared" si="11"/>
        <v>2</v>
      </c>
      <c r="AI49" s="8">
        <f t="shared" si="11"/>
        <v>9</v>
      </c>
      <c r="AJ49" s="8">
        <f t="shared" si="11"/>
        <v>30</v>
      </c>
    </row>
    <row r="50" spans="1:36" x14ac:dyDescent="0.3">
      <c r="A50" s="8" t="s">
        <v>57</v>
      </c>
      <c r="B50" s="8">
        <f>SUMPRODUCT((raw!$A$2:$A$9876='2018-19_working'!$A$2)*(raw!$B$2:$B$9876='2018-19_working'!$A50)*(raw!$E$2:$E$9876='2018-19_working'!$B$6:$I$6)*(raw!$F$2:$F$9876='2018-19_working'!B$7)*(raw!$G$2:$G$9876))</f>
        <v>50</v>
      </c>
      <c r="C50" s="8">
        <f>SUMPRODUCT((raw!$A$2:$A$9876='2018-19_working'!$A$2)*(raw!$B$2:$B$9876='2018-19_working'!$A50)*(raw!$E$2:$E$9876='2018-19_working'!$B$6:$I$6)*(raw!$F$2:$F$9876='2018-19_working'!C$7)*(raw!$G$2:$G$9876))</f>
        <v>2</v>
      </c>
      <c r="D50" s="8">
        <f>SUMPRODUCT((raw!$A$2:$A$9876='2018-19_working'!$A$2)*(raw!$B$2:$B$9876='2018-19_working'!$A50)*(raw!$E$2:$E$9876='2018-19_working'!$B$6:$I$6)*(raw!$F$2:$F$9876='2018-19_working'!D$7)*(raw!$G$2:$G$9876))</f>
        <v>4</v>
      </c>
      <c r="E50" s="8">
        <f>SUMPRODUCT((raw!$A$2:$A$9876='2018-19_working'!$A$2)*(raw!$B$2:$B$9876='2018-19_working'!$A50)*(raw!$E$2:$E$9876='2018-19_working'!$B$6:$I$6)*(raw!$F$2:$F$9876='2018-19_working'!E$7)*(raw!$G$2:$G$9876))</f>
        <v>2</v>
      </c>
      <c r="F50" s="8">
        <f>SUMPRODUCT((raw!$A$2:$A$9876='2018-19_working'!$A$2)*(raw!$B$2:$B$9876='2018-19_working'!$A50)*(raw!$E$2:$E$9876='2018-19_working'!$B$6:$I$6)*(raw!$F$2:$F$9876='2018-19_working'!F$7)*(raw!$G$2:$G$9876))</f>
        <v>0</v>
      </c>
      <c r="G50" s="8">
        <f>SUMPRODUCT((raw!$A$2:$A$9876='2018-19_working'!$A$2)*(raw!$B$2:$B$9876='2018-19_working'!$A50)*(raw!$E$2:$E$9876='2018-19_working'!$B$6:$I$6)*(raw!$F$2:$F$9876='2018-19_working'!G$7)*(raw!$G$2:$G$9876))</f>
        <v>0</v>
      </c>
      <c r="H50" s="8">
        <f>SUMPRODUCT((raw!$A$2:$A$9876='2018-19_working'!$A$2)*(raw!$B$2:$B$9876='2018-19_working'!$A50)*(raw!$E$2:$E$9876='2018-19_working'!$B$6:$I$6)*(raw!$F$2:$F$9876='2018-19_working'!H$7)*(raw!$G$2:$G$9876))</f>
        <v>0</v>
      </c>
      <c r="I50" s="8">
        <f>SUMPRODUCT((raw!$A$2:$A$9876='2018-19_working'!$A$2)*(raw!$B$2:$B$9876='2018-19_working'!$A50)*(raw!$E$2:$E$9876='2018-19_working'!$B$6:$I$6)*(raw!$F$2:$F$9876='2018-19_working'!I$7)*(raw!$G$2:$G$9876))</f>
        <v>67</v>
      </c>
      <c r="K50" s="8">
        <f>SUMPRODUCT((raw!$A$2:$A$9876='2018-19_working'!$A$2)*(raw!$B$2:$B$9876='2018-19_working'!$A50)*(raw!$E$2:$E$9876='2018-19_working'!$K$6)*(raw!$F$2:$F$9876='2018-19_working'!K$7)*(raw!$G$2:$G$9876))</f>
        <v>0</v>
      </c>
      <c r="L50" s="8">
        <f>SUMPRODUCT((raw!$A$2:$A$9876='2018-19_working'!$A$2)*(raw!$B$2:$B$9876='2018-19_working'!$A50)*(raw!$E$2:$E$9876='2018-19_working'!$K$6)*(raw!$F$2:$F$9876='2018-19_working'!L$7)*(raw!$G$2:$G$9876))</f>
        <v>0</v>
      </c>
      <c r="M50" s="8">
        <f>SUMPRODUCT((raw!$A$2:$A$9876='2018-19_working'!$A$2)*(raw!$B$2:$B$9876='2018-19_working'!$A50)*(raw!$E$2:$E$9876='2018-19_working'!$K$6)*(raw!$F$2:$F$9876='2018-19_working'!M$7)*(raw!$G$2:$G$9876))</f>
        <v>0</v>
      </c>
      <c r="N50" s="8">
        <f>SUMPRODUCT((raw!$A$2:$A$9876='2018-19_working'!$A$2)*(raw!$B$2:$B$9876='2018-19_working'!$A50)*(raw!$E$2:$E$9876='2018-19_working'!$K$6)*(raw!$F$2:$F$9876='2018-19_working'!N$7)*(raw!$G$2:$G$9876))</f>
        <v>0</v>
      </c>
      <c r="O50" s="8">
        <f>SUMPRODUCT((raw!$A$2:$A$9876='2018-19_working'!$A$2)*(raw!$B$2:$B$9876='2018-19_working'!$A50)*(raw!$E$2:$E$9876='2018-19_working'!$K$6)*(raw!$F$2:$F$9876='2018-19_working'!O$7)*(raw!$G$2:$G$9876))</f>
        <v>0</v>
      </c>
      <c r="P50" s="8">
        <f>SUMPRODUCT((raw!$A$2:$A$9876='2018-19_working'!$A$2)*(raw!$B$2:$B$9876='2018-19_working'!$A50)*(raw!$E$2:$E$9876='2018-19_working'!$K$6)*(raw!$F$2:$F$9876='2018-19_working'!P$7)*(raw!$G$2:$G$9876))</f>
        <v>0</v>
      </c>
      <c r="Q50" s="8">
        <f>SUMPRODUCT((raw!$A$2:$A$9876='2018-19_working'!$A$2)*(raw!$B$2:$B$9876='2018-19_working'!$A50)*(raw!$E$2:$E$9876='2018-19_working'!$K$6)*(raw!$F$2:$F$9876='2018-19_working'!Q$7)*(raw!$G$2:$G$9876))</f>
        <v>0</v>
      </c>
      <c r="R50" s="8">
        <f>SUMPRODUCT((raw!$A$2:$A$9876='2018-19_working'!$A$2)*(raw!$B$2:$B$9876='2018-19_working'!$A50)*(raw!$E$2:$E$9876='2018-19_working'!$K$6)*(raw!$F$2:$F$9876='2018-19_working'!R$7)*(raw!$G$2:$G$9876))</f>
        <v>0</v>
      </c>
      <c r="T50" s="8">
        <f>SUMPRODUCT((raw!$A$2:$A$9876='2018-19_working'!$A$2)*(raw!$B$2:$B$9876='2018-19_working'!$A50)*(raw!$E$2:$E$9876='2018-19_working'!$T$6)*(raw!$F$2:$F$9876='2018-19_working'!T$7)*(raw!$G$2:$G$9876))</f>
        <v>0</v>
      </c>
      <c r="U50" s="8">
        <f>SUMPRODUCT((raw!$A$2:$A$9876='2018-19_working'!$A$2)*(raw!$B$2:$B$9876='2018-19_working'!$A50)*(raw!$E$2:$E$9876='2018-19_working'!$T$6)*(raw!$F$2:$F$9876='2018-19_working'!U$7)*(raw!$G$2:$G$9876))</f>
        <v>0</v>
      </c>
      <c r="V50" s="8">
        <f>SUMPRODUCT((raw!$A$2:$A$9876='2018-19_working'!$A$2)*(raw!$B$2:$B$9876='2018-19_working'!$A50)*(raw!$E$2:$E$9876='2018-19_working'!$T$6)*(raw!$F$2:$F$9876='2018-19_working'!V$7)*(raw!$G$2:$G$9876))</f>
        <v>0</v>
      </c>
      <c r="W50" s="8">
        <f>SUMPRODUCT((raw!$A$2:$A$9876='2018-19_working'!$A$2)*(raw!$B$2:$B$9876='2018-19_working'!$A50)*(raw!$E$2:$E$9876='2018-19_working'!$T$6)*(raw!$F$2:$F$9876='2018-19_working'!W$7)*(raw!$G$2:$G$9876))</f>
        <v>0</v>
      </c>
      <c r="X50" s="8">
        <f>SUMPRODUCT((raw!$A$2:$A$9876='2018-19_working'!$A$2)*(raw!$B$2:$B$9876='2018-19_working'!$A50)*(raw!$E$2:$E$9876='2018-19_working'!$T$6)*(raw!$F$2:$F$9876='2018-19_working'!X$7)*(raw!$G$2:$G$9876))</f>
        <v>0</v>
      </c>
      <c r="Y50" s="8">
        <f>SUMPRODUCT((raw!$A$2:$A$9876='2018-19_working'!$A$2)*(raw!$B$2:$B$9876='2018-19_working'!$A50)*(raw!$E$2:$E$9876='2018-19_working'!$T$6)*(raw!$F$2:$F$9876='2018-19_working'!Y$7)*(raw!$G$2:$G$9876))</f>
        <v>0</v>
      </c>
      <c r="Z50" s="8">
        <f>SUMPRODUCT((raw!$A$2:$A$9876='2018-19_working'!$A$2)*(raw!$B$2:$B$9876='2018-19_working'!$A50)*(raw!$E$2:$E$9876='2018-19_working'!$T$6)*(raw!$F$2:$F$9876='2018-19_working'!Z$7)*(raw!$G$2:$G$9876))</f>
        <v>0</v>
      </c>
      <c r="AA50" s="8">
        <f>SUMPRODUCT((raw!$A$2:$A$9876='2018-19_working'!$A$2)*(raw!$B$2:$B$9876='2018-19_working'!$A50)*(raw!$E$2:$E$9876='2018-19_working'!$T$6)*(raw!$F$2:$F$9876='2018-19_working'!AA$7)*(raw!$G$2:$G$9876))</f>
        <v>0</v>
      </c>
      <c r="AC50" s="8">
        <f>SUMPRODUCT((raw!$A$2:$A$9876='2018-19_working'!$A$2)*(raw!$B$2:$B$9876='2018-19_working'!$A50)*(raw!$E$2:$E$9876='2018-19_working'!$AC$6)*(raw!$F$2:$F$9876='2018-19_working'!AC$7)*(raw!$G$2:$G$9876))</f>
        <v>41</v>
      </c>
      <c r="AD50" s="8">
        <f>SUMPRODUCT((raw!$A$2:$A$9876='2018-19_working'!$A$2)*(raw!$B$2:$B$9876='2018-19_working'!$A50)*(raw!$E$2:$E$9876='2018-19_working'!$AC$6)*(raw!$F$2:$F$9876='2018-19_working'!AD$7)*(raw!$G$2:$G$9876))</f>
        <v>0</v>
      </c>
      <c r="AE50" s="8">
        <f>SUMPRODUCT((raw!$A$2:$A$9876='2018-19_working'!$A$2)*(raw!$B$2:$B$9876='2018-19_working'!$A50)*(raw!$E$2:$E$9876='2018-19_working'!$AC$6)*(raw!$F$2:$F$9876='2018-19_working'!AE$7)*(raw!$G$2:$G$9876))</f>
        <v>0</v>
      </c>
      <c r="AF50" s="8">
        <f>SUMPRODUCT((raw!$A$2:$A$9876='2018-19_working'!$A$2)*(raw!$B$2:$B$9876='2018-19_working'!$A50)*(raw!$E$2:$E$9876='2018-19_working'!$AC$6)*(raw!$F$2:$F$9876='2018-19_working'!AF$7)*(raw!$G$2:$G$9876))</f>
        <v>1</v>
      </c>
      <c r="AG50" s="8">
        <f>SUMPRODUCT((raw!$A$2:$A$9876='2018-19_working'!$A$2)*(raw!$B$2:$B$9876='2018-19_working'!$A50)*(raw!$E$2:$E$9876='2018-19_working'!$AC$6)*(raw!$F$2:$F$9876='2018-19_working'!AG$7)*(raw!$G$2:$G$9876))</f>
        <v>0</v>
      </c>
      <c r="AH50" s="8">
        <f>SUMPRODUCT((raw!$A$2:$A$9876='2018-19_working'!$A$2)*(raw!$B$2:$B$9876='2018-19_working'!$A50)*(raw!$E$2:$E$9876='2018-19_working'!$AC$6)*(raw!$F$2:$F$9876='2018-19_working'!AH$7)*(raw!$G$2:$G$9876))</f>
        <v>1</v>
      </c>
      <c r="AI50" s="8">
        <f>SUMPRODUCT((raw!$A$2:$A$9876='2018-19_working'!$A$2)*(raw!$B$2:$B$9876='2018-19_working'!$A50)*(raw!$E$2:$E$9876='2018-19_working'!$AC$6)*(raw!$F$2:$F$9876='2018-19_working'!AI$7)*(raw!$G$2:$G$9876))</f>
        <v>0</v>
      </c>
      <c r="AJ50" s="8">
        <f>SUMPRODUCT((raw!$A$2:$A$9876='2018-19_working'!$A$2)*(raw!$B$2:$B$9876='2018-19_working'!$A50)*(raw!$E$2:$E$9876='2018-19_working'!$AC$6)*(raw!$F$2:$F$9876='2018-19_working'!AJ$7)*(raw!$G$2:$G$9876))</f>
        <v>16</v>
      </c>
    </row>
    <row r="51" spans="1:36" x14ac:dyDescent="0.3">
      <c r="A51" s="8" t="s">
        <v>58</v>
      </c>
      <c r="B51" s="8">
        <f>SUMPRODUCT((raw!$A$2:$A$9876='2018-19_working'!$A$2)*(raw!$B$2:$B$9876='2018-19_working'!$A51)*(raw!$E$2:$E$9876='2018-19_working'!$B$6:$I$6)*(raw!$F$2:$F$9876='2018-19_working'!B$7)*(raw!$G$2:$G$9876))</f>
        <v>45</v>
      </c>
      <c r="C51" s="8">
        <f>SUMPRODUCT((raw!$A$2:$A$9876='2018-19_working'!$A$2)*(raw!$B$2:$B$9876='2018-19_working'!$A51)*(raw!$E$2:$E$9876='2018-19_working'!$B$6:$I$6)*(raw!$F$2:$F$9876='2018-19_working'!C$7)*(raw!$G$2:$G$9876))</f>
        <v>0</v>
      </c>
      <c r="D51" s="8">
        <f>SUMPRODUCT((raw!$A$2:$A$9876='2018-19_working'!$A$2)*(raw!$B$2:$B$9876='2018-19_working'!$A51)*(raw!$E$2:$E$9876='2018-19_working'!$B$6:$I$6)*(raw!$F$2:$F$9876='2018-19_working'!D$7)*(raw!$G$2:$G$9876))</f>
        <v>3</v>
      </c>
      <c r="E51" s="8">
        <f>SUMPRODUCT((raw!$A$2:$A$9876='2018-19_working'!$A$2)*(raw!$B$2:$B$9876='2018-19_working'!$A51)*(raw!$E$2:$E$9876='2018-19_working'!$B$6:$I$6)*(raw!$F$2:$F$9876='2018-19_working'!E$7)*(raw!$G$2:$G$9876))</f>
        <v>0</v>
      </c>
      <c r="F51" s="8">
        <f>SUMPRODUCT((raw!$A$2:$A$9876='2018-19_working'!$A$2)*(raw!$B$2:$B$9876='2018-19_working'!$A51)*(raw!$E$2:$E$9876='2018-19_working'!$B$6:$I$6)*(raw!$F$2:$F$9876='2018-19_working'!F$7)*(raw!$G$2:$G$9876))</f>
        <v>0</v>
      </c>
      <c r="G51" s="8">
        <f>SUMPRODUCT((raw!$A$2:$A$9876='2018-19_working'!$A$2)*(raw!$B$2:$B$9876='2018-19_working'!$A51)*(raw!$E$2:$E$9876='2018-19_working'!$B$6:$I$6)*(raw!$F$2:$F$9876='2018-19_working'!G$7)*(raw!$G$2:$G$9876))</f>
        <v>0</v>
      </c>
      <c r="H51" s="8">
        <f>SUMPRODUCT((raw!$A$2:$A$9876='2018-19_working'!$A$2)*(raw!$B$2:$B$9876='2018-19_working'!$A51)*(raw!$E$2:$E$9876='2018-19_working'!$B$6:$I$6)*(raw!$F$2:$F$9876='2018-19_working'!H$7)*(raw!$G$2:$G$9876))</f>
        <v>1</v>
      </c>
      <c r="I51" s="8">
        <f>SUMPRODUCT((raw!$A$2:$A$9876='2018-19_working'!$A$2)*(raw!$B$2:$B$9876='2018-19_working'!$A51)*(raw!$E$2:$E$9876='2018-19_working'!$B$6:$I$6)*(raw!$F$2:$F$9876='2018-19_working'!I$7)*(raw!$G$2:$G$9876))</f>
        <v>2</v>
      </c>
      <c r="K51" s="8">
        <f>SUMPRODUCT((raw!$A$2:$A$9876='2018-19_working'!$A$2)*(raw!$B$2:$B$9876='2018-19_working'!$A51)*(raw!$E$2:$E$9876='2018-19_working'!$K$6)*(raw!$F$2:$F$9876='2018-19_working'!K$7)*(raw!$G$2:$G$9876))</f>
        <v>21</v>
      </c>
      <c r="L51" s="8">
        <f>SUMPRODUCT((raw!$A$2:$A$9876='2018-19_working'!$A$2)*(raw!$B$2:$B$9876='2018-19_working'!$A51)*(raw!$E$2:$E$9876='2018-19_working'!$K$6)*(raw!$F$2:$F$9876='2018-19_working'!L$7)*(raw!$G$2:$G$9876))</f>
        <v>0</v>
      </c>
      <c r="M51" s="8">
        <f>SUMPRODUCT((raw!$A$2:$A$9876='2018-19_working'!$A$2)*(raw!$B$2:$B$9876='2018-19_working'!$A51)*(raw!$E$2:$E$9876='2018-19_working'!$K$6)*(raw!$F$2:$F$9876='2018-19_working'!M$7)*(raw!$G$2:$G$9876))</f>
        <v>2</v>
      </c>
      <c r="N51" s="8">
        <f>SUMPRODUCT((raw!$A$2:$A$9876='2018-19_working'!$A$2)*(raw!$B$2:$B$9876='2018-19_working'!$A51)*(raw!$E$2:$E$9876='2018-19_working'!$K$6)*(raw!$F$2:$F$9876='2018-19_working'!N$7)*(raw!$G$2:$G$9876))</f>
        <v>0</v>
      </c>
      <c r="O51" s="8">
        <f>SUMPRODUCT((raw!$A$2:$A$9876='2018-19_working'!$A$2)*(raw!$B$2:$B$9876='2018-19_working'!$A51)*(raw!$E$2:$E$9876='2018-19_working'!$K$6)*(raw!$F$2:$F$9876='2018-19_working'!O$7)*(raw!$G$2:$G$9876))</f>
        <v>0</v>
      </c>
      <c r="P51" s="8">
        <f>SUMPRODUCT((raw!$A$2:$A$9876='2018-19_working'!$A$2)*(raw!$B$2:$B$9876='2018-19_working'!$A51)*(raw!$E$2:$E$9876='2018-19_working'!$K$6)*(raw!$F$2:$F$9876='2018-19_working'!P$7)*(raw!$G$2:$G$9876))</f>
        <v>0</v>
      </c>
      <c r="Q51" s="8">
        <f>SUMPRODUCT((raw!$A$2:$A$9876='2018-19_working'!$A$2)*(raw!$B$2:$B$9876='2018-19_working'!$A51)*(raw!$E$2:$E$9876='2018-19_working'!$K$6)*(raw!$F$2:$F$9876='2018-19_working'!Q$7)*(raw!$G$2:$G$9876))</f>
        <v>1</v>
      </c>
      <c r="R51" s="8">
        <f>SUMPRODUCT((raw!$A$2:$A$9876='2018-19_working'!$A$2)*(raw!$B$2:$B$9876='2018-19_working'!$A51)*(raw!$E$2:$E$9876='2018-19_working'!$K$6)*(raw!$F$2:$F$9876='2018-19_working'!R$7)*(raw!$G$2:$G$9876))</f>
        <v>1</v>
      </c>
      <c r="T51" s="8">
        <f>SUMPRODUCT((raw!$A$2:$A$9876='2018-19_working'!$A$2)*(raw!$B$2:$B$9876='2018-19_working'!$A51)*(raw!$E$2:$E$9876='2018-19_working'!$T$6)*(raw!$F$2:$F$9876='2018-19_working'!T$7)*(raw!$G$2:$G$9876))</f>
        <v>7</v>
      </c>
      <c r="U51" s="8">
        <f>SUMPRODUCT((raw!$A$2:$A$9876='2018-19_working'!$A$2)*(raw!$B$2:$B$9876='2018-19_working'!$A51)*(raw!$E$2:$E$9876='2018-19_working'!$T$6)*(raw!$F$2:$F$9876='2018-19_working'!U$7)*(raw!$G$2:$G$9876))</f>
        <v>0</v>
      </c>
      <c r="V51" s="8">
        <f>SUMPRODUCT((raw!$A$2:$A$9876='2018-19_working'!$A$2)*(raw!$B$2:$B$9876='2018-19_working'!$A51)*(raw!$E$2:$E$9876='2018-19_working'!$T$6)*(raw!$F$2:$F$9876='2018-19_working'!V$7)*(raw!$G$2:$G$9876))</f>
        <v>0</v>
      </c>
      <c r="W51" s="8">
        <f>SUMPRODUCT((raw!$A$2:$A$9876='2018-19_working'!$A$2)*(raw!$B$2:$B$9876='2018-19_working'!$A51)*(raw!$E$2:$E$9876='2018-19_working'!$T$6)*(raw!$F$2:$F$9876='2018-19_working'!W$7)*(raw!$G$2:$G$9876))</f>
        <v>0</v>
      </c>
      <c r="X51" s="8">
        <f>SUMPRODUCT((raw!$A$2:$A$9876='2018-19_working'!$A$2)*(raw!$B$2:$B$9876='2018-19_working'!$A51)*(raw!$E$2:$E$9876='2018-19_working'!$T$6)*(raw!$F$2:$F$9876='2018-19_working'!X$7)*(raw!$G$2:$G$9876))</f>
        <v>0</v>
      </c>
      <c r="Y51" s="8">
        <f>SUMPRODUCT((raw!$A$2:$A$9876='2018-19_working'!$A$2)*(raw!$B$2:$B$9876='2018-19_working'!$A51)*(raw!$E$2:$E$9876='2018-19_working'!$T$6)*(raw!$F$2:$F$9876='2018-19_working'!Y$7)*(raw!$G$2:$G$9876))</f>
        <v>0</v>
      </c>
      <c r="Z51" s="8">
        <f>SUMPRODUCT((raw!$A$2:$A$9876='2018-19_working'!$A$2)*(raw!$B$2:$B$9876='2018-19_working'!$A51)*(raw!$E$2:$E$9876='2018-19_working'!$T$6)*(raw!$F$2:$F$9876='2018-19_working'!Z$7)*(raw!$G$2:$G$9876))</f>
        <v>0</v>
      </c>
      <c r="AA51" s="8">
        <f>SUMPRODUCT((raw!$A$2:$A$9876='2018-19_working'!$A$2)*(raw!$B$2:$B$9876='2018-19_working'!$A51)*(raw!$E$2:$E$9876='2018-19_working'!$T$6)*(raw!$F$2:$F$9876='2018-19_working'!AA$7)*(raw!$G$2:$G$9876))</f>
        <v>0</v>
      </c>
      <c r="AC51" s="8">
        <f>SUMPRODUCT((raw!$A$2:$A$9876='2018-19_working'!$A$2)*(raw!$B$2:$B$9876='2018-19_working'!$A51)*(raw!$E$2:$E$9876='2018-19_working'!$AC$6)*(raw!$F$2:$F$9876='2018-19_working'!AC$7)*(raw!$G$2:$G$9876))</f>
        <v>48</v>
      </c>
      <c r="AD51" s="8">
        <f>SUMPRODUCT((raw!$A$2:$A$9876='2018-19_working'!$A$2)*(raw!$B$2:$B$9876='2018-19_working'!$A51)*(raw!$E$2:$E$9876='2018-19_working'!$AC$6)*(raw!$F$2:$F$9876='2018-19_working'!AD$7)*(raw!$G$2:$G$9876))</f>
        <v>1</v>
      </c>
      <c r="AE51" s="8">
        <f>SUMPRODUCT((raw!$A$2:$A$9876='2018-19_working'!$A$2)*(raw!$B$2:$B$9876='2018-19_working'!$A51)*(raw!$E$2:$E$9876='2018-19_working'!$AC$6)*(raw!$F$2:$F$9876='2018-19_working'!AE$7)*(raw!$G$2:$G$9876))</f>
        <v>0</v>
      </c>
      <c r="AF51" s="8">
        <f>SUMPRODUCT((raw!$A$2:$A$9876='2018-19_working'!$A$2)*(raw!$B$2:$B$9876='2018-19_working'!$A51)*(raw!$E$2:$E$9876='2018-19_working'!$AC$6)*(raw!$F$2:$F$9876='2018-19_working'!AF$7)*(raw!$G$2:$G$9876))</f>
        <v>0</v>
      </c>
      <c r="AG51" s="8">
        <f>SUMPRODUCT((raw!$A$2:$A$9876='2018-19_working'!$A$2)*(raw!$B$2:$B$9876='2018-19_working'!$A51)*(raw!$E$2:$E$9876='2018-19_working'!$AC$6)*(raw!$F$2:$F$9876='2018-19_working'!AG$7)*(raw!$G$2:$G$9876))</f>
        <v>1</v>
      </c>
      <c r="AH51" s="8">
        <f>SUMPRODUCT((raw!$A$2:$A$9876='2018-19_working'!$A$2)*(raw!$B$2:$B$9876='2018-19_working'!$A51)*(raw!$E$2:$E$9876='2018-19_working'!$AC$6)*(raw!$F$2:$F$9876='2018-19_working'!AH$7)*(raw!$G$2:$G$9876))</f>
        <v>0</v>
      </c>
      <c r="AI51" s="8">
        <f>SUMPRODUCT((raw!$A$2:$A$9876='2018-19_working'!$A$2)*(raw!$B$2:$B$9876='2018-19_working'!$A51)*(raw!$E$2:$E$9876='2018-19_working'!$AC$6)*(raw!$F$2:$F$9876='2018-19_working'!AI$7)*(raw!$G$2:$G$9876))</f>
        <v>0</v>
      </c>
      <c r="AJ51" s="8">
        <f>SUMPRODUCT((raw!$A$2:$A$9876='2018-19_working'!$A$2)*(raw!$B$2:$B$9876='2018-19_working'!$A51)*(raw!$E$2:$E$9876='2018-19_working'!$AC$6)*(raw!$F$2:$F$9876='2018-19_working'!AJ$7)*(raw!$G$2:$G$9876))</f>
        <v>5</v>
      </c>
    </row>
    <row r="52" spans="1:36" x14ac:dyDescent="0.3">
      <c r="A52" s="8" t="s">
        <v>59</v>
      </c>
      <c r="B52" s="8">
        <f>SUMPRODUCT((raw!$A$2:$A$9876='2018-19_working'!$A$2)*(raw!$B$2:$B$9876='2018-19_working'!$A52)*(raw!$E$2:$E$9876='2018-19_working'!$B$6:$I$6)*(raw!$F$2:$F$9876='2018-19_working'!B$7)*(raw!$G$2:$G$9876))</f>
        <v>17</v>
      </c>
      <c r="C52" s="8">
        <f>SUMPRODUCT((raw!$A$2:$A$9876='2018-19_working'!$A$2)*(raw!$B$2:$B$9876='2018-19_working'!$A52)*(raw!$E$2:$E$9876='2018-19_working'!$B$6:$I$6)*(raw!$F$2:$F$9876='2018-19_working'!C$7)*(raw!$G$2:$G$9876))</f>
        <v>0</v>
      </c>
      <c r="D52" s="8">
        <f>SUMPRODUCT((raw!$A$2:$A$9876='2018-19_working'!$A$2)*(raw!$B$2:$B$9876='2018-19_working'!$A52)*(raw!$E$2:$E$9876='2018-19_working'!$B$6:$I$6)*(raw!$F$2:$F$9876='2018-19_working'!D$7)*(raw!$G$2:$G$9876))</f>
        <v>3</v>
      </c>
      <c r="E52" s="8">
        <f>SUMPRODUCT((raw!$A$2:$A$9876='2018-19_working'!$A$2)*(raw!$B$2:$B$9876='2018-19_working'!$A52)*(raw!$E$2:$E$9876='2018-19_working'!$B$6:$I$6)*(raw!$F$2:$F$9876='2018-19_working'!E$7)*(raw!$G$2:$G$9876))</f>
        <v>0</v>
      </c>
      <c r="F52" s="8">
        <f>SUMPRODUCT((raw!$A$2:$A$9876='2018-19_working'!$A$2)*(raw!$B$2:$B$9876='2018-19_working'!$A52)*(raw!$E$2:$E$9876='2018-19_working'!$B$6:$I$6)*(raw!$F$2:$F$9876='2018-19_working'!F$7)*(raw!$G$2:$G$9876))</f>
        <v>2</v>
      </c>
      <c r="G52" s="8">
        <f>SUMPRODUCT((raw!$A$2:$A$9876='2018-19_working'!$A$2)*(raw!$B$2:$B$9876='2018-19_working'!$A52)*(raw!$E$2:$E$9876='2018-19_working'!$B$6:$I$6)*(raw!$F$2:$F$9876='2018-19_working'!G$7)*(raw!$G$2:$G$9876))</f>
        <v>0</v>
      </c>
      <c r="H52" s="8">
        <f>SUMPRODUCT((raw!$A$2:$A$9876='2018-19_working'!$A$2)*(raw!$B$2:$B$9876='2018-19_working'!$A52)*(raw!$E$2:$E$9876='2018-19_working'!$B$6:$I$6)*(raw!$F$2:$F$9876='2018-19_working'!H$7)*(raw!$G$2:$G$9876))</f>
        <v>1</v>
      </c>
      <c r="I52" s="8">
        <f>SUMPRODUCT((raw!$A$2:$A$9876='2018-19_working'!$A$2)*(raw!$B$2:$B$9876='2018-19_working'!$A52)*(raw!$E$2:$E$9876='2018-19_working'!$B$6:$I$6)*(raw!$F$2:$F$9876='2018-19_working'!I$7)*(raw!$G$2:$G$9876))</f>
        <v>0</v>
      </c>
      <c r="K52" s="8">
        <f>SUMPRODUCT((raw!$A$2:$A$9876='2018-19_working'!$A$2)*(raw!$B$2:$B$9876='2018-19_working'!$A52)*(raw!$E$2:$E$9876='2018-19_working'!$K$6)*(raw!$F$2:$F$9876='2018-19_working'!K$7)*(raw!$G$2:$G$9876))</f>
        <v>1</v>
      </c>
      <c r="L52" s="8">
        <f>SUMPRODUCT((raw!$A$2:$A$9876='2018-19_working'!$A$2)*(raw!$B$2:$B$9876='2018-19_working'!$A52)*(raw!$E$2:$E$9876='2018-19_working'!$K$6)*(raw!$F$2:$F$9876='2018-19_working'!L$7)*(raw!$G$2:$G$9876))</f>
        <v>0</v>
      </c>
      <c r="M52" s="8">
        <f>SUMPRODUCT((raw!$A$2:$A$9876='2018-19_working'!$A$2)*(raw!$B$2:$B$9876='2018-19_working'!$A52)*(raw!$E$2:$E$9876='2018-19_working'!$K$6)*(raw!$F$2:$F$9876='2018-19_working'!M$7)*(raw!$G$2:$G$9876))</f>
        <v>0</v>
      </c>
      <c r="N52" s="8">
        <f>SUMPRODUCT((raw!$A$2:$A$9876='2018-19_working'!$A$2)*(raw!$B$2:$B$9876='2018-19_working'!$A52)*(raw!$E$2:$E$9876='2018-19_working'!$K$6)*(raw!$F$2:$F$9876='2018-19_working'!N$7)*(raw!$G$2:$G$9876))</f>
        <v>0</v>
      </c>
      <c r="O52" s="8">
        <f>SUMPRODUCT((raw!$A$2:$A$9876='2018-19_working'!$A$2)*(raw!$B$2:$B$9876='2018-19_working'!$A52)*(raw!$E$2:$E$9876='2018-19_working'!$K$6)*(raw!$F$2:$F$9876='2018-19_working'!O$7)*(raw!$G$2:$G$9876))</f>
        <v>0</v>
      </c>
      <c r="P52" s="8">
        <f>SUMPRODUCT((raw!$A$2:$A$9876='2018-19_working'!$A$2)*(raw!$B$2:$B$9876='2018-19_working'!$A52)*(raw!$E$2:$E$9876='2018-19_working'!$K$6)*(raw!$F$2:$F$9876='2018-19_working'!P$7)*(raw!$G$2:$G$9876))</f>
        <v>0</v>
      </c>
      <c r="Q52" s="8">
        <f>SUMPRODUCT((raw!$A$2:$A$9876='2018-19_working'!$A$2)*(raw!$B$2:$B$9876='2018-19_working'!$A52)*(raw!$E$2:$E$9876='2018-19_working'!$K$6)*(raw!$F$2:$F$9876='2018-19_working'!Q$7)*(raw!$G$2:$G$9876))</f>
        <v>0</v>
      </c>
      <c r="R52" s="8">
        <f>SUMPRODUCT((raw!$A$2:$A$9876='2018-19_working'!$A$2)*(raw!$B$2:$B$9876='2018-19_working'!$A52)*(raw!$E$2:$E$9876='2018-19_working'!$K$6)*(raw!$F$2:$F$9876='2018-19_working'!R$7)*(raw!$G$2:$G$9876))</f>
        <v>0</v>
      </c>
      <c r="T52" s="8">
        <f>SUMPRODUCT((raw!$A$2:$A$9876='2018-19_working'!$A$2)*(raw!$B$2:$B$9876='2018-19_working'!$A52)*(raw!$E$2:$E$9876='2018-19_working'!$T$6)*(raw!$F$2:$F$9876='2018-19_working'!T$7)*(raw!$G$2:$G$9876))</f>
        <v>0</v>
      </c>
      <c r="U52" s="8">
        <f>SUMPRODUCT((raw!$A$2:$A$9876='2018-19_working'!$A$2)*(raw!$B$2:$B$9876='2018-19_working'!$A52)*(raw!$E$2:$E$9876='2018-19_working'!$T$6)*(raw!$F$2:$F$9876='2018-19_working'!U$7)*(raw!$G$2:$G$9876))</f>
        <v>0</v>
      </c>
      <c r="V52" s="8">
        <f>SUMPRODUCT((raw!$A$2:$A$9876='2018-19_working'!$A$2)*(raw!$B$2:$B$9876='2018-19_working'!$A52)*(raw!$E$2:$E$9876='2018-19_working'!$T$6)*(raw!$F$2:$F$9876='2018-19_working'!V$7)*(raw!$G$2:$G$9876))</f>
        <v>0</v>
      </c>
      <c r="W52" s="8">
        <f>SUMPRODUCT((raw!$A$2:$A$9876='2018-19_working'!$A$2)*(raw!$B$2:$B$9876='2018-19_working'!$A52)*(raw!$E$2:$E$9876='2018-19_working'!$T$6)*(raw!$F$2:$F$9876='2018-19_working'!W$7)*(raw!$G$2:$G$9876))</f>
        <v>0</v>
      </c>
      <c r="X52" s="8">
        <f>SUMPRODUCT((raw!$A$2:$A$9876='2018-19_working'!$A$2)*(raw!$B$2:$B$9876='2018-19_working'!$A52)*(raw!$E$2:$E$9876='2018-19_working'!$T$6)*(raw!$F$2:$F$9876='2018-19_working'!X$7)*(raw!$G$2:$G$9876))</f>
        <v>0</v>
      </c>
      <c r="Y52" s="8">
        <f>SUMPRODUCT((raw!$A$2:$A$9876='2018-19_working'!$A$2)*(raw!$B$2:$B$9876='2018-19_working'!$A52)*(raw!$E$2:$E$9876='2018-19_working'!$T$6)*(raw!$F$2:$F$9876='2018-19_working'!Y$7)*(raw!$G$2:$G$9876))</f>
        <v>0</v>
      </c>
      <c r="Z52" s="8">
        <f>SUMPRODUCT((raw!$A$2:$A$9876='2018-19_working'!$A$2)*(raw!$B$2:$B$9876='2018-19_working'!$A52)*(raw!$E$2:$E$9876='2018-19_working'!$T$6)*(raw!$F$2:$F$9876='2018-19_working'!Z$7)*(raw!$G$2:$G$9876))</f>
        <v>0</v>
      </c>
      <c r="AA52" s="8">
        <f>SUMPRODUCT((raw!$A$2:$A$9876='2018-19_working'!$A$2)*(raw!$B$2:$B$9876='2018-19_working'!$A52)*(raw!$E$2:$E$9876='2018-19_working'!$T$6)*(raw!$F$2:$F$9876='2018-19_working'!AA$7)*(raw!$G$2:$G$9876))</f>
        <v>0</v>
      </c>
      <c r="AC52" s="8">
        <f>SUMPRODUCT((raw!$A$2:$A$9876='2018-19_working'!$A$2)*(raw!$B$2:$B$9876='2018-19_working'!$A52)*(raw!$E$2:$E$9876='2018-19_working'!$AC$6)*(raw!$F$2:$F$9876='2018-19_working'!AC$7)*(raw!$G$2:$G$9876))</f>
        <v>16</v>
      </c>
      <c r="AD52" s="8">
        <f>SUMPRODUCT((raw!$A$2:$A$9876='2018-19_working'!$A$2)*(raw!$B$2:$B$9876='2018-19_working'!$A52)*(raw!$E$2:$E$9876='2018-19_working'!$AC$6)*(raw!$F$2:$F$9876='2018-19_working'!AD$7)*(raw!$G$2:$G$9876))</f>
        <v>0</v>
      </c>
      <c r="AE52" s="8">
        <f>SUMPRODUCT((raw!$A$2:$A$9876='2018-19_working'!$A$2)*(raw!$B$2:$B$9876='2018-19_working'!$A52)*(raw!$E$2:$E$9876='2018-19_working'!$AC$6)*(raw!$F$2:$F$9876='2018-19_working'!AE$7)*(raw!$G$2:$G$9876))</f>
        <v>0</v>
      </c>
      <c r="AF52" s="8">
        <f>SUMPRODUCT((raw!$A$2:$A$9876='2018-19_working'!$A$2)*(raw!$B$2:$B$9876='2018-19_working'!$A52)*(raw!$E$2:$E$9876='2018-19_working'!$AC$6)*(raw!$F$2:$F$9876='2018-19_working'!AF$7)*(raw!$G$2:$G$9876))</f>
        <v>0</v>
      </c>
      <c r="AG52" s="8">
        <f>SUMPRODUCT((raw!$A$2:$A$9876='2018-19_working'!$A$2)*(raw!$B$2:$B$9876='2018-19_working'!$A52)*(raw!$E$2:$E$9876='2018-19_working'!$AC$6)*(raw!$F$2:$F$9876='2018-19_working'!AG$7)*(raw!$G$2:$G$9876))</f>
        <v>1</v>
      </c>
      <c r="AH52" s="8">
        <f>SUMPRODUCT((raw!$A$2:$A$9876='2018-19_working'!$A$2)*(raw!$B$2:$B$9876='2018-19_working'!$A52)*(raw!$E$2:$E$9876='2018-19_working'!$AC$6)*(raw!$F$2:$F$9876='2018-19_working'!AH$7)*(raw!$G$2:$G$9876))</f>
        <v>0</v>
      </c>
      <c r="AI52" s="8">
        <f>SUMPRODUCT((raw!$A$2:$A$9876='2018-19_working'!$A$2)*(raw!$B$2:$B$9876='2018-19_working'!$A52)*(raw!$E$2:$E$9876='2018-19_working'!$AC$6)*(raw!$F$2:$F$9876='2018-19_working'!AI$7)*(raw!$G$2:$G$9876))</f>
        <v>0</v>
      </c>
      <c r="AJ52" s="8">
        <f>SUMPRODUCT((raw!$A$2:$A$9876='2018-19_working'!$A$2)*(raw!$B$2:$B$9876='2018-19_working'!$A52)*(raw!$E$2:$E$9876='2018-19_working'!$AC$6)*(raw!$F$2:$F$9876='2018-19_working'!AJ$7)*(raw!$G$2:$G$9876))</f>
        <v>0</v>
      </c>
    </row>
    <row r="53" spans="1:36" x14ac:dyDescent="0.3">
      <c r="A53" s="8" t="s">
        <v>60</v>
      </c>
      <c r="B53" s="8">
        <f>SUMPRODUCT((raw!$A$2:$A$9876='2018-19_working'!$A$2)*(raw!$B$2:$B$9876='2018-19_working'!$A53)*(raw!$E$2:$E$9876='2018-19_working'!$B$6:$I$6)*(raw!$F$2:$F$9876='2018-19_working'!B$7)*(raw!$G$2:$G$9876))</f>
        <v>25</v>
      </c>
      <c r="C53" s="8">
        <f>SUMPRODUCT((raw!$A$2:$A$9876='2018-19_working'!$A$2)*(raw!$B$2:$B$9876='2018-19_working'!$A53)*(raw!$E$2:$E$9876='2018-19_working'!$B$6:$I$6)*(raw!$F$2:$F$9876='2018-19_working'!C$7)*(raw!$G$2:$G$9876))</f>
        <v>0</v>
      </c>
      <c r="D53" s="8">
        <f>SUMPRODUCT((raw!$A$2:$A$9876='2018-19_working'!$A$2)*(raw!$B$2:$B$9876='2018-19_working'!$A53)*(raw!$E$2:$E$9876='2018-19_working'!$B$6:$I$6)*(raw!$F$2:$F$9876='2018-19_working'!D$7)*(raw!$G$2:$G$9876))</f>
        <v>0</v>
      </c>
      <c r="E53" s="8">
        <f>SUMPRODUCT((raw!$A$2:$A$9876='2018-19_working'!$A$2)*(raw!$B$2:$B$9876='2018-19_working'!$A53)*(raw!$E$2:$E$9876='2018-19_working'!$B$6:$I$6)*(raw!$F$2:$F$9876='2018-19_working'!E$7)*(raw!$G$2:$G$9876))</f>
        <v>1</v>
      </c>
      <c r="F53" s="8">
        <f>SUMPRODUCT((raw!$A$2:$A$9876='2018-19_working'!$A$2)*(raw!$B$2:$B$9876='2018-19_working'!$A53)*(raw!$E$2:$E$9876='2018-19_working'!$B$6:$I$6)*(raw!$F$2:$F$9876='2018-19_working'!F$7)*(raw!$G$2:$G$9876))</f>
        <v>0</v>
      </c>
      <c r="G53" s="8">
        <f>SUMPRODUCT((raw!$A$2:$A$9876='2018-19_working'!$A$2)*(raw!$B$2:$B$9876='2018-19_working'!$A53)*(raw!$E$2:$E$9876='2018-19_working'!$B$6:$I$6)*(raw!$F$2:$F$9876='2018-19_working'!G$7)*(raw!$G$2:$G$9876))</f>
        <v>0</v>
      </c>
      <c r="H53" s="8">
        <f>SUMPRODUCT((raw!$A$2:$A$9876='2018-19_working'!$A$2)*(raw!$B$2:$B$9876='2018-19_working'!$A53)*(raw!$E$2:$E$9876='2018-19_working'!$B$6:$I$6)*(raw!$F$2:$F$9876='2018-19_working'!H$7)*(raw!$G$2:$G$9876))</f>
        <v>0</v>
      </c>
      <c r="I53" s="8">
        <f>SUMPRODUCT((raw!$A$2:$A$9876='2018-19_working'!$A$2)*(raw!$B$2:$B$9876='2018-19_working'!$A53)*(raw!$E$2:$E$9876='2018-19_working'!$B$6:$I$6)*(raw!$F$2:$F$9876='2018-19_working'!I$7)*(raw!$G$2:$G$9876))</f>
        <v>0</v>
      </c>
      <c r="K53" s="8">
        <f>SUMPRODUCT((raw!$A$2:$A$9876='2018-19_working'!$A$2)*(raw!$B$2:$B$9876='2018-19_working'!$A53)*(raw!$E$2:$E$9876='2018-19_working'!$K$6)*(raw!$F$2:$F$9876='2018-19_working'!K$7)*(raw!$G$2:$G$9876))</f>
        <v>0</v>
      </c>
      <c r="L53" s="8">
        <f>SUMPRODUCT((raw!$A$2:$A$9876='2018-19_working'!$A$2)*(raw!$B$2:$B$9876='2018-19_working'!$A53)*(raw!$E$2:$E$9876='2018-19_working'!$K$6)*(raw!$F$2:$F$9876='2018-19_working'!L$7)*(raw!$G$2:$G$9876))</f>
        <v>0</v>
      </c>
      <c r="M53" s="8">
        <f>SUMPRODUCT((raw!$A$2:$A$9876='2018-19_working'!$A$2)*(raw!$B$2:$B$9876='2018-19_working'!$A53)*(raw!$E$2:$E$9876='2018-19_working'!$K$6)*(raw!$F$2:$F$9876='2018-19_working'!M$7)*(raw!$G$2:$G$9876))</f>
        <v>0</v>
      </c>
      <c r="N53" s="8">
        <f>SUMPRODUCT((raw!$A$2:$A$9876='2018-19_working'!$A$2)*(raw!$B$2:$B$9876='2018-19_working'!$A53)*(raw!$E$2:$E$9876='2018-19_working'!$K$6)*(raw!$F$2:$F$9876='2018-19_working'!N$7)*(raw!$G$2:$G$9876))</f>
        <v>0</v>
      </c>
      <c r="O53" s="8">
        <f>SUMPRODUCT((raw!$A$2:$A$9876='2018-19_working'!$A$2)*(raw!$B$2:$B$9876='2018-19_working'!$A53)*(raw!$E$2:$E$9876='2018-19_working'!$K$6)*(raw!$F$2:$F$9876='2018-19_working'!O$7)*(raw!$G$2:$G$9876))</f>
        <v>0</v>
      </c>
      <c r="P53" s="8">
        <f>SUMPRODUCT((raw!$A$2:$A$9876='2018-19_working'!$A$2)*(raw!$B$2:$B$9876='2018-19_working'!$A53)*(raw!$E$2:$E$9876='2018-19_working'!$K$6)*(raw!$F$2:$F$9876='2018-19_working'!P$7)*(raw!$G$2:$G$9876))</f>
        <v>0</v>
      </c>
      <c r="Q53" s="8">
        <f>SUMPRODUCT((raw!$A$2:$A$9876='2018-19_working'!$A$2)*(raw!$B$2:$B$9876='2018-19_working'!$A53)*(raw!$E$2:$E$9876='2018-19_working'!$K$6)*(raw!$F$2:$F$9876='2018-19_working'!Q$7)*(raw!$G$2:$G$9876))</f>
        <v>0</v>
      </c>
      <c r="R53" s="8">
        <f>SUMPRODUCT((raw!$A$2:$A$9876='2018-19_working'!$A$2)*(raw!$B$2:$B$9876='2018-19_working'!$A53)*(raw!$E$2:$E$9876='2018-19_working'!$K$6)*(raw!$F$2:$F$9876='2018-19_working'!R$7)*(raw!$G$2:$G$9876))</f>
        <v>0</v>
      </c>
      <c r="T53" s="8">
        <f>SUMPRODUCT((raw!$A$2:$A$9876='2018-19_working'!$A$2)*(raw!$B$2:$B$9876='2018-19_working'!$A53)*(raw!$E$2:$E$9876='2018-19_working'!$T$6)*(raw!$F$2:$F$9876='2018-19_working'!T$7)*(raw!$G$2:$G$9876))</f>
        <v>5</v>
      </c>
      <c r="U53" s="8">
        <f>SUMPRODUCT((raw!$A$2:$A$9876='2018-19_working'!$A$2)*(raw!$B$2:$B$9876='2018-19_working'!$A53)*(raw!$E$2:$E$9876='2018-19_working'!$T$6)*(raw!$F$2:$F$9876='2018-19_working'!U$7)*(raw!$G$2:$G$9876))</f>
        <v>0</v>
      </c>
      <c r="V53" s="8">
        <f>SUMPRODUCT((raw!$A$2:$A$9876='2018-19_working'!$A$2)*(raw!$B$2:$B$9876='2018-19_working'!$A53)*(raw!$E$2:$E$9876='2018-19_working'!$T$6)*(raw!$F$2:$F$9876='2018-19_working'!V$7)*(raw!$G$2:$G$9876))</f>
        <v>0</v>
      </c>
      <c r="W53" s="8">
        <f>SUMPRODUCT((raw!$A$2:$A$9876='2018-19_working'!$A$2)*(raw!$B$2:$B$9876='2018-19_working'!$A53)*(raw!$E$2:$E$9876='2018-19_working'!$T$6)*(raw!$F$2:$F$9876='2018-19_working'!W$7)*(raw!$G$2:$G$9876))</f>
        <v>0</v>
      </c>
      <c r="X53" s="8">
        <f>SUMPRODUCT((raw!$A$2:$A$9876='2018-19_working'!$A$2)*(raw!$B$2:$B$9876='2018-19_working'!$A53)*(raw!$E$2:$E$9876='2018-19_working'!$T$6)*(raw!$F$2:$F$9876='2018-19_working'!X$7)*(raw!$G$2:$G$9876))</f>
        <v>0</v>
      </c>
      <c r="Y53" s="8">
        <f>SUMPRODUCT((raw!$A$2:$A$9876='2018-19_working'!$A$2)*(raw!$B$2:$B$9876='2018-19_working'!$A53)*(raw!$E$2:$E$9876='2018-19_working'!$T$6)*(raw!$F$2:$F$9876='2018-19_working'!Y$7)*(raw!$G$2:$G$9876))</f>
        <v>0</v>
      </c>
      <c r="Z53" s="8">
        <f>SUMPRODUCT((raw!$A$2:$A$9876='2018-19_working'!$A$2)*(raw!$B$2:$B$9876='2018-19_working'!$A53)*(raw!$E$2:$E$9876='2018-19_working'!$T$6)*(raw!$F$2:$F$9876='2018-19_working'!Z$7)*(raw!$G$2:$G$9876))</f>
        <v>0</v>
      </c>
      <c r="AA53" s="8">
        <f>SUMPRODUCT((raw!$A$2:$A$9876='2018-19_working'!$A$2)*(raw!$B$2:$B$9876='2018-19_working'!$A53)*(raw!$E$2:$E$9876='2018-19_working'!$T$6)*(raw!$F$2:$F$9876='2018-19_working'!AA$7)*(raw!$G$2:$G$9876))</f>
        <v>0</v>
      </c>
      <c r="AC53" s="8">
        <f>SUMPRODUCT((raw!$A$2:$A$9876='2018-19_working'!$A$2)*(raw!$B$2:$B$9876='2018-19_working'!$A53)*(raw!$E$2:$E$9876='2018-19_working'!$AC$6)*(raw!$F$2:$F$9876='2018-19_working'!AC$7)*(raw!$G$2:$G$9876))</f>
        <v>30</v>
      </c>
      <c r="AD53" s="8">
        <f>SUMPRODUCT((raw!$A$2:$A$9876='2018-19_working'!$A$2)*(raw!$B$2:$B$9876='2018-19_working'!$A53)*(raw!$E$2:$E$9876='2018-19_working'!$AC$6)*(raw!$F$2:$F$9876='2018-19_working'!AD$7)*(raw!$G$2:$G$9876))</f>
        <v>0</v>
      </c>
      <c r="AE53" s="8">
        <f>SUMPRODUCT((raw!$A$2:$A$9876='2018-19_working'!$A$2)*(raw!$B$2:$B$9876='2018-19_working'!$A53)*(raw!$E$2:$E$9876='2018-19_working'!$AC$6)*(raw!$F$2:$F$9876='2018-19_working'!AE$7)*(raw!$G$2:$G$9876))</f>
        <v>0</v>
      </c>
      <c r="AF53" s="8">
        <f>SUMPRODUCT((raw!$A$2:$A$9876='2018-19_working'!$A$2)*(raw!$B$2:$B$9876='2018-19_working'!$A53)*(raw!$E$2:$E$9876='2018-19_working'!$AC$6)*(raw!$F$2:$F$9876='2018-19_working'!AF$7)*(raw!$G$2:$G$9876))</f>
        <v>0</v>
      </c>
      <c r="AG53" s="8">
        <f>SUMPRODUCT((raw!$A$2:$A$9876='2018-19_working'!$A$2)*(raw!$B$2:$B$9876='2018-19_working'!$A53)*(raw!$E$2:$E$9876='2018-19_working'!$AC$6)*(raw!$F$2:$F$9876='2018-19_working'!AG$7)*(raw!$G$2:$G$9876))</f>
        <v>1</v>
      </c>
      <c r="AH53" s="8">
        <f>SUMPRODUCT((raw!$A$2:$A$9876='2018-19_working'!$A$2)*(raw!$B$2:$B$9876='2018-19_working'!$A53)*(raw!$E$2:$E$9876='2018-19_working'!$AC$6)*(raw!$F$2:$F$9876='2018-19_working'!AH$7)*(raw!$G$2:$G$9876))</f>
        <v>0</v>
      </c>
      <c r="AI53" s="8">
        <f>SUMPRODUCT((raw!$A$2:$A$9876='2018-19_working'!$A$2)*(raw!$B$2:$B$9876='2018-19_working'!$A53)*(raw!$E$2:$E$9876='2018-19_working'!$AC$6)*(raw!$F$2:$F$9876='2018-19_working'!AI$7)*(raw!$G$2:$G$9876))</f>
        <v>0</v>
      </c>
      <c r="AJ53" s="8">
        <f>SUMPRODUCT((raw!$A$2:$A$9876='2018-19_working'!$A$2)*(raw!$B$2:$B$9876='2018-19_working'!$A53)*(raw!$E$2:$E$9876='2018-19_working'!$AC$6)*(raw!$F$2:$F$9876='2018-19_working'!AJ$7)*(raw!$G$2:$G$9876))</f>
        <v>0</v>
      </c>
    </row>
    <row r="54" spans="1:36" x14ac:dyDescent="0.3">
      <c r="A54" s="8" t="s">
        <v>61</v>
      </c>
      <c r="B54" s="8">
        <f>SUMPRODUCT((raw!$A$2:$A$9876='2018-19_working'!$A$2)*(raw!$B$2:$B$9876='2018-19_working'!$A54)*(raw!$E$2:$E$9876='2018-19_working'!$B$6:$I$6)*(raw!$F$2:$F$9876='2018-19_working'!B$7)*(raw!$G$2:$G$9876))</f>
        <v>64</v>
      </c>
      <c r="C54" s="8">
        <f>SUMPRODUCT((raw!$A$2:$A$9876='2018-19_working'!$A$2)*(raw!$B$2:$B$9876='2018-19_working'!$A54)*(raw!$E$2:$E$9876='2018-19_working'!$B$6:$I$6)*(raw!$F$2:$F$9876='2018-19_working'!C$7)*(raw!$G$2:$G$9876))</f>
        <v>2</v>
      </c>
      <c r="D54" s="8">
        <f>SUMPRODUCT((raw!$A$2:$A$9876='2018-19_working'!$A$2)*(raw!$B$2:$B$9876='2018-19_working'!$A54)*(raw!$E$2:$E$9876='2018-19_working'!$B$6:$I$6)*(raw!$F$2:$F$9876='2018-19_working'!D$7)*(raw!$G$2:$G$9876))</f>
        <v>8</v>
      </c>
      <c r="E54" s="8">
        <f>SUMPRODUCT((raw!$A$2:$A$9876='2018-19_working'!$A$2)*(raw!$B$2:$B$9876='2018-19_working'!$A54)*(raw!$E$2:$E$9876='2018-19_working'!$B$6:$I$6)*(raw!$F$2:$F$9876='2018-19_working'!E$7)*(raw!$G$2:$G$9876))</f>
        <v>5</v>
      </c>
      <c r="F54" s="8">
        <f>SUMPRODUCT((raw!$A$2:$A$9876='2018-19_working'!$A$2)*(raw!$B$2:$B$9876='2018-19_working'!$A54)*(raw!$E$2:$E$9876='2018-19_working'!$B$6:$I$6)*(raw!$F$2:$F$9876='2018-19_working'!F$7)*(raw!$G$2:$G$9876))</f>
        <v>8</v>
      </c>
      <c r="G54" s="8">
        <f>SUMPRODUCT((raw!$A$2:$A$9876='2018-19_working'!$A$2)*(raw!$B$2:$B$9876='2018-19_working'!$A54)*(raw!$E$2:$E$9876='2018-19_working'!$B$6:$I$6)*(raw!$F$2:$F$9876='2018-19_working'!G$7)*(raw!$G$2:$G$9876))</f>
        <v>0</v>
      </c>
      <c r="H54" s="8">
        <f>SUMPRODUCT((raw!$A$2:$A$9876='2018-19_working'!$A$2)*(raw!$B$2:$B$9876='2018-19_working'!$A54)*(raw!$E$2:$E$9876='2018-19_working'!$B$6:$I$6)*(raw!$F$2:$F$9876='2018-19_working'!H$7)*(raw!$G$2:$G$9876))</f>
        <v>0</v>
      </c>
      <c r="I54" s="8">
        <f>SUMPRODUCT((raw!$A$2:$A$9876='2018-19_working'!$A$2)*(raw!$B$2:$B$9876='2018-19_working'!$A54)*(raw!$E$2:$E$9876='2018-19_working'!$B$6:$I$6)*(raw!$F$2:$F$9876='2018-19_working'!I$7)*(raw!$G$2:$G$9876))</f>
        <v>3</v>
      </c>
      <c r="K54" s="8">
        <f>SUMPRODUCT((raw!$A$2:$A$9876='2018-19_working'!$A$2)*(raw!$B$2:$B$9876='2018-19_working'!$A54)*(raw!$E$2:$E$9876='2018-19_working'!$K$6)*(raw!$F$2:$F$9876='2018-19_working'!K$7)*(raw!$G$2:$G$9876))</f>
        <v>0</v>
      </c>
      <c r="L54" s="8">
        <f>SUMPRODUCT((raw!$A$2:$A$9876='2018-19_working'!$A$2)*(raw!$B$2:$B$9876='2018-19_working'!$A54)*(raw!$E$2:$E$9876='2018-19_working'!$K$6)*(raw!$F$2:$F$9876='2018-19_working'!L$7)*(raw!$G$2:$G$9876))</f>
        <v>0</v>
      </c>
      <c r="M54" s="8">
        <f>SUMPRODUCT((raw!$A$2:$A$9876='2018-19_working'!$A$2)*(raw!$B$2:$B$9876='2018-19_working'!$A54)*(raw!$E$2:$E$9876='2018-19_working'!$K$6)*(raw!$F$2:$F$9876='2018-19_working'!M$7)*(raw!$G$2:$G$9876))</f>
        <v>0</v>
      </c>
      <c r="N54" s="8">
        <f>SUMPRODUCT((raw!$A$2:$A$9876='2018-19_working'!$A$2)*(raw!$B$2:$B$9876='2018-19_working'!$A54)*(raw!$E$2:$E$9876='2018-19_working'!$K$6)*(raw!$F$2:$F$9876='2018-19_working'!N$7)*(raw!$G$2:$G$9876))</f>
        <v>0</v>
      </c>
      <c r="O54" s="8">
        <f>SUMPRODUCT((raw!$A$2:$A$9876='2018-19_working'!$A$2)*(raw!$B$2:$B$9876='2018-19_working'!$A54)*(raw!$E$2:$E$9876='2018-19_working'!$K$6)*(raw!$F$2:$F$9876='2018-19_working'!O$7)*(raw!$G$2:$G$9876))</f>
        <v>0</v>
      </c>
      <c r="P54" s="8">
        <f>SUMPRODUCT((raw!$A$2:$A$9876='2018-19_working'!$A$2)*(raw!$B$2:$B$9876='2018-19_working'!$A54)*(raw!$E$2:$E$9876='2018-19_working'!$K$6)*(raw!$F$2:$F$9876='2018-19_working'!P$7)*(raw!$G$2:$G$9876))</f>
        <v>0</v>
      </c>
      <c r="Q54" s="8">
        <f>SUMPRODUCT((raw!$A$2:$A$9876='2018-19_working'!$A$2)*(raw!$B$2:$B$9876='2018-19_working'!$A54)*(raw!$E$2:$E$9876='2018-19_working'!$K$6)*(raw!$F$2:$F$9876='2018-19_working'!Q$7)*(raw!$G$2:$G$9876))</f>
        <v>0</v>
      </c>
      <c r="R54" s="8">
        <f>SUMPRODUCT((raw!$A$2:$A$9876='2018-19_working'!$A$2)*(raw!$B$2:$B$9876='2018-19_working'!$A54)*(raw!$E$2:$E$9876='2018-19_working'!$K$6)*(raw!$F$2:$F$9876='2018-19_working'!R$7)*(raw!$G$2:$G$9876))</f>
        <v>0</v>
      </c>
      <c r="T54" s="8">
        <f>SUMPRODUCT((raw!$A$2:$A$9876='2018-19_working'!$A$2)*(raw!$B$2:$B$9876='2018-19_working'!$A54)*(raw!$E$2:$E$9876='2018-19_working'!$T$6)*(raw!$F$2:$F$9876='2018-19_working'!T$7)*(raw!$G$2:$G$9876))</f>
        <v>0</v>
      </c>
      <c r="U54" s="8">
        <f>SUMPRODUCT((raw!$A$2:$A$9876='2018-19_working'!$A$2)*(raw!$B$2:$B$9876='2018-19_working'!$A54)*(raw!$E$2:$E$9876='2018-19_working'!$T$6)*(raw!$F$2:$F$9876='2018-19_working'!U$7)*(raw!$G$2:$G$9876))</f>
        <v>0</v>
      </c>
      <c r="V54" s="8">
        <f>SUMPRODUCT((raw!$A$2:$A$9876='2018-19_working'!$A$2)*(raw!$B$2:$B$9876='2018-19_working'!$A54)*(raw!$E$2:$E$9876='2018-19_working'!$T$6)*(raw!$F$2:$F$9876='2018-19_working'!V$7)*(raw!$G$2:$G$9876))</f>
        <v>0</v>
      </c>
      <c r="W54" s="8">
        <f>SUMPRODUCT((raw!$A$2:$A$9876='2018-19_working'!$A$2)*(raw!$B$2:$B$9876='2018-19_working'!$A54)*(raw!$E$2:$E$9876='2018-19_working'!$T$6)*(raw!$F$2:$F$9876='2018-19_working'!W$7)*(raw!$G$2:$G$9876))</f>
        <v>0</v>
      </c>
      <c r="X54" s="8">
        <f>SUMPRODUCT((raw!$A$2:$A$9876='2018-19_working'!$A$2)*(raw!$B$2:$B$9876='2018-19_working'!$A54)*(raw!$E$2:$E$9876='2018-19_working'!$T$6)*(raw!$F$2:$F$9876='2018-19_working'!X$7)*(raw!$G$2:$G$9876))</f>
        <v>0</v>
      </c>
      <c r="Y54" s="8">
        <f>SUMPRODUCT((raw!$A$2:$A$9876='2018-19_working'!$A$2)*(raw!$B$2:$B$9876='2018-19_working'!$A54)*(raw!$E$2:$E$9876='2018-19_working'!$T$6)*(raw!$F$2:$F$9876='2018-19_working'!Y$7)*(raw!$G$2:$G$9876))</f>
        <v>0</v>
      </c>
      <c r="Z54" s="8">
        <f>SUMPRODUCT((raw!$A$2:$A$9876='2018-19_working'!$A$2)*(raw!$B$2:$B$9876='2018-19_working'!$A54)*(raw!$E$2:$E$9876='2018-19_working'!$T$6)*(raw!$F$2:$F$9876='2018-19_working'!Z$7)*(raw!$G$2:$G$9876))</f>
        <v>0</v>
      </c>
      <c r="AA54" s="8">
        <f>SUMPRODUCT((raw!$A$2:$A$9876='2018-19_working'!$A$2)*(raw!$B$2:$B$9876='2018-19_working'!$A54)*(raw!$E$2:$E$9876='2018-19_working'!$T$6)*(raw!$F$2:$F$9876='2018-19_working'!AA$7)*(raw!$G$2:$G$9876))</f>
        <v>0</v>
      </c>
      <c r="AC54" s="8">
        <f>SUMPRODUCT((raw!$A$2:$A$9876='2018-19_working'!$A$2)*(raw!$B$2:$B$9876='2018-19_working'!$A54)*(raw!$E$2:$E$9876='2018-19_working'!$AC$6)*(raw!$F$2:$F$9876='2018-19_working'!AC$7)*(raw!$G$2:$G$9876))</f>
        <v>12</v>
      </c>
      <c r="AD54" s="8">
        <f>SUMPRODUCT((raw!$A$2:$A$9876='2018-19_working'!$A$2)*(raw!$B$2:$B$9876='2018-19_working'!$A54)*(raw!$E$2:$E$9876='2018-19_working'!$AC$6)*(raw!$F$2:$F$9876='2018-19_working'!AD$7)*(raw!$G$2:$G$9876))</f>
        <v>0</v>
      </c>
      <c r="AE54" s="8">
        <f>SUMPRODUCT((raw!$A$2:$A$9876='2018-19_working'!$A$2)*(raw!$B$2:$B$9876='2018-19_working'!$A54)*(raw!$E$2:$E$9876='2018-19_working'!$AC$6)*(raw!$F$2:$F$9876='2018-19_working'!AE$7)*(raw!$G$2:$G$9876))</f>
        <v>2</v>
      </c>
      <c r="AF54" s="8">
        <f>SUMPRODUCT((raw!$A$2:$A$9876='2018-19_working'!$A$2)*(raw!$B$2:$B$9876='2018-19_working'!$A54)*(raw!$E$2:$E$9876='2018-19_working'!$AC$6)*(raw!$F$2:$F$9876='2018-19_working'!AF$7)*(raw!$G$2:$G$9876))</f>
        <v>3</v>
      </c>
      <c r="AG54" s="8">
        <f>SUMPRODUCT((raw!$A$2:$A$9876='2018-19_working'!$A$2)*(raw!$B$2:$B$9876='2018-19_working'!$A54)*(raw!$E$2:$E$9876='2018-19_working'!$AC$6)*(raw!$F$2:$F$9876='2018-19_working'!AG$7)*(raw!$G$2:$G$9876))</f>
        <v>1</v>
      </c>
      <c r="AH54" s="8">
        <f>SUMPRODUCT((raw!$A$2:$A$9876='2018-19_working'!$A$2)*(raw!$B$2:$B$9876='2018-19_working'!$A54)*(raw!$E$2:$E$9876='2018-19_working'!$AC$6)*(raw!$F$2:$F$9876='2018-19_working'!AH$7)*(raw!$G$2:$G$9876))</f>
        <v>0</v>
      </c>
      <c r="AI54" s="8">
        <f>SUMPRODUCT((raw!$A$2:$A$9876='2018-19_working'!$A$2)*(raw!$B$2:$B$9876='2018-19_working'!$A54)*(raw!$E$2:$E$9876='2018-19_working'!$AC$6)*(raw!$F$2:$F$9876='2018-19_working'!AI$7)*(raw!$G$2:$G$9876))</f>
        <v>0</v>
      </c>
      <c r="AJ54" s="8">
        <f>SUMPRODUCT((raw!$A$2:$A$9876='2018-19_working'!$A$2)*(raw!$B$2:$B$9876='2018-19_working'!$A54)*(raw!$E$2:$E$9876='2018-19_working'!$AC$6)*(raw!$F$2:$F$9876='2018-19_working'!AJ$7)*(raw!$G$2:$G$9876))</f>
        <v>2</v>
      </c>
    </row>
    <row r="55" spans="1:36" x14ac:dyDescent="0.3">
      <c r="A55" s="8" t="s">
        <v>62</v>
      </c>
      <c r="B55" s="8">
        <f>SUMPRODUCT((raw!$A$2:$A$9876='2018-19_working'!$A$2)*(raw!$B$2:$B$9876='2018-19_working'!$A55)*(raw!$E$2:$E$9876='2018-19_working'!$B$6:$I$6)*(raw!$F$2:$F$9876='2018-19_working'!B$7)*(raw!$G$2:$G$9876))</f>
        <v>61</v>
      </c>
      <c r="C55" s="8">
        <f>SUMPRODUCT((raw!$A$2:$A$9876='2018-19_working'!$A$2)*(raw!$B$2:$B$9876='2018-19_working'!$A55)*(raw!$E$2:$E$9876='2018-19_working'!$B$6:$I$6)*(raw!$F$2:$F$9876='2018-19_working'!C$7)*(raw!$G$2:$G$9876))</f>
        <v>1</v>
      </c>
      <c r="D55" s="8">
        <f>SUMPRODUCT((raw!$A$2:$A$9876='2018-19_working'!$A$2)*(raw!$B$2:$B$9876='2018-19_working'!$A55)*(raw!$E$2:$E$9876='2018-19_working'!$B$6:$I$6)*(raw!$F$2:$F$9876='2018-19_working'!D$7)*(raw!$G$2:$G$9876))</f>
        <v>2</v>
      </c>
      <c r="E55" s="8">
        <f>SUMPRODUCT((raw!$A$2:$A$9876='2018-19_working'!$A$2)*(raw!$B$2:$B$9876='2018-19_working'!$A55)*(raw!$E$2:$E$9876='2018-19_working'!$B$6:$I$6)*(raw!$F$2:$F$9876='2018-19_working'!E$7)*(raw!$G$2:$G$9876))</f>
        <v>1</v>
      </c>
      <c r="F55" s="8">
        <f>SUMPRODUCT((raw!$A$2:$A$9876='2018-19_working'!$A$2)*(raw!$B$2:$B$9876='2018-19_working'!$A55)*(raw!$E$2:$E$9876='2018-19_working'!$B$6:$I$6)*(raw!$F$2:$F$9876='2018-19_working'!F$7)*(raw!$G$2:$G$9876))</f>
        <v>1</v>
      </c>
      <c r="G55" s="8">
        <f>SUMPRODUCT((raw!$A$2:$A$9876='2018-19_working'!$A$2)*(raw!$B$2:$B$9876='2018-19_working'!$A55)*(raw!$E$2:$E$9876='2018-19_working'!$B$6:$I$6)*(raw!$F$2:$F$9876='2018-19_working'!G$7)*(raw!$G$2:$G$9876))</f>
        <v>0</v>
      </c>
      <c r="H55" s="8">
        <f>SUMPRODUCT((raw!$A$2:$A$9876='2018-19_working'!$A$2)*(raw!$B$2:$B$9876='2018-19_working'!$A55)*(raw!$E$2:$E$9876='2018-19_working'!$B$6:$I$6)*(raw!$F$2:$F$9876='2018-19_working'!H$7)*(raw!$G$2:$G$9876))</f>
        <v>0</v>
      </c>
      <c r="I55" s="8">
        <f>SUMPRODUCT((raw!$A$2:$A$9876='2018-19_working'!$A$2)*(raw!$B$2:$B$9876='2018-19_working'!$A55)*(raw!$E$2:$E$9876='2018-19_working'!$B$6:$I$6)*(raw!$F$2:$F$9876='2018-19_working'!I$7)*(raw!$G$2:$G$9876))</f>
        <v>0</v>
      </c>
      <c r="K55" s="8">
        <f>SUMPRODUCT((raw!$A$2:$A$9876='2018-19_working'!$A$2)*(raw!$B$2:$B$9876='2018-19_working'!$A55)*(raw!$E$2:$E$9876='2018-19_working'!$K$6)*(raw!$F$2:$F$9876='2018-19_working'!K$7)*(raw!$G$2:$G$9876))</f>
        <v>19</v>
      </c>
      <c r="L55" s="8">
        <f>SUMPRODUCT((raw!$A$2:$A$9876='2018-19_working'!$A$2)*(raw!$B$2:$B$9876='2018-19_working'!$A55)*(raw!$E$2:$E$9876='2018-19_working'!$K$6)*(raw!$F$2:$F$9876='2018-19_working'!L$7)*(raw!$G$2:$G$9876))</f>
        <v>1</v>
      </c>
      <c r="M55" s="8">
        <f>SUMPRODUCT((raw!$A$2:$A$9876='2018-19_working'!$A$2)*(raw!$B$2:$B$9876='2018-19_working'!$A55)*(raw!$E$2:$E$9876='2018-19_working'!$K$6)*(raw!$F$2:$F$9876='2018-19_working'!M$7)*(raw!$G$2:$G$9876))</f>
        <v>0</v>
      </c>
      <c r="N55" s="8">
        <f>SUMPRODUCT((raw!$A$2:$A$9876='2018-19_working'!$A$2)*(raw!$B$2:$B$9876='2018-19_working'!$A55)*(raw!$E$2:$E$9876='2018-19_working'!$K$6)*(raw!$F$2:$F$9876='2018-19_working'!N$7)*(raw!$G$2:$G$9876))</f>
        <v>0</v>
      </c>
      <c r="O55" s="8">
        <f>SUMPRODUCT((raw!$A$2:$A$9876='2018-19_working'!$A$2)*(raw!$B$2:$B$9876='2018-19_working'!$A55)*(raw!$E$2:$E$9876='2018-19_working'!$K$6)*(raw!$F$2:$F$9876='2018-19_working'!O$7)*(raw!$G$2:$G$9876))</f>
        <v>2</v>
      </c>
      <c r="P55" s="8">
        <f>SUMPRODUCT((raw!$A$2:$A$9876='2018-19_working'!$A$2)*(raw!$B$2:$B$9876='2018-19_working'!$A55)*(raw!$E$2:$E$9876='2018-19_working'!$K$6)*(raw!$F$2:$F$9876='2018-19_working'!P$7)*(raw!$G$2:$G$9876))</f>
        <v>0</v>
      </c>
      <c r="Q55" s="8">
        <f>SUMPRODUCT((raw!$A$2:$A$9876='2018-19_working'!$A$2)*(raw!$B$2:$B$9876='2018-19_working'!$A55)*(raw!$E$2:$E$9876='2018-19_working'!$K$6)*(raw!$F$2:$F$9876='2018-19_working'!Q$7)*(raw!$G$2:$G$9876))</f>
        <v>0</v>
      </c>
      <c r="R55" s="8">
        <f>SUMPRODUCT((raw!$A$2:$A$9876='2018-19_working'!$A$2)*(raw!$B$2:$B$9876='2018-19_working'!$A55)*(raw!$E$2:$E$9876='2018-19_working'!$K$6)*(raw!$F$2:$F$9876='2018-19_working'!R$7)*(raw!$G$2:$G$9876))</f>
        <v>0</v>
      </c>
      <c r="T55" s="8">
        <f>SUMPRODUCT((raw!$A$2:$A$9876='2018-19_working'!$A$2)*(raw!$B$2:$B$9876='2018-19_working'!$A55)*(raw!$E$2:$E$9876='2018-19_working'!$T$6)*(raw!$F$2:$F$9876='2018-19_working'!T$7)*(raw!$G$2:$G$9876))</f>
        <v>4</v>
      </c>
      <c r="U55" s="8">
        <f>SUMPRODUCT((raw!$A$2:$A$9876='2018-19_working'!$A$2)*(raw!$B$2:$B$9876='2018-19_working'!$A55)*(raw!$E$2:$E$9876='2018-19_working'!$T$6)*(raw!$F$2:$F$9876='2018-19_working'!U$7)*(raw!$G$2:$G$9876))</f>
        <v>0</v>
      </c>
      <c r="V55" s="8">
        <f>SUMPRODUCT((raw!$A$2:$A$9876='2018-19_working'!$A$2)*(raw!$B$2:$B$9876='2018-19_working'!$A55)*(raw!$E$2:$E$9876='2018-19_working'!$T$6)*(raw!$F$2:$F$9876='2018-19_working'!V$7)*(raw!$G$2:$G$9876))</f>
        <v>1</v>
      </c>
      <c r="W55" s="8">
        <f>SUMPRODUCT((raw!$A$2:$A$9876='2018-19_working'!$A$2)*(raw!$B$2:$B$9876='2018-19_working'!$A55)*(raw!$E$2:$E$9876='2018-19_working'!$T$6)*(raw!$F$2:$F$9876='2018-19_working'!W$7)*(raw!$G$2:$G$9876))</f>
        <v>0</v>
      </c>
      <c r="X55" s="8">
        <f>SUMPRODUCT((raw!$A$2:$A$9876='2018-19_working'!$A$2)*(raw!$B$2:$B$9876='2018-19_working'!$A55)*(raw!$E$2:$E$9876='2018-19_working'!$T$6)*(raw!$F$2:$F$9876='2018-19_working'!X$7)*(raw!$G$2:$G$9876))</f>
        <v>0</v>
      </c>
      <c r="Y55" s="8">
        <f>SUMPRODUCT((raw!$A$2:$A$9876='2018-19_working'!$A$2)*(raw!$B$2:$B$9876='2018-19_working'!$A55)*(raw!$E$2:$E$9876='2018-19_working'!$T$6)*(raw!$F$2:$F$9876='2018-19_working'!Y$7)*(raw!$G$2:$G$9876))</f>
        <v>0</v>
      </c>
      <c r="Z55" s="8">
        <f>SUMPRODUCT((raw!$A$2:$A$9876='2018-19_working'!$A$2)*(raw!$B$2:$B$9876='2018-19_working'!$A55)*(raw!$E$2:$E$9876='2018-19_working'!$T$6)*(raw!$F$2:$F$9876='2018-19_working'!Z$7)*(raw!$G$2:$G$9876))</f>
        <v>0</v>
      </c>
      <c r="AA55" s="8">
        <f>SUMPRODUCT((raw!$A$2:$A$9876='2018-19_working'!$A$2)*(raw!$B$2:$B$9876='2018-19_working'!$A55)*(raw!$E$2:$E$9876='2018-19_working'!$T$6)*(raw!$F$2:$F$9876='2018-19_working'!AA$7)*(raw!$G$2:$G$9876))</f>
        <v>0</v>
      </c>
      <c r="AC55" s="8">
        <f>SUMPRODUCT((raw!$A$2:$A$9876='2018-19_working'!$A$2)*(raw!$B$2:$B$9876='2018-19_working'!$A55)*(raw!$E$2:$E$9876='2018-19_working'!$AC$6)*(raw!$F$2:$F$9876='2018-19_working'!AC$7)*(raw!$G$2:$G$9876))</f>
        <v>33</v>
      </c>
      <c r="AD55" s="8">
        <f>SUMPRODUCT((raw!$A$2:$A$9876='2018-19_working'!$A$2)*(raw!$B$2:$B$9876='2018-19_working'!$A55)*(raw!$E$2:$E$9876='2018-19_working'!$AC$6)*(raw!$F$2:$F$9876='2018-19_working'!AD$7)*(raw!$G$2:$G$9876))</f>
        <v>0</v>
      </c>
      <c r="AE55" s="8">
        <f>SUMPRODUCT((raw!$A$2:$A$9876='2018-19_working'!$A$2)*(raw!$B$2:$B$9876='2018-19_working'!$A55)*(raw!$E$2:$E$9876='2018-19_working'!$AC$6)*(raw!$F$2:$F$9876='2018-19_working'!AE$7)*(raw!$G$2:$G$9876))</f>
        <v>0</v>
      </c>
      <c r="AF55" s="8">
        <f>SUMPRODUCT((raw!$A$2:$A$9876='2018-19_working'!$A$2)*(raw!$B$2:$B$9876='2018-19_working'!$A55)*(raw!$E$2:$E$9876='2018-19_working'!$AC$6)*(raw!$F$2:$F$9876='2018-19_working'!AF$7)*(raw!$G$2:$G$9876))</f>
        <v>6</v>
      </c>
      <c r="AG55" s="8">
        <f>SUMPRODUCT((raw!$A$2:$A$9876='2018-19_working'!$A$2)*(raw!$B$2:$B$9876='2018-19_working'!$A55)*(raw!$E$2:$E$9876='2018-19_working'!$AC$6)*(raw!$F$2:$F$9876='2018-19_working'!AG$7)*(raw!$G$2:$G$9876))</f>
        <v>1</v>
      </c>
      <c r="AH55" s="8">
        <f>SUMPRODUCT((raw!$A$2:$A$9876='2018-19_working'!$A$2)*(raw!$B$2:$B$9876='2018-19_working'!$A55)*(raw!$E$2:$E$9876='2018-19_working'!$AC$6)*(raw!$F$2:$F$9876='2018-19_working'!AH$7)*(raw!$G$2:$G$9876))</f>
        <v>0</v>
      </c>
      <c r="AI55" s="8">
        <f>SUMPRODUCT((raw!$A$2:$A$9876='2018-19_working'!$A$2)*(raw!$B$2:$B$9876='2018-19_working'!$A55)*(raw!$E$2:$E$9876='2018-19_working'!$AC$6)*(raw!$F$2:$F$9876='2018-19_working'!AI$7)*(raw!$G$2:$G$9876))</f>
        <v>0</v>
      </c>
      <c r="AJ55" s="8">
        <f>SUMPRODUCT((raw!$A$2:$A$9876='2018-19_working'!$A$2)*(raw!$B$2:$B$9876='2018-19_working'!$A55)*(raw!$E$2:$E$9876='2018-19_working'!$AC$6)*(raw!$F$2:$F$9876='2018-19_working'!AJ$7)*(raw!$G$2:$G$9876))</f>
        <v>4</v>
      </c>
    </row>
    <row r="56" spans="1:36" x14ac:dyDescent="0.3">
      <c r="A56" s="8" t="s">
        <v>63</v>
      </c>
      <c r="B56" s="8">
        <f>SUMPRODUCT((raw!$A$2:$A$9876='2018-19_working'!$A$2)*(raw!$B$2:$B$9876='2018-19_working'!$A56)*(raw!$E$2:$E$9876='2018-19_working'!$B$6:$I$6)*(raw!$F$2:$F$9876='2018-19_working'!B$7)*(raw!$G$2:$G$9876))</f>
        <v>358</v>
      </c>
      <c r="C56" s="8">
        <f>SUMPRODUCT((raw!$A$2:$A$9876='2018-19_working'!$A$2)*(raw!$B$2:$B$9876='2018-19_working'!$A56)*(raw!$E$2:$E$9876='2018-19_working'!$B$6:$I$6)*(raw!$F$2:$F$9876='2018-19_working'!C$7)*(raw!$G$2:$G$9876))</f>
        <v>19</v>
      </c>
      <c r="D56" s="8">
        <f>SUMPRODUCT((raw!$A$2:$A$9876='2018-19_working'!$A$2)*(raw!$B$2:$B$9876='2018-19_working'!$A56)*(raw!$E$2:$E$9876='2018-19_working'!$B$6:$I$6)*(raw!$F$2:$F$9876='2018-19_working'!D$7)*(raw!$G$2:$G$9876))</f>
        <v>18</v>
      </c>
      <c r="E56" s="8">
        <f>SUMPRODUCT((raw!$A$2:$A$9876='2018-19_working'!$A$2)*(raw!$B$2:$B$9876='2018-19_working'!$A56)*(raw!$E$2:$E$9876='2018-19_working'!$B$6:$I$6)*(raw!$F$2:$F$9876='2018-19_working'!E$7)*(raw!$G$2:$G$9876))</f>
        <v>2</v>
      </c>
      <c r="F56" s="8">
        <f>SUMPRODUCT((raw!$A$2:$A$9876='2018-19_working'!$A$2)*(raw!$B$2:$B$9876='2018-19_working'!$A56)*(raw!$E$2:$E$9876='2018-19_working'!$B$6:$I$6)*(raw!$F$2:$F$9876='2018-19_working'!F$7)*(raw!$G$2:$G$9876))</f>
        <v>11</v>
      </c>
      <c r="G56" s="8">
        <f>SUMPRODUCT((raw!$A$2:$A$9876='2018-19_working'!$A$2)*(raw!$B$2:$B$9876='2018-19_working'!$A56)*(raw!$E$2:$E$9876='2018-19_working'!$B$6:$I$6)*(raw!$F$2:$F$9876='2018-19_working'!G$7)*(raw!$G$2:$G$9876))</f>
        <v>1</v>
      </c>
      <c r="H56" s="8">
        <f>SUMPRODUCT((raw!$A$2:$A$9876='2018-19_working'!$A$2)*(raw!$B$2:$B$9876='2018-19_working'!$A56)*(raw!$E$2:$E$9876='2018-19_working'!$B$6:$I$6)*(raw!$F$2:$F$9876='2018-19_working'!H$7)*(raw!$G$2:$G$9876))</f>
        <v>7</v>
      </c>
      <c r="I56" s="8">
        <f>SUMPRODUCT((raw!$A$2:$A$9876='2018-19_working'!$A$2)*(raw!$B$2:$B$9876='2018-19_working'!$A56)*(raw!$E$2:$E$9876='2018-19_working'!$B$6:$I$6)*(raw!$F$2:$F$9876='2018-19_working'!I$7)*(raw!$G$2:$G$9876))</f>
        <v>12</v>
      </c>
      <c r="K56" s="8">
        <f>SUMPRODUCT((raw!$A$2:$A$9876='2018-19_working'!$A$2)*(raw!$B$2:$B$9876='2018-19_working'!$A56)*(raw!$E$2:$E$9876='2018-19_working'!$K$6)*(raw!$F$2:$F$9876='2018-19_working'!K$7)*(raw!$G$2:$G$9876))</f>
        <v>0</v>
      </c>
      <c r="L56" s="8">
        <f>SUMPRODUCT((raw!$A$2:$A$9876='2018-19_working'!$A$2)*(raw!$B$2:$B$9876='2018-19_working'!$A56)*(raw!$E$2:$E$9876='2018-19_working'!$K$6)*(raw!$F$2:$F$9876='2018-19_working'!L$7)*(raw!$G$2:$G$9876))</f>
        <v>0</v>
      </c>
      <c r="M56" s="8">
        <f>SUMPRODUCT((raw!$A$2:$A$9876='2018-19_working'!$A$2)*(raw!$B$2:$B$9876='2018-19_working'!$A56)*(raw!$E$2:$E$9876='2018-19_working'!$K$6)*(raw!$F$2:$F$9876='2018-19_working'!M$7)*(raw!$G$2:$G$9876))</f>
        <v>0</v>
      </c>
      <c r="N56" s="8">
        <f>SUMPRODUCT((raw!$A$2:$A$9876='2018-19_working'!$A$2)*(raw!$B$2:$B$9876='2018-19_working'!$A56)*(raw!$E$2:$E$9876='2018-19_working'!$K$6)*(raw!$F$2:$F$9876='2018-19_working'!N$7)*(raw!$G$2:$G$9876))</f>
        <v>0</v>
      </c>
      <c r="O56" s="8">
        <f>SUMPRODUCT((raw!$A$2:$A$9876='2018-19_working'!$A$2)*(raw!$B$2:$B$9876='2018-19_working'!$A56)*(raw!$E$2:$E$9876='2018-19_working'!$K$6)*(raw!$F$2:$F$9876='2018-19_working'!O$7)*(raw!$G$2:$G$9876))</f>
        <v>0</v>
      </c>
      <c r="P56" s="8">
        <f>SUMPRODUCT((raw!$A$2:$A$9876='2018-19_working'!$A$2)*(raw!$B$2:$B$9876='2018-19_working'!$A56)*(raw!$E$2:$E$9876='2018-19_working'!$K$6)*(raw!$F$2:$F$9876='2018-19_working'!P$7)*(raw!$G$2:$G$9876))</f>
        <v>0</v>
      </c>
      <c r="Q56" s="8">
        <f>SUMPRODUCT((raw!$A$2:$A$9876='2018-19_working'!$A$2)*(raw!$B$2:$B$9876='2018-19_working'!$A56)*(raw!$E$2:$E$9876='2018-19_working'!$K$6)*(raw!$F$2:$F$9876='2018-19_working'!Q$7)*(raw!$G$2:$G$9876))</f>
        <v>0</v>
      </c>
      <c r="R56" s="8">
        <f>SUMPRODUCT((raw!$A$2:$A$9876='2018-19_working'!$A$2)*(raw!$B$2:$B$9876='2018-19_working'!$A56)*(raw!$E$2:$E$9876='2018-19_working'!$K$6)*(raw!$F$2:$F$9876='2018-19_working'!R$7)*(raw!$G$2:$G$9876))</f>
        <v>0</v>
      </c>
      <c r="T56" s="8">
        <f>SUMPRODUCT((raw!$A$2:$A$9876='2018-19_working'!$A$2)*(raw!$B$2:$B$9876='2018-19_working'!$A56)*(raw!$E$2:$E$9876='2018-19_working'!$T$6)*(raw!$F$2:$F$9876='2018-19_working'!T$7)*(raw!$G$2:$G$9876))</f>
        <v>5</v>
      </c>
      <c r="U56" s="8">
        <f>SUMPRODUCT((raw!$A$2:$A$9876='2018-19_working'!$A$2)*(raw!$B$2:$B$9876='2018-19_working'!$A56)*(raw!$E$2:$E$9876='2018-19_working'!$T$6)*(raw!$F$2:$F$9876='2018-19_working'!U$7)*(raw!$G$2:$G$9876))</f>
        <v>0</v>
      </c>
      <c r="V56" s="8">
        <f>SUMPRODUCT((raw!$A$2:$A$9876='2018-19_working'!$A$2)*(raw!$B$2:$B$9876='2018-19_working'!$A56)*(raw!$E$2:$E$9876='2018-19_working'!$T$6)*(raw!$F$2:$F$9876='2018-19_working'!V$7)*(raw!$G$2:$G$9876))</f>
        <v>0</v>
      </c>
      <c r="W56" s="8">
        <f>SUMPRODUCT((raw!$A$2:$A$9876='2018-19_working'!$A$2)*(raw!$B$2:$B$9876='2018-19_working'!$A56)*(raw!$E$2:$E$9876='2018-19_working'!$T$6)*(raw!$F$2:$F$9876='2018-19_working'!W$7)*(raw!$G$2:$G$9876))</f>
        <v>0</v>
      </c>
      <c r="X56" s="8">
        <f>SUMPRODUCT((raw!$A$2:$A$9876='2018-19_working'!$A$2)*(raw!$B$2:$B$9876='2018-19_working'!$A56)*(raw!$E$2:$E$9876='2018-19_working'!$T$6)*(raw!$F$2:$F$9876='2018-19_working'!X$7)*(raw!$G$2:$G$9876))</f>
        <v>0</v>
      </c>
      <c r="Y56" s="8">
        <f>SUMPRODUCT((raw!$A$2:$A$9876='2018-19_working'!$A$2)*(raw!$B$2:$B$9876='2018-19_working'!$A56)*(raw!$E$2:$E$9876='2018-19_working'!$T$6)*(raw!$F$2:$F$9876='2018-19_working'!Y$7)*(raw!$G$2:$G$9876))</f>
        <v>0</v>
      </c>
      <c r="Z56" s="8">
        <f>SUMPRODUCT((raw!$A$2:$A$9876='2018-19_working'!$A$2)*(raw!$B$2:$B$9876='2018-19_working'!$A56)*(raw!$E$2:$E$9876='2018-19_working'!$T$6)*(raw!$F$2:$F$9876='2018-19_working'!Z$7)*(raw!$G$2:$G$9876))</f>
        <v>0</v>
      </c>
      <c r="AA56" s="8">
        <f>SUMPRODUCT((raw!$A$2:$A$9876='2018-19_working'!$A$2)*(raw!$B$2:$B$9876='2018-19_working'!$A56)*(raw!$E$2:$E$9876='2018-19_working'!$T$6)*(raw!$F$2:$F$9876='2018-19_working'!AA$7)*(raw!$G$2:$G$9876))</f>
        <v>0</v>
      </c>
      <c r="AC56" s="8">
        <f>SUMPRODUCT((raw!$A$2:$A$9876='2018-19_working'!$A$2)*(raw!$B$2:$B$9876='2018-19_working'!$A56)*(raw!$E$2:$E$9876='2018-19_working'!$AC$6)*(raw!$F$2:$F$9876='2018-19_working'!AC$7)*(raw!$G$2:$G$9876))</f>
        <v>67</v>
      </c>
      <c r="AD56" s="8">
        <f>SUMPRODUCT((raw!$A$2:$A$9876='2018-19_working'!$A$2)*(raw!$B$2:$B$9876='2018-19_working'!$A56)*(raw!$E$2:$E$9876='2018-19_working'!$AC$6)*(raw!$F$2:$F$9876='2018-19_working'!AD$7)*(raw!$G$2:$G$9876))</f>
        <v>3</v>
      </c>
      <c r="AE56" s="8">
        <f>SUMPRODUCT((raw!$A$2:$A$9876='2018-19_working'!$A$2)*(raw!$B$2:$B$9876='2018-19_working'!$A56)*(raw!$E$2:$E$9876='2018-19_working'!$AC$6)*(raw!$F$2:$F$9876='2018-19_working'!AE$7)*(raw!$G$2:$G$9876))</f>
        <v>4</v>
      </c>
      <c r="AF56" s="8">
        <f>SUMPRODUCT((raw!$A$2:$A$9876='2018-19_working'!$A$2)*(raw!$B$2:$B$9876='2018-19_working'!$A56)*(raw!$E$2:$E$9876='2018-19_working'!$AC$6)*(raw!$F$2:$F$9876='2018-19_working'!AF$7)*(raw!$G$2:$G$9876))</f>
        <v>7</v>
      </c>
      <c r="AG56" s="8">
        <f>SUMPRODUCT((raw!$A$2:$A$9876='2018-19_working'!$A$2)*(raw!$B$2:$B$9876='2018-19_working'!$A56)*(raw!$E$2:$E$9876='2018-19_working'!$AC$6)*(raw!$F$2:$F$9876='2018-19_working'!AG$7)*(raw!$G$2:$G$9876))</f>
        <v>14</v>
      </c>
      <c r="AH56" s="8">
        <f>SUMPRODUCT((raw!$A$2:$A$9876='2018-19_working'!$A$2)*(raw!$B$2:$B$9876='2018-19_working'!$A56)*(raw!$E$2:$E$9876='2018-19_working'!$AC$6)*(raw!$F$2:$F$9876='2018-19_working'!AH$7)*(raw!$G$2:$G$9876))</f>
        <v>1</v>
      </c>
      <c r="AI56" s="8">
        <f>SUMPRODUCT((raw!$A$2:$A$9876='2018-19_working'!$A$2)*(raw!$B$2:$B$9876='2018-19_working'!$A56)*(raw!$E$2:$E$9876='2018-19_working'!$AC$6)*(raw!$F$2:$F$9876='2018-19_working'!AI$7)*(raw!$G$2:$G$9876))</f>
        <v>9</v>
      </c>
      <c r="AJ56" s="8">
        <f>SUMPRODUCT((raw!$A$2:$A$9876='2018-19_working'!$A$2)*(raw!$B$2:$B$9876='2018-19_working'!$A56)*(raw!$E$2:$E$9876='2018-19_working'!$AC$6)*(raw!$F$2:$F$9876='2018-19_working'!AJ$7)*(raw!$G$2:$G$9876))</f>
        <v>3</v>
      </c>
    </row>
  </sheetData>
  <mergeCells count="5">
    <mergeCell ref="A1:O1"/>
    <mergeCell ref="B6:I6"/>
    <mergeCell ref="K6:R6"/>
    <mergeCell ref="T6:AA6"/>
    <mergeCell ref="AC6:AJ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9D97B-8069-4AC4-9385-876D87303AC3}">
  <sheetPr codeName="Sheet11"/>
  <dimension ref="A1:AJ56"/>
  <sheetViews>
    <sheetView workbookViewId="0">
      <pane xSplit="1" ySplit="7" topLeftCell="B38" activePane="bottomRight" state="frozen"/>
      <selection pane="topRight" activeCell="B1" sqref="B1"/>
      <selection pane="bottomLeft" activeCell="A8" sqref="A8"/>
      <selection pane="bottomRight" activeCell="B28" sqref="B28"/>
    </sheetView>
  </sheetViews>
  <sheetFormatPr defaultColWidth="9.21875" defaultRowHeight="14.4" x14ac:dyDescent="0.3"/>
  <cols>
    <col min="1" max="1" width="41.5546875" style="8" bestFit="1" customWidth="1"/>
    <col min="2" max="16384" width="9.21875" style="8"/>
  </cols>
  <sheetData>
    <row r="1" spans="1:36" customFormat="1" ht="17.399999999999999" x14ac:dyDescent="0.45">
      <c r="A1" s="154" t="s">
        <v>175</v>
      </c>
      <c r="B1" s="154"/>
      <c r="C1" s="154"/>
      <c r="D1" s="154"/>
      <c r="E1" s="154"/>
      <c r="F1" s="154"/>
      <c r="G1" s="154"/>
      <c r="H1" s="154"/>
      <c r="I1" s="154"/>
      <c r="J1" s="154"/>
      <c r="K1" s="154"/>
      <c r="L1" s="154"/>
      <c r="M1" s="154"/>
      <c r="N1" s="154"/>
      <c r="O1" s="154"/>
    </row>
    <row r="2" spans="1:36" x14ac:dyDescent="0.3">
      <c r="A2" s="8">
        <v>2020</v>
      </c>
    </row>
    <row r="6" spans="1:36" x14ac:dyDescent="0.3">
      <c r="B6" s="155" t="s">
        <v>91</v>
      </c>
      <c r="C6" s="155"/>
      <c r="D6" s="155"/>
      <c r="E6" s="155"/>
      <c r="F6" s="155"/>
      <c r="G6" s="155"/>
      <c r="H6" s="155"/>
      <c r="I6" s="155"/>
      <c r="K6" s="155" t="s">
        <v>108</v>
      </c>
      <c r="L6" s="155"/>
      <c r="M6" s="155"/>
      <c r="N6" s="155"/>
      <c r="O6" s="155"/>
      <c r="P6" s="155"/>
      <c r="Q6" s="155"/>
      <c r="R6" s="155"/>
      <c r="T6" s="155" t="s">
        <v>3</v>
      </c>
      <c r="U6" s="155"/>
      <c r="V6" s="155"/>
      <c r="W6" s="155"/>
      <c r="X6" s="155"/>
      <c r="Y6" s="155"/>
      <c r="Z6" s="155"/>
      <c r="AA6" s="155"/>
      <c r="AC6" s="155" t="s">
        <v>4</v>
      </c>
      <c r="AD6" s="155"/>
      <c r="AE6" s="155"/>
      <c r="AF6" s="155"/>
      <c r="AG6" s="155"/>
      <c r="AH6" s="155"/>
      <c r="AI6" s="155"/>
      <c r="AJ6" s="155"/>
    </row>
    <row r="7" spans="1:36" ht="77.25" customHeight="1" thickBot="1" x14ac:dyDescent="0.35">
      <c r="A7" s="92" t="s">
        <v>6</v>
      </c>
      <c r="B7" s="93" t="s">
        <v>7</v>
      </c>
      <c r="C7" s="93" t="s">
        <v>114</v>
      </c>
      <c r="D7" s="93" t="s">
        <v>8</v>
      </c>
      <c r="E7" s="93" t="s">
        <v>115</v>
      </c>
      <c r="F7" s="93" t="s">
        <v>116</v>
      </c>
      <c r="G7" s="93" t="s">
        <v>80</v>
      </c>
      <c r="H7" s="93" t="s">
        <v>117</v>
      </c>
      <c r="I7" s="93" t="s">
        <v>176</v>
      </c>
      <c r="J7" s="93"/>
      <c r="K7" s="93" t="s">
        <v>7</v>
      </c>
      <c r="L7" s="93" t="s">
        <v>114</v>
      </c>
      <c r="M7" s="93" t="s">
        <v>8</v>
      </c>
      <c r="N7" s="93" t="s">
        <v>115</v>
      </c>
      <c r="O7" s="93" t="s">
        <v>116</v>
      </c>
      <c r="P7" s="93" t="s">
        <v>80</v>
      </c>
      <c r="Q7" s="93" t="s">
        <v>117</v>
      </c>
      <c r="R7" s="93" t="s">
        <v>176</v>
      </c>
      <c r="S7" s="93"/>
      <c r="T7" s="93" t="s">
        <v>7</v>
      </c>
      <c r="U7" s="93" t="s">
        <v>114</v>
      </c>
      <c r="V7" s="93" t="s">
        <v>8</v>
      </c>
      <c r="W7" s="93" t="s">
        <v>115</v>
      </c>
      <c r="X7" s="93" t="s">
        <v>116</v>
      </c>
      <c r="Y7" s="93" t="s">
        <v>80</v>
      </c>
      <c r="Z7" s="93" t="s">
        <v>117</v>
      </c>
      <c r="AA7" s="93" t="s">
        <v>176</v>
      </c>
      <c r="AB7" s="93"/>
      <c r="AC7" s="93" t="s">
        <v>7</v>
      </c>
      <c r="AD7" s="93" t="s">
        <v>114</v>
      </c>
      <c r="AE7" s="93" t="s">
        <v>8</v>
      </c>
      <c r="AF7" s="93" t="s">
        <v>115</v>
      </c>
      <c r="AG7" s="93" t="s">
        <v>116</v>
      </c>
      <c r="AH7" s="93" t="s">
        <v>80</v>
      </c>
      <c r="AI7" s="93" t="s">
        <v>117</v>
      </c>
      <c r="AJ7" s="93" t="s">
        <v>176</v>
      </c>
    </row>
    <row r="8" spans="1:36" x14ac:dyDescent="0.3">
      <c r="A8" s="8" t="s">
        <v>15</v>
      </c>
      <c r="B8" s="8">
        <f>SUM(B9,B49)</f>
        <v>936</v>
      </c>
      <c r="C8" s="8">
        <f t="shared" ref="C8:I8" si="0">SUM(C9,C49)</f>
        <v>22</v>
      </c>
      <c r="D8" s="8">
        <f t="shared" si="0"/>
        <v>51</v>
      </c>
      <c r="E8" s="8">
        <f t="shared" si="0"/>
        <v>10</v>
      </c>
      <c r="F8" s="8">
        <f t="shared" si="0"/>
        <v>24</v>
      </c>
      <c r="G8" s="8">
        <f t="shared" si="0"/>
        <v>3</v>
      </c>
      <c r="H8" s="8">
        <f t="shared" si="0"/>
        <v>11</v>
      </c>
      <c r="I8" s="8">
        <f t="shared" si="0"/>
        <v>175</v>
      </c>
      <c r="K8" s="8">
        <f t="shared" ref="K8:R8" si="1">SUM(K9,K49)</f>
        <v>1098</v>
      </c>
      <c r="L8" s="8">
        <f t="shared" si="1"/>
        <v>41</v>
      </c>
      <c r="M8" s="8">
        <f t="shared" si="1"/>
        <v>10</v>
      </c>
      <c r="N8" s="8">
        <f t="shared" si="1"/>
        <v>3</v>
      </c>
      <c r="O8" s="8">
        <f t="shared" si="1"/>
        <v>5</v>
      </c>
      <c r="P8" s="8">
        <f t="shared" si="1"/>
        <v>0</v>
      </c>
      <c r="Q8" s="8">
        <f t="shared" si="1"/>
        <v>6</v>
      </c>
      <c r="R8" s="8">
        <f t="shared" si="1"/>
        <v>450</v>
      </c>
      <c r="T8" s="8">
        <f t="shared" ref="T8:AA8" si="2">SUM(T9,T49)</f>
        <v>99</v>
      </c>
      <c r="U8" s="8">
        <f t="shared" si="2"/>
        <v>2</v>
      </c>
      <c r="V8" s="8">
        <f t="shared" si="2"/>
        <v>1</v>
      </c>
      <c r="W8" s="8">
        <f t="shared" si="2"/>
        <v>1</v>
      </c>
      <c r="X8" s="8">
        <f t="shared" si="2"/>
        <v>1</v>
      </c>
      <c r="Y8" s="8">
        <f t="shared" si="2"/>
        <v>0</v>
      </c>
      <c r="Z8" s="8">
        <f t="shared" si="2"/>
        <v>1</v>
      </c>
      <c r="AA8" s="8">
        <f t="shared" si="2"/>
        <v>14</v>
      </c>
      <c r="AC8" s="8">
        <f t="shared" ref="AC8:AJ8" si="3">SUM(AC9,AC49)</f>
        <v>720</v>
      </c>
      <c r="AD8" s="8">
        <f t="shared" si="3"/>
        <v>29</v>
      </c>
      <c r="AE8" s="8">
        <f t="shared" si="3"/>
        <v>16</v>
      </c>
      <c r="AF8" s="8">
        <f t="shared" si="3"/>
        <v>26</v>
      </c>
      <c r="AG8" s="8">
        <f t="shared" si="3"/>
        <v>28</v>
      </c>
      <c r="AH8" s="8">
        <f t="shared" si="3"/>
        <v>0</v>
      </c>
      <c r="AI8" s="8">
        <f t="shared" si="3"/>
        <v>6</v>
      </c>
      <c r="AJ8" s="8">
        <f t="shared" si="3"/>
        <v>259</v>
      </c>
    </row>
    <row r="9" spans="1:36" x14ac:dyDescent="0.3">
      <c r="A9" s="8" t="s">
        <v>16</v>
      </c>
      <c r="B9" s="8">
        <f>SUM(B10:B48)</f>
        <v>486</v>
      </c>
      <c r="C9" s="8">
        <f t="shared" ref="C9:I9" si="4">SUM(C10:C48)</f>
        <v>11</v>
      </c>
      <c r="D9" s="8">
        <f t="shared" si="4"/>
        <v>20</v>
      </c>
      <c r="E9" s="8">
        <f t="shared" si="4"/>
        <v>3</v>
      </c>
      <c r="F9" s="8">
        <f t="shared" si="4"/>
        <v>4</v>
      </c>
      <c r="G9" s="8">
        <f t="shared" si="4"/>
        <v>1</v>
      </c>
      <c r="H9" s="8">
        <f t="shared" si="4"/>
        <v>1</v>
      </c>
      <c r="I9" s="8">
        <f t="shared" si="4"/>
        <v>140</v>
      </c>
      <c r="K9" s="8">
        <f t="shared" ref="K9:R9" si="5">SUM(K10:K48)</f>
        <v>1024</v>
      </c>
      <c r="L9" s="8">
        <f t="shared" si="5"/>
        <v>41</v>
      </c>
      <c r="M9" s="8">
        <f t="shared" si="5"/>
        <v>9</v>
      </c>
      <c r="N9" s="8">
        <f t="shared" si="5"/>
        <v>3</v>
      </c>
      <c r="O9" s="8">
        <f t="shared" si="5"/>
        <v>5</v>
      </c>
      <c r="P9" s="8">
        <f t="shared" si="5"/>
        <v>0</v>
      </c>
      <c r="Q9" s="8">
        <f t="shared" si="5"/>
        <v>6</v>
      </c>
      <c r="R9" s="8">
        <f t="shared" si="5"/>
        <v>446</v>
      </c>
      <c r="T9" s="8">
        <f t="shared" ref="T9:AA9" si="6">SUM(T10:T48)</f>
        <v>74</v>
      </c>
      <c r="U9" s="8">
        <f t="shared" si="6"/>
        <v>2</v>
      </c>
      <c r="V9" s="8">
        <f t="shared" si="6"/>
        <v>0</v>
      </c>
      <c r="W9" s="8">
        <f t="shared" si="6"/>
        <v>1</v>
      </c>
      <c r="X9" s="8">
        <f t="shared" si="6"/>
        <v>0</v>
      </c>
      <c r="Y9" s="8">
        <f t="shared" si="6"/>
        <v>0</v>
      </c>
      <c r="Z9" s="8">
        <f t="shared" si="6"/>
        <v>0</v>
      </c>
      <c r="AA9" s="8">
        <f t="shared" si="6"/>
        <v>11</v>
      </c>
      <c r="AC9" s="8">
        <f t="shared" ref="AC9:AJ9" si="7">SUM(AC10:AC48)</f>
        <v>545</v>
      </c>
      <c r="AD9" s="8">
        <f t="shared" si="7"/>
        <v>22</v>
      </c>
      <c r="AE9" s="8">
        <f t="shared" si="7"/>
        <v>11</v>
      </c>
      <c r="AF9" s="8">
        <f t="shared" si="7"/>
        <v>12</v>
      </c>
      <c r="AG9" s="8">
        <f t="shared" si="7"/>
        <v>9</v>
      </c>
      <c r="AH9" s="8">
        <f t="shared" si="7"/>
        <v>0</v>
      </c>
      <c r="AI9" s="8">
        <f t="shared" si="7"/>
        <v>2</v>
      </c>
      <c r="AJ9" s="8">
        <f t="shared" si="7"/>
        <v>237</v>
      </c>
    </row>
    <row r="10" spans="1:36" x14ac:dyDescent="0.3">
      <c r="A10" s="8" t="s">
        <v>17</v>
      </c>
      <c r="B10" s="8">
        <f>SUMPRODUCT((raw!$A$2:$A$9876='2019-20_working'!$A$2)*(raw!$B$2:$B$9876='2019-20_working'!$A10)*(raw!$E$2:$E$9876='2019-20_working'!$B$6:$I$6)*(raw!$F$2:$F$9876='2019-20_working'!B$7)*(raw!$G$2:$G$9876))</f>
        <v>18</v>
      </c>
      <c r="C10" s="8">
        <f>SUMPRODUCT((raw!$A$2:$A$9876='2019-20_working'!$A$2)*(raw!$B$2:$B$9876='2019-20_working'!$A10)*(raw!$E$2:$E$9876='2019-20_working'!$B$6:$I$6)*(raw!$F$2:$F$9876='2019-20_working'!C$7)*(raw!$G$2:$G$9876))</f>
        <v>0</v>
      </c>
      <c r="D10" s="8">
        <f>SUMPRODUCT((raw!$A$2:$A$9876='2019-20_working'!$A$2)*(raw!$B$2:$B$9876='2019-20_working'!$A10)*(raw!$E$2:$E$9876='2019-20_working'!$B$6:$I$6)*(raw!$F$2:$F$9876='2019-20_working'!D$7)*(raw!$G$2:$G$9876))</f>
        <v>0</v>
      </c>
      <c r="E10" s="8">
        <f>SUMPRODUCT((raw!$A$2:$A$9876='2019-20_working'!$A$2)*(raw!$B$2:$B$9876='2019-20_working'!$A10)*(raw!$E$2:$E$9876='2019-20_working'!$B$6:$I$6)*(raw!$F$2:$F$9876='2019-20_working'!E$7)*(raw!$G$2:$G$9876))</f>
        <v>0</v>
      </c>
      <c r="F10" s="8">
        <f>SUMPRODUCT((raw!$A$2:$A$9876='2019-20_working'!$A$2)*(raw!$B$2:$B$9876='2019-20_working'!$A10)*(raw!$E$2:$E$9876='2019-20_working'!$B$6:$I$6)*(raw!$F$2:$F$9876='2019-20_working'!F$7)*(raw!$G$2:$G$9876))</f>
        <v>0</v>
      </c>
      <c r="G10" s="8">
        <f>SUMPRODUCT((raw!$A$2:$A$9876='2019-20_working'!$A$2)*(raw!$B$2:$B$9876='2019-20_working'!$A10)*(raw!$E$2:$E$9876='2019-20_working'!$B$6:$I$6)*(raw!$F$2:$F$9876='2019-20_working'!G$7)*(raw!$G$2:$G$9876))</f>
        <v>0</v>
      </c>
      <c r="H10" s="8">
        <f>SUMPRODUCT((raw!$A$2:$A$9876='2019-20_working'!$A$2)*(raw!$B$2:$B$9876='2019-20_working'!$A10)*(raw!$E$2:$E$9876='2019-20_working'!$B$6:$I$6)*(raw!$F$2:$F$9876='2019-20_working'!H$7)*(raw!$G$2:$G$9876))</f>
        <v>0</v>
      </c>
      <c r="I10" s="8">
        <f>SUMPRODUCT((raw!$A$2:$A$9876='2019-20_working'!$A$2)*(raw!$B$2:$B$9876='2019-20_working'!$A10)*(raw!$E$2:$E$9876='2019-20_working'!$B$6:$I$6)*(raw!$F$2:$F$9876='2019-20_working'!I$7)*(raw!$G$2:$G$9876))</f>
        <v>0</v>
      </c>
      <c r="K10" s="8">
        <f>SUMPRODUCT((raw!$A$2:$A$9876='2019-20_working'!$A$2)*(raw!$B$2:$B$9876='2019-20_working'!$A10)*(raw!$E$2:$E$9876='2019-20_working'!$K$6)*(raw!$F$2:$F$9876='2019-20_working'!K$7)*(raw!$G$2:$G$9876))</f>
        <v>16</v>
      </c>
      <c r="L10" s="8">
        <f>SUMPRODUCT((raw!$A$2:$A$9876='2019-20_working'!$A$2)*(raw!$B$2:$B$9876='2019-20_working'!$A10)*(raw!$E$2:$E$9876='2019-20_working'!$K$6)*(raw!$F$2:$F$9876='2019-20_working'!L$7)*(raw!$G$2:$G$9876))</f>
        <v>0</v>
      </c>
      <c r="M10" s="8">
        <f>SUMPRODUCT((raw!$A$2:$A$9876='2019-20_working'!$A$2)*(raw!$B$2:$B$9876='2019-20_working'!$A10)*(raw!$E$2:$E$9876='2019-20_working'!$K$6)*(raw!$F$2:$F$9876='2019-20_working'!M$7)*(raw!$G$2:$G$9876))</f>
        <v>0</v>
      </c>
      <c r="N10" s="8">
        <f>SUMPRODUCT((raw!$A$2:$A$9876='2019-20_working'!$A$2)*(raw!$B$2:$B$9876='2019-20_working'!$A10)*(raw!$E$2:$E$9876='2019-20_working'!$K$6)*(raw!$F$2:$F$9876='2019-20_working'!N$7)*(raw!$G$2:$G$9876))</f>
        <v>0</v>
      </c>
      <c r="O10" s="8">
        <f>SUMPRODUCT((raw!$A$2:$A$9876='2019-20_working'!$A$2)*(raw!$B$2:$B$9876='2019-20_working'!$A10)*(raw!$E$2:$E$9876='2019-20_working'!$K$6)*(raw!$F$2:$F$9876='2019-20_working'!O$7)*(raw!$G$2:$G$9876))</f>
        <v>0</v>
      </c>
      <c r="P10" s="8">
        <f>SUMPRODUCT((raw!$A$2:$A$9876='2019-20_working'!$A$2)*(raw!$B$2:$B$9876='2019-20_working'!$A10)*(raw!$E$2:$E$9876='2019-20_working'!$K$6)*(raw!$F$2:$F$9876='2019-20_working'!P$7)*(raw!$G$2:$G$9876))</f>
        <v>0</v>
      </c>
      <c r="Q10" s="8">
        <f>SUMPRODUCT((raw!$A$2:$A$9876='2019-20_working'!$A$2)*(raw!$B$2:$B$9876='2019-20_working'!$A10)*(raw!$E$2:$E$9876='2019-20_working'!$K$6)*(raw!$F$2:$F$9876='2019-20_working'!Q$7)*(raw!$G$2:$G$9876))</f>
        <v>0</v>
      </c>
      <c r="R10" s="8">
        <f>SUMPRODUCT((raw!$A$2:$A$9876='2019-20_working'!$A$2)*(raw!$B$2:$B$9876='2019-20_working'!$A10)*(raw!$E$2:$E$9876='2019-20_working'!$K$6)*(raw!$F$2:$F$9876='2019-20_working'!R$7)*(raw!$G$2:$G$9876))</f>
        <v>9</v>
      </c>
      <c r="T10" s="8">
        <f>SUMPRODUCT((raw!$A$2:$A$9876='2019-20_working'!$A$2)*(raw!$B$2:$B$9876='2019-20_working'!$A10)*(raw!$E$2:$E$9876='2019-20_working'!$T$6)*(raw!$F$2:$F$9876='2019-20_working'!T$7)*(raw!$G$2:$G$9876))</f>
        <v>4</v>
      </c>
      <c r="U10" s="8">
        <f>SUMPRODUCT((raw!$A$2:$A$9876='2019-20_working'!$A$2)*(raw!$B$2:$B$9876='2019-20_working'!$A10)*(raw!$E$2:$E$9876='2019-20_working'!$T$6)*(raw!$F$2:$F$9876='2019-20_working'!U$7)*(raw!$G$2:$G$9876))</f>
        <v>0</v>
      </c>
      <c r="V10" s="8">
        <f>SUMPRODUCT((raw!$A$2:$A$9876='2019-20_working'!$A$2)*(raw!$B$2:$B$9876='2019-20_working'!$A10)*(raw!$E$2:$E$9876='2019-20_working'!$T$6)*(raw!$F$2:$F$9876='2019-20_working'!V$7)*(raw!$G$2:$G$9876))</f>
        <v>0</v>
      </c>
      <c r="W10" s="8">
        <f>SUMPRODUCT((raw!$A$2:$A$9876='2019-20_working'!$A$2)*(raw!$B$2:$B$9876='2019-20_working'!$A10)*(raw!$E$2:$E$9876='2019-20_working'!$T$6)*(raw!$F$2:$F$9876='2019-20_working'!W$7)*(raw!$G$2:$G$9876))</f>
        <v>0</v>
      </c>
      <c r="X10" s="8">
        <f>SUMPRODUCT((raw!$A$2:$A$9876='2019-20_working'!$A$2)*(raw!$B$2:$B$9876='2019-20_working'!$A10)*(raw!$E$2:$E$9876='2019-20_working'!$T$6)*(raw!$F$2:$F$9876='2019-20_working'!X$7)*(raw!$G$2:$G$9876))</f>
        <v>0</v>
      </c>
      <c r="Y10" s="8">
        <f>SUMPRODUCT((raw!$A$2:$A$9876='2019-20_working'!$A$2)*(raw!$B$2:$B$9876='2019-20_working'!$A10)*(raw!$E$2:$E$9876='2019-20_working'!$T$6)*(raw!$F$2:$F$9876='2019-20_working'!Y$7)*(raw!$G$2:$G$9876))</f>
        <v>0</v>
      </c>
      <c r="Z10" s="8">
        <f>SUMPRODUCT((raw!$A$2:$A$9876='2019-20_working'!$A$2)*(raw!$B$2:$B$9876='2019-20_working'!$A10)*(raw!$E$2:$E$9876='2019-20_working'!$T$6)*(raw!$F$2:$F$9876='2019-20_working'!Z$7)*(raw!$G$2:$G$9876))</f>
        <v>0</v>
      </c>
      <c r="AA10" s="8">
        <f>SUMPRODUCT((raw!$A$2:$A$9876='2019-20_working'!$A$2)*(raw!$B$2:$B$9876='2019-20_working'!$A10)*(raw!$E$2:$E$9876='2019-20_working'!$T$6)*(raw!$F$2:$F$9876='2019-20_working'!AA$7)*(raw!$G$2:$G$9876))</f>
        <v>0</v>
      </c>
      <c r="AC10" s="8">
        <f>SUMPRODUCT((raw!$A$2:$A$9876='2019-20_working'!$A$2)*(raw!$B$2:$B$9876='2019-20_working'!$A10)*(raw!$E$2:$E$9876='2019-20_working'!$AC$6)*(raw!$F$2:$F$9876='2019-20_working'!AC$7)*(raw!$G$2:$G$9876))</f>
        <v>21</v>
      </c>
      <c r="AD10" s="8">
        <f>SUMPRODUCT((raw!$A$2:$A$9876='2019-20_working'!$A$2)*(raw!$B$2:$B$9876='2019-20_working'!$A10)*(raw!$E$2:$E$9876='2019-20_working'!$AC$6)*(raw!$F$2:$F$9876='2019-20_working'!AD$7)*(raw!$G$2:$G$9876))</f>
        <v>1</v>
      </c>
      <c r="AE10" s="8">
        <f>SUMPRODUCT((raw!$A$2:$A$9876='2019-20_working'!$A$2)*(raw!$B$2:$B$9876='2019-20_working'!$A10)*(raw!$E$2:$E$9876='2019-20_working'!$AC$6)*(raw!$F$2:$F$9876='2019-20_working'!AE$7)*(raw!$G$2:$G$9876))</f>
        <v>1</v>
      </c>
      <c r="AF10" s="8">
        <f>SUMPRODUCT((raw!$A$2:$A$9876='2019-20_working'!$A$2)*(raw!$B$2:$B$9876='2019-20_working'!$A10)*(raw!$E$2:$E$9876='2019-20_working'!$AC$6)*(raw!$F$2:$F$9876='2019-20_working'!AF$7)*(raw!$G$2:$G$9876))</f>
        <v>0</v>
      </c>
      <c r="AG10" s="8">
        <f>SUMPRODUCT((raw!$A$2:$A$9876='2019-20_working'!$A$2)*(raw!$B$2:$B$9876='2019-20_working'!$A10)*(raw!$E$2:$E$9876='2019-20_working'!$AC$6)*(raw!$F$2:$F$9876='2019-20_working'!AG$7)*(raw!$G$2:$G$9876))</f>
        <v>0</v>
      </c>
      <c r="AH10" s="8">
        <f>SUMPRODUCT((raw!$A$2:$A$9876='2019-20_working'!$A$2)*(raw!$B$2:$B$9876='2019-20_working'!$A10)*(raw!$E$2:$E$9876='2019-20_working'!$AC$6)*(raw!$F$2:$F$9876='2019-20_working'!AH$7)*(raw!$G$2:$G$9876))</f>
        <v>0</v>
      </c>
      <c r="AI10" s="8">
        <f>SUMPRODUCT((raw!$A$2:$A$9876='2019-20_working'!$A$2)*(raw!$B$2:$B$9876='2019-20_working'!$A10)*(raw!$E$2:$E$9876='2019-20_working'!$AC$6)*(raw!$F$2:$F$9876='2019-20_working'!AI$7)*(raw!$G$2:$G$9876))</f>
        <v>0</v>
      </c>
      <c r="AJ10" s="8">
        <f>SUMPRODUCT((raw!$A$2:$A$9876='2019-20_working'!$A$2)*(raw!$B$2:$B$9876='2019-20_working'!$A10)*(raw!$E$2:$E$9876='2019-20_working'!$AC$6)*(raw!$F$2:$F$9876='2019-20_working'!AJ$7)*(raw!$G$2:$G$9876))</f>
        <v>8</v>
      </c>
    </row>
    <row r="11" spans="1:36" x14ac:dyDescent="0.3">
      <c r="A11" s="8" t="s">
        <v>18</v>
      </c>
      <c r="B11" s="8">
        <f>SUMPRODUCT((raw!$A$2:$A$9876='2019-20_working'!$A$2)*(raw!$B$2:$B$9876='2019-20_working'!$A11)*(raw!$E$2:$E$9876='2019-20_working'!$B$6:$I$6)*(raw!$F$2:$F$9876='2019-20_working'!B$7)*(raw!$G$2:$G$9876))</f>
        <v>19</v>
      </c>
      <c r="C11" s="8">
        <f>SUMPRODUCT((raw!$A$2:$A$9876='2019-20_working'!$A$2)*(raw!$B$2:$B$9876='2019-20_working'!$A11)*(raw!$E$2:$E$9876='2019-20_working'!$B$6:$I$6)*(raw!$F$2:$F$9876='2019-20_working'!C$7)*(raw!$G$2:$G$9876))</f>
        <v>1</v>
      </c>
      <c r="D11" s="8">
        <f>SUMPRODUCT((raw!$A$2:$A$9876='2019-20_working'!$A$2)*(raw!$B$2:$B$9876='2019-20_working'!$A11)*(raw!$E$2:$E$9876='2019-20_working'!$B$6:$I$6)*(raw!$F$2:$F$9876='2019-20_working'!D$7)*(raw!$G$2:$G$9876))</f>
        <v>0</v>
      </c>
      <c r="E11" s="8">
        <f>SUMPRODUCT((raw!$A$2:$A$9876='2019-20_working'!$A$2)*(raw!$B$2:$B$9876='2019-20_working'!$A11)*(raw!$E$2:$E$9876='2019-20_working'!$B$6:$I$6)*(raw!$F$2:$F$9876='2019-20_working'!E$7)*(raw!$G$2:$G$9876))</f>
        <v>1</v>
      </c>
      <c r="F11" s="8">
        <f>SUMPRODUCT((raw!$A$2:$A$9876='2019-20_working'!$A$2)*(raw!$B$2:$B$9876='2019-20_working'!$A11)*(raw!$E$2:$E$9876='2019-20_working'!$B$6:$I$6)*(raw!$F$2:$F$9876='2019-20_working'!F$7)*(raw!$G$2:$G$9876))</f>
        <v>0</v>
      </c>
      <c r="G11" s="8">
        <f>SUMPRODUCT((raw!$A$2:$A$9876='2019-20_working'!$A$2)*(raw!$B$2:$B$9876='2019-20_working'!$A11)*(raw!$E$2:$E$9876='2019-20_working'!$B$6:$I$6)*(raw!$F$2:$F$9876='2019-20_working'!G$7)*(raw!$G$2:$G$9876))</f>
        <v>0</v>
      </c>
      <c r="H11" s="8">
        <f>SUMPRODUCT((raw!$A$2:$A$9876='2019-20_working'!$A$2)*(raw!$B$2:$B$9876='2019-20_working'!$A11)*(raw!$E$2:$E$9876='2019-20_working'!$B$6:$I$6)*(raw!$F$2:$F$9876='2019-20_working'!H$7)*(raw!$G$2:$G$9876))</f>
        <v>0</v>
      </c>
      <c r="I11" s="8">
        <f>SUMPRODUCT((raw!$A$2:$A$9876='2019-20_working'!$A$2)*(raw!$B$2:$B$9876='2019-20_working'!$A11)*(raw!$E$2:$E$9876='2019-20_working'!$B$6:$I$6)*(raw!$F$2:$F$9876='2019-20_working'!I$7)*(raw!$G$2:$G$9876))</f>
        <v>0</v>
      </c>
      <c r="K11" s="8">
        <f>SUMPRODUCT((raw!$A$2:$A$9876='2019-20_working'!$A$2)*(raw!$B$2:$B$9876='2019-20_working'!$A11)*(raw!$E$2:$E$9876='2019-20_working'!$K$6)*(raw!$F$2:$F$9876='2019-20_working'!K$7)*(raw!$G$2:$G$9876))</f>
        <v>23</v>
      </c>
      <c r="L11" s="8">
        <f>SUMPRODUCT((raw!$A$2:$A$9876='2019-20_working'!$A$2)*(raw!$B$2:$B$9876='2019-20_working'!$A11)*(raw!$E$2:$E$9876='2019-20_working'!$K$6)*(raw!$F$2:$F$9876='2019-20_working'!L$7)*(raw!$G$2:$G$9876))</f>
        <v>0</v>
      </c>
      <c r="M11" s="8">
        <f>SUMPRODUCT((raw!$A$2:$A$9876='2019-20_working'!$A$2)*(raw!$B$2:$B$9876='2019-20_working'!$A11)*(raw!$E$2:$E$9876='2019-20_working'!$K$6)*(raw!$F$2:$F$9876='2019-20_working'!M$7)*(raw!$G$2:$G$9876))</f>
        <v>0</v>
      </c>
      <c r="N11" s="8">
        <f>SUMPRODUCT((raw!$A$2:$A$9876='2019-20_working'!$A$2)*(raw!$B$2:$B$9876='2019-20_working'!$A11)*(raw!$E$2:$E$9876='2019-20_working'!$K$6)*(raw!$F$2:$F$9876='2019-20_working'!N$7)*(raw!$G$2:$G$9876))</f>
        <v>0</v>
      </c>
      <c r="O11" s="8">
        <f>SUMPRODUCT((raw!$A$2:$A$9876='2019-20_working'!$A$2)*(raw!$B$2:$B$9876='2019-20_working'!$A11)*(raw!$E$2:$E$9876='2019-20_working'!$K$6)*(raw!$F$2:$F$9876='2019-20_working'!O$7)*(raw!$G$2:$G$9876))</f>
        <v>1</v>
      </c>
      <c r="P11" s="8">
        <f>SUMPRODUCT((raw!$A$2:$A$9876='2019-20_working'!$A$2)*(raw!$B$2:$B$9876='2019-20_working'!$A11)*(raw!$E$2:$E$9876='2019-20_working'!$K$6)*(raw!$F$2:$F$9876='2019-20_working'!P$7)*(raw!$G$2:$G$9876))</f>
        <v>0</v>
      </c>
      <c r="Q11" s="8">
        <f>SUMPRODUCT((raw!$A$2:$A$9876='2019-20_working'!$A$2)*(raw!$B$2:$B$9876='2019-20_working'!$A11)*(raw!$E$2:$E$9876='2019-20_working'!$K$6)*(raw!$F$2:$F$9876='2019-20_working'!Q$7)*(raw!$G$2:$G$9876))</f>
        <v>0</v>
      </c>
      <c r="R11" s="8">
        <f>SUMPRODUCT((raw!$A$2:$A$9876='2019-20_working'!$A$2)*(raw!$B$2:$B$9876='2019-20_working'!$A11)*(raw!$E$2:$E$9876='2019-20_working'!$K$6)*(raw!$F$2:$F$9876='2019-20_working'!R$7)*(raw!$G$2:$G$9876))</f>
        <v>2</v>
      </c>
      <c r="T11" s="8">
        <f>SUMPRODUCT((raw!$A$2:$A$9876='2019-20_working'!$A$2)*(raw!$B$2:$B$9876='2019-20_working'!$A11)*(raw!$E$2:$E$9876='2019-20_working'!$T$6)*(raw!$F$2:$F$9876='2019-20_working'!T$7)*(raw!$G$2:$G$9876))</f>
        <v>2</v>
      </c>
      <c r="U11" s="8">
        <f>SUMPRODUCT((raw!$A$2:$A$9876='2019-20_working'!$A$2)*(raw!$B$2:$B$9876='2019-20_working'!$A11)*(raw!$E$2:$E$9876='2019-20_working'!$T$6)*(raw!$F$2:$F$9876='2019-20_working'!U$7)*(raw!$G$2:$G$9876))</f>
        <v>0</v>
      </c>
      <c r="V11" s="8">
        <f>SUMPRODUCT((raw!$A$2:$A$9876='2019-20_working'!$A$2)*(raw!$B$2:$B$9876='2019-20_working'!$A11)*(raw!$E$2:$E$9876='2019-20_working'!$T$6)*(raw!$F$2:$F$9876='2019-20_working'!V$7)*(raw!$G$2:$G$9876))</f>
        <v>0</v>
      </c>
      <c r="W11" s="8">
        <f>SUMPRODUCT((raw!$A$2:$A$9876='2019-20_working'!$A$2)*(raw!$B$2:$B$9876='2019-20_working'!$A11)*(raw!$E$2:$E$9876='2019-20_working'!$T$6)*(raw!$F$2:$F$9876='2019-20_working'!W$7)*(raw!$G$2:$G$9876))</f>
        <v>0</v>
      </c>
      <c r="X11" s="8">
        <f>SUMPRODUCT((raw!$A$2:$A$9876='2019-20_working'!$A$2)*(raw!$B$2:$B$9876='2019-20_working'!$A11)*(raw!$E$2:$E$9876='2019-20_working'!$T$6)*(raw!$F$2:$F$9876='2019-20_working'!X$7)*(raw!$G$2:$G$9876))</f>
        <v>0</v>
      </c>
      <c r="Y11" s="8">
        <f>SUMPRODUCT((raw!$A$2:$A$9876='2019-20_working'!$A$2)*(raw!$B$2:$B$9876='2019-20_working'!$A11)*(raw!$E$2:$E$9876='2019-20_working'!$T$6)*(raw!$F$2:$F$9876='2019-20_working'!Y$7)*(raw!$G$2:$G$9876))</f>
        <v>0</v>
      </c>
      <c r="Z11" s="8">
        <f>SUMPRODUCT((raw!$A$2:$A$9876='2019-20_working'!$A$2)*(raw!$B$2:$B$9876='2019-20_working'!$A11)*(raw!$E$2:$E$9876='2019-20_working'!$T$6)*(raw!$F$2:$F$9876='2019-20_working'!Z$7)*(raw!$G$2:$G$9876))</f>
        <v>0</v>
      </c>
      <c r="AA11" s="8">
        <f>SUMPRODUCT((raw!$A$2:$A$9876='2019-20_working'!$A$2)*(raw!$B$2:$B$9876='2019-20_working'!$A11)*(raw!$E$2:$E$9876='2019-20_working'!$T$6)*(raw!$F$2:$F$9876='2019-20_working'!AA$7)*(raw!$G$2:$G$9876))</f>
        <v>1</v>
      </c>
      <c r="AC11" s="8">
        <f>SUMPRODUCT((raw!$A$2:$A$9876='2019-20_working'!$A$2)*(raw!$B$2:$B$9876='2019-20_working'!$A11)*(raw!$E$2:$E$9876='2019-20_working'!$AC$6)*(raw!$F$2:$F$9876='2019-20_working'!AC$7)*(raw!$G$2:$G$9876))</f>
        <v>16</v>
      </c>
      <c r="AD11" s="8">
        <f>SUMPRODUCT((raw!$A$2:$A$9876='2019-20_working'!$A$2)*(raw!$B$2:$B$9876='2019-20_working'!$A11)*(raw!$E$2:$E$9876='2019-20_working'!$AC$6)*(raw!$F$2:$F$9876='2019-20_working'!AD$7)*(raw!$G$2:$G$9876))</f>
        <v>0</v>
      </c>
      <c r="AE11" s="8">
        <f>SUMPRODUCT((raw!$A$2:$A$9876='2019-20_working'!$A$2)*(raw!$B$2:$B$9876='2019-20_working'!$A11)*(raw!$E$2:$E$9876='2019-20_working'!$AC$6)*(raw!$F$2:$F$9876='2019-20_working'!AE$7)*(raw!$G$2:$G$9876))</f>
        <v>0</v>
      </c>
      <c r="AF11" s="8">
        <f>SUMPRODUCT((raw!$A$2:$A$9876='2019-20_working'!$A$2)*(raw!$B$2:$B$9876='2019-20_working'!$A11)*(raw!$E$2:$E$9876='2019-20_working'!$AC$6)*(raw!$F$2:$F$9876='2019-20_working'!AF$7)*(raw!$G$2:$G$9876))</f>
        <v>1</v>
      </c>
      <c r="AG11" s="8">
        <f>SUMPRODUCT((raw!$A$2:$A$9876='2019-20_working'!$A$2)*(raw!$B$2:$B$9876='2019-20_working'!$A11)*(raw!$E$2:$E$9876='2019-20_working'!$AC$6)*(raw!$F$2:$F$9876='2019-20_working'!AG$7)*(raw!$G$2:$G$9876))</f>
        <v>2</v>
      </c>
      <c r="AH11" s="8">
        <f>SUMPRODUCT((raw!$A$2:$A$9876='2019-20_working'!$A$2)*(raw!$B$2:$B$9876='2019-20_working'!$A11)*(raw!$E$2:$E$9876='2019-20_working'!$AC$6)*(raw!$F$2:$F$9876='2019-20_working'!AH$7)*(raw!$G$2:$G$9876))</f>
        <v>0</v>
      </c>
      <c r="AI11" s="8">
        <f>SUMPRODUCT((raw!$A$2:$A$9876='2019-20_working'!$A$2)*(raw!$B$2:$B$9876='2019-20_working'!$A11)*(raw!$E$2:$E$9876='2019-20_working'!$AC$6)*(raw!$F$2:$F$9876='2019-20_working'!AI$7)*(raw!$G$2:$G$9876))</f>
        <v>0</v>
      </c>
      <c r="AJ11" s="8">
        <f>SUMPRODUCT((raw!$A$2:$A$9876='2019-20_working'!$A$2)*(raw!$B$2:$B$9876='2019-20_working'!$A11)*(raw!$E$2:$E$9876='2019-20_working'!$AC$6)*(raw!$F$2:$F$9876='2019-20_working'!AJ$7)*(raw!$G$2:$G$9876))</f>
        <v>1</v>
      </c>
    </row>
    <row r="12" spans="1:36" x14ac:dyDescent="0.3">
      <c r="A12" s="8" t="s">
        <v>19</v>
      </c>
      <c r="B12" s="8">
        <f>SUMPRODUCT((raw!$A$2:$A$9876='2019-20_working'!$A$2)*(raw!$B$2:$B$9876='2019-20_working'!$A12)*(raw!$E$2:$E$9876='2019-20_working'!$B$6:$I$6)*(raw!$F$2:$F$9876='2019-20_working'!B$7)*(raw!$G$2:$G$9876))</f>
        <v>21</v>
      </c>
      <c r="C12" s="8">
        <f>SUMPRODUCT((raw!$A$2:$A$9876='2019-20_working'!$A$2)*(raw!$B$2:$B$9876='2019-20_working'!$A12)*(raw!$E$2:$E$9876='2019-20_working'!$B$6:$I$6)*(raw!$F$2:$F$9876='2019-20_working'!C$7)*(raw!$G$2:$G$9876))</f>
        <v>1</v>
      </c>
      <c r="D12" s="8">
        <f>SUMPRODUCT((raw!$A$2:$A$9876='2019-20_working'!$A$2)*(raw!$B$2:$B$9876='2019-20_working'!$A12)*(raw!$E$2:$E$9876='2019-20_working'!$B$6:$I$6)*(raw!$F$2:$F$9876='2019-20_working'!D$7)*(raw!$G$2:$G$9876))</f>
        <v>1</v>
      </c>
      <c r="E12" s="8">
        <f>SUMPRODUCT((raw!$A$2:$A$9876='2019-20_working'!$A$2)*(raw!$B$2:$B$9876='2019-20_working'!$A12)*(raw!$E$2:$E$9876='2019-20_working'!$B$6:$I$6)*(raw!$F$2:$F$9876='2019-20_working'!E$7)*(raw!$G$2:$G$9876))</f>
        <v>0</v>
      </c>
      <c r="F12" s="8">
        <f>SUMPRODUCT((raw!$A$2:$A$9876='2019-20_working'!$A$2)*(raw!$B$2:$B$9876='2019-20_working'!$A12)*(raw!$E$2:$E$9876='2019-20_working'!$B$6:$I$6)*(raw!$F$2:$F$9876='2019-20_working'!F$7)*(raw!$G$2:$G$9876))</f>
        <v>0</v>
      </c>
      <c r="G12" s="8">
        <f>SUMPRODUCT((raw!$A$2:$A$9876='2019-20_working'!$A$2)*(raw!$B$2:$B$9876='2019-20_working'!$A12)*(raw!$E$2:$E$9876='2019-20_working'!$B$6:$I$6)*(raw!$F$2:$F$9876='2019-20_working'!G$7)*(raw!$G$2:$G$9876))</f>
        <v>0</v>
      </c>
      <c r="H12" s="8">
        <f>SUMPRODUCT((raw!$A$2:$A$9876='2019-20_working'!$A$2)*(raw!$B$2:$B$9876='2019-20_working'!$A12)*(raw!$E$2:$E$9876='2019-20_working'!$B$6:$I$6)*(raw!$F$2:$F$9876='2019-20_working'!H$7)*(raw!$G$2:$G$9876))</f>
        <v>0</v>
      </c>
      <c r="I12" s="8">
        <f>SUMPRODUCT((raw!$A$2:$A$9876='2019-20_working'!$A$2)*(raw!$B$2:$B$9876='2019-20_working'!$A12)*(raw!$E$2:$E$9876='2019-20_working'!$B$6:$I$6)*(raw!$F$2:$F$9876='2019-20_working'!I$7)*(raw!$G$2:$G$9876))</f>
        <v>0</v>
      </c>
      <c r="K12" s="8">
        <f>SUMPRODUCT((raw!$A$2:$A$9876='2019-20_working'!$A$2)*(raw!$B$2:$B$9876='2019-20_working'!$A12)*(raw!$E$2:$E$9876='2019-20_working'!$K$6)*(raw!$F$2:$F$9876='2019-20_working'!K$7)*(raw!$G$2:$G$9876))</f>
        <v>12</v>
      </c>
      <c r="L12" s="8">
        <f>SUMPRODUCT((raw!$A$2:$A$9876='2019-20_working'!$A$2)*(raw!$B$2:$B$9876='2019-20_working'!$A12)*(raw!$E$2:$E$9876='2019-20_working'!$K$6)*(raw!$F$2:$F$9876='2019-20_working'!L$7)*(raw!$G$2:$G$9876))</f>
        <v>1</v>
      </c>
      <c r="M12" s="8">
        <f>SUMPRODUCT((raw!$A$2:$A$9876='2019-20_working'!$A$2)*(raw!$B$2:$B$9876='2019-20_working'!$A12)*(raw!$E$2:$E$9876='2019-20_working'!$K$6)*(raw!$F$2:$F$9876='2019-20_working'!M$7)*(raw!$G$2:$G$9876))</f>
        <v>0</v>
      </c>
      <c r="N12" s="8">
        <f>SUMPRODUCT((raw!$A$2:$A$9876='2019-20_working'!$A$2)*(raw!$B$2:$B$9876='2019-20_working'!$A12)*(raw!$E$2:$E$9876='2019-20_working'!$K$6)*(raw!$F$2:$F$9876='2019-20_working'!N$7)*(raw!$G$2:$G$9876))</f>
        <v>0</v>
      </c>
      <c r="O12" s="8">
        <f>SUMPRODUCT((raw!$A$2:$A$9876='2019-20_working'!$A$2)*(raw!$B$2:$B$9876='2019-20_working'!$A12)*(raw!$E$2:$E$9876='2019-20_working'!$K$6)*(raw!$F$2:$F$9876='2019-20_working'!O$7)*(raw!$G$2:$G$9876))</f>
        <v>0</v>
      </c>
      <c r="P12" s="8">
        <f>SUMPRODUCT((raw!$A$2:$A$9876='2019-20_working'!$A$2)*(raw!$B$2:$B$9876='2019-20_working'!$A12)*(raw!$E$2:$E$9876='2019-20_working'!$K$6)*(raw!$F$2:$F$9876='2019-20_working'!P$7)*(raw!$G$2:$G$9876))</f>
        <v>0</v>
      </c>
      <c r="Q12" s="8">
        <f>SUMPRODUCT((raw!$A$2:$A$9876='2019-20_working'!$A$2)*(raw!$B$2:$B$9876='2019-20_working'!$A12)*(raw!$E$2:$E$9876='2019-20_working'!$K$6)*(raw!$F$2:$F$9876='2019-20_working'!Q$7)*(raw!$G$2:$G$9876))</f>
        <v>0</v>
      </c>
      <c r="R12" s="8">
        <f>SUMPRODUCT((raw!$A$2:$A$9876='2019-20_working'!$A$2)*(raw!$B$2:$B$9876='2019-20_working'!$A12)*(raw!$E$2:$E$9876='2019-20_working'!$K$6)*(raw!$F$2:$F$9876='2019-20_working'!R$7)*(raw!$G$2:$G$9876))</f>
        <v>0</v>
      </c>
      <c r="T12" s="8">
        <f>SUMPRODUCT((raw!$A$2:$A$9876='2019-20_working'!$A$2)*(raw!$B$2:$B$9876='2019-20_working'!$A12)*(raw!$E$2:$E$9876='2019-20_working'!$T$6)*(raw!$F$2:$F$9876='2019-20_working'!T$7)*(raw!$G$2:$G$9876))</f>
        <v>2</v>
      </c>
      <c r="U12" s="8">
        <f>SUMPRODUCT((raw!$A$2:$A$9876='2019-20_working'!$A$2)*(raw!$B$2:$B$9876='2019-20_working'!$A12)*(raw!$E$2:$E$9876='2019-20_working'!$T$6)*(raw!$F$2:$F$9876='2019-20_working'!U$7)*(raw!$G$2:$G$9876))</f>
        <v>0</v>
      </c>
      <c r="V12" s="8">
        <f>SUMPRODUCT((raw!$A$2:$A$9876='2019-20_working'!$A$2)*(raw!$B$2:$B$9876='2019-20_working'!$A12)*(raw!$E$2:$E$9876='2019-20_working'!$T$6)*(raw!$F$2:$F$9876='2019-20_working'!V$7)*(raw!$G$2:$G$9876))</f>
        <v>0</v>
      </c>
      <c r="W12" s="8">
        <f>SUMPRODUCT((raw!$A$2:$A$9876='2019-20_working'!$A$2)*(raw!$B$2:$B$9876='2019-20_working'!$A12)*(raw!$E$2:$E$9876='2019-20_working'!$T$6)*(raw!$F$2:$F$9876='2019-20_working'!W$7)*(raw!$G$2:$G$9876))</f>
        <v>0</v>
      </c>
      <c r="X12" s="8">
        <f>SUMPRODUCT((raw!$A$2:$A$9876='2019-20_working'!$A$2)*(raw!$B$2:$B$9876='2019-20_working'!$A12)*(raw!$E$2:$E$9876='2019-20_working'!$T$6)*(raw!$F$2:$F$9876='2019-20_working'!X$7)*(raw!$G$2:$G$9876))</f>
        <v>0</v>
      </c>
      <c r="Y12" s="8">
        <f>SUMPRODUCT((raw!$A$2:$A$9876='2019-20_working'!$A$2)*(raw!$B$2:$B$9876='2019-20_working'!$A12)*(raw!$E$2:$E$9876='2019-20_working'!$T$6)*(raw!$F$2:$F$9876='2019-20_working'!Y$7)*(raw!$G$2:$G$9876))</f>
        <v>0</v>
      </c>
      <c r="Z12" s="8">
        <f>SUMPRODUCT((raw!$A$2:$A$9876='2019-20_working'!$A$2)*(raw!$B$2:$B$9876='2019-20_working'!$A12)*(raw!$E$2:$E$9876='2019-20_working'!$T$6)*(raw!$F$2:$F$9876='2019-20_working'!Z$7)*(raw!$G$2:$G$9876))</f>
        <v>0</v>
      </c>
      <c r="AA12" s="8">
        <f>SUMPRODUCT((raw!$A$2:$A$9876='2019-20_working'!$A$2)*(raw!$B$2:$B$9876='2019-20_working'!$A12)*(raw!$E$2:$E$9876='2019-20_working'!$T$6)*(raw!$F$2:$F$9876='2019-20_working'!AA$7)*(raw!$G$2:$G$9876))</f>
        <v>1</v>
      </c>
      <c r="AC12" s="8">
        <f>SUMPRODUCT((raw!$A$2:$A$9876='2019-20_working'!$A$2)*(raw!$B$2:$B$9876='2019-20_working'!$A12)*(raw!$E$2:$E$9876='2019-20_working'!$AC$6)*(raw!$F$2:$F$9876='2019-20_working'!AC$7)*(raw!$G$2:$G$9876))</f>
        <v>25</v>
      </c>
      <c r="AD12" s="8">
        <f>SUMPRODUCT((raw!$A$2:$A$9876='2019-20_working'!$A$2)*(raw!$B$2:$B$9876='2019-20_working'!$A12)*(raw!$E$2:$E$9876='2019-20_working'!$AC$6)*(raw!$F$2:$F$9876='2019-20_working'!AD$7)*(raw!$G$2:$G$9876))</f>
        <v>1</v>
      </c>
      <c r="AE12" s="8">
        <f>SUMPRODUCT((raw!$A$2:$A$9876='2019-20_working'!$A$2)*(raw!$B$2:$B$9876='2019-20_working'!$A12)*(raw!$E$2:$E$9876='2019-20_working'!$AC$6)*(raw!$F$2:$F$9876='2019-20_working'!AE$7)*(raw!$G$2:$G$9876))</f>
        <v>0</v>
      </c>
      <c r="AF12" s="8">
        <f>SUMPRODUCT((raw!$A$2:$A$9876='2019-20_working'!$A$2)*(raw!$B$2:$B$9876='2019-20_working'!$A12)*(raw!$E$2:$E$9876='2019-20_working'!$AC$6)*(raw!$F$2:$F$9876='2019-20_working'!AF$7)*(raw!$G$2:$G$9876))</f>
        <v>1</v>
      </c>
      <c r="AG12" s="8">
        <f>SUMPRODUCT((raw!$A$2:$A$9876='2019-20_working'!$A$2)*(raw!$B$2:$B$9876='2019-20_working'!$A12)*(raw!$E$2:$E$9876='2019-20_working'!$AC$6)*(raw!$F$2:$F$9876='2019-20_working'!AG$7)*(raw!$G$2:$G$9876))</f>
        <v>1</v>
      </c>
      <c r="AH12" s="8">
        <f>SUMPRODUCT((raw!$A$2:$A$9876='2019-20_working'!$A$2)*(raw!$B$2:$B$9876='2019-20_working'!$A12)*(raw!$E$2:$E$9876='2019-20_working'!$AC$6)*(raw!$F$2:$F$9876='2019-20_working'!AH$7)*(raw!$G$2:$G$9876))</f>
        <v>0</v>
      </c>
      <c r="AI12" s="8">
        <f>SUMPRODUCT((raw!$A$2:$A$9876='2019-20_working'!$A$2)*(raw!$B$2:$B$9876='2019-20_working'!$A12)*(raw!$E$2:$E$9876='2019-20_working'!$AC$6)*(raw!$F$2:$F$9876='2019-20_working'!AI$7)*(raw!$G$2:$G$9876))</f>
        <v>0</v>
      </c>
      <c r="AJ12" s="8">
        <f>SUMPRODUCT((raw!$A$2:$A$9876='2019-20_working'!$A$2)*(raw!$B$2:$B$9876='2019-20_working'!$A12)*(raw!$E$2:$E$9876='2019-20_working'!$AC$6)*(raw!$F$2:$F$9876='2019-20_working'!AJ$7)*(raw!$G$2:$G$9876))</f>
        <v>0</v>
      </c>
    </row>
    <row r="13" spans="1:36" x14ac:dyDescent="0.3">
      <c r="A13" s="8" t="s">
        <v>20</v>
      </c>
      <c r="B13" s="8">
        <f>SUMPRODUCT((raw!$A$2:$A$9876='2019-20_working'!$A$2)*(raw!$B$2:$B$9876='2019-20_working'!$A13)*(raw!$E$2:$E$9876='2019-20_working'!$B$6:$I$6)*(raw!$F$2:$F$9876='2019-20_working'!B$7)*(raw!$G$2:$G$9876))</f>
        <v>17</v>
      </c>
      <c r="C13" s="8">
        <f>SUMPRODUCT((raw!$A$2:$A$9876='2019-20_working'!$A$2)*(raw!$B$2:$B$9876='2019-20_working'!$A13)*(raw!$E$2:$E$9876='2019-20_working'!$B$6:$I$6)*(raw!$F$2:$F$9876='2019-20_working'!C$7)*(raw!$G$2:$G$9876))</f>
        <v>0</v>
      </c>
      <c r="D13" s="8">
        <f>SUMPRODUCT((raw!$A$2:$A$9876='2019-20_working'!$A$2)*(raw!$B$2:$B$9876='2019-20_working'!$A13)*(raw!$E$2:$E$9876='2019-20_working'!$B$6:$I$6)*(raw!$F$2:$F$9876='2019-20_working'!D$7)*(raw!$G$2:$G$9876))</f>
        <v>0</v>
      </c>
      <c r="E13" s="8">
        <f>SUMPRODUCT((raw!$A$2:$A$9876='2019-20_working'!$A$2)*(raw!$B$2:$B$9876='2019-20_working'!$A13)*(raw!$E$2:$E$9876='2019-20_working'!$B$6:$I$6)*(raw!$F$2:$F$9876='2019-20_working'!E$7)*(raw!$G$2:$G$9876))</f>
        <v>0</v>
      </c>
      <c r="F13" s="8">
        <f>SUMPRODUCT((raw!$A$2:$A$9876='2019-20_working'!$A$2)*(raw!$B$2:$B$9876='2019-20_working'!$A13)*(raw!$E$2:$E$9876='2019-20_working'!$B$6:$I$6)*(raw!$F$2:$F$9876='2019-20_working'!F$7)*(raw!$G$2:$G$9876))</f>
        <v>0</v>
      </c>
      <c r="G13" s="8">
        <f>SUMPRODUCT((raw!$A$2:$A$9876='2019-20_working'!$A$2)*(raw!$B$2:$B$9876='2019-20_working'!$A13)*(raw!$E$2:$E$9876='2019-20_working'!$B$6:$I$6)*(raw!$F$2:$F$9876='2019-20_working'!G$7)*(raw!$G$2:$G$9876))</f>
        <v>0</v>
      </c>
      <c r="H13" s="8">
        <f>SUMPRODUCT((raw!$A$2:$A$9876='2019-20_working'!$A$2)*(raw!$B$2:$B$9876='2019-20_working'!$A13)*(raw!$E$2:$E$9876='2019-20_working'!$B$6:$I$6)*(raw!$F$2:$F$9876='2019-20_working'!H$7)*(raw!$G$2:$G$9876))</f>
        <v>0</v>
      </c>
      <c r="I13" s="8">
        <f>SUMPRODUCT((raw!$A$2:$A$9876='2019-20_working'!$A$2)*(raw!$B$2:$B$9876='2019-20_working'!$A13)*(raw!$E$2:$E$9876='2019-20_working'!$B$6:$I$6)*(raw!$F$2:$F$9876='2019-20_working'!I$7)*(raw!$G$2:$G$9876))</f>
        <v>4</v>
      </c>
      <c r="K13" s="8">
        <f>SUMPRODUCT((raw!$A$2:$A$9876='2019-20_working'!$A$2)*(raw!$B$2:$B$9876='2019-20_working'!$A13)*(raw!$E$2:$E$9876='2019-20_working'!$K$6)*(raw!$F$2:$F$9876='2019-20_working'!K$7)*(raw!$G$2:$G$9876))</f>
        <v>19</v>
      </c>
      <c r="L13" s="8">
        <f>SUMPRODUCT((raw!$A$2:$A$9876='2019-20_working'!$A$2)*(raw!$B$2:$B$9876='2019-20_working'!$A13)*(raw!$E$2:$E$9876='2019-20_working'!$K$6)*(raw!$F$2:$F$9876='2019-20_working'!L$7)*(raw!$G$2:$G$9876))</f>
        <v>0</v>
      </c>
      <c r="M13" s="8">
        <f>SUMPRODUCT((raw!$A$2:$A$9876='2019-20_working'!$A$2)*(raw!$B$2:$B$9876='2019-20_working'!$A13)*(raw!$E$2:$E$9876='2019-20_working'!$K$6)*(raw!$F$2:$F$9876='2019-20_working'!M$7)*(raw!$G$2:$G$9876))</f>
        <v>0</v>
      </c>
      <c r="N13" s="8">
        <f>SUMPRODUCT((raw!$A$2:$A$9876='2019-20_working'!$A$2)*(raw!$B$2:$B$9876='2019-20_working'!$A13)*(raw!$E$2:$E$9876='2019-20_working'!$K$6)*(raw!$F$2:$F$9876='2019-20_working'!N$7)*(raw!$G$2:$G$9876))</f>
        <v>0</v>
      </c>
      <c r="O13" s="8">
        <f>SUMPRODUCT((raw!$A$2:$A$9876='2019-20_working'!$A$2)*(raw!$B$2:$B$9876='2019-20_working'!$A13)*(raw!$E$2:$E$9876='2019-20_working'!$K$6)*(raw!$F$2:$F$9876='2019-20_working'!O$7)*(raw!$G$2:$G$9876))</f>
        <v>0</v>
      </c>
      <c r="P13" s="8">
        <f>SUMPRODUCT((raw!$A$2:$A$9876='2019-20_working'!$A$2)*(raw!$B$2:$B$9876='2019-20_working'!$A13)*(raw!$E$2:$E$9876='2019-20_working'!$K$6)*(raw!$F$2:$F$9876='2019-20_working'!P$7)*(raw!$G$2:$G$9876))</f>
        <v>0</v>
      </c>
      <c r="Q13" s="8">
        <f>SUMPRODUCT((raw!$A$2:$A$9876='2019-20_working'!$A$2)*(raw!$B$2:$B$9876='2019-20_working'!$A13)*(raw!$E$2:$E$9876='2019-20_working'!$K$6)*(raw!$F$2:$F$9876='2019-20_working'!Q$7)*(raw!$G$2:$G$9876))</f>
        <v>0</v>
      </c>
      <c r="R13" s="8">
        <f>SUMPRODUCT((raw!$A$2:$A$9876='2019-20_working'!$A$2)*(raw!$B$2:$B$9876='2019-20_working'!$A13)*(raw!$E$2:$E$9876='2019-20_working'!$K$6)*(raw!$F$2:$F$9876='2019-20_working'!R$7)*(raw!$G$2:$G$9876))</f>
        <v>2</v>
      </c>
      <c r="T13" s="8">
        <f>SUMPRODUCT((raw!$A$2:$A$9876='2019-20_working'!$A$2)*(raw!$B$2:$B$9876='2019-20_working'!$A13)*(raw!$E$2:$E$9876='2019-20_working'!$T$6)*(raw!$F$2:$F$9876='2019-20_working'!T$7)*(raw!$G$2:$G$9876))</f>
        <v>0</v>
      </c>
      <c r="U13" s="8">
        <f>SUMPRODUCT((raw!$A$2:$A$9876='2019-20_working'!$A$2)*(raw!$B$2:$B$9876='2019-20_working'!$A13)*(raw!$E$2:$E$9876='2019-20_working'!$T$6)*(raw!$F$2:$F$9876='2019-20_working'!U$7)*(raw!$G$2:$G$9876))</f>
        <v>0</v>
      </c>
      <c r="V13" s="8">
        <f>SUMPRODUCT((raw!$A$2:$A$9876='2019-20_working'!$A$2)*(raw!$B$2:$B$9876='2019-20_working'!$A13)*(raw!$E$2:$E$9876='2019-20_working'!$T$6)*(raw!$F$2:$F$9876='2019-20_working'!V$7)*(raw!$G$2:$G$9876))</f>
        <v>0</v>
      </c>
      <c r="W13" s="8">
        <f>SUMPRODUCT((raw!$A$2:$A$9876='2019-20_working'!$A$2)*(raw!$B$2:$B$9876='2019-20_working'!$A13)*(raw!$E$2:$E$9876='2019-20_working'!$T$6)*(raw!$F$2:$F$9876='2019-20_working'!W$7)*(raw!$G$2:$G$9876))</f>
        <v>0</v>
      </c>
      <c r="X13" s="8">
        <f>SUMPRODUCT((raw!$A$2:$A$9876='2019-20_working'!$A$2)*(raw!$B$2:$B$9876='2019-20_working'!$A13)*(raw!$E$2:$E$9876='2019-20_working'!$T$6)*(raw!$F$2:$F$9876='2019-20_working'!X$7)*(raw!$G$2:$G$9876))</f>
        <v>0</v>
      </c>
      <c r="Y13" s="8">
        <f>SUMPRODUCT((raw!$A$2:$A$9876='2019-20_working'!$A$2)*(raw!$B$2:$B$9876='2019-20_working'!$A13)*(raw!$E$2:$E$9876='2019-20_working'!$T$6)*(raw!$F$2:$F$9876='2019-20_working'!Y$7)*(raw!$G$2:$G$9876))</f>
        <v>0</v>
      </c>
      <c r="Z13" s="8">
        <f>SUMPRODUCT((raw!$A$2:$A$9876='2019-20_working'!$A$2)*(raw!$B$2:$B$9876='2019-20_working'!$A13)*(raw!$E$2:$E$9876='2019-20_working'!$T$6)*(raw!$F$2:$F$9876='2019-20_working'!Z$7)*(raw!$G$2:$G$9876))</f>
        <v>0</v>
      </c>
      <c r="AA13" s="8">
        <f>SUMPRODUCT((raw!$A$2:$A$9876='2019-20_working'!$A$2)*(raw!$B$2:$B$9876='2019-20_working'!$A13)*(raw!$E$2:$E$9876='2019-20_working'!$T$6)*(raw!$F$2:$F$9876='2019-20_working'!AA$7)*(raw!$G$2:$G$9876))</f>
        <v>0</v>
      </c>
      <c r="AC13" s="8">
        <f>SUMPRODUCT((raw!$A$2:$A$9876='2019-20_working'!$A$2)*(raw!$B$2:$B$9876='2019-20_working'!$A13)*(raw!$E$2:$E$9876='2019-20_working'!$AC$6)*(raw!$F$2:$F$9876='2019-20_working'!AC$7)*(raw!$G$2:$G$9876))</f>
        <v>15</v>
      </c>
      <c r="AD13" s="8">
        <f>SUMPRODUCT((raw!$A$2:$A$9876='2019-20_working'!$A$2)*(raw!$B$2:$B$9876='2019-20_working'!$A13)*(raw!$E$2:$E$9876='2019-20_working'!$AC$6)*(raw!$F$2:$F$9876='2019-20_working'!AD$7)*(raw!$G$2:$G$9876))</f>
        <v>0</v>
      </c>
      <c r="AE13" s="8">
        <f>SUMPRODUCT((raw!$A$2:$A$9876='2019-20_working'!$A$2)*(raw!$B$2:$B$9876='2019-20_working'!$A13)*(raw!$E$2:$E$9876='2019-20_working'!$AC$6)*(raw!$F$2:$F$9876='2019-20_working'!AE$7)*(raw!$G$2:$G$9876))</f>
        <v>1</v>
      </c>
      <c r="AF13" s="8">
        <f>SUMPRODUCT((raw!$A$2:$A$9876='2019-20_working'!$A$2)*(raw!$B$2:$B$9876='2019-20_working'!$A13)*(raw!$E$2:$E$9876='2019-20_working'!$AC$6)*(raw!$F$2:$F$9876='2019-20_working'!AF$7)*(raw!$G$2:$G$9876))</f>
        <v>2</v>
      </c>
      <c r="AG13" s="8">
        <f>SUMPRODUCT((raw!$A$2:$A$9876='2019-20_working'!$A$2)*(raw!$B$2:$B$9876='2019-20_working'!$A13)*(raw!$E$2:$E$9876='2019-20_working'!$AC$6)*(raw!$F$2:$F$9876='2019-20_working'!AG$7)*(raw!$G$2:$G$9876))</f>
        <v>3</v>
      </c>
      <c r="AH13" s="8">
        <f>SUMPRODUCT((raw!$A$2:$A$9876='2019-20_working'!$A$2)*(raw!$B$2:$B$9876='2019-20_working'!$A13)*(raw!$E$2:$E$9876='2019-20_working'!$AC$6)*(raw!$F$2:$F$9876='2019-20_working'!AH$7)*(raw!$G$2:$G$9876))</f>
        <v>0</v>
      </c>
      <c r="AI13" s="8">
        <f>SUMPRODUCT((raw!$A$2:$A$9876='2019-20_working'!$A$2)*(raw!$B$2:$B$9876='2019-20_working'!$A13)*(raw!$E$2:$E$9876='2019-20_working'!$AC$6)*(raw!$F$2:$F$9876='2019-20_working'!AI$7)*(raw!$G$2:$G$9876))</f>
        <v>0</v>
      </c>
      <c r="AJ13" s="8">
        <f>SUMPRODUCT((raw!$A$2:$A$9876='2019-20_working'!$A$2)*(raw!$B$2:$B$9876='2019-20_working'!$A13)*(raw!$E$2:$E$9876='2019-20_working'!$AC$6)*(raw!$F$2:$F$9876='2019-20_working'!AJ$7)*(raw!$G$2:$G$9876))</f>
        <v>4</v>
      </c>
    </row>
    <row r="14" spans="1:36" x14ac:dyDescent="0.3">
      <c r="A14" s="8" t="s">
        <v>21</v>
      </c>
      <c r="B14" s="8">
        <f>SUMPRODUCT((raw!$A$2:$A$9876='2019-20_working'!$A$2)*(raw!$B$2:$B$9876='2019-20_working'!$A14)*(raw!$E$2:$E$9876='2019-20_working'!$B$6:$I$6)*(raw!$F$2:$F$9876='2019-20_working'!B$7)*(raw!$G$2:$G$9876))</f>
        <v>7</v>
      </c>
      <c r="C14" s="8">
        <f>SUMPRODUCT((raw!$A$2:$A$9876='2019-20_working'!$A$2)*(raw!$B$2:$B$9876='2019-20_working'!$A14)*(raw!$E$2:$E$9876='2019-20_working'!$B$6:$I$6)*(raw!$F$2:$F$9876='2019-20_working'!C$7)*(raw!$G$2:$G$9876))</f>
        <v>0</v>
      </c>
      <c r="D14" s="8">
        <f>SUMPRODUCT((raw!$A$2:$A$9876='2019-20_working'!$A$2)*(raw!$B$2:$B$9876='2019-20_working'!$A14)*(raw!$E$2:$E$9876='2019-20_working'!$B$6:$I$6)*(raw!$F$2:$F$9876='2019-20_working'!D$7)*(raw!$G$2:$G$9876))</f>
        <v>1</v>
      </c>
      <c r="E14" s="8">
        <f>SUMPRODUCT((raw!$A$2:$A$9876='2019-20_working'!$A$2)*(raw!$B$2:$B$9876='2019-20_working'!$A14)*(raw!$E$2:$E$9876='2019-20_working'!$B$6:$I$6)*(raw!$F$2:$F$9876='2019-20_working'!E$7)*(raw!$G$2:$G$9876))</f>
        <v>0</v>
      </c>
      <c r="F14" s="8">
        <f>SUMPRODUCT((raw!$A$2:$A$9876='2019-20_working'!$A$2)*(raw!$B$2:$B$9876='2019-20_working'!$A14)*(raw!$E$2:$E$9876='2019-20_working'!$B$6:$I$6)*(raw!$F$2:$F$9876='2019-20_working'!F$7)*(raw!$G$2:$G$9876))</f>
        <v>0</v>
      </c>
      <c r="G14" s="8">
        <f>SUMPRODUCT((raw!$A$2:$A$9876='2019-20_working'!$A$2)*(raw!$B$2:$B$9876='2019-20_working'!$A14)*(raw!$E$2:$E$9876='2019-20_working'!$B$6:$I$6)*(raw!$F$2:$F$9876='2019-20_working'!G$7)*(raw!$G$2:$G$9876))</f>
        <v>0</v>
      </c>
      <c r="H14" s="8">
        <f>SUMPRODUCT((raw!$A$2:$A$9876='2019-20_working'!$A$2)*(raw!$B$2:$B$9876='2019-20_working'!$A14)*(raw!$E$2:$E$9876='2019-20_working'!$B$6:$I$6)*(raw!$F$2:$F$9876='2019-20_working'!H$7)*(raw!$G$2:$G$9876))</f>
        <v>0</v>
      </c>
      <c r="I14" s="8">
        <f>SUMPRODUCT((raw!$A$2:$A$9876='2019-20_working'!$A$2)*(raw!$B$2:$B$9876='2019-20_working'!$A14)*(raw!$E$2:$E$9876='2019-20_working'!$B$6:$I$6)*(raw!$F$2:$F$9876='2019-20_working'!I$7)*(raw!$G$2:$G$9876))</f>
        <v>0</v>
      </c>
      <c r="K14" s="8">
        <f>SUMPRODUCT((raw!$A$2:$A$9876='2019-20_working'!$A$2)*(raw!$B$2:$B$9876='2019-20_working'!$A14)*(raw!$E$2:$E$9876='2019-20_working'!$K$6)*(raw!$F$2:$F$9876='2019-20_working'!K$7)*(raw!$G$2:$G$9876))</f>
        <v>34</v>
      </c>
      <c r="L14" s="8">
        <f>SUMPRODUCT((raw!$A$2:$A$9876='2019-20_working'!$A$2)*(raw!$B$2:$B$9876='2019-20_working'!$A14)*(raw!$E$2:$E$9876='2019-20_working'!$K$6)*(raw!$F$2:$F$9876='2019-20_working'!L$7)*(raw!$G$2:$G$9876))</f>
        <v>1</v>
      </c>
      <c r="M14" s="8">
        <f>SUMPRODUCT((raw!$A$2:$A$9876='2019-20_working'!$A$2)*(raw!$B$2:$B$9876='2019-20_working'!$A14)*(raw!$E$2:$E$9876='2019-20_working'!$K$6)*(raw!$F$2:$F$9876='2019-20_working'!M$7)*(raw!$G$2:$G$9876))</f>
        <v>0</v>
      </c>
      <c r="N14" s="8">
        <f>SUMPRODUCT((raw!$A$2:$A$9876='2019-20_working'!$A$2)*(raw!$B$2:$B$9876='2019-20_working'!$A14)*(raw!$E$2:$E$9876='2019-20_working'!$K$6)*(raw!$F$2:$F$9876='2019-20_working'!N$7)*(raw!$G$2:$G$9876))</f>
        <v>0</v>
      </c>
      <c r="O14" s="8">
        <f>SUMPRODUCT((raw!$A$2:$A$9876='2019-20_working'!$A$2)*(raw!$B$2:$B$9876='2019-20_working'!$A14)*(raw!$E$2:$E$9876='2019-20_working'!$K$6)*(raw!$F$2:$F$9876='2019-20_working'!O$7)*(raw!$G$2:$G$9876))</f>
        <v>0</v>
      </c>
      <c r="P14" s="8">
        <f>SUMPRODUCT((raw!$A$2:$A$9876='2019-20_working'!$A$2)*(raw!$B$2:$B$9876='2019-20_working'!$A14)*(raw!$E$2:$E$9876='2019-20_working'!$K$6)*(raw!$F$2:$F$9876='2019-20_working'!P$7)*(raw!$G$2:$G$9876))</f>
        <v>0</v>
      </c>
      <c r="Q14" s="8">
        <f>SUMPRODUCT((raw!$A$2:$A$9876='2019-20_working'!$A$2)*(raw!$B$2:$B$9876='2019-20_working'!$A14)*(raw!$E$2:$E$9876='2019-20_working'!$K$6)*(raw!$F$2:$F$9876='2019-20_working'!Q$7)*(raw!$G$2:$G$9876))</f>
        <v>1</v>
      </c>
      <c r="R14" s="8">
        <f>SUMPRODUCT((raw!$A$2:$A$9876='2019-20_working'!$A$2)*(raw!$B$2:$B$9876='2019-20_working'!$A14)*(raw!$E$2:$E$9876='2019-20_working'!$K$6)*(raw!$F$2:$F$9876='2019-20_working'!R$7)*(raw!$G$2:$G$9876))</f>
        <v>0</v>
      </c>
      <c r="T14" s="8">
        <f>SUMPRODUCT((raw!$A$2:$A$9876='2019-20_working'!$A$2)*(raw!$B$2:$B$9876='2019-20_working'!$A14)*(raw!$E$2:$E$9876='2019-20_working'!$T$6)*(raw!$F$2:$F$9876='2019-20_working'!T$7)*(raw!$G$2:$G$9876))</f>
        <v>3</v>
      </c>
      <c r="U14" s="8">
        <f>SUMPRODUCT((raw!$A$2:$A$9876='2019-20_working'!$A$2)*(raw!$B$2:$B$9876='2019-20_working'!$A14)*(raw!$E$2:$E$9876='2019-20_working'!$T$6)*(raw!$F$2:$F$9876='2019-20_working'!U$7)*(raw!$G$2:$G$9876))</f>
        <v>0</v>
      </c>
      <c r="V14" s="8">
        <f>SUMPRODUCT((raw!$A$2:$A$9876='2019-20_working'!$A$2)*(raw!$B$2:$B$9876='2019-20_working'!$A14)*(raw!$E$2:$E$9876='2019-20_working'!$T$6)*(raw!$F$2:$F$9876='2019-20_working'!V$7)*(raw!$G$2:$G$9876))</f>
        <v>0</v>
      </c>
      <c r="W14" s="8">
        <f>SUMPRODUCT((raw!$A$2:$A$9876='2019-20_working'!$A$2)*(raw!$B$2:$B$9876='2019-20_working'!$A14)*(raw!$E$2:$E$9876='2019-20_working'!$T$6)*(raw!$F$2:$F$9876='2019-20_working'!W$7)*(raw!$G$2:$G$9876))</f>
        <v>1</v>
      </c>
      <c r="X14" s="8">
        <f>SUMPRODUCT((raw!$A$2:$A$9876='2019-20_working'!$A$2)*(raw!$B$2:$B$9876='2019-20_working'!$A14)*(raw!$E$2:$E$9876='2019-20_working'!$T$6)*(raw!$F$2:$F$9876='2019-20_working'!X$7)*(raw!$G$2:$G$9876))</f>
        <v>0</v>
      </c>
      <c r="Y14" s="8">
        <f>SUMPRODUCT((raw!$A$2:$A$9876='2019-20_working'!$A$2)*(raw!$B$2:$B$9876='2019-20_working'!$A14)*(raw!$E$2:$E$9876='2019-20_working'!$T$6)*(raw!$F$2:$F$9876='2019-20_working'!Y$7)*(raw!$G$2:$G$9876))</f>
        <v>0</v>
      </c>
      <c r="Z14" s="8">
        <f>SUMPRODUCT((raw!$A$2:$A$9876='2019-20_working'!$A$2)*(raw!$B$2:$B$9876='2019-20_working'!$A14)*(raw!$E$2:$E$9876='2019-20_working'!$T$6)*(raw!$F$2:$F$9876='2019-20_working'!Z$7)*(raw!$G$2:$G$9876))</f>
        <v>0</v>
      </c>
      <c r="AA14" s="8">
        <f>SUMPRODUCT((raw!$A$2:$A$9876='2019-20_working'!$A$2)*(raw!$B$2:$B$9876='2019-20_working'!$A14)*(raw!$E$2:$E$9876='2019-20_working'!$T$6)*(raw!$F$2:$F$9876='2019-20_working'!AA$7)*(raw!$G$2:$G$9876))</f>
        <v>1</v>
      </c>
      <c r="AC14" s="8">
        <f>SUMPRODUCT((raw!$A$2:$A$9876='2019-20_working'!$A$2)*(raw!$B$2:$B$9876='2019-20_working'!$A14)*(raw!$E$2:$E$9876='2019-20_working'!$AC$6)*(raw!$F$2:$F$9876='2019-20_working'!AC$7)*(raw!$G$2:$G$9876))</f>
        <v>14</v>
      </c>
      <c r="AD14" s="8">
        <f>SUMPRODUCT((raw!$A$2:$A$9876='2019-20_working'!$A$2)*(raw!$B$2:$B$9876='2019-20_working'!$A14)*(raw!$E$2:$E$9876='2019-20_working'!$AC$6)*(raw!$F$2:$F$9876='2019-20_working'!AD$7)*(raw!$G$2:$G$9876))</f>
        <v>0</v>
      </c>
      <c r="AE14" s="8">
        <f>SUMPRODUCT((raw!$A$2:$A$9876='2019-20_working'!$A$2)*(raw!$B$2:$B$9876='2019-20_working'!$A14)*(raw!$E$2:$E$9876='2019-20_working'!$AC$6)*(raw!$F$2:$F$9876='2019-20_working'!AE$7)*(raw!$G$2:$G$9876))</f>
        <v>0</v>
      </c>
      <c r="AF14" s="8">
        <f>SUMPRODUCT((raw!$A$2:$A$9876='2019-20_working'!$A$2)*(raw!$B$2:$B$9876='2019-20_working'!$A14)*(raw!$E$2:$E$9876='2019-20_working'!$AC$6)*(raw!$F$2:$F$9876='2019-20_working'!AF$7)*(raw!$G$2:$G$9876))</f>
        <v>1</v>
      </c>
      <c r="AG14" s="8">
        <f>SUMPRODUCT((raw!$A$2:$A$9876='2019-20_working'!$A$2)*(raw!$B$2:$B$9876='2019-20_working'!$A14)*(raw!$E$2:$E$9876='2019-20_working'!$AC$6)*(raw!$F$2:$F$9876='2019-20_working'!AG$7)*(raw!$G$2:$G$9876))</f>
        <v>0</v>
      </c>
      <c r="AH14" s="8">
        <f>SUMPRODUCT((raw!$A$2:$A$9876='2019-20_working'!$A$2)*(raw!$B$2:$B$9876='2019-20_working'!$A14)*(raw!$E$2:$E$9876='2019-20_working'!$AC$6)*(raw!$F$2:$F$9876='2019-20_working'!AH$7)*(raw!$G$2:$G$9876))</f>
        <v>0</v>
      </c>
      <c r="AI14" s="8">
        <f>SUMPRODUCT((raw!$A$2:$A$9876='2019-20_working'!$A$2)*(raw!$B$2:$B$9876='2019-20_working'!$A14)*(raw!$E$2:$E$9876='2019-20_working'!$AC$6)*(raw!$F$2:$F$9876='2019-20_working'!AI$7)*(raw!$G$2:$G$9876))</f>
        <v>0</v>
      </c>
      <c r="AJ14" s="8">
        <f>SUMPRODUCT((raw!$A$2:$A$9876='2019-20_working'!$A$2)*(raw!$B$2:$B$9876='2019-20_working'!$A14)*(raw!$E$2:$E$9876='2019-20_working'!$AC$6)*(raw!$F$2:$F$9876='2019-20_working'!AJ$7)*(raw!$G$2:$G$9876))</f>
        <v>3</v>
      </c>
    </row>
    <row r="15" spans="1:36" x14ac:dyDescent="0.3">
      <c r="A15" s="8" t="s">
        <v>22</v>
      </c>
      <c r="B15" s="8">
        <f>SUMPRODUCT((raw!$A$2:$A$9876='2019-20_working'!$A$2)*(raw!$B$2:$B$9876='2019-20_working'!$A15)*(raw!$E$2:$E$9876='2019-20_working'!$B$6:$I$6)*(raw!$F$2:$F$9876='2019-20_working'!B$7)*(raw!$G$2:$G$9876))</f>
        <v>23</v>
      </c>
      <c r="C15" s="8">
        <f>SUMPRODUCT((raw!$A$2:$A$9876='2019-20_working'!$A$2)*(raw!$B$2:$B$9876='2019-20_working'!$A15)*(raw!$E$2:$E$9876='2019-20_working'!$B$6:$I$6)*(raw!$F$2:$F$9876='2019-20_working'!C$7)*(raw!$G$2:$G$9876))</f>
        <v>0</v>
      </c>
      <c r="D15" s="8">
        <f>SUMPRODUCT((raw!$A$2:$A$9876='2019-20_working'!$A$2)*(raw!$B$2:$B$9876='2019-20_working'!$A15)*(raw!$E$2:$E$9876='2019-20_working'!$B$6:$I$6)*(raw!$F$2:$F$9876='2019-20_working'!D$7)*(raw!$G$2:$G$9876))</f>
        <v>0</v>
      </c>
      <c r="E15" s="8">
        <f>SUMPRODUCT((raw!$A$2:$A$9876='2019-20_working'!$A$2)*(raw!$B$2:$B$9876='2019-20_working'!$A15)*(raw!$E$2:$E$9876='2019-20_working'!$B$6:$I$6)*(raw!$F$2:$F$9876='2019-20_working'!E$7)*(raw!$G$2:$G$9876))</f>
        <v>0</v>
      </c>
      <c r="F15" s="8">
        <f>SUMPRODUCT((raw!$A$2:$A$9876='2019-20_working'!$A$2)*(raw!$B$2:$B$9876='2019-20_working'!$A15)*(raw!$E$2:$E$9876='2019-20_working'!$B$6:$I$6)*(raw!$F$2:$F$9876='2019-20_working'!F$7)*(raw!$G$2:$G$9876))</f>
        <v>0</v>
      </c>
      <c r="G15" s="8">
        <f>SUMPRODUCT((raw!$A$2:$A$9876='2019-20_working'!$A$2)*(raw!$B$2:$B$9876='2019-20_working'!$A15)*(raw!$E$2:$E$9876='2019-20_working'!$B$6:$I$6)*(raw!$F$2:$F$9876='2019-20_working'!G$7)*(raw!$G$2:$G$9876))</f>
        <v>0</v>
      </c>
      <c r="H15" s="8">
        <f>SUMPRODUCT((raw!$A$2:$A$9876='2019-20_working'!$A$2)*(raw!$B$2:$B$9876='2019-20_working'!$A15)*(raw!$E$2:$E$9876='2019-20_working'!$B$6:$I$6)*(raw!$F$2:$F$9876='2019-20_working'!H$7)*(raw!$G$2:$G$9876))</f>
        <v>0</v>
      </c>
      <c r="I15" s="8">
        <f>SUMPRODUCT((raw!$A$2:$A$9876='2019-20_working'!$A$2)*(raw!$B$2:$B$9876='2019-20_working'!$A15)*(raw!$E$2:$E$9876='2019-20_working'!$B$6:$I$6)*(raw!$F$2:$F$9876='2019-20_working'!I$7)*(raw!$G$2:$G$9876))</f>
        <v>0</v>
      </c>
      <c r="K15" s="8">
        <f>SUMPRODUCT((raw!$A$2:$A$9876='2019-20_working'!$A$2)*(raw!$B$2:$B$9876='2019-20_working'!$A15)*(raw!$E$2:$E$9876='2019-20_working'!$K$6)*(raw!$F$2:$F$9876='2019-20_working'!K$7)*(raw!$G$2:$G$9876))</f>
        <v>34</v>
      </c>
      <c r="L15" s="8">
        <f>SUMPRODUCT((raw!$A$2:$A$9876='2019-20_working'!$A$2)*(raw!$B$2:$B$9876='2019-20_working'!$A15)*(raw!$E$2:$E$9876='2019-20_working'!$K$6)*(raw!$F$2:$F$9876='2019-20_working'!L$7)*(raw!$G$2:$G$9876))</f>
        <v>1</v>
      </c>
      <c r="M15" s="8">
        <f>SUMPRODUCT((raw!$A$2:$A$9876='2019-20_working'!$A$2)*(raw!$B$2:$B$9876='2019-20_working'!$A15)*(raw!$E$2:$E$9876='2019-20_working'!$K$6)*(raw!$F$2:$F$9876='2019-20_working'!M$7)*(raw!$G$2:$G$9876))</f>
        <v>0</v>
      </c>
      <c r="N15" s="8">
        <f>SUMPRODUCT((raw!$A$2:$A$9876='2019-20_working'!$A$2)*(raw!$B$2:$B$9876='2019-20_working'!$A15)*(raw!$E$2:$E$9876='2019-20_working'!$K$6)*(raw!$F$2:$F$9876='2019-20_working'!N$7)*(raw!$G$2:$G$9876))</f>
        <v>0</v>
      </c>
      <c r="O15" s="8">
        <f>SUMPRODUCT((raw!$A$2:$A$9876='2019-20_working'!$A$2)*(raw!$B$2:$B$9876='2019-20_working'!$A15)*(raw!$E$2:$E$9876='2019-20_working'!$K$6)*(raw!$F$2:$F$9876='2019-20_working'!O$7)*(raw!$G$2:$G$9876))</f>
        <v>0</v>
      </c>
      <c r="P15" s="8">
        <f>SUMPRODUCT((raw!$A$2:$A$9876='2019-20_working'!$A$2)*(raw!$B$2:$B$9876='2019-20_working'!$A15)*(raw!$E$2:$E$9876='2019-20_working'!$K$6)*(raw!$F$2:$F$9876='2019-20_working'!P$7)*(raw!$G$2:$G$9876))</f>
        <v>0</v>
      </c>
      <c r="Q15" s="8">
        <f>SUMPRODUCT((raw!$A$2:$A$9876='2019-20_working'!$A$2)*(raw!$B$2:$B$9876='2019-20_working'!$A15)*(raw!$E$2:$E$9876='2019-20_working'!$K$6)*(raw!$F$2:$F$9876='2019-20_working'!Q$7)*(raw!$G$2:$G$9876))</f>
        <v>0</v>
      </c>
      <c r="R15" s="8">
        <f>SUMPRODUCT((raw!$A$2:$A$9876='2019-20_working'!$A$2)*(raw!$B$2:$B$9876='2019-20_working'!$A15)*(raw!$E$2:$E$9876='2019-20_working'!$K$6)*(raw!$F$2:$F$9876='2019-20_working'!R$7)*(raw!$G$2:$G$9876))</f>
        <v>4</v>
      </c>
      <c r="T15" s="8">
        <f>SUMPRODUCT((raw!$A$2:$A$9876='2019-20_working'!$A$2)*(raw!$B$2:$B$9876='2019-20_working'!$A15)*(raw!$E$2:$E$9876='2019-20_working'!$T$6)*(raw!$F$2:$F$9876='2019-20_working'!T$7)*(raw!$G$2:$G$9876))</f>
        <v>0</v>
      </c>
      <c r="U15" s="8">
        <f>SUMPRODUCT((raw!$A$2:$A$9876='2019-20_working'!$A$2)*(raw!$B$2:$B$9876='2019-20_working'!$A15)*(raw!$E$2:$E$9876='2019-20_working'!$T$6)*(raw!$F$2:$F$9876='2019-20_working'!U$7)*(raw!$G$2:$G$9876))</f>
        <v>0</v>
      </c>
      <c r="V15" s="8">
        <f>SUMPRODUCT((raw!$A$2:$A$9876='2019-20_working'!$A$2)*(raw!$B$2:$B$9876='2019-20_working'!$A15)*(raw!$E$2:$E$9876='2019-20_working'!$T$6)*(raw!$F$2:$F$9876='2019-20_working'!V$7)*(raw!$G$2:$G$9876))</f>
        <v>0</v>
      </c>
      <c r="W15" s="8">
        <f>SUMPRODUCT((raw!$A$2:$A$9876='2019-20_working'!$A$2)*(raw!$B$2:$B$9876='2019-20_working'!$A15)*(raw!$E$2:$E$9876='2019-20_working'!$T$6)*(raw!$F$2:$F$9876='2019-20_working'!W$7)*(raw!$G$2:$G$9876))</f>
        <v>0</v>
      </c>
      <c r="X15" s="8">
        <f>SUMPRODUCT((raw!$A$2:$A$9876='2019-20_working'!$A$2)*(raw!$B$2:$B$9876='2019-20_working'!$A15)*(raw!$E$2:$E$9876='2019-20_working'!$T$6)*(raw!$F$2:$F$9876='2019-20_working'!X$7)*(raw!$G$2:$G$9876))</f>
        <v>0</v>
      </c>
      <c r="Y15" s="8">
        <f>SUMPRODUCT((raw!$A$2:$A$9876='2019-20_working'!$A$2)*(raw!$B$2:$B$9876='2019-20_working'!$A15)*(raw!$E$2:$E$9876='2019-20_working'!$T$6)*(raw!$F$2:$F$9876='2019-20_working'!Y$7)*(raw!$G$2:$G$9876))</f>
        <v>0</v>
      </c>
      <c r="Z15" s="8">
        <f>SUMPRODUCT((raw!$A$2:$A$9876='2019-20_working'!$A$2)*(raw!$B$2:$B$9876='2019-20_working'!$A15)*(raw!$E$2:$E$9876='2019-20_working'!$T$6)*(raw!$F$2:$F$9876='2019-20_working'!Z$7)*(raw!$G$2:$G$9876))</f>
        <v>0</v>
      </c>
      <c r="AA15" s="8">
        <f>SUMPRODUCT((raw!$A$2:$A$9876='2019-20_working'!$A$2)*(raw!$B$2:$B$9876='2019-20_working'!$A15)*(raw!$E$2:$E$9876='2019-20_working'!$T$6)*(raw!$F$2:$F$9876='2019-20_working'!AA$7)*(raw!$G$2:$G$9876))</f>
        <v>0</v>
      </c>
      <c r="AC15" s="8">
        <f>SUMPRODUCT((raw!$A$2:$A$9876='2019-20_working'!$A$2)*(raw!$B$2:$B$9876='2019-20_working'!$A15)*(raw!$E$2:$E$9876='2019-20_working'!$AC$6)*(raw!$F$2:$F$9876='2019-20_working'!AC$7)*(raw!$G$2:$G$9876))</f>
        <v>30</v>
      </c>
      <c r="AD15" s="8">
        <f>SUMPRODUCT((raw!$A$2:$A$9876='2019-20_working'!$A$2)*(raw!$B$2:$B$9876='2019-20_working'!$A15)*(raw!$E$2:$E$9876='2019-20_working'!$AC$6)*(raw!$F$2:$F$9876='2019-20_working'!AD$7)*(raw!$G$2:$G$9876))</f>
        <v>0</v>
      </c>
      <c r="AE15" s="8">
        <f>SUMPRODUCT((raw!$A$2:$A$9876='2019-20_working'!$A$2)*(raw!$B$2:$B$9876='2019-20_working'!$A15)*(raw!$E$2:$E$9876='2019-20_working'!$AC$6)*(raw!$F$2:$F$9876='2019-20_working'!AE$7)*(raw!$G$2:$G$9876))</f>
        <v>1</v>
      </c>
      <c r="AF15" s="8">
        <f>SUMPRODUCT((raw!$A$2:$A$9876='2019-20_working'!$A$2)*(raw!$B$2:$B$9876='2019-20_working'!$A15)*(raw!$E$2:$E$9876='2019-20_working'!$AC$6)*(raw!$F$2:$F$9876='2019-20_working'!AF$7)*(raw!$G$2:$G$9876))</f>
        <v>0</v>
      </c>
      <c r="AG15" s="8">
        <f>SUMPRODUCT((raw!$A$2:$A$9876='2019-20_working'!$A$2)*(raw!$B$2:$B$9876='2019-20_working'!$A15)*(raw!$E$2:$E$9876='2019-20_working'!$AC$6)*(raw!$F$2:$F$9876='2019-20_working'!AG$7)*(raw!$G$2:$G$9876))</f>
        <v>0</v>
      </c>
      <c r="AH15" s="8">
        <f>SUMPRODUCT((raw!$A$2:$A$9876='2019-20_working'!$A$2)*(raw!$B$2:$B$9876='2019-20_working'!$A15)*(raw!$E$2:$E$9876='2019-20_working'!$AC$6)*(raw!$F$2:$F$9876='2019-20_working'!AH$7)*(raw!$G$2:$G$9876))</f>
        <v>0</v>
      </c>
      <c r="AI15" s="8">
        <f>SUMPRODUCT((raw!$A$2:$A$9876='2019-20_working'!$A$2)*(raw!$B$2:$B$9876='2019-20_working'!$A15)*(raw!$E$2:$E$9876='2019-20_working'!$AC$6)*(raw!$F$2:$F$9876='2019-20_working'!AI$7)*(raw!$G$2:$G$9876))</f>
        <v>0</v>
      </c>
      <c r="AJ15" s="8">
        <f>SUMPRODUCT((raw!$A$2:$A$9876='2019-20_working'!$A$2)*(raw!$B$2:$B$9876='2019-20_working'!$A15)*(raw!$E$2:$E$9876='2019-20_working'!$AC$6)*(raw!$F$2:$F$9876='2019-20_working'!AJ$7)*(raw!$G$2:$G$9876))</f>
        <v>0</v>
      </c>
    </row>
    <row r="16" spans="1:36" x14ac:dyDescent="0.3">
      <c r="A16" s="8" t="s">
        <v>23</v>
      </c>
      <c r="B16" s="8">
        <f>SUMPRODUCT((raw!$A$2:$A$9876='2019-20_working'!$A$2)*(raw!$B$2:$B$9876='2019-20_working'!$A16)*(raw!$E$2:$E$9876='2019-20_working'!$B$6:$I$6)*(raw!$F$2:$F$9876='2019-20_working'!B$7)*(raw!$G$2:$G$9876))</f>
        <v>31</v>
      </c>
      <c r="C16" s="8">
        <f>SUMPRODUCT((raw!$A$2:$A$9876='2019-20_working'!$A$2)*(raw!$B$2:$B$9876='2019-20_working'!$A16)*(raw!$E$2:$E$9876='2019-20_working'!$B$6:$I$6)*(raw!$F$2:$F$9876='2019-20_working'!C$7)*(raw!$G$2:$G$9876))</f>
        <v>0</v>
      </c>
      <c r="D16" s="8">
        <f>SUMPRODUCT((raw!$A$2:$A$9876='2019-20_working'!$A$2)*(raw!$B$2:$B$9876='2019-20_working'!$A16)*(raw!$E$2:$E$9876='2019-20_working'!$B$6:$I$6)*(raw!$F$2:$F$9876='2019-20_working'!D$7)*(raw!$G$2:$G$9876))</f>
        <v>0</v>
      </c>
      <c r="E16" s="8">
        <f>SUMPRODUCT((raw!$A$2:$A$9876='2019-20_working'!$A$2)*(raw!$B$2:$B$9876='2019-20_working'!$A16)*(raw!$E$2:$E$9876='2019-20_working'!$B$6:$I$6)*(raw!$F$2:$F$9876='2019-20_working'!E$7)*(raw!$G$2:$G$9876))</f>
        <v>0</v>
      </c>
      <c r="F16" s="8">
        <f>SUMPRODUCT((raw!$A$2:$A$9876='2019-20_working'!$A$2)*(raw!$B$2:$B$9876='2019-20_working'!$A16)*(raw!$E$2:$E$9876='2019-20_working'!$B$6:$I$6)*(raw!$F$2:$F$9876='2019-20_working'!F$7)*(raw!$G$2:$G$9876))</f>
        <v>0</v>
      </c>
      <c r="G16" s="8">
        <f>SUMPRODUCT((raw!$A$2:$A$9876='2019-20_working'!$A$2)*(raw!$B$2:$B$9876='2019-20_working'!$A16)*(raw!$E$2:$E$9876='2019-20_working'!$B$6:$I$6)*(raw!$F$2:$F$9876='2019-20_working'!G$7)*(raw!$G$2:$G$9876))</f>
        <v>1</v>
      </c>
      <c r="H16" s="8">
        <f>SUMPRODUCT((raw!$A$2:$A$9876='2019-20_working'!$A$2)*(raw!$B$2:$B$9876='2019-20_working'!$A16)*(raw!$E$2:$E$9876='2019-20_working'!$B$6:$I$6)*(raw!$F$2:$F$9876='2019-20_working'!H$7)*(raw!$G$2:$G$9876))</f>
        <v>0</v>
      </c>
      <c r="I16" s="8">
        <f>SUMPRODUCT((raw!$A$2:$A$9876='2019-20_working'!$A$2)*(raw!$B$2:$B$9876='2019-20_working'!$A16)*(raw!$E$2:$E$9876='2019-20_working'!$B$6:$I$6)*(raw!$F$2:$F$9876='2019-20_working'!I$7)*(raw!$G$2:$G$9876))</f>
        <v>0</v>
      </c>
      <c r="K16" s="8">
        <f>SUMPRODUCT((raw!$A$2:$A$9876='2019-20_working'!$A$2)*(raw!$B$2:$B$9876='2019-20_working'!$A16)*(raw!$E$2:$E$9876='2019-20_working'!$K$6)*(raw!$F$2:$F$9876='2019-20_working'!K$7)*(raw!$G$2:$G$9876))</f>
        <v>6</v>
      </c>
      <c r="L16" s="8">
        <f>SUMPRODUCT((raw!$A$2:$A$9876='2019-20_working'!$A$2)*(raw!$B$2:$B$9876='2019-20_working'!$A16)*(raw!$E$2:$E$9876='2019-20_working'!$K$6)*(raw!$F$2:$F$9876='2019-20_working'!L$7)*(raw!$G$2:$G$9876))</f>
        <v>1</v>
      </c>
      <c r="M16" s="8">
        <f>SUMPRODUCT((raw!$A$2:$A$9876='2019-20_working'!$A$2)*(raw!$B$2:$B$9876='2019-20_working'!$A16)*(raw!$E$2:$E$9876='2019-20_working'!$K$6)*(raw!$F$2:$F$9876='2019-20_working'!M$7)*(raw!$G$2:$G$9876))</f>
        <v>0</v>
      </c>
      <c r="N16" s="8">
        <f>SUMPRODUCT((raw!$A$2:$A$9876='2019-20_working'!$A$2)*(raw!$B$2:$B$9876='2019-20_working'!$A16)*(raw!$E$2:$E$9876='2019-20_working'!$K$6)*(raw!$F$2:$F$9876='2019-20_working'!N$7)*(raw!$G$2:$G$9876))</f>
        <v>0</v>
      </c>
      <c r="O16" s="8">
        <f>SUMPRODUCT((raw!$A$2:$A$9876='2019-20_working'!$A$2)*(raw!$B$2:$B$9876='2019-20_working'!$A16)*(raw!$E$2:$E$9876='2019-20_working'!$K$6)*(raw!$F$2:$F$9876='2019-20_working'!O$7)*(raw!$G$2:$G$9876))</f>
        <v>0</v>
      </c>
      <c r="P16" s="8">
        <f>SUMPRODUCT((raw!$A$2:$A$9876='2019-20_working'!$A$2)*(raw!$B$2:$B$9876='2019-20_working'!$A16)*(raw!$E$2:$E$9876='2019-20_working'!$K$6)*(raw!$F$2:$F$9876='2019-20_working'!P$7)*(raw!$G$2:$G$9876))</f>
        <v>0</v>
      </c>
      <c r="Q16" s="8">
        <f>SUMPRODUCT((raw!$A$2:$A$9876='2019-20_working'!$A$2)*(raw!$B$2:$B$9876='2019-20_working'!$A16)*(raw!$E$2:$E$9876='2019-20_working'!$K$6)*(raw!$F$2:$F$9876='2019-20_working'!Q$7)*(raw!$G$2:$G$9876))</f>
        <v>0</v>
      </c>
      <c r="R16" s="8">
        <f>SUMPRODUCT((raw!$A$2:$A$9876='2019-20_working'!$A$2)*(raw!$B$2:$B$9876='2019-20_working'!$A16)*(raw!$E$2:$E$9876='2019-20_working'!$K$6)*(raw!$F$2:$F$9876='2019-20_working'!R$7)*(raw!$G$2:$G$9876))</f>
        <v>0</v>
      </c>
      <c r="T16" s="8">
        <f>SUMPRODUCT((raw!$A$2:$A$9876='2019-20_working'!$A$2)*(raw!$B$2:$B$9876='2019-20_working'!$A16)*(raw!$E$2:$E$9876='2019-20_working'!$T$6)*(raw!$F$2:$F$9876='2019-20_working'!T$7)*(raw!$G$2:$G$9876))</f>
        <v>4</v>
      </c>
      <c r="U16" s="8">
        <f>SUMPRODUCT((raw!$A$2:$A$9876='2019-20_working'!$A$2)*(raw!$B$2:$B$9876='2019-20_working'!$A16)*(raw!$E$2:$E$9876='2019-20_working'!$T$6)*(raw!$F$2:$F$9876='2019-20_working'!U$7)*(raw!$G$2:$G$9876))</f>
        <v>0</v>
      </c>
      <c r="V16" s="8">
        <f>SUMPRODUCT((raw!$A$2:$A$9876='2019-20_working'!$A$2)*(raw!$B$2:$B$9876='2019-20_working'!$A16)*(raw!$E$2:$E$9876='2019-20_working'!$T$6)*(raw!$F$2:$F$9876='2019-20_working'!V$7)*(raw!$G$2:$G$9876))</f>
        <v>0</v>
      </c>
      <c r="W16" s="8">
        <f>SUMPRODUCT((raw!$A$2:$A$9876='2019-20_working'!$A$2)*(raw!$B$2:$B$9876='2019-20_working'!$A16)*(raw!$E$2:$E$9876='2019-20_working'!$T$6)*(raw!$F$2:$F$9876='2019-20_working'!W$7)*(raw!$G$2:$G$9876))</f>
        <v>0</v>
      </c>
      <c r="X16" s="8">
        <f>SUMPRODUCT((raw!$A$2:$A$9876='2019-20_working'!$A$2)*(raw!$B$2:$B$9876='2019-20_working'!$A16)*(raw!$E$2:$E$9876='2019-20_working'!$T$6)*(raw!$F$2:$F$9876='2019-20_working'!X$7)*(raw!$G$2:$G$9876))</f>
        <v>0</v>
      </c>
      <c r="Y16" s="8">
        <f>SUMPRODUCT((raw!$A$2:$A$9876='2019-20_working'!$A$2)*(raw!$B$2:$B$9876='2019-20_working'!$A16)*(raw!$E$2:$E$9876='2019-20_working'!$T$6)*(raw!$F$2:$F$9876='2019-20_working'!Y$7)*(raw!$G$2:$G$9876))</f>
        <v>0</v>
      </c>
      <c r="Z16" s="8">
        <f>SUMPRODUCT((raw!$A$2:$A$9876='2019-20_working'!$A$2)*(raw!$B$2:$B$9876='2019-20_working'!$A16)*(raw!$E$2:$E$9876='2019-20_working'!$T$6)*(raw!$F$2:$F$9876='2019-20_working'!Z$7)*(raw!$G$2:$G$9876))</f>
        <v>0</v>
      </c>
      <c r="AA16" s="8">
        <f>SUMPRODUCT((raw!$A$2:$A$9876='2019-20_working'!$A$2)*(raw!$B$2:$B$9876='2019-20_working'!$A16)*(raw!$E$2:$E$9876='2019-20_working'!$T$6)*(raw!$F$2:$F$9876='2019-20_working'!AA$7)*(raw!$G$2:$G$9876))</f>
        <v>0</v>
      </c>
      <c r="AC16" s="8">
        <f>SUMPRODUCT((raw!$A$2:$A$9876='2019-20_working'!$A$2)*(raw!$B$2:$B$9876='2019-20_working'!$A16)*(raw!$E$2:$E$9876='2019-20_working'!$AC$6)*(raw!$F$2:$F$9876='2019-20_working'!AC$7)*(raw!$G$2:$G$9876))</f>
        <v>8</v>
      </c>
      <c r="AD16" s="8">
        <f>SUMPRODUCT((raw!$A$2:$A$9876='2019-20_working'!$A$2)*(raw!$B$2:$B$9876='2019-20_working'!$A16)*(raw!$E$2:$E$9876='2019-20_working'!$AC$6)*(raw!$F$2:$F$9876='2019-20_working'!AD$7)*(raw!$G$2:$G$9876))</f>
        <v>0</v>
      </c>
      <c r="AE16" s="8">
        <f>SUMPRODUCT((raw!$A$2:$A$9876='2019-20_working'!$A$2)*(raw!$B$2:$B$9876='2019-20_working'!$A16)*(raw!$E$2:$E$9876='2019-20_working'!$AC$6)*(raw!$F$2:$F$9876='2019-20_working'!AE$7)*(raw!$G$2:$G$9876))</f>
        <v>0</v>
      </c>
      <c r="AF16" s="8">
        <f>SUMPRODUCT((raw!$A$2:$A$9876='2019-20_working'!$A$2)*(raw!$B$2:$B$9876='2019-20_working'!$A16)*(raw!$E$2:$E$9876='2019-20_working'!$AC$6)*(raw!$F$2:$F$9876='2019-20_working'!AF$7)*(raw!$G$2:$G$9876))</f>
        <v>0</v>
      </c>
      <c r="AG16" s="8">
        <f>SUMPRODUCT((raw!$A$2:$A$9876='2019-20_working'!$A$2)*(raw!$B$2:$B$9876='2019-20_working'!$A16)*(raw!$E$2:$E$9876='2019-20_working'!$AC$6)*(raw!$F$2:$F$9876='2019-20_working'!AG$7)*(raw!$G$2:$G$9876))</f>
        <v>0</v>
      </c>
      <c r="AH16" s="8">
        <f>SUMPRODUCT((raw!$A$2:$A$9876='2019-20_working'!$A$2)*(raw!$B$2:$B$9876='2019-20_working'!$A16)*(raw!$E$2:$E$9876='2019-20_working'!$AC$6)*(raw!$F$2:$F$9876='2019-20_working'!AH$7)*(raw!$G$2:$G$9876))</f>
        <v>0</v>
      </c>
      <c r="AI16" s="8">
        <f>SUMPRODUCT((raw!$A$2:$A$9876='2019-20_working'!$A$2)*(raw!$B$2:$B$9876='2019-20_working'!$A16)*(raw!$E$2:$E$9876='2019-20_working'!$AC$6)*(raw!$F$2:$F$9876='2019-20_working'!AI$7)*(raw!$G$2:$G$9876))</f>
        <v>0</v>
      </c>
      <c r="AJ16" s="8">
        <f>SUMPRODUCT((raw!$A$2:$A$9876='2019-20_working'!$A$2)*(raw!$B$2:$B$9876='2019-20_working'!$A16)*(raw!$E$2:$E$9876='2019-20_working'!$AC$6)*(raw!$F$2:$F$9876='2019-20_working'!AJ$7)*(raw!$G$2:$G$9876))</f>
        <v>0</v>
      </c>
    </row>
    <row r="17" spans="1:36" x14ac:dyDescent="0.3">
      <c r="A17" s="8" t="s">
        <v>24</v>
      </c>
      <c r="B17" s="8">
        <f>SUMPRODUCT((raw!$A$2:$A$9876='2019-20_working'!$A$2)*(raw!$B$2:$B$9876='2019-20_working'!$A17)*(raw!$E$2:$E$9876='2019-20_working'!$B$6:$I$6)*(raw!$F$2:$F$9876='2019-20_working'!B$7)*(raw!$G$2:$G$9876))</f>
        <v>0</v>
      </c>
      <c r="C17" s="8">
        <f>SUMPRODUCT((raw!$A$2:$A$9876='2019-20_working'!$A$2)*(raw!$B$2:$B$9876='2019-20_working'!$A17)*(raw!$E$2:$E$9876='2019-20_working'!$B$6:$I$6)*(raw!$F$2:$F$9876='2019-20_working'!C$7)*(raw!$G$2:$G$9876))</f>
        <v>0</v>
      </c>
      <c r="D17" s="8">
        <f>SUMPRODUCT((raw!$A$2:$A$9876='2019-20_working'!$A$2)*(raw!$B$2:$B$9876='2019-20_working'!$A17)*(raw!$E$2:$E$9876='2019-20_working'!$B$6:$I$6)*(raw!$F$2:$F$9876='2019-20_working'!D$7)*(raw!$G$2:$G$9876))</f>
        <v>0</v>
      </c>
      <c r="E17" s="8">
        <f>SUMPRODUCT((raw!$A$2:$A$9876='2019-20_working'!$A$2)*(raw!$B$2:$B$9876='2019-20_working'!$A17)*(raw!$E$2:$E$9876='2019-20_working'!$B$6:$I$6)*(raw!$F$2:$F$9876='2019-20_working'!E$7)*(raw!$G$2:$G$9876))</f>
        <v>0</v>
      </c>
      <c r="F17" s="8">
        <f>SUMPRODUCT((raw!$A$2:$A$9876='2019-20_working'!$A$2)*(raw!$B$2:$B$9876='2019-20_working'!$A17)*(raw!$E$2:$E$9876='2019-20_working'!$B$6:$I$6)*(raw!$F$2:$F$9876='2019-20_working'!F$7)*(raw!$G$2:$G$9876))</f>
        <v>0</v>
      </c>
      <c r="G17" s="8">
        <f>SUMPRODUCT((raw!$A$2:$A$9876='2019-20_working'!$A$2)*(raw!$B$2:$B$9876='2019-20_working'!$A17)*(raw!$E$2:$E$9876='2019-20_working'!$B$6:$I$6)*(raw!$F$2:$F$9876='2019-20_working'!G$7)*(raw!$G$2:$G$9876))</f>
        <v>0</v>
      </c>
      <c r="H17" s="8">
        <f>SUMPRODUCT((raw!$A$2:$A$9876='2019-20_working'!$A$2)*(raw!$B$2:$B$9876='2019-20_working'!$A17)*(raw!$E$2:$E$9876='2019-20_working'!$B$6:$I$6)*(raw!$F$2:$F$9876='2019-20_working'!H$7)*(raw!$G$2:$G$9876))</f>
        <v>0</v>
      </c>
      <c r="I17" s="8">
        <f>SUMPRODUCT((raw!$A$2:$A$9876='2019-20_working'!$A$2)*(raw!$B$2:$B$9876='2019-20_working'!$A17)*(raw!$E$2:$E$9876='2019-20_working'!$B$6:$I$6)*(raw!$F$2:$F$9876='2019-20_working'!I$7)*(raw!$G$2:$G$9876))</f>
        <v>7</v>
      </c>
      <c r="K17" s="8">
        <f>SUMPRODUCT((raw!$A$2:$A$9876='2019-20_working'!$A$2)*(raw!$B$2:$B$9876='2019-20_working'!$A17)*(raw!$E$2:$E$9876='2019-20_working'!$K$6)*(raw!$F$2:$F$9876='2019-20_working'!K$7)*(raw!$G$2:$G$9876))</f>
        <v>2</v>
      </c>
      <c r="L17" s="8">
        <f>SUMPRODUCT((raw!$A$2:$A$9876='2019-20_working'!$A$2)*(raw!$B$2:$B$9876='2019-20_working'!$A17)*(raw!$E$2:$E$9876='2019-20_working'!$K$6)*(raw!$F$2:$F$9876='2019-20_working'!L$7)*(raw!$G$2:$G$9876))</f>
        <v>0</v>
      </c>
      <c r="M17" s="8">
        <f>SUMPRODUCT((raw!$A$2:$A$9876='2019-20_working'!$A$2)*(raw!$B$2:$B$9876='2019-20_working'!$A17)*(raw!$E$2:$E$9876='2019-20_working'!$K$6)*(raw!$F$2:$F$9876='2019-20_working'!M$7)*(raw!$G$2:$G$9876))</f>
        <v>0</v>
      </c>
      <c r="N17" s="8">
        <f>SUMPRODUCT((raw!$A$2:$A$9876='2019-20_working'!$A$2)*(raw!$B$2:$B$9876='2019-20_working'!$A17)*(raw!$E$2:$E$9876='2019-20_working'!$K$6)*(raw!$F$2:$F$9876='2019-20_working'!N$7)*(raw!$G$2:$G$9876))</f>
        <v>0</v>
      </c>
      <c r="O17" s="8">
        <f>SUMPRODUCT((raw!$A$2:$A$9876='2019-20_working'!$A$2)*(raw!$B$2:$B$9876='2019-20_working'!$A17)*(raw!$E$2:$E$9876='2019-20_working'!$K$6)*(raw!$F$2:$F$9876='2019-20_working'!O$7)*(raw!$G$2:$G$9876))</f>
        <v>0</v>
      </c>
      <c r="P17" s="8">
        <f>SUMPRODUCT((raw!$A$2:$A$9876='2019-20_working'!$A$2)*(raw!$B$2:$B$9876='2019-20_working'!$A17)*(raw!$E$2:$E$9876='2019-20_working'!$K$6)*(raw!$F$2:$F$9876='2019-20_working'!P$7)*(raw!$G$2:$G$9876))</f>
        <v>0</v>
      </c>
      <c r="Q17" s="8">
        <f>SUMPRODUCT((raw!$A$2:$A$9876='2019-20_working'!$A$2)*(raw!$B$2:$B$9876='2019-20_working'!$A17)*(raw!$E$2:$E$9876='2019-20_working'!$K$6)*(raw!$F$2:$F$9876='2019-20_working'!Q$7)*(raw!$G$2:$G$9876))</f>
        <v>0</v>
      </c>
      <c r="R17" s="8">
        <f>SUMPRODUCT((raw!$A$2:$A$9876='2019-20_working'!$A$2)*(raw!$B$2:$B$9876='2019-20_working'!$A17)*(raw!$E$2:$E$9876='2019-20_working'!$K$6)*(raw!$F$2:$F$9876='2019-20_working'!R$7)*(raw!$G$2:$G$9876))</f>
        <v>38</v>
      </c>
      <c r="T17" s="8">
        <f>SUMPRODUCT((raw!$A$2:$A$9876='2019-20_working'!$A$2)*(raw!$B$2:$B$9876='2019-20_working'!$A17)*(raw!$E$2:$E$9876='2019-20_working'!$T$6)*(raw!$F$2:$F$9876='2019-20_working'!T$7)*(raw!$G$2:$G$9876))</f>
        <v>0</v>
      </c>
      <c r="U17" s="8">
        <f>SUMPRODUCT((raw!$A$2:$A$9876='2019-20_working'!$A$2)*(raw!$B$2:$B$9876='2019-20_working'!$A17)*(raw!$E$2:$E$9876='2019-20_working'!$T$6)*(raw!$F$2:$F$9876='2019-20_working'!U$7)*(raw!$G$2:$G$9876))</f>
        <v>0</v>
      </c>
      <c r="V17" s="8">
        <f>SUMPRODUCT((raw!$A$2:$A$9876='2019-20_working'!$A$2)*(raw!$B$2:$B$9876='2019-20_working'!$A17)*(raw!$E$2:$E$9876='2019-20_working'!$T$6)*(raw!$F$2:$F$9876='2019-20_working'!V$7)*(raw!$G$2:$G$9876))</f>
        <v>0</v>
      </c>
      <c r="W17" s="8">
        <f>SUMPRODUCT((raw!$A$2:$A$9876='2019-20_working'!$A$2)*(raw!$B$2:$B$9876='2019-20_working'!$A17)*(raw!$E$2:$E$9876='2019-20_working'!$T$6)*(raw!$F$2:$F$9876='2019-20_working'!W$7)*(raw!$G$2:$G$9876))</f>
        <v>0</v>
      </c>
      <c r="X17" s="8">
        <f>SUMPRODUCT((raw!$A$2:$A$9876='2019-20_working'!$A$2)*(raw!$B$2:$B$9876='2019-20_working'!$A17)*(raw!$E$2:$E$9876='2019-20_working'!$T$6)*(raw!$F$2:$F$9876='2019-20_working'!X$7)*(raw!$G$2:$G$9876))</f>
        <v>0</v>
      </c>
      <c r="Y17" s="8">
        <f>SUMPRODUCT((raw!$A$2:$A$9876='2019-20_working'!$A$2)*(raw!$B$2:$B$9876='2019-20_working'!$A17)*(raw!$E$2:$E$9876='2019-20_working'!$T$6)*(raw!$F$2:$F$9876='2019-20_working'!Y$7)*(raw!$G$2:$G$9876))</f>
        <v>0</v>
      </c>
      <c r="Z17" s="8">
        <f>SUMPRODUCT((raw!$A$2:$A$9876='2019-20_working'!$A$2)*(raw!$B$2:$B$9876='2019-20_working'!$A17)*(raw!$E$2:$E$9876='2019-20_working'!$T$6)*(raw!$F$2:$F$9876='2019-20_working'!Z$7)*(raw!$G$2:$G$9876))</f>
        <v>0</v>
      </c>
      <c r="AA17" s="8">
        <f>SUMPRODUCT((raw!$A$2:$A$9876='2019-20_working'!$A$2)*(raw!$B$2:$B$9876='2019-20_working'!$A17)*(raw!$E$2:$E$9876='2019-20_working'!$T$6)*(raw!$F$2:$F$9876='2019-20_working'!AA$7)*(raw!$G$2:$G$9876))</f>
        <v>1</v>
      </c>
      <c r="AC17" s="8">
        <f>SUMPRODUCT((raw!$A$2:$A$9876='2019-20_working'!$A$2)*(raw!$B$2:$B$9876='2019-20_working'!$A17)*(raw!$E$2:$E$9876='2019-20_working'!$AC$6)*(raw!$F$2:$F$9876='2019-20_working'!AC$7)*(raw!$G$2:$G$9876))</f>
        <v>2</v>
      </c>
      <c r="AD17" s="8">
        <f>SUMPRODUCT((raw!$A$2:$A$9876='2019-20_working'!$A$2)*(raw!$B$2:$B$9876='2019-20_working'!$A17)*(raw!$E$2:$E$9876='2019-20_working'!$AC$6)*(raw!$F$2:$F$9876='2019-20_working'!AD$7)*(raw!$G$2:$G$9876))</f>
        <v>0</v>
      </c>
      <c r="AE17" s="8">
        <f>SUMPRODUCT((raw!$A$2:$A$9876='2019-20_working'!$A$2)*(raw!$B$2:$B$9876='2019-20_working'!$A17)*(raw!$E$2:$E$9876='2019-20_working'!$AC$6)*(raw!$F$2:$F$9876='2019-20_working'!AE$7)*(raw!$G$2:$G$9876))</f>
        <v>0</v>
      </c>
      <c r="AF17" s="8">
        <f>SUMPRODUCT((raw!$A$2:$A$9876='2019-20_working'!$A$2)*(raw!$B$2:$B$9876='2019-20_working'!$A17)*(raw!$E$2:$E$9876='2019-20_working'!$AC$6)*(raw!$F$2:$F$9876='2019-20_working'!AF$7)*(raw!$G$2:$G$9876))</f>
        <v>0</v>
      </c>
      <c r="AG17" s="8">
        <f>SUMPRODUCT((raw!$A$2:$A$9876='2019-20_working'!$A$2)*(raw!$B$2:$B$9876='2019-20_working'!$A17)*(raw!$E$2:$E$9876='2019-20_working'!$AC$6)*(raw!$F$2:$F$9876='2019-20_working'!AG$7)*(raw!$G$2:$G$9876))</f>
        <v>0</v>
      </c>
      <c r="AH17" s="8">
        <f>SUMPRODUCT((raw!$A$2:$A$9876='2019-20_working'!$A$2)*(raw!$B$2:$B$9876='2019-20_working'!$A17)*(raw!$E$2:$E$9876='2019-20_working'!$AC$6)*(raw!$F$2:$F$9876='2019-20_working'!AH$7)*(raw!$G$2:$G$9876))</f>
        <v>0</v>
      </c>
      <c r="AI17" s="8">
        <f>SUMPRODUCT((raw!$A$2:$A$9876='2019-20_working'!$A$2)*(raw!$B$2:$B$9876='2019-20_working'!$A17)*(raw!$E$2:$E$9876='2019-20_working'!$AC$6)*(raw!$F$2:$F$9876='2019-20_working'!AI$7)*(raw!$G$2:$G$9876))</f>
        <v>0</v>
      </c>
      <c r="AJ17" s="8">
        <f>SUMPRODUCT((raw!$A$2:$A$9876='2019-20_working'!$A$2)*(raw!$B$2:$B$9876='2019-20_working'!$A17)*(raw!$E$2:$E$9876='2019-20_working'!$AC$6)*(raw!$F$2:$F$9876='2019-20_working'!AJ$7)*(raw!$G$2:$G$9876))</f>
        <v>7</v>
      </c>
    </row>
    <row r="18" spans="1:36" x14ac:dyDescent="0.3">
      <c r="A18" s="8" t="s">
        <v>25</v>
      </c>
      <c r="B18" s="8">
        <f>SUMPRODUCT((raw!$A$2:$A$9876='2019-20_working'!$A$2)*(raw!$B$2:$B$9876='2019-20_working'!$A18)*(raw!$E$2:$E$9876='2019-20_working'!$B$6:$I$6)*(raw!$F$2:$F$9876='2019-20_working'!B$7)*(raw!$G$2:$G$9876))</f>
        <v>3</v>
      </c>
      <c r="C18" s="8">
        <f>SUMPRODUCT((raw!$A$2:$A$9876='2019-20_working'!$A$2)*(raw!$B$2:$B$9876='2019-20_working'!$A18)*(raw!$E$2:$E$9876='2019-20_working'!$B$6:$I$6)*(raw!$F$2:$F$9876='2019-20_working'!C$7)*(raw!$G$2:$G$9876))</f>
        <v>0</v>
      </c>
      <c r="D18" s="8">
        <f>SUMPRODUCT((raw!$A$2:$A$9876='2019-20_working'!$A$2)*(raw!$B$2:$B$9876='2019-20_working'!$A18)*(raw!$E$2:$E$9876='2019-20_working'!$B$6:$I$6)*(raw!$F$2:$F$9876='2019-20_working'!D$7)*(raw!$G$2:$G$9876))</f>
        <v>0</v>
      </c>
      <c r="E18" s="8">
        <f>SUMPRODUCT((raw!$A$2:$A$9876='2019-20_working'!$A$2)*(raw!$B$2:$B$9876='2019-20_working'!$A18)*(raw!$E$2:$E$9876='2019-20_working'!$B$6:$I$6)*(raw!$F$2:$F$9876='2019-20_working'!E$7)*(raw!$G$2:$G$9876))</f>
        <v>0</v>
      </c>
      <c r="F18" s="8">
        <f>SUMPRODUCT((raw!$A$2:$A$9876='2019-20_working'!$A$2)*(raw!$B$2:$B$9876='2019-20_working'!$A18)*(raw!$E$2:$E$9876='2019-20_working'!$B$6:$I$6)*(raw!$F$2:$F$9876='2019-20_working'!F$7)*(raw!$G$2:$G$9876))</f>
        <v>0</v>
      </c>
      <c r="G18" s="8">
        <f>SUMPRODUCT((raw!$A$2:$A$9876='2019-20_working'!$A$2)*(raw!$B$2:$B$9876='2019-20_working'!$A18)*(raw!$E$2:$E$9876='2019-20_working'!$B$6:$I$6)*(raw!$F$2:$F$9876='2019-20_working'!G$7)*(raw!$G$2:$G$9876))</f>
        <v>0</v>
      </c>
      <c r="H18" s="8">
        <f>SUMPRODUCT((raw!$A$2:$A$9876='2019-20_working'!$A$2)*(raw!$B$2:$B$9876='2019-20_working'!$A18)*(raw!$E$2:$E$9876='2019-20_working'!$B$6:$I$6)*(raw!$F$2:$F$9876='2019-20_working'!H$7)*(raw!$G$2:$G$9876))</f>
        <v>0</v>
      </c>
      <c r="I18" s="8">
        <f>SUMPRODUCT((raw!$A$2:$A$9876='2019-20_working'!$A$2)*(raw!$B$2:$B$9876='2019-20_working'!$A18)*(raw!$E$2:$E$9876='2019-20_working'!$B$6:$I$6)*(raw!$F$2:$F$9876='2019-20_working'!I$7)*(raw!$G$2:$G$9876))</f>
        <v>9</v>
      </c>
      <c r="K18" s="8">
        <f>SUMPRODUCT((raw!$A$2:$A$9876='2019-20_working'!$A$2)*(raw!$B$2:$B$9876='2019-20_working'!$A18)*(raw!$E$2:$E$9876='2019-20_working'!$K$6)*(raw!$F$2:$F$9876='2019-20_working'!K$7)*(raw!$G$2:$G$9876))</f>
        <v>1</v>
      </c>
      <c r="L18" s="8">
        <f>SUMPRODUCT((raw!$A$2:$A$9876='2019-20_working'!$A$2)*(raw!$B$2:$B$9876='2019-20_working'!$A18)*(raw!$E$2:$E$9876='2019-20_working'!$K$6)*(raw!$F$2:$F$9876='2019-20_working'!L$7)*(raw!$G$2:$G$9876))</f>
        <v>0</v>
      </c>
      <c r="M18" s="8">
        <f>SUMPRODUCT((raw!$A$2:$A$9876='2019-20_working'!$A$2)*(raw!$B$2:$B$9876='2019-20_working'!$A18)*(raw!$E$2:$E$9876='2019-20_working'!$K$6)*(raw!$F$2:$F$9876='2019-20_working'!M$7)*(raw!$G$2:$G$9876))</f>
        <v>0</v>
      </c>
      <c r="N18" s="8">
        <f>SUMPRODUCT((raw!$A$2:$A$9876='2019-20_working'!$A$2)*(raw!$B$2:$B$9876='2019-20_working'!$A18)*(raw!$E$2:$E$9876='2019-20_working'!$K$6)*(raw!$F$2:$F$9876='2019-20_working'!N$7)*(raw!$G$2:$G$9876))</f>
        <v>0</v>
      </c>
      <c r="O18" s="8">
        <f>SUMPRODUCT((raw!$A$2:$A$9876='2019-20_working'!$A$2)*(raw!$B$2:$B$9876='2019-20_working'!$A18)*(raw!$E$2:$E$9876='2019-20_working'!$K$6)*(raw!$F$2:$F$9876='2019-20_working'!O$7)*(raw!$G$2:$G$9876))</f>
        <v>0</v>
      </c>
      <c r="P18" s="8">
        <f>SUMPRODUCT((raw!$A$2:$A$9876='2019-20_working'!$A$2)*(raw!$B$2:$B$9876='2019-20_working'!$A18)*(raw!$E$2:$E$9876='2019-20_working'!$K$6)*(raw!$F$2:$F$9876='2019-20_working'!P$7)*(raw!$G$2:$G$9876))</f>
        <v>0</v>
      </c>
      <c r="Q18" s="8">
        <f>SUMPRODUCT((raw!$A$2:$A$9876='2019-20_working'!$A$2)*(raw!$B$2:$B$9876='2019-20_working'!$A18)*(raw!$E$2:$E$9876='2019-20_working'!$K$6)*(raw!$F$2:$F$9876='2019-20_working'!Q$7)*(raw!$G$2:$G$9876))</f>
        <v>0</v>
      </c>
      <c r="R18" s="8">
        <f>SUMPRODUCT((raw!$A$2:$A$9876='2019-20_working'!$A$2)*(raw!$B$2:$B$9876='2019-20_working'!$A18)*(raw!$E$2:$E$9876='2019-20_working'!$K$6)*(raw!$F$2:$F$9876='2019-20_working'!R$7)*(raw!$G$2:$G$9876))</f>
        <v>41</v>
      </c>
      <c r="T18" s="8">
        <f>SUMPRODUCT((raw!$A$2:$A$9876='2019-20_working'!$A$2)*(raw!$B$2:$B$9876='2019-20_working'!$A18)*(raw!$E$2:$E$9876='2019-20_working'!$T$6)*(raw!$F$2:$F$9876='2019-20_working'!T$7)*(raw!$G$2:$G$9876))</f>
        <v>0</v>
      </c>
      <c r="U18" s="8">
        <f>SUMPRODUCT((raw!$A$2:$A$9876='2019-20_working'!$A$2)*(raw!$B$2:$B$9876='2019-20_working'!$A18)*(raw!$E$2:$E$9876='2019-20_working'!$T$6)*(raw!$F$2:$F$9876='2019-20_working'!U$7)*(raw!$G$2:$G$9876))</f>
        <v>0</v>
      </c>
      <c r="V18" s="8">
        <f>SUMPRODUCT((raw!$A$2:$A$9876='2019-20_working'!$A$2)*(raw!$B$2:$B$9876='2019-20_working'!$A18)*(raw!$E$2:$E$9876='2019-20_working'!$T$6)*(raw!$F$2:$F$9876='2019-20_working'!V$7)*(raw!$G$2:$G$9876))</f>
        <v>0</v>
      </c>
      <c r="W18" s="8">
        <f>SUMPRODUCT((raw!$A$2:$A$9876='2019-20_working'!$A$2)*(raw!$B$2:$B$9876='2019-20_working'!$A18)*(raw!$E$2:$E$9876='2019-20_working'!$T$6)*(raw!$F$2:$F$9876='2019-20_working'!W$7)*(raw!$G$2:$G$9876))</f>
        <v>0</v>
      </c>
      <c r="X18" s="8">
        <f>SUMPRODUCT((raw!$A$2:$A$9876='2019-20_working'!$A$2)*(raw!$B$2:$B$9876='2019-20_working'!$A18)*(raw!$E$2:$E$9876='2019-20_working'!$T$6)*(raw!$F$2:$F$9876='2019-20_working'!X$7)*(raw!$G$2:$G$9876))</f>
        <v>0</v>
      </c>
      <c r="Y18" s="8">
        <f>SUMPRODUCT((raw!$A$2:$A$9876='2019-20_working'!$A$2)*(raw!$B$2:$B$9876='2019-20_working'!$A18)*(raw!$E$2:$E$9876='2019-20_working'!$T$6)*(raw!$F$2:$F$9876='2019-20_working'!Y$7)*(raw!$G$2:$G$9876))</f>
        <v>0</v>
      </c>
      <c r="Z18" s="8">
        <f>SUMPRODUCT((raw!$A$2:$A$9876='2019-20_working'!$A$2)*(raw!$B$2:$B$9876='2019-20_working'!$A18)*(raw!$E$2:$E$9876='2019-20_working'!$T$6)*(raw!$F$2:$F$9876='2019-20_working'!Z$7)*(raw!$G$2:$G$9876))</f>
        <v>0</v>
      </c>
      <c r="AA18" s="8">
        <f>SUMPRODUCT((raw!$A$2:$A$9876='2019-20_working'!$A$2)*(raw!$B$2:$B$9876='2019-20_working'!$A18)*(raw!$E$2:$E$9876='2019-20_working'!$T$6)*(raw!$F$2:$F$9876='2019-20_working'!AA$7)*(raw!$G$2:$G$9876))</f>
        <v>0</v>
      </c>
      <c r="AC18" s="8">
        <f>SUMPRODUCT((raw!$A$2:$A$9876='2019-20_working'!$A$2)*(raw!$B$2:$B$9876='2019-20_working'!$A18)*(raw!$E$2:$E$9876='2019-20_working'!$AC$6)*(raw!$F$2:$F$9876='2019-20_working'!AC$7)*(raw!$G$2:$G$9876))</f>
        <v>11</v>
      </c>
      <c r="AD18" s="8">
        <f>SUMPRODUCT((raw!$A$2:$A$9876='2019-20_working'!$A$2)*(raw!$B$2:$B$9876='2019-20_working'!$A18)*(raw!$E$2:$E$9876='2019-20_working'!$AC$6)*(raw!$F$2:$F$9876='2019-20_working'!AD$7)*(raw!$G$2:$G$9876))</f>
        <v>0</v>
      </c>
      <c r="AE18" s="8">
        <f>SUMPRODUCT((raw!$A$2:$A$9876='2019-20_working'!$A$2)*(raw!$B$2:$B$9876='2019-20_working'!$A18)*(raw!$E$2:$E$9876='2019-20_working'!$AC$6)*(raw!$F$2:$F$9876='2019-20_working'!AE$7)*(raw!$G$2:$G$9876))</f>
        <v>0</v>
      </c>
      <c r="AF18" s="8">
        <f>SUMPRODUCT((raw!$A$2:$A$9876='2019-20_working'!$A$2)*(raw!$B$2:$B$9876='2019-20_working'!$A18)*(raw!$E$2:$E$9876='2019-20_working'!$AC$6)*(raw!$F$2:$F$9876='2019-20_working'!AF$7)*(raw!$G$2:$G$9876))</f>
        <v>1</v>
      </c>
      <c r="AG18" s="8">
        <f>SUMPRODUCT((raw!$A$2:$A$9876='2019-20_working'!$A$2)*(raw!$B$2:$B$9876='2019-20_working'!$A18)*(raw!$E$2:$E$9876='2019-20_working'!$AC$6)*(raw!$F$2:$F$9876='2019-20_working'!AG$7)*(raw!$G$2:$G$9876))</f>
        <v>0</v>
      </c>
      <c r="AH18" s="8">
        <f>SUMPRODUCT((raw!$A$2:$A$9876='2019-20_working'!$A$2)*(raw!$B$2:$B$9876='2019-20_working'!$A18)*(raw!$E$2:$E$9876='2019-20_working'!$AC$6)*(raw!$F$2:$F$9876='2019-20_working'!AH$7)*(raw!$G$2:$G$9876))</f>
        <v>0</v>
      </c>
      <c r="AI18" s="8">
        <f>SUMPRODUCT((raw!$A$2:$A$9876='2019-20_working'!$A$2)*(raw!$B$2:$B$9876='2019-20_working'!$A18)*(raw!$E$2:$E$9876='2019-20_working'!$AC$6)*(raw!$F$2:$F$9876='2019-20_working'!AI$7)*(raw!$G$2:$G$9876))</f>
        <v>0</v>
      </c>
      <c r="AJ18" s="8">
        <f>SUMPRODUCT((raw!$A$2:$A$9876='2019-20_working'!$A$2)*(raw!$B$2:$B$9876='2019-20_working'!$A18)*(raw!$E$2:$E$9876='2019-20_working'!$AC$6)*(raw!$F$2:$F$9876='2019-20_working'!AJ$7)*(raw!$G$2:$G$9876))</f>
        <v>1</v>
      </c>
    </row>
    <row r="19" spans="1:36" x14ac:dyDescent="0.3">
      <c r="A19" s="8" t="s">
        <v>26</v>
      </c>
      <c r="B19" s="8">
        <f>SUMPRODUCT((raw!$A$2:$A$9876='2019-20_working'!$A$2)*(raw!$B$2:$B$9876='2019-20_working'!$A19)*(raw!$E$2:$E$9876='2019-20_working'!$B$6:$I$6)*(raw!$F$2:$F$9876='2019-20_working'!B$7)*(raw!$G$2:$G$9876))</f>
        <v>16</v>
      </c>
      <c r="C19" s="8">
        <f>SUMPRODUCT((raw!$A$2:$A$9876='2019-20_working'!$A$2)*(raw!$B$2:$B$9876='2019-20_working'!$A19)*(raw!$E$2:$E$9876='2019-20_working'!$B$6:$I$6)*(raw!$F$2:$F$9876='2019-20_working'!C$7)*(raw!$G$2:$G$9876))</f>
        <v>0</v>
      </c>
      <c r="D19" s="8">
        <f>SUMPRODUCT((raw!$A$2:$A$9876='2019-20_working'!$A$2)*(raw!$B$2:$B$9876='2019-20_working'!$A19)*(raw!$E$2:$E$9876='2019-20_working'!$B$6:$I$6)*(raw!$F$2:$F$9876='2019-20_working'!D$7)*(raw!$G$2:$G$9876))</f>
        <v>0</v>
      </c>
      <c r="E19" s="8">
        <f>SUMPRODUCT((raw!$A$2:$A$9876='2019-20_working'!$A$2)*(raw!$B$2:$B$9876='2019-20_working'!$A19)*(raw!$E$2:$E$9876='2019-20_working'!$B$6:$I$6)*(raw!$F$2:$F$9876='2019-20_working'!E$7)*(raw!$G$2:$G$9876))</f>
        <v>0</v>
      </c>
      <c r="F19" s="8">
        <f>SUMPRODUCT((raw!$A$2:$A$9876='2019-20_working'!$A$2)*(raw!$B$2:$B$9876='2019-20_working'!$A19)*(raw!$E$2:$E$9876='2019-20_working'!$B$6:$I$6)*(raw!$F$2:$F$9876='2019-20_working'!F$7)*(raw!$G$2:$G$9876))</f>
        <v>0</v>
      </c>
      <c r="G19" s="8">
        <f>SUMPRODUCT((raw!$A$2:$A$9876='2019-20_working'!$A$2)*(raw!$B$2:$B$9876='2019-20_working'!$A19)*(raw!$E$2:$E$9876='2019-20_working'!$B$6:$I$6)*(raw!$F$2:$F$9876='2019-20_working'!G$7)*(raw!$G$2:$G$9876))</f>
        <v>0</v>
      </c>
      <c r="H19" s="8">
        <f>SUMPRODUCT((raw!$A$2:$A$9876='2019-20_working'!$A$2)*(raw!$B$2:$B$9876='2019-20_working'!$A19)*(raw!$E$2:$E$9876='2019-20_working'!$B$6:$I$6)*(raw!$F$2:$F$9876='2019-20_working'!H$7)*(raw!$G$2:$G$9876))</f>
        <v>0</v>
      </c>
      <c r="I19" s="8">
        <f>SUMPRODUCT((raw!$A$2:$A$9876='2019-20_working'!$A$2)*(raw!$B$2:$B$9876='2019-20_working'!$A19)*(raw!$E$2:$E$9876='2019-20_working'!$B$6:$I$6)*(raw!$F$2:$F$9876='2019-20_working'!I$7)*(raw!$G$2:$G$9876))</f>
        <v>0</v>
      </c>
      <c r="K19" s="8">
        <f>SUMPRODUCT((raw!$A$2:$A$9876='2019-20_working'!$A$2)*(raw!$B$2:$B$9876='2019-20_working'!$A19)*(raw!$E$2:$E$9876='2019-20_working'!$K$6)*(raw!$F$2:$F$9876='2019-20_working'!K$7)*(raw!$G$2:$G$9876))</f>
        <v>40</v>
      </c>
      <c r="L19" s="8">
        <f>SUMPRODUCT((raw!$A$2:$A$9876='2019-20_working'!$A$2)*(raw!$B$2:$B$9876='2019-20_working'!$A19)*(raw!$E$2:$E$9876='2019-20_working'!$K$6)*(raw!$F$2:$F$9876='2019-20_working'!L$7)*(raw!$G$2:$G$9876))</f>
        <v>2</v>
      </c>
      <c r="M19" s="8">
        <f>SUMPRODUCT((raw!$A$2:$A$9876='2019-20_working'!$A$2)*(raw!$B$2:$B$9876='2019-20_working'!$A19)*(raw!$E$2:$E$9876='2019-20_working'!$K$6)*(raw!$F$2:$F$9876='2019-20_working'!M$7)*(raw!$G$2:$G$9876))</f>
        <v>0</v>
      </c>
      <c r="N19" s="8">
        <f>SUMPRODUCT((raw!$A$2:$A$9876='2019-20_working'!$A$2)*(raw!$B$2:$B$9876='2019-20_working'!$A19)*(raw!$E$2:$E$9876='2019-20_working'!$K$6)*(raw!$F$2:$F$9876='2019-20_working'!N$7)*(raw!$G$2:$G$9876))</f>
        <v>0</v>
      </c>
      <c r="O19" s="8">
        <f>SUMPRODUCT((raw!$A$2:$A$9876='2019-20_working'!$A$2)*(raw!$B$2:$B$9876='2019-20_working'!$A19)*(raw!$E$2:$E$9876='2019-20_working'!$K$6)*(raw!$F$2:$F$9876='2019-20_working'!O$7)*(raw!$G$2:$G$9876))</f>
        <v>0</v>
      </c>
      <c r="P19" s="8">
        <f>SUMPRODUCT((raw!$A$2:$A$9876='2019-20_working'!$A$2)*(raw!$B$2:$B$9876='2019-20_working'!$A19)*(raw!$E$2:$E$9876='2019-20_working'!$K$6)*(raw!$F$2:$F$9876='2019-20_working'!P$7)*(raw!$G$2:$G$9876))</f>
        <v>0</v>
      </c>
      <c r="Q19" s="8">
        <f>SUMPRODUCT((raw!$A$2:$A$9876='2019-20_working'!$A$2)*(raw!$B$2:$B$9876='2019-20_working'!$A19)*(raw!$E$2:$E$9876='2019-20_working'!$K$6)*(raw!$F$2:$F$9876='2019-20_working'!Q$7)*(raw!$G$2:$G$9876))</f>
        <v>0</v>
      </c>
      <c r="R19" s="8">
        <f>SUMPRODUCT((raw!$A$2:$A$9876='2019-20_working'!$A$2)*(raw!$B$2:$B$9876='2019-20_working'!$A19)*(raw!$E$2:$E$9876='2019-20_working'!$K$6)*(raw!$F$2:$F$9876='2019-20_working'!R$7)*(raw!$G$2:$G$9876))</f>
        <v>0</v>
      </c>
      <c r="T19" s="8">
        <f>SUMPRODUCT((raw!$A$2:$A$9876='2019-20_working'!$A$2)*(raw!$B$2:$B$9876='2019-20_working'!$A19)*(raw!$E$2:$E$9876='2019-20_working'!$T$6)*(raw!$F$2:$F$9876='2019-20_working'!T$7)*(raw!$G$2:$G$9876))</f>
        <v>6</v>
      </c>
      <c r="U19" s="8">
        <f>SUMPRODUCT((raw!$A$2:$A$9876='2019-20_working'!$A$2)*(raw!$B$2:$B$9876='2019-20_working'!$A19)*(raw!$E$2:$E$9876='2019-20_working'!$T$6)*(raw!$F$2:$F$9876='2019-20_working'!U$7)*(raw!$G$2:$G$9876))</f>
        <v>0</v>
      </c>
      <c r="V19" s="8">
        <f>SUMPRODUCT((raw!$A$2:$A$9876='2019-20_working'!$A$2)*(raw!$B$2:$B$9876='2019-20_working'!$A19)*(raw!$E$2:$E$9876='2019-20_working'!$T$6)*(raw!$F$2:$F$9876='2019-20_working'!V$7)*(raw!$G$2:$G$9876))</f>
        <v>0</v>
      </c>
      <c r="W19" s="8">
        <f>SUMPRODUCT((raw!$A$2:$A$9876='2019-20_working'!$A$2)*(raw!$B$2:$B$9876='2019-20_working'!$A19)*(raw!$E$2:$E$9876='2019-20_working'!$T$6)*(raw!$F$2:$F$9876='2019-20_working'!W$7)*(raw!$G$2:$G$9876))</f>
        <v>0</v>
      </c>
      <c r="X19" s="8">
        <f>SUMPRODUCT((raw!$A$2:$A$9876='2019-20_working'!$A$2)*(raw!$B$2:$B$9876='2019-20_working'!$A19)*(raw!$E$2:$E$9876='2019-20_working'!$T$6)*(raw!$F$2:$F$9876='2019-20_working'!X$7)*(raw!$G$2:$G$9876))</f>
        <v>0</v>
      </c>
      <c r="Y19" s="8">
        <f>SUMPRODUCT((raw!$A$2:$A$9876='2019-20_working'!$A$2)*(raw!$B$2:$B$9876='2019-20_working'!$A19)*(raw!$E$2:$E$9876='2019-20_working'!$T$6)*(raw!$F$2:$F$9876='2019-20_working'!Y$7)*(raw!$G$2:$G$9876))</f>
        <v>0</v>
      </c>
      <c r="Z19" s="8">
        <f>SUMPRODUCT((raw!$A$2:$A$9876='2019-20_working'!$A$2)*(raw!$B$2:$B$9876='2019-20_working'!$A19)*(raw!$E$2:$E$9876='2019-20_working'!$T$6)*(raw!$F$2:$F$9876='2019-20_working'!Z$7)*(raw!$G$2:$G$9876))</f>
        <v>0</v>
      </c>
      <c r="AA19" s="8">
        <f>SUMPRODUCT((raw!$A$2:$A$9876='2019-20_working'!$A$2)*(raw!$B$2:$B$9876='2019-20_working'!$A19)*(raw!$E$2:$E$9876='2019-20_working'!$T$6)*(raw!$F$2:$F$9876='2019-20_working'!AA$7)*(raw!$G$2:$G$9876))</f>
        <v>0</v>
      </c>
      <c r="AC19" s="8">
        <f>SUMPRODUCT((raw!$A$2:$A$9876='2019-20_working'!$A$2)*(raw!$B$2:$B$9876='2019-20_working'!$A19)*(raw!$E$2:$E$9876='2019-20_working'!$AC$6)*(raw!$F$2:$F$9876='2019-20_working'!AC$7)*(raw!$G$2:$G$9876))</f>
        <v>12</v>
      </c>
      <c r="AD19" s="8">
        <f>SUMPRODUCT((raw!$A$2:$A$9876='2019-20_working'!$A$2)*(raw!$B$2:$B$9876='2019-20_working'!$A19)*(raw!$E$2:$E$9876='2019-20_working'!$AC$6)*(raw!$F$2:$F$9876='2019-20_working'!AD$7)*(raw!$G$2:$G$9876))</f>
        <v>0</v>
      </c>
      <c r="AE19" s="8">
        <f>SUMPRODUCT((raw!$A$2:$A$9876='2019-20_working'!$A$2)*(raw!$B$2:$B$9876='2019-20_working'!$A19)*(raw!$E$2:$E$9876='2019-20_working'!$AC$6)*(raw!$F$2:$F$9876='2019-20_working'!AE$7)*(raw!$G$2:$G$9876))</f>
        <v>2</v>
      </c>
      <c r="AF19" s="8">
        <f>SUMPRODUCT((raw!$A$2:$A$9876='2019-20_working'!$A$2)*(raw!$B$2:$B$9876='2019-20_working'!$A19)*(raw!$E$2:$E$9876='2019-20_working'!$AC$6)*(raw!$F$2:$F$9876='2019-20_working'!AF$7)*(raw!$G$2:$G$9876))</f>
        <v>0</v>
      </c>
      <c r="AG19" s="8">
        <f>SUMPRODUCT((raw!$A$2:$A$9876='2019-20_working'!$A$2)*(raw!$B$2:$B$9876='2019-20_working'!$A19)*(raw!$E$2:$E$9876='2019-20_working'!$AC$6)*(raw!$F$2:$F$9876='2019-20_working'!AG$7)*(raw!$G$2:$G$9876))</f>
        <v>0</v>
      </c>
      <c r="AH19" s="8">
        <f>SUMPRODUCT((raw!$A$2:$A$9876='2019-20_working'!$A$2)*(raw!$B$2:$B$9876='2019-20_working'!$A19)*(raw!$E$2:$E$9876='2019-20_working'!$AC$6)*(raw!$F$2:$F$9876='2019-20_working'!AH$7)*(raw!$G$2:$G$9876))</f>
        <v>0</v>
      </c>
      <c r="AI19" s="8">
        <f>SUMPRODUCT((raw!$A$2:$A$9876='2019-20_working'!$A$2)*(raw!$B$2:$B$9876='2019-20_working'!$A19)*(raw!$E$2:$E$9876='2019-20_working'!$AC$6)*(raw!$F$2:$F$9876='2019-20_working'!AI$7)*(raw!$G$2:$G$9876))</f>
        <v>0</v>
      </c>
      <c r="AJ19" s="8">
        <f>SUMPRODUCT((raw!$A$2:$A$9876='2019-20_working'!$A$2)*(raw!$B$2:$B$9876='2019-20_working'!$A19)*(raw!$E$2:$E$9876='2019-20_working'!$AC$6)*(raw!$F$2:$F$9876='2019-20_working'!AJ$7)*(raw!$G$2:$G$9876))</f>
        <v>1</v>
      </c>
    </row>
    <row r="20" spans="1:36" x14ac:dyDescent="0.3">
      <c r="A20" s="8" t="s">
        <v>27</v>
      </c>
      <c r="B20" s="8">
        <f>SUMPRODUCT((raw!$A$2:$A$9876='2019-20_working'!$A$2)*(raw!$B$2:$B$9876='2019-20_working'!$A20)*(raw!$E$2:$E$9876='2019-20_working'!$B$6:$I$6)*(raw!$F$2:$F$9876='2019-20_working'!B$7)*(raw!$G$2:$G$9876))</f>
        <v>9</v>
      </c>
      <c r="C20" s="8">
        <f>SUMPRODUCT((raw!$A$2:$A$9876='2019-20_working'!$A$2)*(raw!$B$2:$B$9876='2019-20_working'!$A20)*(raw!$E$2:$E$9876='2019-20_working'!$B$6:$I$6)*(raw!$F$2:$F$9876='2019-20_working'!C$7)*(raw!$G$2:$G$9876))</f>
        <v>0</v>
      </c>
      <c r="D20" s="8">
        <f>SUMPRODUCT((raw!$A$2:$A$9876='2019-20_working'!$A$2)*(raw!$B$2:$B$9876='2019-20_working'!$A20)*(raw!$E$2:$E$9876='2019-20_working'!$B$6:$I$6)*(raw!$F$2:$F$9876='2019-20_working'!D$7)*(raw!$G$2:$G$9876))</f>
        <v>0</v>
      </c>
      <c r="E20" s="8">
        <f>SUMPRODUCT((raw!$A$2:$A$9876='2019-20_working'!$A$2)*(raw!$B$2:$B$9876='2019-20_working'!$A20)*(raw!$E$2:$E$9876='2019-20_working'!$B$6:$I$6)*(raw!$F$2:$F$9876='2019-20_working'!E$7)*(raw!$G$2:$G$9876))</f>
        <v>0</v>
      </c>
      <c r="F20" s="8">
        <f>SUMPRODUCT((raw!$A$2:$A$9876='2019-20_working'!$A$2)*(raw!$B$2:$B$9876='2019-20_working'!$A20)*(raw!$E$2:$E$9876='2019-20_working'!$B$6:$I$6)*(raw!$F$2:$F$9876='2019-20_working'!F$7)*(raw!$G$2:$G$9876))</f>
        <v>0</v>
      </c>
      <c r="G20" s="8">
        <f>SUMPRODUCT((raw!$A$2:$A$9876='2019-20_working'!$A$2)*(raw!$B$2:$B$9876='2019-20_working'!$A20)*(raw!$E$2:$E$9876='2019-20_working'!$B$6:$I$6)*(raw!$F$2:$F$9876='2019-20_working'!G$7)*(raw!$G$2:$G$9876))</f>
        <v>0</v>
      </c>
      <c r="H20" s="8">
        <f>SUMPRODUCT((raw!$A$2:$A$9876='2019-20_working'!$A$2)*(raw!$B$2:$B$9876='2019-20_working'!$A20)*(raw!$E$2:$E$9876='2019-20_working'!$B$6:$I$6)*(raw!$F$2:$F$9876='2019-20_working'!H$7)*(raw!$G$2:$G$9876))</f>
        <v>0</v>
      </c>
      <c r="I20" s="8">
        <f>SUMPRODUCT((raw!$A$2:$A$9876='2019-20_working'!$A$2)*(raw!$B$2:$B$9876='2019-20_working'!$A20)*(raw!$E$2:$E$9876='2019-20_working'!$B$6:$I$6)*(raw!$F$2:$F$9876='2019-20_working'!I$7)*(raw!$G$2:$G$9876))</f>
        <v>0</v>
      </c>
      <c r="K20" s="8">
        <f>SUMPRODUCT((raw!$A$2:$A$9876='2019-20_working'!$A$2)*(raw!$B$2:$B$9876='2019-20_working'!$A20)*(raw!$E$2:$E$9876='2019-20_working'!$K$6)*(raw!$F$2:$F$9876='2019-20_working'!K$7)*(raw!$G$2:$G$9876))</f>
        <v>121</v>
      </c>
      <c r="L20" s="8">
        <f>SUMPRODUCT((raw!$A$2:$A$9876='2019-20_working'!$A$2)*(raw!$B$2:$B$9876='2019-20_working'!$A20)*(raw!$E$2:$E$9876='2019-20_working'!$K$6)*(raw!$F$2:$F$9876='2019-20_working'!L$7)*(raw!$G$2:$G$9876))</f>
        <v>6</v>
      </c>
      <c r="M20" s="8">
        <f>SUMPRODUCT((raw!$A$2:$A$9876='2019-20_working'!$A$2)*(raw!$B$2:$B$9876='2019-20_working'!$A20)*(raw!$E$2:$E$9876='2019-20_working'!$K$6)*(raw!$F$2:$F$9876='2019-20_working'!M$7)*(raw!$G$2:$G$9876))</f>
        <v>0</v>
      </c>
      <c r="N20" s="8">
        <f>SUMPRODUCT((raw!$A$2:$A$9876='2019-20_working'!$A$2)*(raw!$B$2:$B$9876='2019-20_working'!$A20)*(raw!$E$2:$E$9876='2019-20_working'!$K$6)*(raw!$F$2:$F$9876='2019-20_working'!N$7)*(raw!$G$2:$G$9876))</f>
        <v>0</v>
      </c>
      <c r="O20" s="8">
        <f>SUMPRODUCT((raw!$A$2:$A$9876='2019-20_working'!$A$2)*(raw!$B$2:$B$9876='2019-20_working'!$A20)*(raw!$E$2:$E$9876='2019-20_working'!$K$6)*(raw!$F$2:$F$9876='2019-20_working'!O$7)*(raw!$G$2:$G$9876))</f>
        <v>0</v>
      </c>
      <c r="P20" s="8">
        <f>SUMPRODUCT((raw!$A$2:$A$9876='2019-20_working'!$A$2)*(raw!$B$2:$B$9876='2019-20_working'!$A20)*(raw!$E$2:$E$9876='2019-20_working'!$K$6)*(raw!$F$2:$F$9876='2019-20_working'!P$7)*(raw!$G$2:$G$9876))</f>
        <v>0</v>
      </c>
      <c r="Q20" s="8">
        <f>SUMPRODUCT((raw!$A$2:$A$9876='2019-20_working'!$A$2)*(raw!$B$2:$B$9876='2019-20_working'!$A20)*(raw!$E$2:$E$9876='2019-20_working'!$K$6)*(raw!$F$2:$F$9876='2019-20_working'!Q$7)*(raw!$G$2:$G$9876))</f>
        <v>0</v>
      </c>
      <c r="R20" s="8">
        <f>SUMPRODUCT((raw!$A$2:$A$9876='2019-20_working'!$A$2)*(raw!$B$2:$B$9876='2019-20_working'!$A20)*(raw!$E$2:$E$9876='2019-20_working'!$K$6)*(raw!$F$2:$F$9876='2019-20_working'!R$7)*(raw!$G$2:$G$9876))</f>
        <v>6</v>
      </c>
      <c r="T20" s="8">
        <f>SUMPRODUCT((raw!$A$2:$A$9876='2019-20_working'!$A$2)*(raw!$B$2:$B$9876='2019-20_working'!$A20)*(raw!$E$2:$E$9876='2019-20_working'!$T$6)*(raw!$F$2:$F$9876='2019-20_working'!T$7)*(raw!$G$2:$G$9876))</f>
        <v>2</v>
      </c>
      <c r="U20" s="8">
        <f>SUMPRODUCT((raw!$A$2:$A$9876='2019-20_working'!$A$2)*(raw!$B$2:$B$9876='2019-20_working'!$A20)*(raw!$E$2:$E$9876='2019-20_working'!$T$6)*(raw!$F$2:$F$9876='2019-20_working'!U$7)*(raw!$G$2:$G$9876))</f>
        <v>0</v>
      </c>
      <c r="V20" s="8">
        <f>SUMPRODUCT((raw!$A$2:$A$9876='2019-20_working'!$A$2)*(raw!$B$2:$B$9876='2019-20_working'!$A20)*(raw!$E$2:$E$9876='2019-20_working'!$T$6)*(raw!$F$2:$F$9876='2019-20_working'!V$7)*(raw!$G$2:$G$9876))</f>
        <v>0</v>
      </c>
      <c r="W20" s="8">
        <f>SUMPRODUCT((raw!$A$2:$A$9876='2019-20_working'!$A$2)*(raw!$B$2:$B$9876='2019-20_working'!$A20)*(raw!$E$2:$E$9876='2019-20_working'!$T$6)*(raw!$F$2:$F$9876='2019-20_working'!W$7)*(raw!$G$2:$G$9876))</f>
        <v>0</v>
      </c>
      <c r="X20" s="8">
        <f>SUMPRODUCT((raw!$A$2:$A$9876='2019-20_working'!$A$2)*(raw!$B$2:$B$9876='2019-20_working'!$A20)*(raw!$E$2:$E$9876='2019-20_working'!$T$6)*(raw!$F$2:$F$9876='2019-20_working'!X$7)*(raw!$G$2:$G$9876))</f>
        <v>0</v>
      </c>
      <c r="Y20" s="8">
        <f>SUMPRODUCT((raw!$A$2:$A$9876='2019-20_working'!$A$2)*(raw!$B$2:$B$9876='2019-20_working'!$A20)*(raw!$E$2:$E$9876='2019-20_working'!$T$6)*(raw!$F$2:$F$9876='2019-20_working'!Y$7)*(raw!$G$2:$G$9876))</f>
        <v>0</v>
      </c>
      <c r="Z20" s="8">
        <f>SUMPRODUCT((raw!$A$2:$A$9876='2019-20_working'!$A$2)*(raw!$B$2:$B$9876='2019-20_working'!$A20)*(raw!$E$2:$E$9876='2019-20_working'!$T$6)*(raw!$F$2:$F$9876='2019-20_working'!Z$7)*(raw!$G$2:$G$9876))</f>
        <v>0</v>
      </c>
      <c r="AA20" s="8">
        <f>SUMPRODUCT((raw!$A$2:$A$9876='2019-20_working'!$A$2)*(raw!$B$2:$B$9876='2019-20_working'!$A20)*(raw!$E$2:$E$9876='2019-20_working'!$T$6)*(raw!$F$2:$F$9876='2019-20_working'!AA$7)*(raw!$G$2:$G$9876))</f>
        <v>0</v>
      </c>
      <c r="AC20" s="8">
        <f>SUMPRODUCT((raw!$A$2:$A$9876='2019-20_working'!$A$2)*(raw!$B$2:$B$9876='2019-20_working'!$A20)*(raw!$E$2:$E$9876='2019-20_working'!$AC$6)*(raw!$F$2:$F$9876='2019-20_working'!AC$7)*(raw!$G$2:$G$9876))</f>
        <v>25</v>
      </c>
      <c r="AD20" s="8">
        <f>SUMPRODUCT((raw!$A$2:$A$9876='2019-20_working'!$A$2)*(raw!$B$2:$B$9876='2019-20_working'!$A20)*(raw!$E$2:$E$9876='2019-20_working'!$AC$6)*(raw!$F$2:$F$9876='2019-20_working'!AD$7)*(raw!$G$2:$G$9876))</f>
        <v>0</v>
      </c>
      <c r="AE20" s="8">
        <f>SUMPRODUCT((raw!$A$2:$A$9876='2019-20_working'!$A$2)*(raw!$B$2:$B$9876='2019-20_working'!$A20)*(raw!$E$2:$E$9876='2019-20_working'!$AC$6)*(raw!$F$2:$F$9876='2019-20_working'!AE$7)*(raw!$G$2:$G$9876))</f>
        <v>1</v>
      </c>
      <c r="AF20" s="8">
        <f>SUMPRODUCT((raw!$A$2:$A$9876='2019-20_working'!$A$2)*(raw!$B$2:$B$9876='2019-20_working'!$A20)*(raw!$E$2:$E$9876='2019-20_working'!$AC$6)*(raw!$F$2:$F$9876='2019-20_working'!AF$7)*(raw!$G$2:$G$9876))</f>
        <v>1</v>
      </c>
      <c r="AG20" s="8">
        <f>SUMPRODUCT((raw!$A$2:$A$9876='2019-20_working'!$A$2)*(raw!$B$2:$B$9876='2019-20_working'!$A20)*(raw!$E$2:$E$9876='2019-20_working'!$AC$6)*(raw!$F$2:$F$9876='2019-20_working'!AG$7)*(raw!$G$2:$G$9876))</f>
        <v>0</v>
      </c>
      <c r="AH20" s="8">
        <f>SUMPRODUCT((raw!$A$2:$A$9876='2019-20_working'!$A$2)*(raw!$B$2:$B$9876='2019-20_working'!$A20)*(raw!$E$2:$E$9876='2019-20_working'!$AC$6)*(raw!$F$2:$F$9876='2019-20_working'!AH$7)*(raw!$G$2:$G$9876))</f>
        <v>0</v>
      </c>
      <c r="AI20" s="8">
        <f>SUMPRODUCT((raw!$A$2:$A$9876='2019-20_working'!$A$2)*(raw!$B$2:$B$9876='2019-20_working'!$A20)*(raw!$E$2:$E$9876='2019-20_working'!$AC$6)*(raw!$F$2:$F$9876='2019-20_working'!AI$7)*(raw!$G$2:$G$9876))</f>
        <v>0</v>
      </c>
      <c r="AJ20" s="8">
        <f>SUMPRODUCT((raw!$A$2:$A$9876='2019-20_working'!$A$2)*(raw!$B$2:$B$9876='2019-20_working'!$A20)*(raw!$E$2:$E$9876='2019-20_working'!$AC$6)*(raw!$F$2:$F$9876='2019-20_working'!AJ$7)*(raw!$G$2:$G$9876))</f>
        <v>1</v>
      </c>
    </row>
    <row r="21" spans="1:36" x14ac:dyDescent="0.3">
      <c r="A21" s="8" t="s">
        <v>28</v>
      </c>
      <c r="B21" s="8">
        <f>SUMPRODUCT((raw!$A$2:$A$9876='2019-20_working'!$A$2)*(raw!$B$2:$B$9876='2019-20_working'!$A21)*(raw!$E$2:$E$9876='2019-20_working'!$B$6:$I$6)*(raw!$F$2:$F$9876='2019-20_working'!B$7)*(raw!$G$2:$G$9876))</f>
        <v>10</v>
      </c>
      <c r="C21" s="8">
        <f>SUMPRODUCT((raw!$A$2:$A$9876='2019-20_working'!$A$2)*(raw!$B$2:$B$9876='2019-20_working'!$A21)*(raw!$E$2:$E$9876='2019-20_working'!$B$6:$I$6)*(raw!$F$2:$F$9876='2019-20_working'!C$7)*(raw!$G$2:$G$9876))</f>
        <v>0</v>
      </c>
      <c r="D21" s="8">
        <f>SUMPRODUCT((raw!$A$2:$A$9876='2019-20_working'!$A$2)*(raw!$B$2:$B$9876='2019-20_working'!$A21)*(raw!$E$2:$E$9876='2019-20_working'!$B$6:$I$6)*(raw!$F$2:$F$9876='2019-20_working'!D$7)*(raw!$G$2:$G$9876))</f>
        <v>0</v>
      </c>
      <c r="E21" s="8">
        <f>SUMPRODUCT((raw!$A$2:$A$9876='2019-20_working'!$A$2)*(raw!$B$2:$B$9876='2019-20_working'!$A21)*(raw!$E$2:$E$9876='2019-20_working'!$B$6:$I$6)*(raw!$F$2:$F$9876='2019-20_working'!E$7)*(raw!$G$2:$G$9876))</f>
        <v>0</v>
      </c>
      <c r="F21" s="8">
        <f>SUMPRODUCT((raw!$A$2:$A$9876='2019-20_working'!$A$2)*(raw!$B$2:$B$9876='2019-20_working'!$A21)*(raw!$E$2:$E$9876='2019-20_working'!$B$6:$I$6)*(raw!$F$2:$F$9876='2019-20_working'!F$7)*(raw!$G$2:$G$9876))</f>
        <v>0</v>
      </c>
      <c r="G21" s="8">
        <f>SUMPRODUCT((raw!$A$2:$A$9876='2019-20_working'!$A$2)*(raw!$B$2:$B$9876='2019-20_working'!$A21)*(raw!$E$2:$E$9876='2019-20_working'!$B$6:$I$6)*(raw!$F$2:$F$9876='2019-20_working'!G$7)*(raw!$G$2:$G$9876))</f>
        <v>0</v>
      </c>
      <c r="H21" s="8">
        <f>SUMPRODUCT((raw!$A$2:$A$9876='2019-20_working'!$A$2)*(raw!$B$2:$B$9876='2019-20_working'!$A21)*(raw!$E$2:$E$9876='2019-20_working'!$B$6:$I$6)*(raw!$F$2:$F$9876='2019-20_working'!H$7)*(raw!$G$2:$G$9876))</f>
        <v>0</v>
      </c>
      <c r="I21" s="8">
        <f>SUMPRODUCT((raw!$A$2:$A$9876='2019-20_working'!$A$2)*(raw!$B$2:$B$9876='2019-20_working'!$A21)*(raw!$E$2:$E$9876='2019-20_working'!$B$6:$I$6)*(raw!$F$2:$F$9876='2019-20_working'!I$7)*(raw!$G$2:$G$9876))</f>
        <v>1</v>
      </c>
      <c r="K21" s="8">
        <f>SUMPRODUCT((raw!$A$2:$A$9876='2019-20_working'!$A$2)*(raw!$B$2:$B$9876='2019-20_working'!$A21)*(raw!$E$2:$E$9876='2019-20_working'!$K$6)*(raw!$F$2:$F$9876='2019-20_working'!K$7)*(raw!$G$2:$G$9876))</f>
        <v>77</v>
      </c>
      <c r="L21" s="8">
        <f>SUMPRODUCT((raw!$A$2:$A$9876='2019-20_working'!$A$2)*(raw!$B$2:$B$9876='2019-20_working'!$A21)*(raw!$E$2:$E$9876='2019-20_working'!$K$6)*(raw!$F$2:$F$9876='2019-20_working'!L$7)*(raw!$G$2:$G$9876))</f>
        <v>6</v>
      </c>
      <c r="M21" s="8">
        <f>SUMPRODUCT((raw!$A$2:$A$9876='2019-20_working'!$A$2)*(raw!$B$2:$B$9876='2019-20_working'!$A21)*(raw!$E$2:$E$9876='2019-20_working'!$K$6)*(raw!$F$2:$F$9876='2019-20_working'!M$7)*(raw!$G$2:$G$9876))</f>
        <v>1</v>
      </c>
      <c r="N21" s="8">
        <f>SUMPRODUCT((raw!$A$2:$A$9876='2019-20_working'!$A$2)*(raw!$B$2:$B$9876='2019-20_working'!$A21)*(raw!$E$2:$E$9876='2019-20_working'!$K$6)*(raw!$F$2:$F$9876='2019-20_working'!N$7)*(raw!$G$2:$G$9876))</f>
        <v>0</v>
      </c>
      <c r="O21" s="8">
        <f>SUMPRODUCT((raw!$A$2:$A$9876='2019-20_working'!$A$2)*(raw!$B$2:$B$9876='2019-20_working'!$A21)*(raw!$E$2:$E$9876='2019-20_working'!$K$6)*(raw!$F$2:$F$9876='2019-20_working'!O$7)*(raw!$G$2:$G$9876))</f>
        <v>0</v>
      </c>
      <c r="P21" s="8">
        <f>SUMPRODUCT((raw!$A$2:$A$9876='2019-20_working'!$A$2)*(raw!$B$2:$B$9876='2019-20_working'!$A21)*(raw!$E$2:$E$9876='2019-20_working'!$K$6)*(raw!$F$2:$F$9876='2019-20_working'!P$7)*(raw!$G$2:$G$9876))</f>
        <v>0</v>
      </c>
      <c r="Q21" s="8">
        <f>SUMPRODUCT((raw!$A$2:$A$9876='2019-20_working'!$A$2)*(raw!$B$2:$B$9876='2019-20_working'!$A21)*(raw!$E$2:$E$9876='2019-20_working'!$K$6)*(raw!$F$2:$F$9876='2019-20_working'!Q$7)*(raw!$G$2:$G$9876))</f>
        <v>0</v>
      </c>
      <c r="R21" s="8">
        <f>SUMPRODUCT((raw!$A$2:$A$9876='2019-20_working'!$A$2)*(raw!$B$2:$B$9876='2019-20_working'!$A21)*(raw!$E$2:$E$9876='2019-20_working'!$K$6)*(raw!$F$2:$F$9876='2019-20_working'!R$7)*(raw!$G$2:$G$9876))</f>
        <v>15</v>
      </c>
      <c r="T21" s="8">
        <f>SUMPRODUCT((raw!$A$2:$A$9876='2019-20_working'!$A$2)*(raw!$B$2:$B$9876='2019-20_working'!$A21)*(raw!$E$2:$E$9876='2019-20_working'!$T$6)*(raw!$F$2:$F$9876='2019-20_working'!T$7)*(raw!$G$2:$G$9876))</f>
        <v>5</v>
      </c>
      <c r="U21" s="8">
        <f>SUMPRODUCT((raw!$A$2:$A$9876='2019-20_working'!$A$2)*(raw!$B$2:$B$9876='2019-20_working'!$A21)*(raw!$E$2:$E$9876='2019-20_working'!$T$6)*(raw!$F$2:$F$9876='2019-20_working'!U$7)*(raw!$G$2:$G$9876))</f>
        <v>0</v>
      </c>
      <c r="V21" s="8">
        <f>SUMPRODUCT((raw!$A$2:$A$9876='2019-20_working'!$A$2)*(raw!$B$2:$B$9876='2019-20_working'!$A21)*(raw!$E$2:$E$9876='2019-20_working'!$T$6)*(raw!$F$2:$F$9876='2019-20_working'!V$7)*(raw!$G$2:$G$9876))</f>
        <v>0</v>
      </c>
      <c r="W21" s="8">
        <f>SUMPRODUCT((raw!$A$2:$A$9876='2019-20_working'!$A$2)*(raw!$B$2:$B$9876='2019-20_working'!$A21)*(raw!$E$2:$E$9876='2019-20_working'!$T$6)*(raw!$F$2:$F$9876='2019-20_working'!W$7)*(raw!$G$2:$G$9876))</f>
        <v>0</v>
      </c>
      <c r="X21" s="8">
        <f>SUMPRODUCT((raw!$A$2:$A$9876='2019-20_working'!$A$2)*(raw!$B$2:$B$9876='2019-20_working'!$A21)*(raw!$E$2:$E$9876='2019-20_working'!$T$6)*(raw!$F$2:$F$9876='2019-20_working'!X$7)*(raw!$G$2:$G$9876))</f>
        <v>0</v>
      </c>
      <c r="Y21" s="8">
        <f>SUMPRODUCT((raw!$A$2:$A$9876='2019-20_working'!$A$2)*(raw!$B$2:$B$9876='2019-20_working'!$A21)*(raw!$E$2:$E$9876='2019-20_working'!$T$6)*(raw!$F$2:$F$9876='2019-20_working'!Y$7)*(raw!$G$2:$G$9876))</f>
        <v>0</v>
      </c>
      <c r="Z21" s="8">
        <f>SUMPRODUCT((raw!$A$2:$A$9876='2019-20_working'!$A$2)*(raw!$B$2:$B$9876='2019-20_working'!$A21)*(raw!$E$2:$E$9876='2019-20_working'!$T$6)*(raw!$F$2:$F$9876='2019-20_working'!Z$7)*(raw!$G$2:$G$9876))</f>
        <v>0</v>
      </c>
      <c r="AA21" s="8">
        <f>SUMPRODUCT((raw!$A$2:$A$9876='2019-20_working'!$A$2)*(raw!$B$2:$B$9876='2019-20_working'!$A21)*(raw!$E$2:$E$9876='2019-20_working'!$T$6)*(raw!$F$2:$F$9876='2019-20_working'!AA$7)*(raw!$G$2:$G$9876))</f>
        <v>1</v>
      </c>
      <c r="AC21" s="8">
        <f>SUMPRODUCT((raw!$A$2:$A$9876='2019-20_working'!$A$2)*(raw!$B$2:$B$9876='2019-20_working'!$A21)*(raw!$E$2:$E$9876='2019-20_working'!$AC$6)*(raw!$F$2:$F$9876='2019-20_working'!AC$7)*(raw!$G$2:$G$9876))</f>
        <v>60</v>
      </c>
      <c r="AD21" s="8">
        <f>SUMPRODUCT((raw!$A$2:$A$9876='2019-20_working'!$A$2)*(raw!$B$2:$B$9876='2019-20_working'!$A21)*(raw!$E$2:$E$9876='2019-20_working'!$AC$6)*(raw!$F$2:$F$9876='2019-20_working'!AD$7)*(raw!$G$2:$G$9876))</f>
        <v>0</v>
      </c>
      <c r="AE21" s="8">
        <f>SUMPRODUCT((raw!$A$2:$A$9876='2019-20_working'!$A$2)*(raw!$B$2:$B$9876='2019-20_working'!$A21)*(raw!$E$2:$E$9876='2019-20_working'!$AC$6)*(raw!$F$2:$F$9876='2019-20_working'!AE$7)*(raw!$G$2:$G$9876))</f>
        <v>0</v>
      </c>
      <c r="AF21" s="8">
        <f>SUMPRODUCT((raw!$A$2:$A$9876='2019-20_working'!$A$2)*(raw!$B$2:$B$9876='2019-20_working'!$A21)*(raw!$E$2:$E$9876='2019-20_working'!$AC$6)*(raw!$F$2:$F$9876='2019-20_working'!AF$7)*(raw!$G$2:$G$9876))</f>
        <v>0</v>
      </c>
      <c r="AG21" s="8">
        <f>SUMPRODUCT((raw!$A$2:$A$9876='2019-20_working'!$A$2)*(raw!$B$2:$B$9876='2019-20_working'!$A21)*(raw!$E$2:$E$9876='2019-20_working'!$AC$6)*(raw!$F$2:$F$9876='2019-20_working'!AG$7)*(raw!$G$2:$G$9876))</f>
        <v>0</v>
      </c>
      <c r="AH21" s="8">
        <f>SUMPRODUCT((raw!$A$2:$A$9876='2019-20_working'!$A$2)*(raw!$B$2:$B$9876='2019-20_working'!$A21)*(raw!$E$2:$E$9876='2019-20_working'!$AC$6)*(raw!$F$2:$F$9876='2019-20_working'!AH$7)*(raw!$G$2:$G$9876))</f>
        <v>0</v>
      </c>
      <c r="AI21" s="8">
        <f>SUMPRODUCT((raw!$A$2:$A$9876='2019-20_working'!$A$2)*(raw!$B$2:$B$9876='2019-20_working'!$A21)*(raw!$E$2:$E$9876='2019-20_working'!$AC$6)*(raw!$F$2:$F$9876='2019-20_working'!AI$7)*(raw!$G$2:$G$9876))</f>
        <v>0</v>
      </c>
      <c r="AJ21" s="8">
        <f>SUMPRODUCT((raw!$A$2:$A$9876='2019-20_working'!$A$2)*(raw!$B$2:$B$9876='2019-20_working'!$A21)*(raw!$E$2:$E$9876='2019-20_working'!$AC$6)*(raw!$F$2:$F$9876='2019-20_working'!AJ$7)*(raw!$G$2:$G$9876))</f>
        <v>8</v>
      </c>
    </row>
    <row r="22" spans="1:36" x14ac:dyDescent="0.3">
      <c r="A22" s="8" t="s">
        <v>29</v>
      </c>
      <c r="B22" s="8">
        <f>SUMPRODUCT((raw!$A$2:$A$9876='2019-20_working'!$A$2)*(raw!$B$2:$B$9876='2019-20_working'!$A22)*(raw!$E$2:$E$9876='2019-20_working'!$B$6:$I$6)*(raw!$F$2:$F$9876='2019-20_working'!B$7)*(raw!$G$2:$G$9876))</f>
        <v>9</v>
      </c>
      <c r="C22" s="8">
        <f>SUMPRODUCT((raw!$A$2:$A$9876='2019-20_working'!$A$2)*(raw!$B$2:$B$9876='2019-20_working'!$A22)*(raw!$E$2:$E$9876='2019-20_working'!$B$6:$I$6)*(raw!$F$2:$F$9876='2019-20_working'!C$7)*(raw!$G$2:$G$9876))</f>
        <v>0</v>
      </c>
      <c r="D22" s="8">
        <f>SUMPRODUCT((raw!$A$2:$A$9876='2019-20_working'!$A$2)*(raw!$B$2:$B$9876='2019-20_working'!$A22)*(raw!$E$2:$E$9876='2019-20_working'!$B$6:$I$6)*(raw!$F$2:$F$9876='2019-20_working'!D$7)*(raw!$G$2:$G$9876))</f>
        <v>0</v>
      </c>
      <c r="E22" s="8">
        <f>SUMPRODUCT((raw!$A$2:$A$9876='2019-20_working'!$A$2)*(raw!$B$2:$B$9876='2019-20_working'!$A22)*(raw!$E$2:$E$9876='2019-20_working'!$B$6:$I$6)*(raw!$F$2:$F$9876='2019-20_working'!E$7)*(raw!$G$2:$G$9876))</f>
        <v>0</v>
      </c>
      <c r="F22" s="8">
        <f>SUMPRODUCT((raw!$A$2:$A$9876='2019-20_working'!$A$2)*(raw!$B$2:$B$9876='2019-20_working'!$A22)*(raw!$E$2:$E$9876='2019-20_working'!$B$6:$I$6)*(raw!$F$2:$F$9876='2019-20_working'!F$7)*(raw!$G$2:$G$9876))</f>
        <v>0</v>
      </c>
      <c r="G22" s="8">
        <f>SUMPRODUCT((raw!$A$2:$A$9876='2019-20_working'!$A$2)*(raw!$B$2:$B$9876='2019-20_working'!$A22)*(raw!$E$2:$E$9876='2019-20_working'!$B$6:$I$6)*(raw!$F$2:$F$9876='2019-20_working'!G$7)*(raw!$G$2:$G$9876))</f>
        <v>0</v>
      </c>
      <c r="H22" s="8">
        <f>SUMPRODUCT((raw!$A$2:$A$9876='2019-20_working'!$A$2)*(raw!$B$2:$B$9876='2019-20_working'!$A22)*(raw!$E$2:$E$9876='2019-20_working'!$B$6:$I$6)*(raw!$F$2:$F$9876='2019-20_working'!H$7)*(raw!$G$2:$G$9876))</f>
        <v>0</v>
      </c>
      <c r="I22" s="8">
        <f>SUMPRODUCT((raw!$A$2:$A$9876='2019-20_working'!$A$2)*(raw!$B$2:$B$9876='2019-20_working'!$A22)*(raw!$E$2:$E$9876='2019-20_working'!$B$6:$I$6)*(raw!$F$2:$F$9876='2019-20_working'!I$7)*(raw!$G$2:$G$9876))</f>
        <v>8</v>
      </c>
      <c r="K22" s="8">
        <f>SUMPRODUCT((raw!$A$2:$A$9876='2019-20_working'!$A$2)*(raw!$B$2:$B$9876='2019-20_working'!$A22)*(raw!$E$2:$E$9876='2019-20_working'!$K$6)*(raw!$F$2:$F$9876='2019-20_working'!K$7)*(raw!$G$2:$G$9876))</f>
        <v>7</v>
      </c>
      <c r="L22" s="8">
        <f>SUMPRODUCT((raw!$A$2:$A$9876='2019-20_working'!$A$2)*(raw!$B$2:$B$9876='2019-20_working'!$A22)*(raw!$E$2:$E$9876='2019-20_working'!$K$6)*(raw!$F$2:$F$9876='2019-20_working'!L$7)*(raw!$G$2:$G$9876))</f>
        <v>1</v>
      </c>
      <c r="M22" s="8">
        <f>SUMPRODUCT((raw!$A$2:$A$9876='2019-20_working'!$A$2)*(raw!$B$2:$B$9876='2019-20_working'!$A22)*(raw!$E$2:$E$9876='2019-20_working'!$K$6)*(raw!$F$2:$F$9876='2019-20_working'!M$7)*(raw!$G$2:$G$9876))</f>
        <v>0</v>
      </c>
      <c r="N22" s="8">
        <f>SUMPRODUCT((raw!$A$2:$A$9876='2019-20_working'!$A$2)*(raw!$B$2:$B$9876='2019-20_working'!$A22)*(raw!$E$2:$E$9876='2019-20_working'!$K$6)*(raw!$F$2:$F$9876='2019-20_working'!N$7)*(raw!$G$2:$G$9876))</f>
        <v>0</v>
      </c>
      <c r="O22" s="8">
        <f>SUMPRODUCT((raw!$A$2:$A$9876='2019-20_working'!$A$2)*(raw!$B$2:$B$9876='2019-20_working'!$A22)*(raw!$E$2:$E$9876='2019-20_working'!$K$6)*(raw!$F$2:$F$9876='2019-20_working'!O$7)*(raw!$G$2:$G$9876))</f>
        <v>0</v>
      </c>
      <c r="P22" s="8">
        <f>SUMPRODUCT((raw!$A$2:$A$9876='2019-20_working'!$A$2)*(raw!$B$2:$B$9876='2019-20_working'!$A22)*(raw!$E$2:$E$9876='2019-20_working'!$K$6)*(raw!$F$2:$F$9876='2019-20_working'!P$7)*(raw!$G$2:$G$9876))</f>
        <v>0</v>
      </c>
      <c r="Q22" s="8">
        <f>SUMPRODUCT((raw!$A$2:$A$9876='2019-20_working'!$A$2)*(raw!$B$2:$B$9876='2019-20_working'!$A22)*(raw!$E$2:$E$9876='2019-20_working'!$K$6)*(raw!$F$2:$F$9876='2019-20_working'!Q$7)*(raw!$G$2:$G$9876))</f>
        <v>0</v>
      </c>
      <c r="R22" s="8">
        <f>SUMPRODUCT((raw!$A$2:$A$9876='2019-20_working'!$A$2)*(raw!$B$2:$B$9876='2019-20_working'!$A22)*(raw!$E$2:$E$9876='2019-20_working'!$K$6)*(raw!$F$2:$F$9876='2019-20_working'!R$7)*(raw!$G$2:$G$9876))</f>
        <v>20</v>
      </c>
      <c r="T22" s="8">
        <f>SUMPRODUCT((raw!$A$2:$A$9876='2019-20_working'!$A$2)*(raw!$B$2:$B$9876='2019-20_working'!$A22)*(raw!$E$2:$E$9876='2019-20_working'!$T$6)*(raw!$F$2:$F$9876='2019-20_working'!T$7)*(raw!$G$2:$G$9876))</f>
        <v>0</v>
      </c>
      <c r="U22" s="8">
        <f>SUMPRODUCT((raw!$A$2:$A$9876='2019-20_working'!$A$2)*(raw!$B$2:$B$9876='2019-20_working'!$A22)*(raw!$E$2:$E$9876='2019-20_working'!$T$6)*(raw!$F$2:$F$9876='2019-20_working'!U$7)*(raw!$G$2:$G$9876))</f>
        <v>0</v>
      </c>
      <c r="V22" s="8">
        <f>SUMPRODUCT((raw!$A$2:$A$9876='2019-20_working'!$A$2)*(raw!$B$2:$B$9876='2019-20_working'!$A22)*(raw!$E$2:$E$9876='2019-20_working'!$T$6)*(raw!$F$2:$F$9876='2019-20_working'!V$7)*(raw!$G$2:$G$9876))</f>
        <v>0</v>
      </c>
      <c r="W22" s="8">
        <f>SUMPRODUCT((raw!$A$2:$A$9876='2019-20_working'!$A$2)*(raw!$B$2:$B$9876='2019-20_working'!$A22)*(raw!$E$2:$E$9876='2019-20_working'!$T$6)*(raw!$F$2:$F$9876='2019-20_working'!W$7)*(raw!$G$2:$G$9876))</f>
        <v>0</v>
      </c>
      <c r="X22" s="8">
        <f>SUMPRODUCT((raw!$A$2:$A$9876='2019-20_working'!$A$2)*(raw!$B$2:$B$9876='2019-20_working'!$A22)*(raw!$E$2:$E$9876='2019-20_working'!$T$6)*(raw!$F$2:$F$9876='2019-20_working'!X$7)*(raw!$G$2:$G$9876))</f>
        <v>0</v>
      </c>
      <c r="Y22" s="8">
        <f>SUMPRODUCT((raw!$A$2:$A$9876='2019-20_working'!$A$2)*(raw!$B$2:$B$9876='2019-20_working'!$A22)*(raw!$E$2:$E$9876='2019-20_working'!$T$6)*(raw!$F$2:$F$9876='2019-20_working'!Y$7)*(raw!$G$2:$G$9876))</f>
        <v>0</v>
      </c>
      <c r="Z22" s="8">
        <f>SUMPRODUCT((raw!$A$2:$A$9876='2019-20_working'!$A$2)*(raw!$B$2:$B$9876='2019-20_working'!$A22)*(raw!$E$2:$E$9876='2019-20_working'!$T$6)*(raw!$F$2:$F$9876='2019-20_working'!Z$7)*(raw!$G$2:$G$9876))</f>
        <v>0</v>
      </c>
      <c r="AA22" s="8">
        <f>SUMPRODUCT((raw!$A$2:$A$9876='2019-20_working'!$A$2)*(raw!$B$2:$B$9876='2019-20_working'!$A22)*(raw!$E$2:$E$9876='2019-20_working'!$T$6)*(raw!$F$2:$F$9876='2019-20_working'!AA$7)*(raw!$G$2:$G$9876))</f>
        <v>0</v>
      </c>
      <c r="AC22" s="8">
        <f>SUMPRODUCT((raw!$A$2:$A$9876='2019-20_working'!$A$2)*(raw!$B$2:$B$9876='2019-20_working'!$A22)*(raw!$E$2:$E$9876='2019-20_working'!$AC$6)*(raw!$F$2:$F$9876='2019-20_working'!AC$7)*(raw!$G$2:$G$9876))</f>
        <v>4</v>
      </c>
      <c r="AD22" s="8">
        <f>SUMPRODUCT((raw!$A$2:$A$9876='2019-20_working'!$A$2)*(raw!$B$2:$B$9876='2019-20_working'!$A22)*(raw!$E$2:$E$9876='2019-20_working'!$AC$6)*(raw!$F$2:$F$9876='2019-20_working'!AD$7)*(raw!$G$2:$G$9876))</f>
        <v>0</v>
      </c>
      <c r="AE22" s="8">
        <f>SUMPRODUCT((raw!$A$2:$A$9876='2019-20_working'!$A$2)*(raw!$B$2:$B$9876='2019-20_working'!$A22)*(raw!$E$2:$E$9876='2019-20_working'!$AC$6)*(raw!$F$2:$F$9876='2019-20_working'!AE$7)*(raw!$G$2:$G$9876))</f>
        <v>0</v>
      </c>
      <c r="AF22" s="8">
        <f>SUMPRODUCT((raw!$A$2:$A$9876='2019-20_working'!$A$2)*(raw!$B$2:$B$9876='2019-20_working'!$A22)*(raw!$E$2:$E$9876='2019-20_working'!$AC$6)*(raw!$F$2:$F$9876='2019-20_working'!AF$7)*(raw!$G$2:$G$9876))</f>
        <v>0</v>
      </c>
      <c r="AG22" s="8">
        <f>SUMPRODUCT((raw!$A$2:$A$9876='2019-20_working'!$A$2)*(raw!$B$2:$B$9876='2019-20_working'!$A22)*(raw!$E$2:$E$9876='2019-20_working'!$AC$6)*(raw!$F$2:$F$9876='2019-20_working'!AG$7)*(raw!$G$2:$G$9876))</f>
        <v>0</v>
      </c>
      <c r="AH22" s="8">
        <f>SUMPRODUCT((raw!$A$2:$A$9876='2019-20_working'!$A$2)*(raw!$B$2:$B$9876='2019-20_working'!$A22)*(raw!$E$2:$E$9876='2019-20_working'!$AC$6)*(raw!$F$2:$F$9876='2019-20_working'!AH$7)*(raw!$G$2:$G$9876))</f>
        <v>0</v>
      </c>
      <c r="AI22" s="8">
        <f>SUMPRODUCT((raw!$A$2:$A$9876='2019-20_working'!$A$2)*(raw!$B$2:$B$9876='2019-20_working'!$A22)*(raw!$E$2:$E$9876='2019-20_working'!$AC$6)*(raw!$F$2:$F$9876='2019-20_working'!AI$7)*(raw!$G$2:$G$9876))</f>
        <v>0</v>
      </c>
      <c r="AJ22" s="8">
        <f>SUMPRODUCT((raw!$A$2:$A$9876='2019-20_working'!$A$2)*(raw!$B$2:$B$9876='2019-20_working'!$A22)*(raw!$E$2:$E$9876='2019-20_working'!$AC$6)*(raw!$F$2:$F$9876='2019-20_working'!AJ$7)*(raw!$G$2:$G$9876))</f>
        <v>6</v>
      </c>
    </row>
    <row r="23" spans="1:36" x14ac:dyDescent="0.3">
      <c r="A23" s="8" t="s">
        <v>30</v>
      </c>
      <c r="B23" s="8">
        <f>SUMPRODUCT((raw!$A$2:$A$9876='2019-20_working'!$A$2)*(raw!$B$2:$B$9876='2019-20_working'!$A23)*(raw!$E$2:$E$9876='2019-20_working'!$B$6:$I$6)*(raw!$F$2:$F$9876='2019-20_working'!B$7)*(raw!$G$2:$G$9876))</f>
        <v>10</v>
      </c>
      <c r="C23" s="8">
        <f>SUMPRODUCT((raw!$A$2:$A$9876='2019-20_working'!$A$2)*(raw!$B$2:$B$9876='2019-20_working'!$A23)*(raw!$E$2:$E$9876='2019-20_working'!$B$6:$I$6)*(raw!$F$2:$F$9876='2019-20_working'!C$7)*(raw!$G$2:$G$9876))</f>
        <v>0</v>
      </c>
      <c r="D23" s="8">
        <f>SUMPRODUCT((raw!$A$2:$A$9876='2019-20_working'!$A$2)*(raw!$B$2:$B$9876='2019-20_working'!$A23)*(raw!$E$2:$E$9876='2019-20_working'!$B$6:$I$6)*(raw!$F$2:$F$9876='2019-20_working'!D$7)*(raw!$G$2:$G$9876))</f>
        <v>0</v>
      </c>
      <c r="E23" s="8">
        <f>SUMPRODUCT((raw!$A$2:$A$9876='2019-20_working'!$A$2)*(raw!$B$2:$B$9876='2019-20_working'!$A23)*(raw!$E$2:$E$9876='2019-20_working'!$B$6:$I$6)*(raw!$F$2:$F$9876='2019-20_working'!E$7)*(raw!$G$2:$G$9876))</f>
        <v>0</v>
      </c>
      <c r="F23" s="8">
        <f>SUMPRODUCT((raw!$A$2:$A$9876='2019-20_working'!$A$2)*(raw!$B$2:$B$9876='2019-20_working'!$A23)*(raw!$E$2:$E$9876='2019-20_working'!$B$6:$I$6)*(raw!$F$2:$F$9876='2019-20_working'!F$7)*(raw!$G$2:$G$9876))</f>
        <v>0</v>
      </c>
      <c r="G23" s="8">
        <f>SUMPRODUCT((raw!$A$2:$A$9876='2019-20_working'!$A$2)*(raw!$B$2:$B$9876='2019-20_working'!$A23)*(raw!$E$2:$E$9876='2019-20_working'!$B$6:$I$6)*(raw!$F$2:$F$9876='2019-20_working'!G$7)*(raw!$G$2:$G$9876))</f>
        <v>0</v>
      </c>
      <c r="H23" s="8">
        <f>SUMPRODUCT((raw!$A$2:$A$9876='2019-20_working'!$A$2)*(raw!$B$2:$B$9876='2019-20_working'!$A23)*(raw!$E$2:$E$9876='2019-20_working'!$B$6:$I$6)*(raw!$F$2:$F$9876='2019-20_working'!H$7)*(raw!$G$2:$G$9876))</f>
        <v>0</v>
      </c>
      <c r="I23" s="8">
        <f>SUMPRODUCT((raw!$A$2:$A$9876='2019-20_working'!$A$2)*(raw!$B$2:$B$9876='2019-20_working'!$A23)*(raw!$E$2:$E$9876='2019-20_working'!$B$6:$I$6)*(raw!$F$2:$F$9876='2019-20_working'!I$7)*(raw!$G$2:$G$9876))</f>
        <v>5</v>
      </c>
      <c r="K23" s="8">
        <f>SUMPRODUCT((raw!$A$2:$A$9876='2019-20_working'!$A$2)*(raw!$B$2:$B$9876='2019-20_working'!$A23)*(raw!$E$2:$E$9876='2019-20_working'!$K$6)*(raw!$F$2:$F$9876='2019-20_working'!K$7)*(raw!$G$2:$G$9876))</f>
        <v>18</v>
      </c>
      <c r="L23" s="8">
        <f>SUMPRODUCT((raw!$A$2:$A$9876='2019-20_working'!$A$2)*(raw!$B$2:$B$9876='2019-20_working'!$A23)*(raw!$E$2:$E$9876='2019-20_working'!$K$6)*(raw!$F$2:$F$9876='2019-20_working'!L$7)*(raw!$G$2:$G$9876))</f>
        <v>0</v>
      </c>
      <c r="M23" s="8">
        <f>SUMPRODUCT((raw!$A$2:$A$9876='2019-20_working'!$A$2)*(raw!$B$2:$B$9876='2019-20_working'!$A23)*(raw!$E$2:$E$9876='2019-20_working'!$K$6)*(raw!$F$2:$F$9876='2019-20_working'!M$7)*(raw!$G$2:$G$9876))</f>
        <v>2</v>
      </c>
      <c r="N23" s="8">
        <f>SUMPRODUCT((raw!$A$2:$A$9876='2019-20_working'!$A$2)*(raw!$B$2:$B$9876='2019-20_working'!$A23)*(raw!$E$2:$E$9876='2019-20_working'!$K$6)*(raw!$F$2:$F$9876='2019-20_working'!N$7)*(raw!$G$2:$G$9876))</f>
        <v>0</v>
      </c>
      <c r="O23" s="8">
        <f>SUMPRODUCT((raw!$A$2:$A$9876='2019-20_working'!$A$2)*(raw!$B$2:$B$9876='2019-20_working'!$A23)*(raw!$E$2:$E$9876='2019-20_working'!$K$6)*(raw!$F$2:$F$9876='2019-20_working'!O$7)*(raw!$G$2:$G$9876))</f>
        <v>0</v>
      </c>
      <c r="P23" s="8">
        <f>SUMPRODUCT((raw!$A$2:$A$9876='2019-20_working'!$A$2)*(raw!$B$2:$B$9876='2019-20_working'!$A23)*(raw!$E$2:$E$9876='2019-20_working'!$K$6)*(raw!$F$2:$F$9876='2019-20_working'!P$7)*(raw!$G$2:$G$9876))</f>
        <v>0</v>
      </c>
      <c r="Q23" s="8">
        <f>SUMPRODUCT((raw!$A$2:$A$9876='2019-20_working'!$A$2)*(raw!$B$2:$B$9876='2019-20_working'!$A23)*(raw!$E$2:$E$9876='2019-20_working'!$K$6)*(raw!$F$2:$F$9876='2019-20_working'!Q$7)*(raw!$G$2:$G$9876))</f>
        <v>0</v>
      </c>
      <c r="R23" s="8">
        <f>SUMPRODUCT((raw!$A$2:$A$9876='2019-20_working'!$A$2)*(raw!$B$2:$B$9876='2019-20_working'!$A23)*(raw!$E$2:$E$9876='2019-20_working'!$K$6)*(raw!$F$2:$F$9876='2019-20_working'!R$7)*(raw!$G$2:$G$9876))</f>
        <v>6</v>
      </c>
      <c r="T23" s="8">
        <f>SUMPRODUCT((raw!$A$2:$A$9876='2019-20_working'!$A$2)*(raw!$B$2:$B$9876='2019-20_working'!$A23)*(raw!$E$2:$E$9876='2019-20_working'!$T$6)*(raw!$F$2:$F$9876='2019-20_working'!T$7)*(raw!$G$2:$G$9876))</f>
        <v>3</v>
      </c>
      <c r="U23" s="8">
        <f>SUMPRODUCT((raw!$A$2:$A$9876='2019-20_working'!$A$2)*(raw!$B$2:$B$9876='2019-20_working'!$A23)*(raw!$E$2:$E$9876='2019-20_working'!$T$6)*(raw!$F$2:$F$9876='2019-20_working'!U$7)*(raw!$G$2:$G$9876))</f>
        <v>1</v>
      </c>
      <c r="V23" s="8">
        <f>SUMPRODUCT((raw!$A$2:$A$9876='2019-20_working'!$A$2)*(raw!$B$2:$B$9876='2019-20_working'!$A23)*(raw!$E$2:$E$9876='2019-20_working'!$T$6)*(raw!$F$2:$F$9876='2019-20_working'!V$7)*(raw!$G$2:$G$9876))</f>
        <v>0</v>
      </c>
      <c r="W23" s="8">
        <f>SUMPRODUCT((raw!$A$2:$A$9876='2019-20_working'!$A$2)*(raw!$B$2:$B$9876='2019-20_working'!$A23)*(raw!$E$2:$E$9876='2019-20_working'!$T$6)*(raw!$F$2:$F$9876='2019-20_working'!W$7)*(raw!$G$2:$G$9876))</f>
        <v>0</v>
      </c>
      <c r="X23" s="8">
        <f>SUMPRODUCT((raw!$A$2:$A$9876='2019-20_working'!$A$2)*(raw!$B$2:$B$9876='2019-20_working'!$A23)*(raw!$E$2:$E$9876='2019-20_working'!$T$6)*(raw!$F$2:$F$9876='2019-20_working'!X$7)*(raw!$G$2:$G$9876))</f>
        <v>0</v>
      </c>
      <c r="Y23" s="8">
        <f>SUMPRODUCT((raw!$A$2:$A$9876='2019-20_working'!$A$2)*(raw!$B$2:$B$9876='2019-20_working'!$A23)*(raw!$E$2:$E$9876='2019-20_working'!$T$6)*(raw!$F$2:$F$9876='2019-20_working'!Y$7)*(raw!$G$2:$G$9876))</f>
        <v>0</v>
      </c>
      <c r="Z23" s="8">
        <f>SUMPRODUCT((raw!$A$2:$A$9876='2019-20_working'!$A$2)*(raw!$B$2:$B$9876='2019-20_working'!$A23)*(raw!$E$2:$E$9876='2019-20_working'!$T$6)*(raw!$F$2:$F$9876='2019-20_working'!Z$7)*(raw!$G$2:$G$9876))</f>
        <v>0</v>
      </c>
      <c r="AA23" s="8">
        <f>SUMPRODUCT((raw!$A$2:$A$9876='2019-20_working'!$A$2)*(raw!$B$2:$B$9876='2019-20_working'!$A23)*(raw!$E$2:$E$9876='2019-20_working'!$T$6)*(raw!$F$2:$F$9876='2019-20_working'!AA$7)*(raw!$G$2:$G$9876))</f>
        <v>0</v>
      </c>
      <c r="AC23" s="8">
        <f>SUMPRODUCT((raw!$A$2:$A$9876='2019-20_working'!$A$2)*(raw!$B$2:$B$9876='2019-20_working'!$A23)*(raw!$E$2:$E$9876='2019-20_working'!$AC$6)*(raw!$F$2:$F$9876='2019-20_working'!AC$7)*(raw!$G$2:$G$9876))</f>
        <v>16</v>
      </c>
      <c r="AD23" s="8">
        <f>SUMPRODUCT((raw!$A$2:$A$9876='2019-20_working'!$A$2)*(raw!$B$2:$B$9876='2019-20_working'!$A23)*(raw!$E$2:$E$9876='2019-20_working'!$AC$6)*(raw!$F$2:$F$9876='2019-20_working'!AD$7)*(raw!$G$2:$G$9876))</f>
        <v>0</v>
      </c>
      <c r="AE23" s="8">
        <f>SUMPRODUCT((raw!$A$2:$A$9876='2019-20_working'!$A$2)*(raw!$B$2:$B$9876='2019-20_working'!$A23)*(raw!$E$2:$E$9876='2019-20_working'!$AC$6)*(raw!$F$2:$F$9876='2019-20_working'!AE$7)*(raw!$G$2:$G$9876))</f>
        <v>1</v>
      </c>
      <c r="AF23" s="8">
        <f>SUMPRODUCT((raw!$A$2:$A$9876='2019-20_working'!$A$2)*(raw!$B$2:$B$9876='2019-20_working'!$A23)*(raw!$E$2:$E$9876='2019-20_working'!$AC$6)*(raw!$F$2:$F$9876='2019-20_working'!AF$7)*(raw!$G$2:$G$9876))</f>
        <v>0</v>
      </c>
      <c r="AG23" s="8">
        <f>SUMPRODUCT((raw!$A$2:$A$9876='2019-20_working'!$A$2)*(raw!$B$2:$B$9876='2019-20_working'!$A23)*(raw!$E$2:$E$9876='2019-20_working'!$AC$6)*(raw!$F$2:$F$9876='2019-20_working'!AG$7)*(raw!$G$2:$G$9876))</f>
        <v>0</v>
      </c>
      <c r="AH23" s="8">
        <f>SUMPRODUCT((raw!$A$2:$A$9876='2019-20_working'!$A$2)*(raw!$B$2:$B$9876='2019-20_working'!$A23)*(raw!$E$2:$E$9876='2019-20_working'!$AC$6)*(raw!$F$2:$F$9876='2019-20_working'!AH$7)*(raw!$G$2:$G$9876))</f>
        <v>0</v>
      </c>
      <c r="AI23" s="8">
        <f>SUMPRODUCT((raw!$A$2:$A$9876='2019-20_working'!$A$2)*(raw!$B$2:$B$9876='2019-20_working'!$A23)*(raw!$E$2:$E$9876='2019-20_working'!$AC$6)*(raw!$F$2:$F$9876='2019-20_working'!AI$7)*(raw!$G$2:$G$9876))</f>
        <v>0</v>
      </c>
      <c r="AJ23" s="8">
        <f>SUMPRODUCT((raw!$A$2:$A$9876='2019-20_working'!$A$2)*(raw!$B$2:$B$9876='2019-20_working'!$A23)*(raw!$E$2:$E$9876='2019-20_working'!$AC$6)*(raw!$F$2:$F$9876='2019-20_working'!AJ$7)*(raw!$G$2:$G$9876))</f>
        <v>2</v>
      </c>
    </row>
    <row r="24" spans="1:36" x14ac:dyDescent="0.3">
      <c r="A24" s="8" t="s">
        <v>31</v>
      </c>
      <c r="B24" s="8">
        <f>SUMPRODUCT((raw!$A$2:$A$9876='2019-20_working'!$A$2)*(raw!$B$2:$B$9876='2019-20_working'!$A24)*(raw!$E$2:$E$9876='2019-20_working'!$B$6:$I$6)*(raw!$F$2:$F$9876='2019-20_working'!B$7)*(raw!$G$2:$G$9876))</f>
        <v>23</v>
      </c>
      <c r="C24" s="8">
        <f>SUMPRODUCT((raw!$A$2:$A$9876='2019-20_working'!$A$2)*(raw!$B$2:$B$9876='2019-20_working'!$A24)*(raw!$E$2:$E$9876='2019-20_working'!$B$6:$I$6)*(raw!$F$2:$F$9876='2019-20_working'!C$7)*(raw!$G$2:$G$9876))</f>
        <v>1</v>
      </c>
      <c r="D24" s="8">
        <f>SUMPRODUCT((raw!$A$2:$A$9876='2019-20_working'!$A$2)*(raw!$B$2:$B$9876='2019-20_working'!$A24)*(raw!$E$2:$E$9876='2019-20_working'!$B$6:$I$6)*(raw!$F$2:$F$9876='2019-20_working'!D$7)*(raw!$G$2:$G$9876))</f>
        <v>2</v>
      </c>
      <c r="E24" s="8">
        <f>SUMPRODUCT((raw!$A$2:$A$9876='2019-20_working'!$A$2)*(raw!$B$2:$B$9876='2019-20_working'!$A24)*(raw!$E$2:$E$9876='2019-20_working'!$B$6:$I$6)*(raw!$F$2:$F$9876='2019-20_working'!E$7)*(raw!$G$2:$G$9876))</f>
        <v>0</v>
      </c>
      <c r="F24" s="8">
        <f>SUMPRODUCT((raw!$A$2:$A$9876='2019-20_working'!$A$2)*(raw!$B$2:$B$9876='2019-20_working'!$A24)*(raw!$E$2:$E$9876='2019-20_working'!$B$6:$I$6)*(raw!$F$2:$F$9876='2019-20_working'!F$7)*(raw!$G$2:$G$9876))</f>
        <v>0</v>
      </c>
      <c r="G24" s="8">
        <f>SUMPRODUCT((raw!$A$2:$A$9876='2019-20_working'!$A$2)*(raw!$B$2:$B$9876='2019-20_working'!$A24)*(raw!$E$2:$E$9876='2019-20_working'!$B$6:$I$6)*(raw!$F$2:$F$9876='2019-20_working'!G$7)*(raw!$G$2:$G$9876))</f>
        <v>0</v>
      </c>
      <c r="H24" s="8">
        <f>SUMPRODUCT((raw!$A$2:$A$9876='2019-20_working'!$A$2)*(raw!$B$2:$B$9876='2019-20_working'!$A24)*(raw!$E$2:$E$9876='2019-20_working'!$B$6:$I$6)*(raw!$F$2:$F$9876='2019-20_working'!H$7)*(raw!$G$2:$G$9876))</f>
        <v>0</v>
      </c>
      <c r="I24" s="8">
        <f>SUMPRODUCT((raw!$A$2:$A$9876='2019-20_working'!$A$2)*(raw!$B$2:$B$9876='2019-20_working'!$A24)*(raw!$E$2:$E$9876='2019-20_working'!$B$6:$I$6)*(raw!$F$2:$F$9876='2019-20_working'!I$7)*(raw!$G$2:$G$9876))</f>
        <v>4</v>
      </c>
      <c r="K24" s="8">
        <f>SUMPRODUCT((raw!$A$2:$A$9876='2019-20_working'!$A$2)*(raw!$B$2:$B$9876='2019-20_working'!$A24)*(raw!$E$2:$E$9876='2019-20_working'!$K$6)*(raw!$F$2:$F$9876='2019-20_working'!K$7)*(raw!$G$2:$G$9876))</f>
        <v>43</v>
      </c>
      <c r="L24" s="8">
        <f>SUMPRODUCT((raw!$A$2:$A$9876='2019-20_working'!$A$2)*(raw!$B$2:$B$9876='2019-20_working'!$A24)*(raw!$E$2:$E$9876='2019-20_working'!$K$6)*(raw!$F$2:$F$9876='2019-20_working'!L$7)*(raw!$G$2:$G$9876))</f>
        <v>1</v>
      </c>
      <c r="M24" s="8">
        <f>SUMPRODUCT((raw!$A$2:$A$9876='2019-20_working'!$A$2)*(raw!$B$2:$B$9876='2019-20_working'!$A24)*(raw!$E$2:$E$9876='2019-20_working'!$K$6)*(raw!$F$2:$F$9876='2019-20_working'!M$7)*(raw!$G$2:$G$9876))</f>
        <v>0</v>
      </c>
      <c r="N24" s="8">
        <f>SUMPRODUCT((raw!$A$2:$A$9876='2019-20_working'!$A$2)*(raw!$B$2:$B$9876='2019-20_working'!$A24)*(raw!$E$2:$E$9876='2019-20_working'!$K$6)*(raw!$F$2:$F$9876='2019-20_working'!N$7)*(raw!$G$2:$G$9876))</f>
        <v>0</v>
      </c>
      <c r="O24" s="8">
        <f>SUMPRODUCT((raw!$A$2:$A$9876='2019-20_working'!$A$2)*(raw!$B$2:$B$9876='2019-20_working'!$A24)*(raw!$E$2:$E$9876='2019-20_working'!$K$6)*(raw!$F$2:$F$9876='2019-20_working'!O$7)*(raw!$G$2:$G$9876))</f>
        <v>1</v>
      </c>
      <c r="P24" s="8">
        <f>SUMPRODUCT((raw!$A$2:$A$9876='2019-20_working'!$A$2)*(raw!$B$2:$B$9876='2019-20_working'!$A24)*(raw!$E$2:$E$9876='2019-20_working'!$K$6)*(raw!$F$2:$F$9876='2019-20_working'!P$7)*(raw!$G$2:$G$9876))</f>
        <v>0</v>
      </c>
      <c r="Q24" s="8">
        <f>SUMPRODUCT((raw!$A$2:$A$9876='2019-20_working'!$A$2)*(raw!$B$2:$B$9876='2019-20_working'!$A24)*(raw!$E$2:$E$9876='2019-20_working'!$K$6)*(raw!$F$2:$F$9876='2019-20_working'!Q$7)*(raw!$G$2:$G$9876))</f>
        <v>0</v>
      </c>
      <c r="R24" s="8">
        <f>SUMPRODUCT((raw!$A$2:$A$9876='2019-20_working'!$A$2)*(raw!$B$2:$B$9876='2019-20_working'!$A24)*(raw!$E$2:$E$9876='2019-20_working'!$K$6)*(raw!$F$2:$F$9876='2019-20_working'!R$7)*(raw!$G$2:$G$9876))</f>
        <v>35</v>
      </c>
      <c r="T24" s="8">
        <f>SUMPRODUCT((raw!$A$2:$A$9876='2019-20_working'!$A$2)*(raw!$B$2:$B$9876='2019-20_working'!$A24)*(raw!$E$2:$E$9876='2019-20_working'!$T$6)*(raw!$F$2:$F$9876='2019-20_working'!T$7)*(raw!$G$2:$G$9876))</f>
        <v>2</v>
      </c>
      <c r="U24" s="8">
        <f>SUMPRODUCT((raw!$A$2:$A$9876='2019-20_working'!$A$2)*(raw!$B$2:$B$9876='2019-20_working'!$A24)*(raw!$E$2:$E$9876='2019-20_working'!$T$6)*(raw!$F$2:$F$9876='2019-20_working'!U$7)*(raw!$G$2:$G$9876))</f>
        <v>0</v>
      </c>
      <c r="V24" s="8">
        <f>SUMPRODUCT((raw!$A$2:$A$9876='2019-20_working'!$A$2)*(raw!$B$2:$B$9876='2019-20_working'!$A24)*(raw!$E$2:$E$9876='2019-20_working'!$T$6)*(raw!$F$2:$F$9876='2019-20_working'!V$7)*(raw!$G$2:$G$9876))</f>
        <v>0</v>
      </c>
      <c r="W24" s="8">
        <f>SUMPRODUCT((raw!$A$2:$A$9876='2019-20_working'!$A$2)*(raw!$B$2:$B$9876='2019-20_working'!$A24)*(raw!$E$2:$E$9876='2019-20_working'!$T$6)*(raw!$F$2:$F$9876='2019-20_working'!W$7)*(raw!$G$2:$G$9876))</f>
        <v>0</v>
      </c>
      <c r="X24" s="8">
        <f>SUMPRODUCT((raw!$A$2:$A$9876='2019-20_working'!$A$2)*(raw!$B$2:$B$9876='2019-20_working'!$A24)*(raw!$E$2:$E$9876='2019-20_working'!$T$6)*(raw!$F$2:$F$9876='2019-20_working'!X$7)*(raw!$G$2:$G$9876))</f>
        <v>0</v>
      </c>
      <c r="Y24" s="8">
        <f>SUMPRODUCT((raw!$A$2:$A$9876='2019-20_working'!$A$2)*(raw!$B$2:$B$9876='2019-20_working'!$A24)*(raw!$E$2:$E$9876='2019-20_working'!$T$6)*(raw!$F$2:$F$9876='2019-20_working'!Y$7)*(raw!$G$2:$G$9876))</f>
        <v>0</v>
      </c>
      <c r="Z24" s="8">
        <f>SUMPRODUCT((raw!$A$2:$A$9876='2019-20_working'!$A$2)*(raw!$B$2:$B$9876='2019-20_working'!$A24)*(raw!$E$2:$E$9876='2019-20_working'!$T$6)*(raw!$F$2:$F$9876='2019-20_working'!Z$7)*(raw!$G$2:$G$9876))</f>
        <v>0</v>
      </c>
      <c r="AA24" s="8">
        <f>SUMPRODUCT((raw!$A$2:$A$9876='2019-20_working'!$A$2)*(raw!$B$2:$B$9876='2019-20_working'!$A24)*(raw!$E$2:$E$9876='2019-20_working'!$T$6)*(raw!$F$2:$F$9876='2019-20_working'!AA$7)*(raw!$G$2:$G$9876))</f>
        <v>0</v>
      </c>
      <c r="AC24" s="8">
        <f>SUMPRODUCT((raw!$A$2:$A$9876='2019-20_working'!$A$2)*(raw!$B$2:$B$9876='2019-20_working'!$A24)*(raw!$E$2:$E$9876='2019-20_working'!$AC$6)*(raw!$F$2:$F$9876='2019-20_working'!AC$7)*(raw!$G$2:$G$9876))</f>
        <v>37</v>
      </c>
      <c r="AD24" s="8">
        <f>SUMPRODUCT((raw!$A$2:$A$9876='2019-20_working'!$A$2)*(raw!$B$2:$B$9876='2019-20_working'!$A24)*(raw!$E$2:$E$9876='2019-20_working'!$AC$6)*(raw!$F$2:$F$9876='2019-20_working'!AD$7)*(raw!$G$2:$G$9876))</f>
        <v>1</v>
      </c>
      <c r="AE24" s="8">
        <f>SUMPRODUCT((raw!$A$2:$A$9876='2019-20_working'!$A$2)*(raw!$B$2:$B$9876='2019-20_working'!$A24)*(raw!$E$2:$E$9876='2019-20_working'!$AC$6)*(raw!$F$2:$F$9876='2019-20_working'!AE$7)*(raw!$G$2:$G$9876))</f>
        <v>1</v>
      </c>
      <c r="AF24" s="8">
        <f>SUMPRODUCT((raw!$A$2:$A$9876='2019-20_working'!$A$2)*(raw!$B$2:$B$9876='2019-20_working'!$A24)*(raw!$E$2:$E$9876='2019-20_working'!$AC$6)*(raw!$F$2:$F$9876='2019-20_working'!AF$7)*(raw!$G$2:$G$9876))</f>
        <v>0</v>
      </c>
      <c r="AG24" s="8">
        <f>SUMPRODUCT((raw!$A$2:$A$9876='2019-20_working'!$A$2)*(raw!$B$2:$B$9876='2019-20_working'!$A24)*(raw!$E$2:$E$9876='2019-20_working'!$AC$6)*(raw!$F$2:$F$9876='2019-20_working'!AG$7)*(raw!$G$2:$G$9876))</f>
        <v>1</v>
      </c>
      <c r="AH24" s="8">
        <f>SUMPRODUCT((raw!$A$2:$A$9876='2019-20_working'!$A$2)*(raw!$B$2:$B$9876='2019-20_working'!$A24)*(raw!$E$2:$E$9876='2019-20_working'!$AC$6)*(raw!$F$2:$F$9876='2019-20_working'!AH$7)*(raw!$G$2:$G$9876))</f>
        <v>0</v>
      </c>
      <c r="AI24" s="8">
        <f>SUMPRODUCT((raw!$A$2:$A$9876='2019-20_working'!$A$2)*(raw!$B$2:$B$9876='2019-20_working'!$A24)*(raw!$E$2:$E$9876='2019-20_working'!$AC$6)*(raw!$F$2:$F$9876='2019-20_working'!AI$7)*(raw!$G$2:$G$9876))</f>
        <v>1</v>
      </c>
      <c r="AJ24" s="8">
        <f>SUMPRODUCT((raw!$A$2:$A$9876='2019-20_working'!$A$2)*(raw!$B$2:$B$9876='2019-20_working'!$A24)*(raw!$E$2:$E$9876='2019-20_working'!$AC$6)*(raw!$F$2:$F$9876='2019-20_working'!AJ$7)*(raw!$G$2:$G$9876))</f>
        <v>19</v>
      </c>
    </row>
    <row r="25" spans="1:36" x14ac:dyDescent="0.3">
      <c r="A25" s="8" t="s">
        <v>32</v>
      </c>
      <c r="B25" s="8">
        <f>SUMPRODUCT((raw!$A$2:$A$9876='2019-20_working'!$A$2)*(raw!$B$2:$B$9876='2019-20_working'!$A25)*(raw!$E$2:$E$9876='2019-20_working'!$B$6:$I$6)*(raw!$F$2:$F$9876='2019-20_working'!B$7)*(raw!$G$2:$G$9876))</f>
        <v>7</v>
      </c>
      <c r="C25" s="8">
        <f>SUMPRODUCT((raw!$A$2:$A$9876='2019-20_working'!$A$2)*(raw!$B$2:$B$9876='2019-20_working'!$A25)*(raw!$E$2:$E$9876='2019-20_working'!$B$6:$I$6)*(raw!$F$2:$F$9876='2019-20_working'!C$7)*(raw!$G$2:$G$9876))</f>
        <v>0</v>
      </c>
      <c r="D25" s="8">
        <f>SUMPRODUCT((raw!$A$2:$A$9876='2019-20_working'!$A$2)*(raw!$B$2:$B$9876='2019-20_working'!$A25)*(raw!$E$2:$E$9876='2019-20_working'!$B$6:$I$6)*(raw!$F$2:$F$9876='2019-20_working'!D$7)*(raw!$G$2:$G$9876))</f>
        <v>0</v>
      </c>
      <c r="E25" s="8">
        <f>SUMPRODUCT((raw!$A$2:$A$9876='2019-20_working'!$A$2)*(raw!$B$2:$B$9876='2019-20_working'!$A25)*(raw!$E$2:$E$9876='2019-20_working'!$B$6:$I$6)*(raw!$F$2:$F$9876='2019-20_working'!E$7)*(raw!$G$2:$G$9876))</f>
        <v>0</v>
      </c>
      <c r="F25" s="8">
        <f>SUMPRODUCT((raw!$A$2:$A$9876='2019-20_working'!$A$2)*(raw!$B$2:$B$9876='2019-20_working'!$A25)*(raw!$E$2:$E$9876='2019-20_working'!$B$6:$I$6)*(raw!$F$2:$F$9876='2019-20_working'!F$7)*(raw!$G$2:$G$9876))</f>
        <v>0</v>
      </c>
      <c r="G25" s="8">
        <f>SUMPRODUCT((raw!$A$2:$A$9876='2019-20_working'!$A$2)*(raw!$B$2:$B$9876='2019-20_working'!$A25)*(raw!$E$2:$E$9876='2019-20_working'!$B$6:$I$6)*(raw!$F$2:$F$9876='2019-20_working'!G$7)*(raw!$G$2:$G$9876))</f>
        <v>0</v>
      </c>
      <c r="H25" s="8">
        <f>SUMPRODUCT((raw!$A$2:$A$9876='2019-20_working'!$A$2)*(raw!$B$2:$B$9876='2019-20_working'!$A25)*(raw!$E$2:$E$9876='2019-20_working'!$B$6:$I$6)*(raw!$F$2:$F$9876='2019-20_working'!H$7)*(raw!$G$2:$G$9876))</f>
        <v>0</v>
      </c>
      <c r="I25" s="8">
        <f>SUMPRODUCT((raw!$A$2:$A$9876='2019-20_working'!$A$2)*(raw!$B$2:$B$9876='2019-20_working'!$A25)*(raw!$E$2:$E$9876='2019-20_working'!$B$6:$I$6)*(raw!$F$2:$F$9876='2019-20_working'!I$7)*(raw!$G$2:$G$9876))</f>
        <v>1</v>
      </c>
      <c r="K25" s="8">
        <f>SUMPRODUCT((raw!$A$2:$A$9876='2019-20_working'!$A$2)*(raw!$B$2:$B$9876='2019-20_working'!$A25)*(raw!$E$2:$E$9876='2019-20_working'!$K$6)*(raw!$F$2:$F$9876='2019-20_working'!K$7)*(raw!$G$2:$G$9876))</f>
        <v>10</v>
      </c>
      <c r="L25" s="8">
        <f>SUMPRODUCT((raw!$A$2:$A$9876='2019-20_working'!$A$2)*(raw!$B$2:$B$9876='2019-20_working'!$A25)*(raw!$E$2:$E$9876='2019-20_working'!$K$6)*(raw!$F$2:$F$9876='2019-20_working'!L$7)*(raw!$G$2:$G$9876))</f>
        <v>0</v>
      </c>
      <c r="M25" s="8">
        <f>SUMPRODUCT((raw!$A$2:$A$9876='2019-20_working'!$A$2)*(raw!$B$2:$B$9876='2019-20_working'!$A25)*(raw!$E$2:$E$9876='2019-20_working'!$K$6)*(raw!$F$2:$F$9876='2019-20_working'!M$7)*(raw!$G$2:$G$9876))</f>
        <v>1</v>
      </c>
      <c r="N25" s="8">
        <f>SUMPRODUCT((raw!$A$2:$A$9876='2019-20_working'!$A$2)*(raw!$B$2:$B$9876='2019-20_working'!$A25)*(raw!$E$2:$E$9876='2019-20_working'!$K$6)*(raw!$F$2:$F$9876='2019-20_working'!N$7)*(raw!$G$2:$G$9876))</f>
        <v>0</v>
      </c>
      <c r="O25" s="8">
        <f>SUMPRODUCT((raw!$A$2:$A$9876='2019-20_working'!$A$2)*(raw!$B$2:$B$9876='2019-20_working'!$A25)*(raw!$E$2:$E$9876='2019-20_working'!$K$6)*(raw!$F$2:$F$9876='2019-20_working'!O$7)*(raw!$G$2:$G$9876))</f>
        <v>0</v>
      </c>
      <c r="P25" s="8">
        <f>SUMPRODUCT((raw!$A$2:$A$9876='2019-20_working'!$A$2)*(raw!$B$2:$B$9876='2019-20_working'!$A25)*(raw!$E$2:$E$9876='2019-20_working'!$K$6)*(raw!$F$2:$F$9876='2019-20_working'!P$7)*(raw!$G$2:$G$9876))</f>
        <v>0</v>
      </c>
      <c r="Q25" s="8">
        <f>SUMPRODUCT((raw!$A$2:$A$9876='2019-20_working'!$A$2)*(raw!$B$2:$B$9876='2019-20_working'!$A25)*(raw!$E$2:$E$9876='2019-20_working'!$K$6)*(raw!$F$2:$F$9876='2019-20_working'!Q$7)*(raw!$G$2:$G$9876))</f>
        <v>0</v>
      </c>
      <c r="R25" s="8">
        <f>SUMPRODUCT((raw!$A$2:$A$9876='2019-20_working'!$A$2)*(raw!$B$2:$B$9876='2019-20_working'!$A25)*(raw!$E$2:$E$9876='2019-20_working'!$K$6)*(raw!$F$2:$F$9876='2019-20_working'!R$7)*(raw!$G$2:$G$9876))</f>
        <v>25</v>
      </c>
      <c r="T25" s="8">
        <f>SUMPRODUCT((raw!$A$2:$A$9876='2019-20_working'!$A$2)*(raw!$B$2:$B$9876='2019-20_working'!$A25)*(raw!$E$2:$E$9876='2019-20_working'!$T$6)*(raw!$F$2:$F$9876='2019-20_working'!T$7)*(raw!$G$2:$G$9876))</f>
        <v>2</v>
      </c>
      <c r="U25" s="8">
        <f>SUMPRODUCT((raw!$A$2:$A$9876='2019-20_working'!$A$2)*(raw!$B$2:$B$9876='2019-20_working'!$A25)*(raw!$E$2:$E$9876='2019-20_working'!$T$6)*(raw!$F$2:$F$9876='2019-20_working'!U$7)*(raw!$G$2:$G$9876))</f>
        <v>0</v>
      </c>
      <c r="V25" s="8">
        <f>SUMPRODUCT((raw!$A$2:$A$9876='2019-20_working'!$A$2)*(raw!$B$2:$B$9876='2019-20_working'!$A25)*(raw!$E$2:$E$9876='2019-20_working'!$T$6)*(raw!$F$2:$F$9876='2019-20_working'!V$7)*(raw!$G$2:$G$9876))</f>
        <v>0</v>
      </c>
      <c r="W25" s="8">
        <f>SUMPRODUCT((raw!$A$2:$A$9876='2019-20_working'!$A$2)*(raw!$B$2:$B$9876='2019-20_working'!$A25)*(raw!$E$2:$E$9876='2019-20_working'!$T$6)*(raw!$F$2:$F$9876='2019-20_working'!W$7)*(raw!$G$2:$G$9876))</f>
        <v>0</v>
      </c>
      <c r="X25" s="8">
        <f>SUMPRODUCT((raw!$A$2:$A$9876='2019-20_working'!$A$2)*(raw!$B$2:$B$9876='2019-20_working'!$A25)*(raw!$E$2:$E$9876='2019-20_working'!$T$6)*(raw!$F$2:$F$9876='2019-20_working'!X$7)*(raw!$G$2:$G$9876))</f>
        <v>0</v>
      </c>
      <c r="Y25" s="8">
        <f>SUMPRODUCT((raw!$A$2:$A$9876='2019-20_working'!$A$2)*(raw!$B$2:$B$9876='2019-20_working'!$A25)*(raw!$E$2:$E$9876='2019-20_working'!$T$6)*(raw!$F$2:$F$9876='2019-20_working'!Y$7)*(raw!$G$2:$G$9876))</f>
        <v>0</v>
      </c>
      <c r="Z25" s="8">
        <f>SUMPRODUCT((raw!$A$2:$A$9876='2019-20_working'!$A$2)*(raw!$B$2:$B$9876='2019-20_working'!$A25)*(raw!$E$2:$E$9876='2019-20_working'!$T$6)*(raw!$F$2:$F$9876='2019-20_working'!Z$7)*(raw!$G$2:$G$9876))</f>
        <v>0</v>
      </c>
      <c r="AA25" s="8">
        <f>SUMPRODUCT((raw!$A$2:$A$9876='2019-20_working'!$A$2)*(raw!$B$2:$B$9876='2019-20_working'!$A25)*(raw!$E$2:$E$9876='2019-20_working'!$T$6)*(raw!$F$2:$F$9876='2019-20_working'!AA$7)*(raw!$G$2:$G$9876))</f>
        <v>0</v>
      </c>
      <c r="AC25" s="8">
        <f>SUMPRODUCT((raw!$A$2:$A$9876='2019-20_working'!$A$2)*(raw!$B$2:$B$9876='2019-20_working'!$A25)*(raw!$E$2:$E$9876='2019-20_working'!$AC$6)*(raw!$F$2:$F$9876='2019-20_working'!AC$7)*(raw!$G$2:$G$9876))</f>
        <v>6</v>
      </c>
      <c r="AD25" s="8">
        <f>SUMPRODUCT((raw!$A$2:$A$9876='2019-20_working'!$A$2)*(raw!$B$2:$B$9876='2019-20_working'!$A25)*(raw!$E$2:$E$9876='2019-20_working'!$AC$6)*(raw!$F$2:$F$9876='2019-20_working'!AD$7)*(raw!$G$2:$G$9876))</f>
        <v>0</v>
      </c>
      <c r="AE25" s="8">
        <f>SUMPRODUCT((raw!$A$2:$A$9876='2019-20_working'!$A$2)*(raw!$B$2:$B$9876='2019-20_working'!$A25)*(raw!$E$2:$E$9876='2019-20_working'!$AC$6)*(raw!$F$2:$F$9876='2019-20_working'!AE$7)*(raw!$G$2:$G$9876))</f>
        <v>0</v>
      </c>
      <c r="AF25" s="8">
        <f>SUMPRODUCT((raw!$A$2:$A$9876='2019-20_working'!$A$2)*(raw!$B$2:$B$9876='2019-20_working'!$A25)*(raw!$E$2:$E$9876='2019-20_working'!$AC$6)*(raw!$F$2:$F$9876='2019-20_working'!AF$7)*(raw!$G$2:$G$9876))</f>
        <v>0</v>
      </c>
      <c r="AG25" s="8">
        <f>SUMPRODUCT((raw!$A$2:$A$9876='2019-20_working'!$A$2)*(raw!$B$2:$B$9876='2019-20_working'!$A25)*(raw!$E$2:$E$9876='2019-20_working'!$AC$6)*(raw!$F$2:$F$9876='2019-20_working'!AG$7)*(raw!$G$2:$G$9876))</f>
        <v>0</v>
      </c>
      <c r="AH25" s="8">
        <f>SUMPRODUCT((raw!$A$2:$A$9876='2019-20_working'!$A$2)*(raw!$B$2:$B$9876='2019-20_working'!$A25)*(raw!$E$2:$E$9876='2019-20_working'!$AC$6)*(raw!$F$2:$F$9876='2019-20_working'!AH$7)*(raw!$G$2:$G$9876))</f>
        <v>0</v>
      </c>
      <c r="AI25" s="8">
        <f>SUMPRODUCT((raw!$A$2:$A$9876='2019-20_working'!$A$2)*(raw!$B$2:$B$9876='2019-20_working'!$A25)*(raw!$E$2:$E$9876='2019-20_working'!$AC$6)*(raw!$F$2:$F$9876='2019-20_working'!AI$7)*(raw!$G$2:$G$9876))</f>
        <v>0</v>
      </c>
      <c r="AJ25" s="8">
        <f>SUMPRODUCT((raw!$A$2:$A$9876='2019-20_working'!$A$2)*(raw!$B$2:$B$9876='2019-20_working'!$A25)*(raw!$E$2:$E$9876='2019-20_working'!$AC$6)*(raw!$F$2:$F$9876='2019-20_working'!AJ$7)*(raw!$G$2:$G$9876))</f>
        <v>1</v>
      </c>
    </row>
    <row r="26" spans="1:36" x14ac:dyDescent="0.3">
      <c r="A26" s="8" t="s">
        <v>33</v>
      </c>
      <c r="B26" s="8">
        <f>SUMPRODUCT((raw!$A$2:$A$9876='2019-20_working'!$A$2)*(raw!$B$2:$B$9876='2019-20_working'!$A26)*(raw!$E$2:$E$9876='2019-20_working'!$B$6:$I$6)*(raw!$F$2:$F$9876='2019-20_working'!B$7)*(raw!$G$2:$G$9876))</f>
        <v>27</v>
      </c>
      <c r="C26" s="8">
        <f>SUMPRODUCT((raw!$A$2:$A$9876='2019-20_working'!$A$2)*(raw!$B$2:$B$9876='2019-20_working'!$A26)*(raw!$E$2:$E$9876='2019-20_working'!$B$6:$I$6)*(raw!$F$2:$F$9876='2019-20_working'!C$7)*(raw!$G$2:$G$9876))</f>
        <v>0</v>
      </c>
      <c r="D26" s="8">
        <f>SUMPRODUCT((raw!$A$2:$A$9876='2019-20_working'!$A$2)*(raw!$B$2:$B$9876='2019-20_working'!$A26)*(raw!$E$2:$E$9876='2019-20_working'!$B$6:$I$6)*(raw!$F$2:$F$9876='2019-20_working'!D$7)*(raw!$G$2:$G$9876))</f>
        <v>0</v>
      </c>
      <c r="E26" s="8">
        <f>SUMPRODUCT((raw!$A$2:$A$9876='2019-20_working'!$A$2)*(raw!$B$2:$B$9876='2019-20_working'!$A26)*(raw!$E$2:$E$9876='2019-20_working'!$B$6:$I$6)*(raw!$F$2:$F$9876='2019-20_working'!E$7)*(raw!$G$2:$G$9876))</f>
        <v>0</v>
      </c>
      <c r="F26" s="8">
        <f>SUMPRODUCT((raw!$A$2:$A$9876='2019-20_working'!$A$2)*(raw!$B$2:$B$9876='2019-20_working'!$A26)*(raw!$E$2:$E$9876='2019-20_working'!$B$6:$I$6)*(raw!$F$2:$F$9876='2019-20_working'!F$7)*(raw!$G$2:$G$9876))</f>
        <v>1</v>
      </c>
      <c r="G26" s="8">
        <f>SUMPRODUCT((raw!$A$2:$A$9876='2019-20_working'!$A$2)*(raw!$B$2:$B$9876='2019-20_working'!$A26)*(raw!$E$2:$E$9876='2019-20_working'!$B$6:$I$6)*(raw!$F$2:$F$9876='2019-20_working'!G$7)*(raw!$G$2:$G$9876))</f>
        <v>0</v>
      </c>
      <c r="H26" s="8">
        <f>SUMPRODUCT((raw!$A$2:$A$9876='2019-20_working'!$A$2)*(raw!$B$2:$B$9876='2019-20_working'!$A26)*(raw!$E$2:$E$9876='2019-20_working'!$B$6:$I$6)*(raw!$F$2:$F$9876='2019-20_working'!H$7)*(raw!$G$2:$G$9876))</f>
        <v>1</v>
      </c>
      <c r="I26" s="8">
        <f>SUMPRODUCT((raw!$A$2:$A$9876='2019-20_working'!$A$2)*(raw!$B$2:$B$9876='2019-20_working'!$A26)*(raw!$E$2:$E$9876='2019-20_working'!$B$6:$I$6)*(raw!$F$2:$F$9876='2019-20_working'!I$7)*(raw!$G$2:$G$9876))</f>
        <v>0</v>
      </c>
      <c r="K26" s="8">
        <f>SUMPRODUCT((raw!$A$2:$A$9876='2019-20_working'!$A$2)*(raw!$B$2:$B$9876='2019-20_working'!$A26)*(raw!$E$2:$E$9876='2019-20_working'!$K$6)*(raw!$F$2:$F$9876='2019-20_working'!K$7)*(raw!$G$2:$G$9876))</f>
        <v>63</v>
      </c>
      <c r="L26" s="8">
        <f>SUMPRODUCT((raw!$A$2:$A$9876='2019-20_working'!$A$2)*(raw!$B$2:$B$9876='2019-20_working'!$A26)*(raw!$E$2:$E$9876='2019-20_working'!$K$6)*(raw!$F$2:$F$9876='2019-20_working'!L$7)*(raw!$G$2:$G$9876))</f>
        <v>4</v>
      </c>
      <c r="M26" s="8">
        <f>SUMPRODUCT((raw!$A$2:$A$9876='2019-20_working'!$A$2)*(raw!$B$2:$B$9876='2019-20_working'!$A26)*(raw!$E$2:$E$9876='2019-20_working'!$K$6)*(raw!$F$2:$F$9876='2019-20_working'!M$7)*(raw!$G$2:$G$9876))</f>
        <v>0</v>
      </c>
      <c r="N26" s="8">
        <f>SUMPRODUCT((raw!$A$2:$A$9876='2019-20_working'!$A$2)*(raw!$B$2:$B$9876='2019-20_working'!$A26)*(raw!$E$2:$E$9876='2019-20_working'!$K$6)*(raw!$F$2:$F$9876='2019-20_working'!N$7)*(raw!$G$2:$G$9876))</f>
        <v>0</v>
      </c>
      <c r="O26" s="8">
        <f>SUMPRODUCT((raw!$A$2:$A$9876='2019-20_working'!$A$2)*(raw!$B$2:$B$9876='2019-20_working'!$A26)*(raw!$E$2:$E$9876='2019-20_working'!$K$6)*(raw!$F$2:$F$9876='2019-20_working'!O$7)*(raw!$G$2:$G$9876))</f>
        <v>1</v>
      </c>
      <c r="P26" s="8">
        <f>SUMPRODUCT((raw!$A$2:$A$9876='2019-20_working'!$A$2)*(raw!$B$2:$B$9876='2019-20_working'!$A26)*(raw!$E$2:$E$9876='2019-20_working'!$K$6)*(raw!$F$2:$F$9876='2019-20_working'!P$7)*(raw!$G$2:$G$9876))</f>
        <v>0</v>
      </c>
      <c r="Q26" s="8">
        <f>SUMPRODUCT((raw!$A$2:$A$9876='2019-20_working'!$A$2)*(raw!$B$2:$B$9876='2019-20_working'!$A26)*(raw!$E$2:$E$9876='2019-20_working'!$K$6)*(raw!$F$2:$F$9876='2019-20_working'!Q$7)*(raw!$G$2:$G$9876))</f>
        <v>1</v>
      </c>
      <c r="R26" s="8">
        <f>SUMPRODUCT((raw!$A$2:$A$9876='2019-20_working'!$A$2)*(raw!$B$2:$B$9876='2019-20_working'!$A26)*(raw!$E$2:$E$9876='2019-20_working'!$K$6)*(raw!$F$2:$F$9876='2019-20_working'!R$7)*(raw!$G$2:$G$9876))</f>
        <v>1</v>
      </c>
      <c r="T26" s="8">
        <f>SUMPRODUCT((raw!$A$2:$A$9876='2019-20_working'!$A$2)*(raw!$B$2:$B$9876='2019-20_working'!$A26)*(raw!$E$2:$E$9876='2019-20_working'!$T$6)*(raw!$F$2:$F$9876='2019-20_working'!T$7)*(raw!$G$2:$G$9876))</f>
        <v>2</v>
      </c>
      <c r="U26" s="8">
        <f>SUMPRODUCT((raw!$A$2:$A$9876='2019-20_working'!$A$2)*(raw!$B$2:$B$9876='2019-20_working'!$A26)*(raw!$E$2:$E$9876='2019-20_working'!$T$6)*(raw!$F$2:$F$9876='2019-20_working'!U$7)*(raw!$G$2:$G$9876))</f>
        <v>0</v>
      </c>
      <c r="V26" s="8">
        <f>SUMPRODUCT((raw!$A$2:$A$9876='2019-20_working'!$A$2)*(raw!$B$2:$B$9876='2019-20_working'!$A26)*(raw!$E$2:$E$9876='2019-20_working'!$T$6)*(raw!$F$2:$F$9876='2019-20_working'!V$7)*(raw!$G$2:$G$9876))</f>
        <v>0</v>
      </c>
      <c r="W26" s="8">
        <f>SUMPRODUCT((raw!$A$2:$A$9876='2019-20_working'!$A$2)*(raw!$B$2:$B$9876='2019-20_working'!$A26)*(raw!$E$2:$E$9876='2019-20_working'!$T$6)*(raw!$F$2:$F$9876='2019-20_working'!W$7)*(raw!$G$2:$G$9876))</f>
        <v>0</v>
      </c>
      <c r="X26" s="8">
        <f>SUMPRODUCT((raw!$A$2:$A$9876='2019-20_working'!$A$2)*(raw!$B$2:$B$9876='2019-20_working'!$A26)*(raw!$E$2:$E$9876='2019-20_working'!$T$6)*(raw!$F$2:$F$9876='2019-20_working'!X$7)*(raw!$G$2:$G$9876))</f>
        <v>0</v>
      </c>
      <c r="Y26" s="8">
        <f>SUMPRODUCT((raw!$A$2:$A$9876='2019-20_working'!$A$2)*(raw!$B$2:$B$9876='2019-20_working'!$A26)*(raw!$E$2:$E$9876='2019-20_working'!$T$6)*(raw!$F$2:$F$9876='2019-20_working'!Y$7)*(raw!$G$2:$G$9876))</f>
        <v>0</v>
      </c>
      <c r="Z26" s="8">
        <f>SUMPRODUCT((raw!$A$2:$A$9876='2019-20_working'!$A$2)*(raw!$B$2:$B$9876='2019-20_working'!$A26)*(raw!$E$2:$E$9876='2019-20_working'!$T$6)*(raw!$F$2:$F$9876='2019-20_working'!Z$7)*(raw!$G$2:$G$9876))</f>
        <v>0</v>
      </c>
      <c r="AA26" s="8">
        <f>SUMPRODUCT((raw!$A$2:$A$9876='2019-20_working'!$A$2)*(raw!$B$2:$B$9876='2019-20_working'!$A26)*(raw!$E$2:$E$9876='2019-20_working'!$T$6)*(raw!$F$2:$F$9876='2019-20_working'!AA$7)*(raw!$G$2:$G$9876))</f>
        <v>0</v>
      </c>
      <c r="AC26" s="8">
        <f>SUMPRODUCT((raw!$A$2:$A$9876='2019-20_working'!$A$2)*(raw!$B$2:$B$9876='2019-20_working'!$A26)*(raw!$E$2:$E$9876='2019-20_working'!$AC$6)*(raw!$F$2:$F$9876='2019-20_working'!AC$7)*(raw!$G$2:$G$9876))</f>
        <v>46</v>
      </c>
      <c r="AD26" s="8">
        <f>SUMPRODUCT((raw!$A$2:$A$9876='2019-20_working'!$A$2)*(raw!$B$2:$B$9876='2019-20_working'!$A26)*(raw!$E$2:$E$9876='2019-20_working'!$AC$6)*(raw!$F$2:$F$9876='2019-20_working'!AD$7)*(raw!$G$2:$G$9876))</f>
        <v>2</v>
      </c>
      <c r="AE26" s="8">
        <f>SUMPRODUCT((raw!$A$2:$A$9876='2019-20_working'!$A$2)*(raw!$B$2:$B$9876='2019-20_working'!$A26)*(raw!$E$2:$E$9876='2019-20_working'!$AC$6)*(raw!$F$2:$F$9876='2019-20_working'!AE$7)*(raw!$G$2:$G$9876))</f>
        <v>1</v>
      </c>
      <c r="AF26" s="8">
        <f>SUMPRODUCT((raw!$A$2:$A$9876='2019-20_working'!$A$2)*(raw!$B$2:$B$9876='2019-20_working'!$A26)*(raw!$E$2:$E$9876='2019-20_working'!$AC$6)*(raw!$F$2:$F$9876='2019-20_working'!AF$7)*(raw!$G$2:$G$9876))</f>
        <v>1</v>
      </c>
      <c r="AG26" s="8">
        <f>SUMPRODUCT((raw!$A$2:$A$9876='2019-20_working'!$A$2)*(raw!$B$2:$B$9876='2019-20_working'!$A26)*(raw!$E$2:$E$9876='2019-20_working'!$AC$6)*(raw!$F$2:$F$9876='2019-20_working'!AG$7)*(raw!$G$2:$G$9876))</f>
        <v>0</v>
      </c>
      <c r="AH26" s="8">
        <f>SUMPRODUCT((raw!$A$2:$A$9876='2019-20_working'!$A$2)*(raw!$B$2:$B$9876='2019-20_working'!$A26)*(raw!$E$2:$E$9876='2019-20_working'!$AC$6)*(raw!$F$2:$F$9876='2019-20_working'!AH$7)*(raw!$G$2:$G$9876))</f>
        <v>0</v>
      </c>
      <c r="AI26" s="8">
        <f>SUMPRODUCT((raw!$A$2:$A$9876='2019-20_working'!$A$2)*(raw!$B$2:$B$9876='2019-20_working'!$A26)*(raw!$E$2:$E$9876='2019-20_working'!$AC$6)*(raw!$F$2:$F$9876='2019-20_working'!AI$7)*(raw!$G$2:$G$9876))</f>
        <v>1</v>
      </c>
      <c r="AJ26" s="8">
        <f>SUMPRODUCT((raw!$A$2:$A$9876='2019-20_working'!$A$2)*(raw!$B$2:$B$9876='2019-20_working'!$A26)*(raw!$E$2:$E$9876='2019-20_working'!$AC$6)*(raw!$F$2:$F$9876='2019-20_working'!AJ$7)*(raw!$G$2:$G$9876))</f>
        <v>1</v>
      </c>
    </row>
    <row r="27" spans="1:36" x14ac:dyDescent="0.3">
      <c r="A27" s="8" t="s">
        <v>34</v>
      </c>
      <c r="B27" s="8">
        <f>SUMPRODUCT((raw!$A$2:$A$9876='2019-20_working'!$A$2)*(raw!$B$2:$B$9876='2019-20_working'!$A27)*(raw!$E$2:$E$9876='2019-20_working'!$B$6:$I$6)*(raw!$F$2:$F$9876='2019-20_working'!B$7)*(raw!$G$2:$G$9876))</f>
        <v>19</v>
      </c>
      <c r="C27" s="8">
        <f>SUMPRODUCT((raw!$A$2:$A$9876='2019-20_working'!$A$2)*(raw!$B$2:$B$9876='2019-20_working'!$A27)*(raw!$E$2:$E$9876='2019-20_working'!$B$6:$I$6)*(raw!$F$2:$F$9876='2019-20_working'!C$7)*(raw!$G$2:$G$9876))</f>
        <v>2</v>
      </c>
      <c r="D27" s="8">
        <f>SUMPRODUCT((raw!$A$2:$A$9876='2019-20_working'!$A$2)*(raw!$B$2:$B$9876='2019-20_working'!$A27)*(raw!$E$2:$E$9876='2019-20_working'!$B$6:$I$6)*(raw!$F$2:$F$9876='2019-20_working'!D$7)*(raw!$G$2:$G$9876))</f>
        <v>0</v>
      </c>
      <c r="E27" s="8">
        <f>SUMPRODUCT((raw!$A$2:$A$9876='2019-20_working'!$A$2)*(raw!$B$2:$B$9876='2019-20_working'!$A27)*(raw!$E$2:$E$9876='2019-20_working'!$B$6:$I$6)*(raw!$F$2:$F$9876='2019-20_working'!E$7)*(raw!$G$2:$G$9876))</f>
        <v>0</v>
      </c>
      <c r="F27" s="8">
        <f>SUMPRODUCT((raw!$A$2:$A$9876='2019-20_working'!$A$2)*(raw!$B$2:$B$9876='2019-20_working'!$A27)*(raw!$E$2:$E$9876='2019-20_working'!$B$6:$I$6)*(raw!$F$2:$F$9876='2019-20_working'!F$7)*(raw!$G$2:$G$9876))</f>
        <v>0</v>
      </c>
      <c r="G27" s="8">
        <f>SUMPRODUCT((raw!$A$2:$A$9876='2019-20_working'!$A$2)*(raw!$B$2:$B$9876='2019-20_working'!$A27)*(raw!$E$2:$E$9876='2019-20_working'!$B$6:$I$6)*(raw!$F$2:$F$9876='2019-20_working'!G$7)*(raw!$G$2:$G$9876))</f>
        <v>0</v>
      </c>
      <c r="H27" s="8">
        <f>SUMPRODUCT((raw!$A$2:$A$9876='2019-20_working'!$A$2)*(raw!$B$2:$B$9876='2019-20_working'!$A27)*(raw!$E$2:$E$9876='2019-20_working'!$B$6:$I$6)*(raw!$F$2:$F$9876='2019-20_working'!H$7)*(raw!$G$2:$G$9876))</f>
        <v>0</v>
      </c>
      <c r="I27" s="8">
        <f>SUMPRODUCT((raw!$A$2:$A$9876='2019-20_working'!$A$2)*(raw!$B$2:$B$9876='2019-20_working'!$A27)*(raw!$E$2:$E$9876='2019-20_working'!$B$6:$I$6)*(raw!$F$2:$F$9876='2019-20_working'!I$7)*(raw!$G$2:$G$9876))</f>
        <v>2</v>
      </c>
      <c r="K27" s="8">
        <f>SUMPRODUCT((raw!$A$2:$A$9876='2019-20_working'!$A$2)*(raw!$B$2:$B$9876='2019-20_working'!$A27)*(raw!$E$2:$E$9876='2019-20_working'!$K$6)*(raw!$F$2:$F$9876='2019-20_working'!K$7)*(raw!$G$2:$G$9876))</f>
        <v>36</v>
      </c>
      <c r="L27" s="8">
        <f>SUMPRODUCT((raw!$A$2:$A$9876='2019-20_working'!$A$2)*(raw!$B$2:$B$9876='2019-20_working'!$A27)*(raw!$E$2:$E$9876='2019-20_working'!$K$6)*(raw!$F$2:$F$9876='2019-20_working'!L$7)*(raw!$G$2:$G$9876))</f>
        <v>2</v>
      </c>
      <c r="M27" s="8">
        <f>SUMPRODUCT((raw!$A$2:$A$9876='2019-20_working'!$A$2)*(raw!$B$2:$B$9876='2019-20_working'!$A27)*(raw!$E$2:$E$9876='2019-20_working'!$K$6)*(raw!$F$2:$F$9876='2019-20_working'!M$7)*(raw!$G$2:$G$9876))</f>
        <v>1</v>
      </c>
      <c r="N27" s="8">
        <f>SUMPRODUCT((raw!$A$2:$A$9876='2019-20_working'!$A$2)*(raw!$B$2:$B$9876='2019-20_working'!$A27)*(raw!$E$2:$E$9876='2019-20_working'!$K$6)*(raw!$F$2:$F$9876='2019-20_working'!N$7)*(raw!$G$2:$G$9876))</f>
        <v>0</v>
      </c>
      <c r="O27" s="8">
        <f>SUMPRODUCT((raw!$A$2:$A$9876='2019-20_working'!$A$2)*(raw!$B$2:$B$9876='2019-20_working'!$A27)*(raw!$E$2:$E$9876='2019-20_working'!$K$6)*(raw!$F$2:$F$9876='2019-20_working'!O$7)*(raw!$G$2:$G$9876))</f>
        <v>0</v>
      </c>
      <c r="P27" s="8">
        <f>SUMPRODUCT((raw!$A$2:$A$9876='2019-20_working'!$A$2)*(raw!$B$2:$B$9876='2019-20_working'!$A27)*(raw!$E$2:$E$9876='2019-20_working'!$K$6)*(raw!$F$2:$F$9876='2019-20_working'!P$7)*(raw!$G$2:$G$9876))</f>
        <v>0</v>
      </c>
      <c r="Q27" s="8">
        <f>SUMPRODUCT((raw!$A$2:$A$9876='2019-20_working'!$A$2)*(raw!$B$2:$B$9876='2019-20_working'!$A27)*(raw!$E$2:$E$9876='2019-20_working'!$K$6)*(raw!$F$2:$F$9876='2019-20_working'!Q$7)*(raw!$G$2:$G$9876))</f>
        <v>1</v>
      </c>
      <c r="R27" s="8">
        <f>SUMPRODUCT((raw!$A$2:$A$9876='2019-20_working'!$A$2)*(raw!$B$2:$B$9876='2019-20_working'!$A27)*(raw!$E$2:$E$9876='2019-20_working'!$K$6)*(raw!$F$2:$F$9876='2019-20_working'!R$7)*(raw!$G$2:$G$9876))</f>
        <v>9</v>
      </c>
      <c r="T27" s="8">
        <f>SUMPRODUCT((raw!$A$2:$A$9876='2019-20_working'!$A$2)*(raw!$B$2:$B$9876='2019-20_working'!$A27)*(raw!$E$2:$E$9876='2019-20_working'!$T$6)*(raw!$F$2:$F$9876='2019-20_working'!T$7)*(raw!$G$2:$G$9876))</f>
        <v>0</v>
      </c>
      <c r="U27" s="8">
        <f>SUMPRODUCT((raw!$A$2:$A$9876='2019-20_working'!$A$2)*(raw!$B$2:$B$9876='2019-20_working'!$A27)*(raw!$E$2:$E$9876='2019-20_working'!$T$6)*(raw!$F$2:$F$9876='2019-20_working'!U$7)*(raw!$G$2:$G$9876))</f>
        <v>0</v>
      </c>
      <c r="V27" s="8">
        <f>SUMPRODUCT((raw!$A$2:$A$9876='2019-20_working'!$A$2)*(raw!$B$2:$B$9876='2019-20_working'!$A27)*(raw!$E$2:$E$9876='2019-20_working'!$T$6)*(raw!$F$2:$F$9876='2019-20_working'!V$7)*(raw!$G$2:$G$9876))</f>
        <v>0</v>
      </c>
      <c r="W27" s="8">
        <f>SUMPRODUCT((raw!$A$2:$A$9876='2019-20_working'!$A$2)*(raw!$B$2:$B$9876='2019-20_working'!$A27)*(raw!$E$2:$E$9876='2019-20_working'!$T$6)*(raw!$F$2:$F$9876='2019-20_working'!W$7)*(raw!$G$2:$G$9876))</f>
        <v>0</v>
      </c>
      <c r="X27" s="8">
        <f>SUMPRODUCT((raw!$A$2:$A$9876='2019-20_working'!$A$2)*(raw!$B$2:$B$9876='2019-20_working'!$A27)*(raw!$E$2:$E$9876='2019-20_working'!$T$6)*(raw!$F$2:$F$9876='2019-20_working'!X$7)*(raw!$G$2:$G$9876))</f>
        <v>0</v>
      </c>
      <c r="Y27" s="8">
        <f>SUMPRODUCT((raw!$A$2:$A$9876='2019-20_working'!$A$2)*(raw!$B$2:$B$9876='2019-20_working'!$A27)*(raw!$E$2:$E$9876='2019-20_working'!$T$6)*(raw!$F$2:$F$9876='2019-20_working'!Y$7)*(raw!$G$2:$G$9876))</f>
        <v>0</v>
      </c>
      <c r="Z27" s="8">
        <f>SUMPRODUCT((raw!$A$2:$A$9876='2019-20_working'!$A$2)*(raw!$B$2:$B$9876='2019-20_working'!$A27)*(raw!$E$2:$E$9876='2019-20_working'!$T$6)*(raw!$F$2:$F$9876='2019-20_working'!Z$7)*(raw!$G$2:$G$9876))</f>
        <v>0</v>
      </c>
      <c r="AA27" s="8">
        <f>SUMPRODUCT((raw!$A$2:$A$9876='2019-20_working'!$A$2)*(raw!$B$2:$B$9876='2019-20_working'!$A27)*(raw!$E$2:$E$9876='2019-20_working'!$T$6)*(raw!$F$2:$F$9876='2019-20_working'!AA$7)*(raw!$G$2:$G$9876))</f>
        <v>0</v>
      </c>
      <c r="AC27" s="8">
        <f>SUMPRODUCT((raw!$A$2:$A$9876='2019-20_working'!$A$2)*(raw!$B$2:$B$9876='2019-20_working'!$A27)*(raw!$E$2:$E$9876='2019-20_working'!$AC$6)*(raw!$F$2:$F$9876='2019-20_working'!AC$7)*(raw!$G$2:$G$9876))</f>
        <v>11</v>
      </c>
      <c r="AD27" s="8">
        <f>SUMPRODUCT((raw!$A$2:$A$9876='2019-20_working'!$A$2)*(raw!$B$2:$B$9876='2019-20_working'!$A27)*(raw!$E$2:$E$9876='2019-20_working'!$AC$6)*(raw!$F$2:$F$9876='2019-20_working'!AD$7)*(raw!$G$2:$G$9876))</f>
        <v>9</v>
      </c>
      <c r="AE27" s="8">
        <f>SUMPRODUCT((raw!$A$2:$A$9876='2019-20_working'!$A$2)*(raw!$B$2:$B$9876='2019-20_working'!$A27)*(raw!$E$2:$E$9876='2019-20_working'!$AC$6)*(raw!$F$2:$F$9876='2019-20_working'!AE$7)*(raw!$G$2:$G$9876))</f>
        <v>0</v>
      </c>
      <c r="AF27" s="8">
        <f>SUMPRODUCT((raw!$A$2:$A$9876='2019-20_working'!$A$2)*(raw!$B$2:$B$9876='2019-20_working'!$A27)*(raw!$E$2:$E$9876='2019-20_working'!$AC$6)*(raw!$F$2:$F$9876='2019-20_working'!AF$7)*(raw!$G$2:$G$9876))</f>
        <v>0</v>
      </c>
      <c r="AG27" s="8">
        <f>SUMPRODUCT((raw!$A$2:$A$9876='2019-20_working'!$A$2)*(raw!$B$2:$B$9876='2019-20_working'!$A27)*(raw!$E$2:$E$9876='2019-20_working'!$AC$6)*(raw!$F$2:$F$9876='2019-20_working'!AG$7)*(raw!$G$2:$G$9876))</f>
        <v>0</v>
      </c>
      <c r="AH27" s="8">
        <f>SUMPRODUCT((raw!$A$2:$A$9876='2019-20_working'!$A$2)*(raw!$B$2:$B$9876='2019-20_working'!$A27)*(raw!$E$2:$E$9876='2019-20_working'!$AC$6)*(raw!$F$2:$F$9876='2019-20_working'!AH$7)*(raw!$G$2:$G$9876))</f>
        <v>0</v>
      </c>
      <c r="AI27" s="8">
        <f>SUMPRODUCT((raw!$A$2:$A$9876='2019-20_working'!$A$2)*(raw!$B$2:$B$9876='2019-20_working'!$A27)*(raw!$E$2:$E$9876='2019-20_working'!$AC$6)*(raw!$F$2:$F$9876='2019-20_working'!AI$7)*(raw!$G$2:$G$9876))</f>
        <v>0</v>
      </c>
      <c r="AJ27" s="8">
        <f>SUMPRODUCT((raw!$A$2:$A$9876='2019-20_working'!$A$2)*(raw!$B$2:$B$9876='2019-20_working'!$A27)*(raw!$E$2:$E$9876='2019-20_working'!$AC$6)*(raw!$F$2:$F$9876='2019-20_working'!AJ$7)*(raw!$G$2:$G$9876))</f>
        <v>9</v>
      </c>
    </row>
    <row r="28" spans="1:36" x14ac:dyDescent="0.3">
      <c r="A28" s="8" t="s">
        <v>35</v>
      </c>
      <c r="B28" s="8">
        <f>SUMPRODUCT((raw!$A$2:$A$9876='2019-20_working'!$A$2)*(raw!$B$2:$B$9876='2019-20_working'!$A28)*(raw!$E$2:$E$9876='2019-20_working'!$B$6:$I$6)*(raw!$F$2:$F$9876='2019-20_working'!B$7)*(raw!$G$2:$G$9876))</f>
        <v>64</v>
      </c>
      <c r="C28" s="8">
        <f>SUMPRODUCT((raw!$A$2:$A$9876='2019-20_working'!$A$2)*(raw!$B$2:$B$9876='2019-20_working'!$A28)*(raw!$E$2:$E$9876='2019-20_working'!$B$6:$I$6)*(raw!$F$2:$F$9876='2019-20_working'!C$7)*(raw!$G$2:$G$9876))</f>
        <v>2</v>
      </c>
      <c r="D28" s="8">
        <f>SUMPRODUCT((raw!$A$2:$A$9876='2019-20_working'!$A$2)*(raw!$B$2:$B$9876='2019-20_working'!$A28)*(raw!$E$2:$E$9876='2019-20_working'!$B$6:$I$6)*(raw!$F$2:$F$9876='2019-20_working'!D$7)*(raw!$G$2:$G$9876))</f>
        <v>6</v>
      </c>
      <c r="E28" s="8">
        <f>SUMPRODUCT((raw!$A$2:$A$9876='2019-20_working'!$A$2)*(raw!$B$2:$B$9876='2019-20_working'!$A28)*(raw!$E$2:$E$9876='2019-20_working'!$B$6:$I$6)*(raw!$F$2:$F$9876='2019-20_working'!E$7)*(raw!$G$2:$G$9876))</f>
        <v>0</v>
      </c>
      <c r="F28" s="8">
        <f>SUMPRODUCT((raw!$A$2:$A$9876='2019-20_working'!$A$2)*(raw!$B$2:$B$9876='2019-20_working'!$A28)*(raw!$E$2:$E$9876='2019-20_working'!$B$6:$I$6)*(raw!$F$2:$F$9876='2019-20_working'!F$7)*(raw!$G$2:$G$9876))</f>
        <v>2</v>
      </c>
      <c r="G28" s="8">
        <f>SUMPRODUCT((raw!$A$2:$A$9876='2019-20_working'!$A$2)*(raw!$B$2:$B$9876='2019-20_working'!$A28)*(raw!$E$2:$E$9876='2019-20_working'!$B$6:$I$6)*(raw!$F$2:$F$9876='2019-20_working'!G$7)*(raw!$G$2:$G$9876))</f>
        <v>0</v>
      </c>
      <c r="H28" s="8">
        <f>SUMPRODUCT((raw!$A$2:$A$9876='2019-20_working'!$A$2)*(raw!$B$2:$B$9876='2019-20_working'!$A28)*(raw!$E$2:$E$9876='2019-20_working'!$B$6:$I$6)*(raw!$F$2:$F$9876='2019-20_working'!H$7)*(raw!$G$2:$G$9876))</f>
        <v>0</v>
      </c>
      <c r="I28" s="8">
        <f>SUMPRODUCT((raw!$A$2:$A$9876='2019-20_working'!$A$2)*(raw!$B$2:$B$9876='2019-20_working'!$A28)*(raw!$E$2:$E$9876='2019-20_working'!$B$6:$I$6)*(raw!$F$2:$F$9876='2019-20_working'!I$7)*(raw!$G$2:$G$9876))</f>
        <v>0</v>
      </c>
      <c r="K28" s="8">
        <f>SUMPRODUCT((raw!$A$2:$A$9876='2019-20_working'!$A$2)*(raw!$B$2:$B$9876='2019-20_working'!$A28)*(raw!$E$2:$E$9876='2019-20_working'!$K$6)*(raw!$F$2:$F$9876='2019-20_working'!K$7)*(raw!$G$2:$G$9876))</f>
        <v>22</v>
      </c>
      <c r="L28" s="8">
        <f>SUMPRODUCT((raw!$A$2:$A$9876='2019-20_working'!$A$2)*(raw!$B$2:$B$9876='2019-20_working'!$A28)*(raw!$E$2:$E$9876='2019-20_working'!$K$6)*(raw!$F$2:$F$9876='2019-20_working'!L$7)*(raw!$G$2:$G$9876))</f>
        <v>0</v>
      </c>
      <c r="M28" s="8">
        <f>SUMPRODUCT((raw!$A$2:$A$9876='2019-20_working'!$A$2)*(raw!$B$2:$B$9876='2019-20_working'!$A28)*(raw!$E$2:$E$9876='2019-20_working'!$K$6)*(raw!$F$2:$F$9876='2019-20_working'!M$7)*(raw!$G$2:$G$9876))</f>
        <v>0</v>
      </c>
      <c r="N28" s="8">
        <f>SUMPRODUCT((raw!$A$2:$A$9876='2019-20_working'!$A$2)*(raw!$B$2:$B$9876='2019-20_working'!$A28)*(raw!$E$2:$E$9876='2019-20_working'!$K$6)*(raw!$F$2:$F$9876='2019-20_working'!N$7)*(raw!$G$2:$G$9876))</f>
        <v>0</v>
      </c>
      <c r="O28" s="8">
        <f>SUMPRODUCT((raw!$A$2:$A$9876='2019-20_working'!$A$2)*(raw!$B$2:$B$9876='2019-20_working'!$A28)*(raw!$E$2:$E$9876='2019-20_working'!$K$6)*(raw!$F$2:$F$9876='2019-20_working'!O$7)*(raw!$G$2:$G$9876))</f>
        <v>0</v>
      </c>
      <c r="P28" s="8">
        <f>SUMPRODUCT((raw!$A$2:$A$9876='2019-20_working'!$A$2)*(raw!$B$2:$B$9876='2019-20_working'!$A28)*(raw!$E$2:$E$9876='2019-20_working'!$K$6)*(raw!$F$2:$F$9876='2019-20_working'!P$7)*(raw!$G$2:$G$9876))</f>
        <v>0</v>
      </c>
      <c r="Q28" s="8">
        <f>SUMPRODUCT((raw!$A$2:$A$9876='2019-20_working'!$A$2)*(raw!$B$2:$B$9876='2019-20_working'!$A28)*(raw!$E$2:$E$9876='2019-20_working'!$K$6)*(raw!$F$2:$F$9876='2019-20_working'!Q$7)*(raw!$G$2:$G$9876))</f>
        <v>0</v>
      </c>
      <c r="R28" s="8">
        <f>SUMPRODUCT((raw!$A$2:$A$9876='2019-20_working'!$A$2)*(raw!$B$2:$B$9876='2019-20_working'!$A28)*(raw!$E$2:$E$9876='2019-20_working'!$K$6)*(raw!$F$2:$F$9876='2019-20_working'!R$7)*(raw!$G$2:$G$9876))</f>
        <v>0</v>
      </c>
      <c r="T28" s="8">
        <f>SUMPRODUCT((raw!$A$2:$A$9876='2019-20_working'!$A$2)*(raw!$B$2:$B$9876='2019-20_working'!$A28)*(raw!$E$2:$E$9876='2019-20_working'!$T$6)*(raw!$F$2:$F$9876='2019-20_working'!T$7)*(raw!$G$2:$G$9876))</f>
        <v>7</v>
      </c>
      <c r="U28" s="8">
        <f>SUMPRODUCT((raw!$A$2:$A$9876='2019-20_working'!$A$2)*(raw!$B$2:$B$9876='2019-20_working'!$A28)*(raw!$E$2:$E$9876='2019-20_working'!$T$6)*(raw!$F$2:$F$9876='2019-20_working'!U$7)*(raw!$G$2:$G$9876))</f>
        <v>0</v>
      </c>
      <c r="V28" s="8">
        <f>SUMPRODUCT((raw!$A$2:$A$9876='2019-20_working'!$A$2)*(raw!$B$2:$B$9876='2019-20_working'!$A28)*(raw!$E$2:$E$9876='2019-20_working'!$T$6)*(raw!$F$2:$F$9876='2019-20_working'!V$7)*(raw!$G$2:$G$9876))</f>
        <v>0</v>
      </c>
      <c r="W28" s="8">
        <f>SUMPRODUCT((raw!$A$2:$A$9876='2019-20_working'!$A$2)*(raw!$B$2:$B$9876='2019-20_working'!$A28)*(raw!$E$2:$E$9876='2019-20_working'!$T$6)*(raw!$F$2:$F$9876='2019-20_working'!W$7)*(raw!$G$2:$G$9876))</f>
        <v>0</v>
      </c>
      <c r="X28" s="8">
        <f>SUMPRODUCT((raw!$A$2:$A$9876='2019-20_working'!$A$2)*(raw!$B$2:$B$9876='2019-20_working'!$A28)*(raw!$E$2:$E$9876='2019-20_working'!$T$6)*(raw!$F$2:$F$9876='2019-20_working'!X$7)*(raw!$G$2:$G$9876))</f>
        <v>0</v>
      </c>
      <c r="Y28" s="8">
        <f>SUMPRODUCT((raw!$A$2:$A$9876='2019-20_working'!$A$2)*(raw!$B$2:$B$9876='2019-20_working'!$A28)*(raw!$E$2:$E$9876='2019-20_working'!$T$6)*(raw!$F$2:$F$9876='2019-20_working'!Y$7)*(raw!$G$2:$G$9876))</f>
        <v>0</v>
      </c>
      <c r="Z28" s="8">
        <f>SUMPRODUCT((raw!$A$2:$A$9876='2019-20_working'!$A$2)*(raw!$B$2:$B$9876='2019-20_working'!$A28)*(raw!$E$2:$E$9876='2019-20_working'!$T$6)*(raw!$F$2:$F$9876='2019-20_working'!Z$7)*(raw!$G$2:$G$9876))</f>
        <v>0</v>
      </c>
      <c r="AA28" s="8">
        <f>SUMPRODUCT((raw!$A$2:$A$9876='2019-20_working'!$A$2)*(raw!$B$2:$B$9876='2019-20_working'!$A28)*(raw!$E$2:$E$9876='2019-20_working'!$T$6)*(raw!$F$2:$F$9876='2019-20_working'!AA$7)*(raw!$G$2:$G$9876))</f>
        <v>2</v>
      </c>
      <c r="AC28" s="8">
        <f>SUMPRODUCT((raw!$A$2:$A$9876='2019-20_working'!$A$2)*(raw!$B$2:$B$9876='2019-20_working'!$A28)*(raw!$E$2:$E$9876='2019-20_working'!$AC$6)*(raw!$F$2:$F$9876='2019-20_working'!AC$7)*(raw!$G$2:$G$9876))</f>
        <v>24</v>
      </c>
      <c r="AD28" s="8">
        <f>SUMPRODUCT((raw!$A$2:$A$9876='2019-20_working'!$A$2)*(raw!$B$2:$B$9876='2019-20_working'!$A28)*(raw!$E$2:$E$9876='2019-20_working'!$AC$6)*(raw!$F$2:$F$9876='2019-20_working'!AD$7)*(raw!$G$2:$G$9876))</f>
        <v>0</v>
      </c>
      <c r="AE28" s="8">
        <f>SUMPRODUCT((raw!$A$2:$A$9876='2019-20_working'!$A$2)*(raw!$B$2:$B$9876='2019-20_working'!$A28)*(raw!$E$2:$E$9876='2019-20_working'!$AC$6)*(raw!$F$2:$F$9876='2019-20_working'!AE$7)*(raw!$G$2:$G$9876))</f>
        <v>0</v>
      </c>
      <c r="AF28" s="8">
        <f>SUMPRODUCT((raw!$A$2:$A$9876='2019-20_working'!$A$2)*(raw!$B$2:$B$9876='2019-20_working'!$A28)*(raw!$E$2:$E$9876='2019-20_working'!$AC$6)*(raw!$F$2:$F$9876='2019-20_working'!AF$7)*(raw!$G$2:$G$9876))</f>
        <v>1</v>
      </c>
      <c r="AG28" s="8">
        <f>SUMPRODUCT((raw!$A$2:$A$9876='2019-20_working'!$A$2)*(raw!$B$2:$B$9876='2019-20_working'!$A28)*(raw!$E$2:$E$9876='2019-20_working'!$AC$6)*(raw!$F$2:$F$9876='2019-20_working'!AG$7)*(raw!$G$2:$G$9876))</f>
        <v>1</v>
      </c>
      <c r="AH28" s="8">
        <f>SUMPRODUCT((raw!$A$2:$A$9876='2019-20_working'!$A$2)*(raw!$B$2:$B$9876='2019-20_working'!$A28)*(raw!$E$2:$E$9876='2019-20_working'!$AC$6)*(raw!$F$2:$F$9876='2019-20_working'!AH$7)*(raw!$G$2:$G$9876))</f>
        <v>0</v>
      </c>
      <c r="AI28" s="8">
        <f>SUMPRODUCT((raw!$A$2:$A$9876='2019-20_working'!$A$2)*(raw!$B$2:$B$9876='2019-20_working'!$A28)*(raw!$E$2:$E$9876='2019-20_working'!$AC$6)*(raw!$F$2:$F$9876='2019-20_working'!AI$7)*(raw!$G$2:$G$9876))</f>
        <v>0</v>
      </c>
      <c r="AJ28" s="8">
        <f>SUMPRODUCT((raw!$A$2:$A$9876='2019-20_working'!$A$2)*(raw!$B$2:$B$9876='2019-20_working'!$A28)*(raw!$E$2:$E$9876='2019-20_working'!$AC$6)*(raw!$F$2:$F$9876='2019-20_working'!AJ$7)*(raw!$G$2:$G$9876))</f>
        <v>1</v>
      </c>
    </row>
    <row r="29" spans="1:36" x14ac:dyDescent="0.3">
      <c r="A29" s="8" t="s">
        <v>36</v>
      </c>
      <c r="B29" s="8">
        <f>SUMPRODUCT((raw!$A$2:$A$9876='2019-20_working'!$A$2)*(raw!$B$2:$B$9876='2019-20_working'!$A29)*(raw!$E$2:$E$9876='2019-20_working'!$B$6:$I$6)*(raw!$F$2:$F$9876='2019-20_working'!B$7)*(raw!$G$2:$G$9876))</f>
        <v>0</v>
      </c>
      <c r="C29" s="8">
        <f>SUMPRODUCT((raw!$A$2:$A$9876='2019-20_working'!$A$2)*(raw!$B$2:$B$9876='2019-20_working'!$A29)*(raw!$E$2:$E$9876='2019-20_working'!$B$6:$I$6)*(raw!$F$2:$F$9876='2019-20_working'!C$7)*(raw!$G$2:$G$9876))</f>
        <v>0</v>
      </c>
      <c r="D29" s="8">
        <f>SUMPRODUCT((raw!$A$2:$A$9876='2019-20_working'!$A$2)*(raw!$B$2:$B$9876='2019-20_working'!$A29)*(raw!$E$2:$E$9876='2019-20_working'!$B$6:$I$6)*(raw!$F$2:$F$9876='2019-20_working'!D$7)*(raw!$G$2:$G$9876))</f>
        <v>0</v>
      </c>
      <c r="E29" s="8">
        <f>SUMPRODUCT((raw!$A$2:$A$9876='2019-20_working'!$A$2)*(raw!$B$2:$B$9876='2019-20_working'!$A29)*(raw!$E$2:$E$9876='2019-20_working'!$B$6:$I$6)*(raw!$F$2:$F$9876='2019-20_working'!E$7)*(raw!$G$2:$G$9876))</f>
        <v>0</v>
      </c>
      <c r="F29" s="8">
        <f>SUMPRODUCT((raw!$A$2:$A$9876='2019-20_working'!$A$2)*(raw!$B$2:$B$9876='2019-20_working'!$A29)*(raw!$E$2:$E$9876='2019-20_working'!$B$6:$I$6)*(raw!$F$2:$F$9876='2019-20_working'!F$7)*(raw!$G$2:$G$9876))</f>
        <v>0</v>
      </c>
      <c r="G29" s="8">
        <f>SUMPRODUCT((raw!$A$2:$A$9876='2019-20_working'!$A$2)*(raw!$B$2:$B$9876='2019-20_working'!$A29)*(raw!$E$2:$E$9876='2019-20_working'!$B$6:$I$6)*(raw!$F$2:$F$9876='2019-20_working'!G$7)*(raw!$G$2:$G$9876))</f>
        <v>0</v>
      </c>
      <c r="H29" s="8">
        <f>SUMPRODUCT((raw!$A$2:$A$9876='2019-20_working'!$A$2)*(raw!$B$2:$B$9876='2019-20_working'!$A29)*(raw!$E$2:$E$9876='2019-20_working'!$B$6:$I$6)*(raw!$F$2:$F$9876='2019-20_working'!H$7)*(raw!$G$2:$G$9876))</f>
        <v>0</v>
      </c>
      <c r="I29" s="8">
        <f>SUMPRODUCT((raw!$A$2:$A$9876='2019-20_working'!$A$2)*(raw!$B$2:$B$9876='2019-20_working'!$A29)*(raw!$E$2:$E$9876='2019-20_working'!$B$6:$I$6)*(raw!$F$2:$F$9876='2019-20_working'!I$7)*(raw!$G$2:$G$9876))</f>
        <v>0</v>
      </c>
      <c r="K29" s="8">
        <f>SUMPRODUCT((raw!$A$2:$A$9876='2019-20_working'!$A$2)*(raw!$B$2:$B$9876='2019-20_working'!$A29)*(raw!$E$2:$E$9876='2019-20_working'!$K$6)*(raw!$F$2:$F$9876='2019-20_working'!K$7)*(raw!$G$2:$G$9876))</f>
        <v>23</v>
      </c>
      <c r="L29" s="8">
        <f>SUMPRODUCT((raw!$A$2:$A$9876='2019-20_working'!$A$2)*(raw!$B$2:$B$9876='2019-20_working'!$A29)*(raw!$E$2:$E$9876='2019-20_working'!$K$6)*(raw!$F$2:$F$9876='2019-20_working'!L$7)*(raw!$G$2:$G$9876))</f>
        <v>2</v>
      </c>
      <c r="M29" s="8">
        <f>SUMPRODUCT((raw!$A$2:$A$9876='2019-20_working'!$A$2)*(raw!$B$2:$B$9876='2019-20_working'!$A29)*(raw!$E$2:$E$9876='2019-20_working'!$K$6)*(raw!$F$2:$F$9876='2019-20_working'!M$7)*(raw!$G$2:$G$9876))</f>
        <v>1</v>
      </c>
      <c r="N29" s="8">
        <f>SUMPRODUCT((raw!$A$2:$A$9876='2019-20_working'!$A$2)*(raw!$B$2:$B$9876='2019-20_working'!$A29)*(raw!$E$2:$E$9876='2019-20_working'!$K$6)*(raw!$F$2:$F$9876='2019-20_working'!N$7)*(raw!$G$2:$G$9876))</f>
        <v>0</v>
      </c>
      <c r="O29" s="8">
        <f>SUMPRODUCT((raw!$A$2:$A$9876='2019-20_working'!$A$2)*(raw!$B$2:$B$9876='2019-20_working'!$A29)*(raw!$E$2:$E$9876='2019-20_working'!$K$6)*(raw!$F$2:$F$9876='2019-20_working'!O$7)*(raw!$G$2:$G$9876))</f>
        <v>0</v>
      </c>
      <c r="P29" s="8">
        <f>SUMPRODUCT((raw!$A$2:$A$9876='2019-20_working'!$A$2)*(raw!$B$2:$B$9876='2019-20_working'!$A29)*(raw!$E$2:$E$9876='2019-20_working'!$K$6)*(raw!$F$2:$F$9876='2019-20_working'!P$7)*(raw!$G$2:$G$9876))</f>
        <v>0</v>
      </c>
      <c r="Q29" s="8">
        <f>SUMPRODUCT((raw!$A$2:$A$9876='2019-20_working'!$A$2)*(raw!$B$2:$B$9876='2019-20_working'!$A29)*(raw!$E$2:$E$9876='2019-20_working'!$K$6)*(raw!$F$2:$F$9876='2019-20_working'!Q$7)*(raw!$G$2:$G$9876))</f>
        <v>0</v>
      </c>
      <c r="R29" s="8">
        <f>SUMPRODUCT((raw!$A$2:$A$9876='2019-20_working'!$A$2)*(raw!$B$2:$B$9876='2019-20_working'!$A29)*(raw!$E$2:$E$9876='2019-20_working'!$K$6)*(raw!$F$2:$F$9876='2019-20_working'!R$7)*(raw!$G$2:$G$9876))</f>
        <v>0</v>
      </c>
      <c r="T29" s="8">
        <f>SUMPRODUCT((raw!$A$2:$A$9876='2019-20_working'!$A$2)*(raw!$B$2:$B$9876='2019-20_working'!$A29)*(raw!$E$2:$E$9876='2019-20_working'!$T$6)*(raw!$F$2:$F$9876='2019-20_working'!T$7)*(raw!$G$2:$G$9876))</f>
        <v>2</v>
      </c>
      <c r="U29" s="8">
        <f>SUMPRODUCT((raw!$A$2:$A$9876='2019-20_working'!$A$2)*(raw!$B$2:$B$9876='2019-20_working'!$A29)*(raw!$E$2:$E$9876='2019-20_working'!$T$6)*(raw!$F$2:$F$9876='2019-20_working'!U$7)*(raw!$G$2:$G$9876))</f>
        <v>0</v>
      </c>
      <c r="V29" s="8">
        <f>SUMPRODUCT((raw!$A$2:$A$9876='2019-20_working'!$A$2)*(raw!$B$2:$B$9876='2019-20_working'!$A29)*(raw!$E$2:$E$9876='2019-20_working'!$T$6)*(raw!$F$2:$F$9876='2019-20_working'!V$7)*(raw!$G$2:$G$9876))</f>
        <v>0</v>
      </c>
      <c r="W29" s="8">
        <f>SUMPRODUCT((raw!$A$2:$A$9876='2019-20_working'!$A$2)*(raw!$B$2:$B$9876='2019-20_working'!$A29)*(raw!$E$2:$E$9876='2019-20_working'!$T$6)*(raw!$F$2:$F$9876='2019-20_working'!W$7)*(raw!$G$2:$G$9876))</f>
        <v>0</v>
      </c>
      <c r="X29" s="8">
        <f>SUMPRODUCT((raw!$A$2:$A$9876='2019-20_working'!$A$2)*(raw!$B$2:$B$9876='2019-20_working'!$A29)*(raw!$E$2:$E$9876='2019-20_working'!$T$6)*(raw!$F$2:$F$9876='2019-20_working'!X$7)*(raw!$G$2:$G$9876))</f>
        <v>0</v>
      </c>
      <c r="Y29" s="8">
        <f>SUMPRODUCT((raw!$A$2:$A$9876='2019-20_working'!$A$2)*(raw!$B$2:$B$9876='2019-20_working'!$A29)*(raw!$E$2:$E$9876='2019-20_working'!$T$6)*(raw!$F$2:$F$9876='2019-20_working'!Y$7)*(raw!$G$2:$G$9876))</f>
        <v>0</v>
      </c>
      <c r="Z29" s="8">
        <f>SUMPRODUCT((raw!$A$2:$A$9876='2019-20_working'!$A$2)*(raw!$B$2:$B$9876='2019-20_working'!$A29)*(raw!$E$2:$E$9876='2019-20_working'!$T$6)*(raw!$F$2:$F$9876='2019-20_working'!Z$7)*(raw!$G$2:$G$9876))</f>
        <v>0</v>
      </c>
      <c r="AA29" s="8">
        <f>SUMPRODUCT((raw!$A$2:$A$9876='2019-20_working'!$A$2)*(raw!$B$2:$B$9876='2019-20_working'!$A29)*(raw!$E$2:$E$9876='2019-20_working'!$T$6)*(raw!$F$2:$F$9876='2019-20_working'!AA$7)*(raw!$G$2:$G$9876))</f>
        <v>0</v>
      </c>
      <c r="AC29" s="8">
        <f>SUMPRODUCT((raw!$A$2:$A$9876='2019-20_working'!$A$2)*(raw!$B$2:$B$9876='2019-20_working'!$A29)*(raw!$E$2:$E$9876='2019-20_working'!$AC$6)*(raw!$F$2:$F$9876='2019-20_working'!AC$7)*(raw!$G$2:$G$9876))</f>
        <v>16</v>
      </c>
      <c r="AD29" s="8">
        <f>SUMPRODUCT((raw!$A$2:$A$9876='2019-20_working'!$A$2)*(raw!$B$2:$B$9876='2019-20_working'!$A29)*(raw!$E$2:$E$9876='2019-20_working'!$AC$6)*(raw!$F$2:$F$9876='2019-20_working'!AD$7)*(raw!$G$2:$G$9876))</f>
        <v>0</v>
      </c>
      <c r="AE29" s="8">
        <f>SUMPRODUCT((raw!$A$2:$A$9876='2019-20_working'!$A$2)*(raw!$B$2:$B$9876='2019-20_working'!$A29)*(raw!$E$2:$E$9876='2019-20_working'!$AC$6)*(raw!$F$2:$F$9876='2019-20_working'!AE$7)*(raw!$G$2:$G$9876))</f>
        <v>0</v>
      </c>
      <c r="AF29" s="8">
        <f>SUMPRODUCT((raw!$A$2:$A$9876='2019-20_working'!$A$2)*(raw!$B$2:$B$9876='2019-20_working'!$A29)*(raw!$E$2:$E$9876='2019-20_working'!$AC$6)*(raw!$F$2:$F$9876='2019-20_working'!AF$7)*(raw!$G$2:$G$9876))</f>
        <v>0</v>
      </c>
      <c r="AG29" s="8">
        <f>SUMPRODUCT((raw!$A$2:$A$9876='2019-20_working'!$A$2)*(raw!$B$2:$B$9876='2019-20_working'!$A29)*(raw!$E$2:$E$9876='2019-20_working'!$AC$6)*(raw!$F$2:$F$9876='2019-20_working'!AG$7)*(raw!$G$2:$G$9876))</f>
        <v>0</v>
      </c>
      <c r="AH29" s="8">
        <f>SUMPRODUCT((raw!$A$2:$A$9876='2019-20_working'!$A$2)*(raw!$B$2:$B$9876='2019-20_working'!$A29)*(raw!$E$2:$E$9876='2019-20_working'!$AC$6)*(raw!$F$2:$F$9876='2019-20_working'!AH$7)*(raw!$G$2:$G$9876))</f>
        <v>0</v>
      </c>
      <c r="AI29" s="8">
        <f>SUMPRODUCT((raw!$A$2:$A$9876='2019-20_working'!$A$2)*(raw!$B$2:$B$9876='2019-20_working'!$A29)*(raw!$E$2:$E$9876='2019-20_working'!$AC$6)*(raw!$F$2:$F$9876='2019-20_working'!AI$7)*(raw!$G$2:$G$9876))</f>
        <v>0</v>
      </c>
      <c r="AJ29" s="8">
        <f>SUMPRODUCT((raw!$A$2:$A$9876='2019-20_working'!$A$2)*(raw!$B$2:$B$9876='2019-20_working'!$A29)*(raw!$E$2:$E$9876='2019-20_working'!$AC$6)*(raw!$F$2:$F$9876='2019-20_working'!AJ$7)*(raw!$G$2:$G$9876))</f>
        <v>0</v>
      </c>
    </row>
    <row r="30" spans="1:36" x14ac:dyDescent="0.3">
      <c r="A30" s="8" t="s">
        <v>37</v>
      </c>
      <c r="B30" s="8">
        <f>SUMPRODUCT((raw!$A$2:$A$9876='2019-20_working'!$A$2)*(raw!$B$2:$B$9876='2019-20_working'!$A30)*(raw!$E$2:$E$9876='2019-20_working'!$B$6:$I$6)*(raw!$F$2:$F$9876='2019-20_working'!B$7)*(raw!$G$2:$G$9876))</f>
        <v>0</v>
      </c>
      <c r="C30" s="8">
        <f>SUMPRODUCT((raw!$A$2:$A$9876='2019-20_working'!$A$2)*(raw!$B$2:$B$9876='2019-20_working'!$A30)*(raw!$E$2:$E$9876='2019-20_working'!$B$6:$I$6)*(raw!$F$2:$F$9876='2019-20_working'!C$7)*(raw!$G$2:$G$9876))</f>
        <v>0</v>
      </c>
      <c r="D30" s="8">
        <f>SUMPRODUCT((raw!$A$2:$A$9876='2019-20_working'!$A$2)*(raw!$B$2:$B$9876='2019-20_working'!$A30)*(raw!$E$2:$E$9876='2019-20_working'!$B$6:$I$6)*(raw!$F$2:$F$9876='2019-20_working'!D$7)*(raw!$G$2:$G$9876))</f>
        <v>0</v>
      </c>
      <c r="E30" s="8">
        <f>SUMPRODUCT((raw!$A$2:$A$9876='2019-20_working'!$A$2)*(raw!$B$2:$B$9876='2019-20_working'!$A30)*(raw!$E$2:$E$9876='2019-20_working'!$B$6:$I$6)*(raw!$F$2:$F$9876='2019-20_working'!E$7)*(raw!$G$2:$G$9876))</f>
        <v>0</v>
      </c>
      <c r="F30" s="8">
        <f>SUMPRODUCT((raw!$A$2:$A$9876='2019-20_working'!$A$2)*(raw!$B$2:$B$9876='2019-20_working'!$A30)*(raw!$E$2:$E$9876='2019-20_working'!$B$6:$I$6)*(raw!$F$2:$F$9876='2019-20_working'!F$7)*(raw!$G$2:$G$9876))</f>
        <v>0</v>
      </c>
      <c r="G30" s="8">
        <f>SUMPRODUCT((raw!$A$2:$A$9876='2019-20_working'!$A$2)*(raw!$B$2:$B$9876='2019-20_working'!$A30)*(raw!$E$2:$E$9876='2019-20_working'!$B$6:$I$6)*(raw!$F$2:$F$9876='2019-20_working'!G$7)*(raw!$G$2:$G$9876))</f>
        <v>0</v>
      </c>
      <c r="H30" s="8">
        <f>SUMPRODUCT((raw!$A$2:$A$9876='2019-20_working'!$A$2)*(raw!$B$2:$B$9876='2019-20_working'!$A30)*(raw!$E$2:$E$9876='2019-20_working'!$B$6:$I$6)*(raw!$F$2:$F$9876='2019-20_working'!H$7)*(raw!$G$2:$G$9876))</f>
        <v>0</v>
      </c>
      <c r="I30" s="8">
        <f>SUMPRODUCT((raw!$A$2:$A$9876='2019-20_working'!$A$2)*(raw!$B$2:$B$9876='2019-20_working'!$A30)*(raw!$E$2:$E$9876='2019-20_working'!$B$6:$I$6)*(raw!$F$2:$F$9876='2019-20_working'!I$7)*(raw!$G$2:$G$9876))</f>
        <v>0</v>
      </c>
      <c r="K30" s="8">
        <f>SUMPRODUCT((raw!$A$2:$A$9876='2019-20_working'!$A$2)*(raw!$B$2:$B$9876='2019-20_working'!$A30)*(raw!$E$2:$E$9876='2019-20_working'!$K$6)*(raw!$F$2:$F$9876='2019-20_working'!K$7)*(raw!$G$2:$G$9876))</f>
        <v>14</v>
      </c>
      <c r="L30" s="8">
        <f>SUMPRODUCT((raw!$A$2:$A$9876='2019-20_working'!$A$2)*(raw!$B$2:$B$9876='2019-20_working'!$A30)*(raw!$E$2:$E$9876='2019-20_working'!$K$6)*(raw!$F$2:$F$9876='2019-20_working'!L$7)*(raw!$G$2:$G$9876))</f>
        <v>0</v>
      </c>
      <c r="M30" s="8">
        <f>SUMPRODUCT((raw!$A$2:$A$9876='2019-20_working'!$A$2)*(raw!$B$2:$B$9876='2019-20_working'!$A30)*(raw!$E$2:$E$9876='2019-20_working'!$K$6)*(raw!$F$2:$F$9876='2019-20_working'!M$7)*(raw!$G$2:$G$9876))</f>
        <v>0</v>
      </c>
      <c r="N30" s="8">
        <f>SUMPRODUCT((raw!$A$2:$A$9876='2019-20_working'!$A$2)*(raw!$B$2:$B$9876='2019-20_working'!$A30)*(raw!$E$2:$E$9876='2019-20_working'!$K$6)*(raw!$F$2:$F$9876='2019-20_working'!N$7)*(raw!$G$2:$G$9876))</f>
        <v>0</v>
      </c>
      <c r="O30" s="8">
        <f>SUMPRODUCT((raw!$A$2:$A$9876='2019-20_working'!$A$2)*(raw!$B$2:$B$9876='2019-20_working'!$A30)*(raw!$E$2:$E$9876='2019-20_working'!$K$6)*(raw!$F$2:$F$9876='2019-20_working'!O$7)*(raw!$G$2:$G$9876))</f>
        <v>0</v>
      </c>
      <c r="P30" s="8">
        <f>SUMPRODUCT((raw!$A$2:$A$9876='2019-20_working'!$A$2)*(raw!$B$2:$B$9876='2019-20_working'!$A30)*(raw!$E$2:$E$9876='2019-20_working'!$K$6)*(raw!$F$2:$F$9876='2019-20_working'!P$7)*(raw!$G$2:$G$9876))</f>
        <v>0</v>
      </c>
      <c r="Q30" s="8">
        <f>SUMPRODUCT((raw!$A$2:$A$9876='2019-20_working'!$A$2)*(raw!$B$2:$B$9876='2019-20_working'!$A30)*(raw!$E$2:$E$9876='2019-20_working'!$K$6)*(raw!$F$2:$F$9876='2019-20_working'!Q$7)*(raw!$G$2:$G$9876))</f>
        <v>0</v>
      </c>
      <c r="R30" s="8">
        <f>SUMPRODUCT((raw!$A$2:$A$9876='2019-20_working'!$A$2)*(raw!$B$2:$B$9876='2019-20_working'!$A30)*(raw!$E$2:$E$9876='2019-20_working'!$K$6)*(raw!$F$2:$F$9876='2019-20_working'!R$7)*(raw!$G$2:$G$9876))</f>
        <v>2</v>
      </c>
      <c r="T30" s="8">
        <f>SUMPRODUCT((raw!$A$2:$A$9876='2019-20_working'!$A$2)*(raw!$B$2:$B$9876='2019-20_working'!$A30)*(raw!$E$2:$E$9876='2019-20_working'!$T$6)*(raw!$F$2:$F$9876='2019-20_working'!T$7)*(raw!$G$2:$G$9876))</f>
        <v>0</v>
      </c>
      <c r="U30" s="8">
        <f>SUMPRODUCT((raw!$A$2:$A$9876='2019-20_working'!$A$2)*(raw!$B$2:$B$9876='2019-20_working'!$A30)*(raw!$E$2:$E$9876='2019-20_working'!$T$6)*(raw!$F$2:$F$9876='2019-20_working'!U$7)*(raw!$G$2:$G$9876))</f>
        <v>0</v>
      </c>
      <c r="V30" s="8">
        <f>SUMPRODUCT((raw!$A$2:$A$9876='2019-20_working'!$A$2)*(raw!$B$2:$B$9876='2019-20_working'!$A30)*(raw!$E$2:$E$9876='2019-20_working'!$T$6)*(raw!$F$2:$F$9876='2019-20_working'!V$7)*(raw!$G$2:$G$9876))</f>
        <v>0</v>
      </c>
      <c r="W30" s="8">
        <f>SUMPRODUCT((raw!$A$2:$A$9876='2019-20_working'!$A$2)*(raw!$B$2:$B$9876='2019-20_working'!$A30)*(raw!$E$2:$E$9876='2019-20_working'!$T$6)*(raw!$F$2:$F$9876='2019-20_working'!W$7)*(raw!$G$2:$G$9876))</f>
        <v>0</v>
      </c>
      <c r="X30" s="8">
        <f>SUMPRODUCT((raw!$A$2:$A$9876='2019-20_working'!$A$2)*(raw!$B$2:$B$9876='2019-20_working'!$A30)*(raw!$E$2:$E$9876='2019-20_working'!$T$6)*(raw!$F$2:$F$9876='2019-20_working'!X$7)*(raw!$G$2:$G$9876))</f>
        <v>0</v>
      </c>
      <c r="Y30" s="8">
        <f>SUMPRODUCT((raw!$A$2:$A$9876='2019-20_working'!$A$2)*(raw!$B$2:$B$9876='2019-20_working'!$A30)*(raw!$E$2:$E$9876='2019-20_working'!$T$6)*(raw!$F$2:$F$9876='2019-20_working'!Y$7)*(raw!$G$2:$G$9876))</f>
        <v>0</v>
      </c>
      <c r="Z30" s="8">
        <f>SUMPRODUCT((raw!$A$2:$A$9876='2019-20_working'!$A$2)*(raw!$B$2:$B$9876='2019-20_working'!$A30)*(raw!$E$2:$E$9876='2019-20_working'!$T$6)*(raw!$F$2:$F$9876='2019-20_working'!Z$7)*(raw!$G$2:$G$9876))</f>
        <v>0</v>
      </c>
      <c r="AA30" s="8">
        <f>SUMPRODUCT((raw!$A$2:$A$9876='2019-20_working'!$A$2)*(raw!$B$2:$B$9876='2019-20_working'!$A30)*(raw!$E$2:$E$9876='2019-20_working'!$T$6)*(raw!$F$2:$F$9876='2019-20_working'!AA$7)*(raw!$G$2:$G$9876))</f>
        <v>0</v>
      </c>
      <c r="AC30" s="8">
        <f>SUMPRODUCT((raw!$A$2:$A$9876='2019-20_working'!$A$2)*(raw!$B$2:$B$9876='2019-20_working'!$A30)*(raw!$E$2:$E$9876='2019-20_working'!$AC$6)*(raw!$F$2:$F$9876='2019-20_working'!AC$7)*(raw!$G$2:$G$9876))</f>
        <v>0</v>
      </c>
      <c r="AD30" s="8">
        <f>SUMPRODUCT((raw!$A$2:$A$9876='2019-20_working'!$A$2)*(raw!$B$2:$B$9876='2019-20_working'!$A30)*(raw!$E$2:$E$9876='2019-20_working'!$AC$6)*(raw!$F$2:$F$9876='2019-20_working'!AD$7)*(raw!$G$2:$G$9876))</f>
        <v>0</v>
      </c>
      <c r="AE30" s="8">
        <f>SUMPRODUCT((raw!$A$2:$A$9876='2019-20_working'!$A$2)*(raw!$B$2:$B$9876='2019-20_working'!$A30)*(raw!$E$2:$E$9876='2019-20_working'!$AC$6)*(raw!$F$2:$F$9876='2019-20_working'!AE$7)*(raw!$G$2:$G$9876))</f>
        <v>0</v>
      </c>
      <c r="AF30" s="8">
        <f>SUMPRODUCT((raw!$A$2:$A$9876='2019-20_working'!$A$2)*(raw!$B$2:$B$9876='2019-20_working'!$A30)*(raw!$E$2:$E$9876='2019-20_working'!$AC$6)*(raw!$F$2:$F$9876='2019-20_working'!AF$7)*(raw!$G$2:$G$9876))</f>
        <v>0</v>
      </c>
      <c r="AG30" s="8">
        <f>SUMPRODUCT((raw!$A$2:$A$9876='2019-20_working'!$A$2)*(raw!$B$2:$B$9876='2019-20_working'!$A30)*(raw!$E$2:$E$9876='2019-20_working'!$AC$6)*(raw!$F$2:$F$9876='2019-20_working'!AG$7)*(raw!$G$2:$G$9876))</f>
        <v>0</v>
      </c>
      <c r="AH30" s="8">
        <f>SUMPRODUCT((raw!$A$2:$A$9876='2019-20_working'!$A$2)*(raw!$B$2:$B$9876='2019-20_working'!$A30)*(raw!$E$2:$E$9876='2019-20_working'!$AC$6)*(raw!$F$2:$F$9876='2019-20_working'!AH$7)*(raw!$G$2:$G$9876))</f>
        <v>0</v>
      </c>
      <c r="AI30" s="8">
        <f>SUMPRODUCT((raw!$A$2:$A$9876='2019-20_working'!$A$2)*(raw!$B$2:$B$9876='2019-20_working'!$A30)*(raw!$E$2:$E$9876='2019-20_working'!$AC$6)*(raw!$F$2:$F$9876='2019-20_working'!AI$7)*(raw!$G$2:$G$9876))</f>
        <v>0</v>
      </c>
      <c r="AJ30" s="8">
        <f>SUMPRODUCT((raw!$A$2:$A$9876='2019-20_working'!$A$2)*(raw!$B$2:$B$9876='2019-20_working'!$A30)*(raw!$E$2:$E$9876='2019-20_working'!$AC$6)*(raw!$F$2:$F$9876='2019-20_working'!AJ$7)*(raw!$G$2:$G$9876))</f>
        <v>0</v>
      </c>
    </row>
    <row r="31" spans="1:36" x14ac:dyDescent="0.3">
      <c r="A31" s="8" t="s">
        <v>38</v>
      </c>
      <c r="B31" s="8">
        <f>SUMPRODUCT((raw!$A$2:$A$9876='2019-20_working'!$A$2)*(raw!$B$2:$B$9876='2019-20_working'!$A31)*(raw!$E$2:$E$9876='2019-20_working'!$B$6:$I$6)*(raw!$F$2:$F$9876='2019-20_working'!B$7)*(raw!$G$2:$G$9876))</f>
        <v>4</v>
      </c>
      <c r="C31" s="8">
        <f>SUMPRODUCT((raw!$A$2:$A$9876='2019-20_working'!$A$2)*(raw!$B$2:$B$9876='2019-20_working'!$A31)*(raw!$E$2:$E$9876='2019-20_working'!$B$6:$I$6)*(raw!$F$2:$F$9876='2019-20_working'!C$7)*(raw!$G$2:$G$9876))</f>
        <v>0</v>
      </c>
      <c r="D31" s="8">
        <f>SUMPRODUCT((raw!$A$2:$A$9876='2019-20_working'!$A$2)*(raw!$B$2:$B$9876='2019-20_working'!$A31)*(raw!$E$2:$E$9876='2019-20_working'!$B$6:$I$6)*(raw!$F$2:$F$9876='2019-20_working'!D$7)*(raw!$G$2:$G$9876))</f>
        <v>0</v>
      </c>
      <c r="E31" s="8">
        <f>SUMPRODUCT((raw!$A$2:$A$9876='2019-20_working'!$A$2)*(raw!$B$2:$B$9876='2019-20_working'!$A31)*(raw!$E$2:$E$9876='2019-20_working'!$B$6:$I$6)*(raw!$F$2:$F$9876='2019-20_working'!E$7)*(raw!$G$2:$G$9876))</f>
        <v>0</v>
      </c>
      <c r="F31" s="8">
        <f>SUMPRODUCT((raw!$A$2:$A$9876='2019-20_working'!$A$2)*(raw!$B$2:$B$9876='2019-20_working'!$A31)*(raw!$E$2:$E$9876='2019-20_working'!$B$6:$I$6)*(raw!$F$2:$F$9876='2019-20_working'!F$7)*(raw!$G$2:$G$9876))</f>
        <v>0</v>
      </c>
      <c r="G31" s="8">
        <f>SUMPRODUCT((raw!$A$2:$A$9876='2019-20_working'!$A$2)*(raw!$B$2:$B$9876='2019-20_working'!$A31)*(raw!$E$2:$E$9876='2019-20_working'!$B$6:$I$6)*(raw!$F$2:$F$9876='2019-20_working'!G$7)*(raw!$G$2:$G$9876))</f>
        <v>0</v>
      </c>
      <c r="H31" s="8">
        <f>SUMPRODUCT((raw!$A$2:$A$9876='2019-20_working'!$A$2)*(raw!$B$2:$B$9876='2019-20_working'!$A31)*(raw!$E$2:$E$9876='2019-20_working'!$B$6:$I$6)*(raw!$F$2:$F$9876='2019-20_working'!H$7)*(raw!$G$2:$G$9876))</f>
        <v>0</v>
      </c>
      <c r="I31" s="8">
        <f>SUMPRODUCT((raw!$A$2:$A$9876='2019-20_working'!$A$2)*(raw!$B$2:$B$9876='2019-20_working'!$A31)*(raw!$E$2:$E$9876='2019-20_working'!$B$6:$I$6)*(raw!$F$2:$F$9876='2019-20_working'!I$7)*(raw!$G$2:$G$9876))</f>
        <v>14</v>
      </c>
      <c r="K31" s="8">
        <f>SUMPRODUCT((raw!$A$2:$A$9876='2019-20_working'!$A$2)*(raw!$B$2:$B$9876='2019-20_working'!$A31)*(raw!$E$2:$E$9876='2019-20_working'!$K$6)*(raw!$F$2:$F$9876='2019-20_working'!K$7)*(raw!$G$2:$G$9876))</f>
        <v>6</v>
      </c>
      <c r="L31" s="8">
        <f>SUMPRODUCT((raw!$A$2:$A$9876='2019-20_working'!$A$2)*(raw!$B$2:$B$9876='2019-20_working'!$A31)*(raw!$E$2:$E$9876='2019-20_working'!$K$6)*(raw!$F$2:$F$9876='2019-20_working'!L$7)*(raw!$G$2:$G$9876))</f>
        <v>0</v>
      </c>
      <c r="M31" s="8">
        <f>SUMPRODUCT((raw!$A$2:$A$9876='2019-20_working'!$A$2)*(raw!$B$2:$B$9876='2019-20_working'!$A31)*(raw!$E$2:$E$9876='2019-20_working'!$K$6)*(raw!$F$2:$F$9876='2019-20_working'!M$7)*(raw!$G$2:$G$9876))</f>
        <v>0</v>
      </c>
      <c r="N31" s="8">
        <f>SUMPRODUCT((raw!$A$2:$A$9876='2019-20_working'!$A$2)*(raw!$B$2:$B$9876='2019-20_working'!$A31)*(raw!$E$2:$E$9876='2019-20_working'!$K$6)*(raw!$F$2:$F$9876='2019-20_working'!N$7)*(raw!$G$2:$G$9876))</f>
        <v>0</v>
      </c>
      <c r="O31" s="8">
        <f>SUMPRODUCT((raw!$A$2:$A$9876='2019-20_working'!$A$2)*(raw!$B$2:$B$9876='2019-20_working'!$A31)*(raw!$E$2:$E$9876='2019-20_working'!$K$6)*(raw!$F$2:$F$9876='2019-20_working'!O$7)*(raw!$G$2:$G$9876))</f>
        <v>0</v>
      </c>
      <c r="P31" s="8">
        <f>SUMPRODUCT((raw!$A$2:$A$9876='2019-20_working'!$A$2)*(raw!$B$2:$B$9876='2019-20_working'!$A31)*(raw!$E$2:$E$9876='2019-20_working'!$K$6)*(raw!$F$2:$F$9876='2019-20_working'!P$7)*(raw!$G$2:$G$9876))</f>
        <v>0</v>
      </c>
      <c r="Q31" s="8">
        <f>SUMPRODUCT((raw!$A$2:$A$9876='2019-20_working'!$A$2)*(raw!$B$2:$B$9876='2019-20_working'!$A31)*(raw!$E$2:$E$9876='2019-20_working'!$K$6)*(raw!$F$2:$F$9876='2019-20_working'!Q$7)*(raw!$G$2:$G$9876))</f>
        <v>0</v>
      </c>
      <c r="R31" s="8">
        <f>SUMPRODUCT((raw!$A$2:$A$9876='2019-20_working'!$A$2)*(raw!$B$2:$B$9876='2019-20_working'!$A31)*(raw!$E$2:$E$9876='2019-20_working'!$K$6)*(raw!$F$2:$F$9876='2019-20_working'!R$7)*(raw!$G$2:$G$9876))</f>
        <v>92</v>
      </c>
      <c r="T31" s="8">
        <f>SUMPRODUCT((raw!$A$2:$A$9876='2019-20_working'!$A$2)*(raw!$B$2:$B$9876='2019-20_working'!$A31)*(raw!$E$2:$E$9876='2019-20_working'!$T$6)*(raw!$F$2:$F$9876='2019-20_working'!T$7)*(raw!$G$2:$G$9876))</f>
        <v>0</v>
      </c>
      <c r="U31" s="8">
        <f>SUMPRODUCT((raw!$A$2:$A$9876='2019-20_working'!$A$2)*(raw!$B$2:$B$9876='2019-20_working'!$A31)*(raw!$E$2:$E$9876='2019-20_working'!$T$6)*(raw!$F$2:$F$9876='2019-20_working'!U$7)*(raw!$G$2:$G$9876))</f>
        <v>0</v>
      </c>
      <c r="V31" s="8">
        <f>SUMPRODUCT((raw!$A$2:$A$9876='2019-20_working'!$A$2)*(raw!$B$2:$B$9876='2019-20_working'!$A31)*(raw!$E$2:$E$9876='2019-20_working'!$T$6)*(raw!$F$2:$F$9876='2019-20_working'!V$7)*(raw!$G$2:$G$9876))</f>
        <v>0</v>
      </c>
      <c r="W31" s="8">
        <f>SUMPRODUCT((raw!$A$2:$A$9876='2019-20_working'!$A$2)*(raw!$B$2:$B$9876='2019-20_working'!$A31)*(raw!$E$2:$E$9876='2019-20_working'!$T$6)*(raw!$F$2:$F$9876='2019-20_working'!W$7)*(raw!$G$2:$G$9876))</f>
        <v>0</v>
      </c>
      <c r="X31" s="8">
        <f>SUMPRODUCT((raw!$A$2:$A$9876='2019-20_working'!$A$2)*(raw!$B$2:$B$9876='2019-20_working'!$A31)*(raw!$E$2:$E$9876='2019-20_working'!$T$6)*(raw!$F$2:$F$9876='2019-20_working'!X$7)*(raw!$G$2:$G$9876))</f>
        <v>0</v>
      </c>
      <c r="Y31" s="8">
        <f>SUMPRODUCT((raw!$A$2:$A$9876='2019-20_working'!$A$2)*(raw!$B$2:$B$9876='2019-20_working'!$A31)*(raw!$E$2:$E$9876='2019-20_working'!$T$6)*(raw!$F$2:$F$9876='2019-20_working'!Y$7)*(raw!$G$2:$G$9876))</f>
        <v>0</v>
      </c>
      <c r="Z31" s="8">
        <f>SUMPRODUCT((raw!$A$2:$A$9876='2019-20_working'!$A$2)*(raw!$B$2:$B$9876='2019-20_working'!$A31)*(raw!$E$2:$E$9876='2019-20_working'!$T$6)*(raw!$F$2:$F$9876='2019-20_working'!Z$7)*(raw!$G$2:$G$9876))</f>
        <v>0</v>
      </c>
      <c r="AA31" s="8">
        <f>SUMPRODUCT((raw!$A$2:$A$9876='2019-20_working'!$A$2)*(raw!$B$2:$B$9876='2019-20_working'!$A31)*(raw!$E$2:$E$9876='2019-20_working'!$T$6)*(raw!$F$2:$F$9876='2019-20_working'!AA$7)*(raw!$G$2:$G$9876))</f>
        <v>0</v>
      </c>
      <c r="AC31" s="8">
        <f>SUMPRODUCT((raw!$A$2:$A$9876='2019-20_working'!$A$2)*(raw!$B$2:$B$9876='2019-20_working'!$A31)*(raw!$E$2:$E$9876='2019-20_working'!$AC$6)*(raw!$F$2:$F$9876='2019-20_working'!AC$7)*(raw!$G$2:$G$9876))</f>
        <v>12</v>
      </c>
      <c r="AD31" s="8">
        <f>SUMPRODUCT((raw!$A$2:$A$9876='2019-20_working'!$A$2)*(raw!$B$2:$B$9876='2019-20_working'!$A31)*(raw!$E$2:$E$9876='2019-20_working'!$AC$6)*(raw!$F$2:$F$9876='2019-20_working'!AD$7)*(raw!$G$2:$G$9876))</f>
        <v>0</v>
      </c>
      <c r="AE31" s="8">
        <f>SUMPRODUCT((raw!$A$2:$A$9876='2019-20_working'!$A$2)*(raw!$B$2:$B$9876='2019-20_working'!$A31)*(raw!$E$2:$E$9876='2019-20_working'!$AC$6)*(raw!$F$2:$F$9876='2019-20_working'!AE$7)*(raw!$G$2:$G$9876))</f>
        <v>1</v>
      </c>
      <c r="AF31" s="8">
        <f>SUMPRODUCT((raw!$A$2:$A$9876='2019-20_working'!$A$2)*(raw!$B$2:$B$9876='2019-20_working'!$A31)*(raw!$E$2:$E$9876='2019-20_working'!$AC$6)*(raw!$F$2:$F$9876='2019-20_working'!AF$7)*(raw!$G$2:$G$9876))</f>
        <v>0</v>
      </c>
      <c r="AG31" s="8">
        <f>SUMPRODUCT((raw!$A$2:$A$9876='2019-20_working'!$A$2)*(raw!$B$2:$B$9876='2019-20_working'!$A31)*(raw!$E$2:$E$9876='2019-20_working'!$AC$6)*(raw!$F$2:$F$9876='2019-20_working'!AG$7)*(raw!$G$2:$G$9876))</f>
        <v>0</v>
      </c>
      <c r="AH31" s="8">
        <f>SUMPRODUCT((raw!$A$2:$A$9876='2019-20_working'!$A$2)*(raw!$B$2:$B$9876='2019-20_working'!$A31)*(raw!$E$2:$E$9876='2019-20_working'!$AC$6)*(raw!$F$2:$F$9876='2019-20_working'!AH$7)*(raw!$G$2:$G$9876))</f>
        <v>0</v>
      </c>
      <c r="AI31" s="8">
        <f>SUMPRODUCT((raw!$A$2:$A$9876='2019-20_working'!$A$2)*(raw!$B$2:$B$9876='2019-20_working'!$A31)*(raw!$E$2:$E$9876='2019-20_working'!$AC$6)*(raw!$F$2:$F$9876='2019-20_working'!AI$7)*(raw!$G$2:$G$9876))</f>
        <v>0</v>
      </c>
      <c r="AJ31" s="8">
        <f>SUMPRODUCT((raw!$A$2:$A$9876='2019-20_working'!$A$2)*(raw!$B$2:$B$9876='2019-20_working'!$A31)*(raw!$E$2:$E$9876='2019-20_working'!$AC$6)*(raw!$F$2:$F$9876='2019-20_working'!AJ$7)*(raw!$G$2:$G$9876))</f>
        <v>32</v>
      </c>
    </row>
    <row r="32" spans="1:36" x14ac:dyDescent="0.3">
      <c r="A32" s="8" t="s">
        <v>39</v>
      </c>
      <c r="B32" s="8">
        <f>SUMPRODUCT((raw!$A$2:$A$9876='2019-20_working'!$A$2)*(raw!$B$2:$B$9876='2019-20_working'!$A32)*(raw!$E$2:$E$9876='2019-20_working'!$B$6:$I$6)*(raw!$F$2:$F$9876='2019-20_working'!B$7)*(raw!$G$2:$G$9876))</f>
        <v>16</v>
      </c>
      <c r="C32" s="8">
        <f>SUMPRODUCT((raw!$A$2:$A$9876='2019-20_working'!$A$2)*(raw!$B$2:$B$9876='2019-20_working'!$A32)*(raw!$E$2:$E$9876='2019-20_working'!$B$6:$I$6)*(raw!$F$2:$F$9876='2019-20_working'!C$7)*(raw!$G$2:$G$9876))</f>
        <v>0</v>
      </c>
      <c r="D32" s="8">
        <f>SUMPRODUCT((raw!$A$2:$A$9876='2019-20_working'!$A$2)*(raw!$B$2:$B$9876='2019-20_working'!$A32)*(raw!$E$2:$E$9876='2019-20_working'!$B$6:$I$6)*(raw!$F$2:$F$9876='2019-20_working'!D$7)*(raw!$G$2:$G$9876))</f>
        <v>1</v>
      </c>
      <c r="E32" s="8">
        <f>SUMPRODUCT((raw!$A$2:$A$9876='2019-20_working'!$A$2)*(raw!$B$2:$B$9876='2019-20_working'!$A32)*(raw!$E$2:$E$9876='2019-20_working'!$B$6:$I$6)*(raw!$F$2:$F$9876='2019-20_working'!E$7)*(raw!$G$2:$G$9876))</f>
        <v>1</v>
      </c>
      <c r="F32" s="8">
        <f>SUMPRODUCT((raw!$A$2:$A$9876='2019-20_working'!$A$2)*(raw!$B$2:$B$9876='2019-20_working'!$A32)*(raw!$E$2:$E$9876='2019-20_working'!$B$6:$I$6)*(raw!$F$2:$F$9876='2019-20_working'!F$7)*(raw!$G$2:$G$9876))</f>
        <v>0</v>
      </c>
      <c r="G32" s="8">
        <f>SUMPRODUCT((raw!$A$2:$A$9876='2019-20_working'!$A$2)*(raw!$B$2:$B$9876='2019-20_working'!$A32)*(raw!$E$2:$E$9876='2019-20_working'!$B$6:$I$6)*(raw!$F$2:$F$9876='2019-20_working'!G$7)*(raw!$G$2:$G$9876))</f>
        <v>0</v>
      </c>
      <c r="H32" s="8">
        <f>SUMPRODUCT((raw!$A$2:$A$9876='2019-20_working'!$A$2)*(raw!$B$2:$B$9876='2019-20_working'!$A32)*(raw!$E$2:$E$9876='2019-20_working'!$B$6:$I$6)*(raw!$F$2:$F$9876='2019-20_working'!H$7)*(raw!$G$2:$G$9876))</f>
        <v>0</v>
      </c>
      <c r="I32" s="8">
        <f>SUMPRODUCT((raw!$A$2:$A$9876='2019-20_working'!$A$2)*(raw!$B$2:$B$9876='2019-20_working'!$A32)*(raw!$E$2:$E$9876='2019-20_working'!$B$6:$I$6)*(raw!$F$2:$F$9876='2019-20_working'!I$7)*(raw!$G$2:$G$9876))</f>
        <v>0</v>
      </c>
      <c r="K32" s="8">
        <f>SUMPRODUCT((raw!$A$2:$A$9876='2019-20_working'!$A$2)*(raw!$B$2:$B$9876='2019-20_working'!$A32)*(raw!$E$2:$E$9876='2019-20_working'!$K$6)*(raw!$F$2:$F$9876='2019-20_working'!K$7)*(raw!$G$2:$G$9876))</f>
        <v>67</v>
      </c>
      <c r="L32" s="8">
        <f>SUMPRODUCT((raw!$A$2:$A$9876='2019-20_working'!$A$2)*(raw!$B$2:$B$9876='2019-20_working'!$A32)*(raw!$E$2:$E$9876='2019-20_working'!$K$6)*(raw!$F$2:$F$9876='2019-20_working'!L$7)*(raw!$G$2:$G$9876))</f>
        <v>0</v>
      </c>
      <c r="M32" s="8">
        <f>SUMPRODUCT((raw!$A$2:$A$9876='2019-20_working'!$A$2)*(raw!$B$2:$B$9876='2019-20_working'!$A32)*(raw!$E$2:$E$9876='2019-20_working'!$K$6)*(raw!$F$2:$F$9876='2019-20_working'!M$7)*(raw!$G$2:$G$9876))</f>
        <v>0</v>
      </c>
      <c r="N32" s="8">
        <f>SUMPRODUCT((raw!$A$2:$A$9876='2019-20_working'!$A$2)*(raw!$B$2:$B$9876='2019-20_working'!$A32)*(raw!$E$2:$E$9876='2019-20_working'!$K$6)*(raw!$F$2:$F$9876='2019-20_working'!N$7)*(raw!$G$2:$G$9876))</f>
        <v>0</v>
      </c>
      <c r="O32" s="8">
        <f>SUMPRODUCT((raw!$A$2:$A$9876='2019-20_working'!$A$2)*(raw!$B$2:$B$9876='2019-20_working'!$A32)*(raw!$E$2:$E$9876='2019-20_working'!$K$6)*(raw!$F$2:$F$9876='2019-20_working'!O$7)*(raw!$G$2:$G$9876))</f>
        <v>0</v>
      </c>
      <c r="P32" s="8">
        <f>SUMPRODUCT((raw!$A$2:$A$9876='2019-20_working'!$A$2)*(raw!$B$2:$B$9876='2019-20_working'!$A32)*(raw!$E$2:$E$9876='2019-20_working'!$K$6)*(raw!$F$2:$F$9876='2019-20_working'!P$7)*(raw!$G$2:$G$9876))</f>
        <v>0</v>
      </c>
      <c r="Q32" s="8">
        <f>SUMPRODUCT((raw!$A$2:$A$9876='2019-20_working'!$A$2)*(raw!$B$2:$B$9876='2019-20_working'!$A32)*(raw!$E$2:$E$9876='2019-20_working'!$K$6)*(raw!$F$2:$F$9876='2019-20_working'!Q$7)*(raw!$G$2:$G$9876))</f>
        <v>0</v>
      </c>
      <c r="R32" s="8">
        <f>SUMPRODUCT((raw!$A$2:$A$9876='2019-20_working'!$A$2)*(raw!$B$2:$B$9876='2019-20_working'!$A32)*(raw!$E$2:$E$9876='2019-20_working'!$K$6)*(raw!$F$2:$F$9876='2019-20_working'!R$7)*(raw!$G$2:$G$9876))</f>
        <v>5</v>
      </c>
      <c r="T32" s="8">
        <f>SUMPRODUCT((raw!$A$2:$A$9876='2019-20_working'!$A$2)*(raw!$B$2:$B$9876='2019-20_working'!$A32)*(raw!$E$2:$E$9876='2019-20_working'!$T$6)*(raw!$F$2:$F$9876='2019-20_working'!T$7)*(raw!$G$2:$G$9876))</f>
        <v>0</v>
      </c>
      <c r="U32" s="8">
        <f>SUMPRODUCT((raw!$A$2:$A$9876='2019-20_working'!$A$2)*(raw!$B$2:$B$9876='2019-20_working'!$A32)*(raw!$E$2:$E$9876='2019-20_working'!$T$6)*(raw!$F$2:$F$9876='2019-20_working'!U$7)*(raw!$G$2:$G$9876))</f>
        <v>0</v>
      </c>
      <c r="V32" s="8">
        <f>SUMPRODUCT((raw!$A$2:$A$9876='2019-20_working'!$A$2)*(raw!$B$2:$B$9876='2019-20_working'!$A32)*(raw!$E$2:$E$9876='2019-20_working'!$T$6)*(raw!$F$2:$F$9876='2019-20_working'!V$7)*(raw!$G$2:$G$9876))</f>
        <v>0</v>
      </c>
      <c r="W32" s="8">
        <f>SUMPRODUCT((raw!$A$2:$A$9876='2019-20_working'!$A$2)*(raw!$B$2:$B$9876='2019-20_working'!$A32)*(raw!$E$2:$E$9876='2019-20_working'!$T$6)*(raw!$F$2:$F$9876='2019-20_working'!W$7)*(raw!$G$2:$G$9876))</f>
        <v>0</v>
      </c>
      <c r="X32" s="8">
        <f>SUMPRODUCT((raw!$A$2:$A$9876='2019-20_working'!$A$2)*(raw!$B$2:$B$9876='2019-20_working'!$A32)*(raw!$E$2:$E$9876='2019-20_working'!$T$6)*(raw!$F$2:$F$9876='2019-20_working'!X$7)*(raw!$G$2:$G$9876))</f>
        <v>0</v>
      </c>
      <c r="Y32" s="8">
        <f>SUMPRODUCT((raw!$A$2:$A$9876='2019-20_working'!$A$2)*(raw!$B$2:$B$9876='2019-20_working'!$A32)*(raw!$E$2:$E$9876='2019-20_working'!$T$6)*(raw!$F$2:$F$9876='2019-20_working'!Y$7)*(raw!$G$2:$G$9876))</f>
        <v>0</v>
      </c>
      <c r="Z32" s="8">
        <f>SUMPRODUCT((raw!$A$2:$A$9876='2019-20_working'!$A$2)*(raw!$B$2:$B$9876='2019-20_working'!$A32)*(raw!$E$2:$E$9876='2019-20_working'!$T$6)*(raw!$F$2:$F$9876='2019-20_working'!Z$7)*(raw!$G$2:$G$9876))</f>
        <v>0</v>
      </c>
      <c r="AA32" s="8">
        <f>SUMPRODUCT((raw!$A$2:$A$9876='2019-20_working'!$A$2)*(raw!$B$2:$B$9876='2019-20_working'!$A32)*(raw!$E$2:$E$9876='2019-20_working'!$T$6)*(raw!$F$2:$F$9876='2019-20_working'!AA$7)*(raw!$G$2:$G$9876))</f>
        <v>0</v>
      </c>
      <c r="AC32" s="8">
        <f>SUMPRODUCT((raw!$A$2:$A$9876='2019-20_working'!$A$2)*(raw!$B$2:$B$9876='2019-20_working'!$A32)*(raw!$E$2:$E$9876='2019-20_working'!$AC$6)*(raw!$F$2:$F$9876='2019-20_working'!AC$7)*(raw!$G$2:$G$9876))</f>
        <v>18</v>
      </c>
      <c r="AD32" s="8">
        <f>SUMPRODUCT((raw!$A$2:$A$9876='2019-20_working'!$A$2)*(raw!$B$2:$B$9876='2019-20_working'!$A32)*(raw!$E$2:$E$9876='2019-20_working'!$AC$6)*(raw!$F$2:$F$9876='2019-20_working'!AD$7)*(raw!$G$2:$G$9876))</f>
        <v>0</v>
      </c>
      <c r="AE32" s="8">
        <f>SUMPRODUCT((raw!$A$2:$A$9876='2019-20_working'!$A$2)*(raw!$B$2:$B$9876='2019-20_working'!$A32)*(raw!$E$2:$E$9876='2019-20_working'!$AC$6)*(raw!$F$2:$F$9876='2019-20_working'!AE$7)*(raw!$G$2:$G$9876))</f>
        <v>0</v>
      </c>
      <c r="AF32" s="8">
        <f>SUMPRODUCT((raw!$A$2:$A$9876='2019-20_working'!$A$2)*(raw!$B$2:$B$9876='2019-20_working'!$A32)*(raw!$E$2:$E$9876='2019-20_working'!$AC$6)*(raw!$F$2:$F$9876='2019-20_working'!AF$7)*(raw!$G$2:$G$9876))</f>
        <v>0</v>
      </c>
      <c r="AG32" s="8">
        <f>SUMPRODUCT((raw!$A$2:$A$9876='2019-20_working'!$A$2)*(raw!$B$2:$B$9876='2019-20_working'!$A32)*(raw!$E$2:$E$9876='2019-20_working'!$AC$6)*(raw!$F$2:$F$9876='2019-20_working'!AG$7)*(raw!$G$2:$G$9876))</f>
        <v>0</v>
      </c>
      <c r="AH32" s="8">
        <f>SUMPRODUCT((raw!$A$2:$A$9876='2019-20_working'!$A$2)*(raw!$B$2:$B$9876='2019-20_working'!$A32)*(raw!$E$2:$E$9876='2019-20_working'!$AC$6)*(raw!$F$2:$F$9876='2019-20_working'!AH$7)*(raw!$G$2:$G$9876))</f>
        <v>0</v>
      </c>
      <c r="AI32" s="8">
        <f>SUMPRODUCT((raw!$A$2:$A$9876='2019-20_working'!$A$2)*(raw!$B$2:$B$9876='2019-20_working'!$A32)*(raw!$E$2:$E$9876='2019-20_working'!$AC$6)*(raw!$F$2:$F$9876='2019-20_working'!AI$7)*(raw!$G$2:$G$9876))</f>
        <v>0</v>
      </c>
      <c r="AJ32" s="8">
        <f>SUMPRODUCT((raw!$A$2:$A$9876='2019-20_working'!$A$2)*(raw!$B$2:$B$9876='2019-20_working'!$A32)*(raw!$E$2:$E$9876='2019-20_working'!$AC$6)*(raw!$F$2:$F$9876='2019-20_working'!AJ$7)*(raw!$G$2:$G$9876))</f>
        <v>0</v>
      </c>
    </row>
    <row r="33" spans="1:36" x14ac:dyDescent="0.3">
      <c r="A33" s="8" t="s">
        <v>40</v>
      </c>
      <c r="B33" s="8">
        <f>SUMPRODUCT((raw!$A$2:$A$9876='2019-20_working'!$A$2)*(raw!$B$2:$B$9876='2019-20_working'!$A33)*(raw!$E$2:$E$9876='2019-20_working'!$B$6:$I$6)*(raw!$F$2:$F$9876='2019-20_working'!B$7)*(raw!$G$2:$G$9876))</f>
        <v>13</v>
      </c>
      <c r="C33" s="8">
        <f>SUMPRODUCT((raw!$A$2:$A$9876='2019-20_working'!$A$2)*(raw!$B$2:$B$9876='2019-20_working'!$A33)*(raw!$E$2:$E$9876='2019-20_working'!$B$6:$I$6)*(raw!$F$2:$F$9876='2019-20_working'!C$7)*(raw!$G$2:$G$9876))</f>
        <v>1</v>
      </c>
      <c r="D33" s="8">
        <f>SUMPRODUCT((raw!$A$2:$A$9876='2019-20_working'!$A$2)*(raw!$B$2:$B$9876='2019-20_working'!$A33)*(raw!$E$2:$E$9876='2019-20_working'!$B$6:$I$6)*(raw!$F$2:$F$9876='2019-20_working'!D$7)*(raw!$G$2:$G$9876))</f>
        <v>4</v>
      </c>
      <c r="E33" s="8">
        <f>SUMPRODUCT((raw!$A$2:$A$9876='2019-20_working'!$A$2)*(raw!$B$2:$B$9876='2019-20_working'!$A33)*(raw!$E$2:$E$9876='2019-20_working'!$B$6:$I$6)*(raw!$F$2:$F$9876='2019-20_working'!E$7)*(raw!$G$2:$G$9876))</f>
        <v>0</v>
      </c>
      <c r="F33" s="8">
        <f>SUMPRODUCT((raw!$A$2:$A$9876='2019-20_working'!$A$2)*(raw!$B$2:$B$9876='2019-20_working'!$A33)*(raw!$E$2:$E$9876='2019-20_working'!$B$6:$I$6)*(raw!$F$2:$F$9876='2019-20_working'!F$7)*(raw!$G$2:$G$9876))</f>
        <v>0</v>
      </c>
      <c r="G33" s="8">
        <f>SUMPRODUCT((raw!$A$2:$A$9876='2019-20_working'!$A$2)*(raw!$B$2:$B$9876='2019-20_working'!$A33)*(raw!$E$2:$E$9876='2019-20_working'!$B$6:$I$6)*(raw!$F$2:$F$9876='2019-20_working'!G$7)*(raw!$G$2:$G$9876))</f>
        <v>0</v>
      </c>
      <c r="H33" s="8">
        <f>SUMPRODUCT((raw!$A$2:$A$9876='2019-20_working'!$A$2)*(raw!$B$2:$B$9876='2019-20_working'!$A33)*(raw!$E$2:$E$9876='2019-20_working'!$B$6:$I$6)*(raw!$F$2:$F$9876='2019-20_working'!H$7)*(raw!$G$2:$G$9876))</f>
        <v>0</v>
      </c>
      <c r="I33" s="8">
        <f>SUMPRODUCT((raw!$A$2:$A$9876='2019-20_working'!$A$2)*(raw!$B$2:$B$9876='2019-20_working'!$A33)*(raw!$E$2:$E$9876='2019-20_working'!$B$6:$I$6)*(raw!$F$2:$F$9876='2019-20_working'!I$7)*(raw!$G$2:$G$9876))</f>
        <v>4</v>
      </c>
      <c r="K33" s="8">
        <f>SUMPRODUCT((raw!$A$2:$A$9876='2019-20_working'!$A$2)*(raw!$B$2:$B$9876='2019-20_working'!$A33)*(raw!$E$2:$E$9876='2019-20_working'!$K$6)*(raw!$F$2:$F$9876='2019-20_working'!K$7)*(raw!$G$2:$G$9876))</f>
        <v>15</v>
      </c>
      <c r="L33" s="8">
        <f>SUMPRODUCT((raw!$A$2:$A$9876='2019-20_working'!$A$2)*(raw!$B$2:$B$9876='2019-20_working'!$A33)*(raw!$E$2:$E$9876='2019-20_working'!$K$6)*(raw!$F$2:$F$9876='2019-20_working'!L$7)*(raw!$G$2:$G$9876))</f>
        <v>0</v>
      </c>
      <c r="M33" s="8">
        <f>SUMPRODUCT((raw!$A$2:$A$9876='2019-20_working'!$A$2)*(raw!$B$2:$B$9876='2019-20_working'!$A33)*(raw!$E$2:$E$9876='2019-20_working'!$K$6)*(raw!$F$2:$F$9876='2019-20_working'!M$7)*(raw!$G$2:$G$9876))</f>
        <v>0</v>
      </c>
      <c r="N33" s="8">
        <f>SUMPRODUCT((raw!$A$2:$A$9876='2019-20_working'!$A$2)*(raw!$B$2:$B$9876='2019-20_working'!$A33)*(raw!$E$2:$E$9876='2019-20_working'!$K$6)*(raw!$F$2:$F$9876='2019-20_working'!N$7)*(raw!$G$2:$G$9876))</f>
        <v>0</v>
      </c>
      <c r="O33" s="8">
        <f>SUMPRODUCT((raw!$A$2:$A$9876='2019-20_working'!$A$2)*(raw!$B$2:$B$9876='2019-20_working'!$A33)*(raw!$E$2:$E$9876='2019-20_working'!$K$6)*(raw!$F$2:$F$9876='2019-20_working'!O$7)*(raw!$G$2:$G$9876))</f>
        <v>0</v>
      </c>
      <c r="P33" s="8">
        <f>SUMPRODUCT((raw!$A$2:$A$9876='2019-20_working'!$A$2)*(raw!$B$2:$B$9876='2019-20_working'!$A33)*(raw!$E$2:$E$9876='2019-20_working'!$K$6)*(raw!$F$2:$F$9876='2019-20_working'!P$7)*(raw!$G$2:$G$9876))</f>
        <v>0</v>
      </c>
      <c r="Q33" s="8">
        <f>SUMPRODUCT((raw!$A$2:$A$9876='2019-20_working'!$A$2)*(raw!$B$2:$B$9876='2019-20_working'!$A33)*(raw!$E$2:$E$9876='2019-20_working'!$K$6)*(raw!$F$2:$F$9876='2019-20_working'!Q$7)*(raw!$G$2:$G$9876))</f>
        <v>0</v>
      </c>
      <c r="R33" s="8">
        <f>SUMPRODUCT((raw!$A$2:$A$9876='2019-20_working'!$A$2)*(raw!$B$2:$B$9876='2019-20_working'!$A33)*(raw!$E$2:$E$9876='2019-20_working'!$K$6)*(raw!$F$2:$F$9876='2019-20_working'!R$7)*(raw!$G$2:$G$9876))</f>
        <v>6</v>
      </c>
      <c r="T33" s="8">
        <f>SUMPRODUCT((raw!$A$2:$A$9876='2019-20_working'!$A$2)*(raw!$B$2:$B$9876='2019-20_working'!$A33)*(raw!$E$2:$E$9876='2019-20_working'!$T$6)*(raw!$F$2:$F$9876='2019-20_working'!T$7)*(raw!$G$2:$G$9876))</f>
        <v>2</v>
      </c>
      <c r="U33" s="8">
        <f>SUMPRODUCT((raw!$A$2:$A$9876='2019-20_working'!$A$2)*(raw!$B$2:$B$9876='2019-20_working'!$A33)*(raw!$E$2:$E$9876='2019-20_working'!$T$6)*(raw!$F$2:$F$9876='2019-20_working'!U$7)*(raw!$G$2:$G$9876))</f>
        <v>0</v>
      </c>
      <c r="V33" s="8">
        <f>SUMPRODUCT((raw!$A$2:$A$9876='2019-20_working'!$A$2)*(raw!$B$2:$B$9876='2019-20_working'!$A33)*(raw!$E$2:$E$9876='2019-20_working'!$T$6)*(raw!$F$2:$F$9876='2019-20_working'!V$7)*(raw!$G$2:$G$9876))</f>
        <v>0</v>
      </c>
      <c r="W33" s="8">
        <f>SUMPRODUCT((raw!$A$2:$A$9876='2019-20_working'!$A$2)*(raw!$B$2:$B$9876='2019-20_working'!$A33)*(raw!$E$2:$E$9876='2019-20_working'!$T$6)*(raw!$F$2:$F$9876='2019-20_working'!W$7)*(raw!$G$2:$G$9876))</f>
        <v>0</v>
      </c>
      <c r="X33" s="8">
        <f>SUMPRODUCT((raw!$A$2:$A$9876='2019-20_working'!$A$2)*(raw!$B$2:$B$9876='2019-20_working'!$A33)*(raw!$E$2:$E$9876='2019-20_working'!$T$6)*(raw!$F$2:$F$9876='2019-20_working'!X$7)*(raw!$G$2:$G$9876))</f>
        <v>0</v>
      </c>
      <c r="Y33" s="8">
        <f>SUMPRODUCT((raw!$A$2:$A$9876='2019-20_working'!$A$2)*(raw!$B$2:$B$9876='2019-20_working'!$A33)*(raw!$E$2:$E$9876='2019-20_working'!$T$6)*(raw!$F$2:$F$9876='2019-20_working'!Y$7)*(raw!$G$2:$G$9876))</f>
        <v>0</v>
      </c>
      <c r="Z33" s="8">
        <f>SUMPRODUCT((raw!$A$2:$A$9876='2019-20_working'!$A$2)*(raw!$B$2:$B$9876='2019-20_working'!$A33)*(raw!$E$2:$E$9876='2019-20_working'!$T$6)*(raw!$F$2:$F$9876='2019-20_working'!Z$7)*(raw!$G$2:$G$9876))</f>
        <v>0</v>
      </c>
      <c r="AA33" s="8">
        <f>SUMPRODUCT((raw!$A$2:$A$9876='2019-20_working'!$A$2)*(raw!$B$2:$B$9876='2019-20_working'!$A33)*(raw!$E$2:$E$9876='2019-20_working'!$T$6)*(raw!$F$2:$F$9876='2019-20_working'!AA$7)*(raw!$G$2:$G$9876))</f>
        <v>0</v>
      </c>
      <c r="AC33" s="8">
        <f>SUMPRODUCT((raw!$A$2:$A$9876='2019-20_working'!$A$2)*(raw!$B$2:$B$9876='2019-20_working'!$A33)*(raw!$E$2:$E$9876='2019-20_working'!$AC$6)*(raw!$F$2:$F$9876='2019-20_working'!AC$7)*(raw!$G$2:$G$9876))</f>
        <v>6</v>
      </c>
      <c r="AD33" s="8">
        <f>SUMPRODUCT((raw!$A$2:$A$9876='2019-20_working'!$A$2)*(raw!$B$2:$B$9876='2019-20_working'!$A33)*(raw!$E$2:$E$9876='2019-20_working'!$AC$6)*(raw!$F$2:$F$9876='2019-20_working'!AD$7)*(raw!$G$2:$G$9876))</f>
        <v>0</v>
      </c>
      <c r="AE33" s="8">
        <f>SUMPRODUCT((raw!$A$2:$A$9876='2019-20_working'!$A$2)*(raw!$B$2:$B$9876='2019-20_working'!$A33)*(raw!$E$2:$E$9876='2019-20_working'!$AC$6)*(raw!$F$2:$F$9876='2019-20_working'!AE$7)*(raw!$G$2:$G$9876))</f>
        <v>0</v>
      </c>
      <c r="AF33" s="8">
        <f>SUMPRODUCT((raw!$A$2:$A$9876='2019-20_working'!$A$2)*(raw!$B$2:$B$9876='2019-20_working'!$A33)*(raw!$E$2:$E$9876='2019-20_working'!$AC$6)*(raw!$F$2:$F$9876='2019-20_working'!AF$7)*(raw!$G$2:$G$9876))</f>
        <v>2</v>
      </c>
      <c r="AG33" s="8">
        <f>SUMPRODUCT((raw!$A$2:$A$9876='2019-20_working'!$A$2)*(raw!$B$2:$B$9876='2019-20_working'!$A33)*(raw!$E$2:$E$9876='2019-20_working'!$AC$6)*(raw!$F$2:$F$9876='2019-20_working'!AG$7)*(raw!$G$2:$G$9876))</f>
        <v>0</v>
      </c>
      <c r="AH33" s="8">
        <f>SUMPRODUCT((raw!$A$2:$A$9876='2019-20_working'!$A$2)*(raw!$B$2:$B$9876='2019-20_working'!$A33)*(raw!$E$2:$E$9876='2019-20_working'!$AC$6)*(raw!$F$2:$F$9876='2019-20_working'!AH$7)*(raw!$G$2:$G$9876))</f>
        <v>0</v>
      </c>
      <c r="AI33" s="8">
        <f>SUMPRODUCT((raw!$A$2:$A$9876='2019-20_working'!$A$2)*(raw!$B$2:$B$9876='2019-20_working'!$A33)*(raw!$E$2:$E$9876='2019-20_working'!$AC$6)*(raw!$F$2:$F$9876='2019-20_working'!AI$7)*(raw!$G$2:$G$9876))</f>
        <v>0</v>
      </c>
      <c r="AJ33" s="8">
        <f>SUMPRODUCT((raw!$A$2:$A$9876='2019-20_working'!$A$2)*(raw!$B$2:$B$9876='2019-20_working'!$A33)*(raw!$E$2:$E$9876='2019-20_working'!$AC$6)*(raw!$F$2:$F$9876='2019-20_working'!AJ$7)*(raw!$G$2:$G$9876))</f>
        <v>6</v>
      </c>
    </row>
    <row r="34" spans="1:36" x14ac:dyDescent="0.3">
      <c r="A34" s="8" t="s">
        <v>41</v>
      </c>
      <c r="B34" s="8">
        <f>SUMPRODUCT((raw!$A$2:$A$9876='2019-20_working'!$A$2)*(raw!$B$2:$B$9876='2019-20_working'!$A34)*(raw!$E$2:$E$9876='2019-20_working'!$B$6:$I$6)*(raw!$F$2:$F$9876='2019-20_working'!B$7)*(raw!$G$2:$G$9876))</f>
        <v>10</v>
      </c>
      <c r="C34" s="8">
        <f>SUMPRODUCT((raw!$A$2:$A$9876='2019-20_working'!$A$2)*(raw!$B$2:$B$9876='2019-20_working'!$A34)*(raw!$E$2:$E$9876='2019-20_working'!$B$6:$I$6)*(raw!$F$2:$F$9876='2019-20_working'!C$7)*(raw!$G$2:$G$9876))</f>
        <v>0</v>
      </c>
      <c r="D34" s="8">
        <f>SUMPRODUCT((raw!$A$2:$A$9876='2019-20_working'!$A$2)*(raw!$B$2:$B$9876='2019-20_working'!$A34)*(raw!$E$2:$E$9876='2019-20_working'!$B$6:$I$6)*(raw!$F$2:$F$9876='2019-20_working'!D$7)*(raw!$G$2:$G$9876))</f>
        <v>1</v>
      </c>
      <c r="E34" s="8">
        <f>SUMPRODUCT((raw!$A$2:$A$9876='2019-20_working'!$A$2)*(raw!$B$2:$B$9876='2019-20_working'!$A34)*(raw!$E$2:$E$9876='2019-20_working'!$B$6:$I$6)*(raw!$F$2:$F$9876='2019-20_working'!E$7)*(raw!$G$2:$G$9876))</f>
        <v>0</v>
      </c>
      <c r="F34" s="8">
        <f>SUMPRODUCT((raw!$A$2:$A$9876='2019-20_working'!$A$2)*(raw!$B$2:$B$9876='2019-20_working'!$A34)*(raw!$E$2:$E$9876='2019-20_working'!$B$6:$I$6)*(raw!$F$2:$F$9876='2019-20_working'!F$7)*(raw!$G$2:$G$9876))</f>
        <v>0</v>
      </c>
      <c r="G34" s="8">
        <f>SUMPRODUCT((raw!$A$2:$A$9876='2019-20_working'!$A$2)*(raw!$B$2:$B$9876='2019-20_working'!$A34)*(raw!$E$2:$E$9876='2019-20_working'!$B$6:$I$6)*(raw!$F$2:$F$9876='2019-20_working'!G$7)*(raw!$G$2:$G$9876))</f>
        <v>0</v>
      </c>
      <c r="H34" s="8">
        <f>SUMPRODUCT((raw!$A$2:$A$9876='2019-20_working'!$A$2)*(raw!$B$2:$B$9876='2019-20_working'!$A34)*(raw!$E$2:$E$9876='2019-20_working'!$B$6:$I$6)*(raw!$F$2:$F$9876='2019-20_working'!H$7)*(raw!$G$2:$G$9876))</f>
        <v>0</v>
      </c>
      <c r="I34" s="8">
        <f>SUMPRODUCT((raw!$A$2:$A$9876='2019-20_working'!$A$2)*(raw!$B$2:$B$9876='2019-20_working'!$A34)*(raw!$E$2:$E$9876='2019-20_working'!$B$6:$I$6)*(raw!$F$2:$F$9876='2019-20_working'!I$7)*(raw!$G$2:$G$9876))</f>
        <v>0</v>
      </c>
      <c r="K34" s="8">
        <f>SUMPRODUCT((raw!$A$2:$A$9876='2019-20_working'!$A$2)*(raw!$B$2:$B$9876='2019-20_working'!$A34)*(raw!$E$2:$E$9876='2019-20_working'!$K$6)*(raw!$F$2:$F$9876='2019-20_working'!K$7)*(raw!$G$2:$G$9876))</f>
        <v>61</v>
      </c>
      <c r="L34" s="8">
        <f>SUMPRODUCT((raw!$A$2:$A$9876='2019-20_working'!$A$2)*(raw!$B$2:$B$9876='2019-20_working'!$A34)*(raw!$E$2:$E$9876='2019-20_working'!$K$6)*(raw!$F$2:$F$9876='2019-20_working'!L$7)*(raw!$G$2:$G$9876))</f>
        <v>3</v>
      </c>
      <c r="M34" s="8">
        <f>SUMPRODUCT((raw!$A$2:$A$9876='2019-20_working'!$A$2)*(raw!$B$2:$B$9876='2019-20_working'!$A34)*(raw!$E$2:$E$9876='2019-20_working'!$K$6)*(raw!$F$2:$F$9876='2019-20_working'!M$7)*(raw!$G$2:$G$9876))</f>
        <v>1</v>
      </c>
      <c r="N34" s="8">
        <f>SUMPRODUCT((raw!$A$2:$A$9876='2019-20_working'!$A$2)*(raw!$B$2:$B$9876='2019-20_working'!$A34)*(raw!$E$2:$E$9876='2019-20_working'!$K$6)*(raw!$F$2:$F$9876='2019-20_working'!N$7)*(raw!$G$2:$G$9876))</f>
        <v>0</v>
      </c>
      <c r="O34" s="8">
        <f>SUMPRODUCT((raw!$A$2:$A$9876='2019-20_working'!$A$2)*(raw!$B$2:$B$9876='2019-20_working'!$A34)*(raw!$E$2:$E$9876='2019-20_working'!$K$6)*(raw!$F$2:$F$9876='2019-20_working'!O$7)*(raw!$G$2:$G$9876))</f>
        <v>0</v>
      </c>
      <c r="P34" s="8">
        <f>SUMPRODUCT((raw!$A$2:$A$9876='2019-20_working'!$A$2)*(raw!$B$2:$B$9876='2019-20_working'!$A34)*(raw!$E$2:$E$9876='2019-20_working'!$K$6)*(raw!$F$2:$F$9876='2019-20_working'!P$7)*(raw!$G$2:$G$9876))</f>
        <v>0</v>
      </c>
      <c r="Q34" s="8">
        <f>SUMPRODUCT((raw!$A$2:$A$9876='2019-20_working'!$A$2)*(raw!$B$2:$B$9876='2019-20_working'!$A34)*(raw!$E$2:$E$9876='2019-20_working'!$K$6)*(raw!$F$2:$F$9876='2019-20_working'!Q$7)*(raw!$G$2:$G$9876))</f>
        <v>0</v>
      </c>
      <c r="R34" s="8">
        <f>SUMPRODUCT((raw!$A$2:$A$9876='2019-20_working'!$A$2)*(raw!$B$2:$B$9876='2019-20_working'!$A34)*(raw!$E$2:$E$9876='2019-20_working'!$K$6)*(raw!$F$2:$F$9876='2019-20_working'!R$7)*(raw!$G$2:$G$9876))</f>
        <v>0</v>
      </c>
      <c r="T34" s="8">
        <f>SUMPRODUCT((raw!$A$2:$A$9876='2019-20_working'!$A$2)*(raw!$B$2:$B$9876='2019-20_working'!$A34)*(raw!$E$2:$E$9876='2019-20_working'!$T$6)*(raw!$F$2:$F$9876='2019-20_working'!T$7)*(raw!$G$2:$G$9876))</f>
        <v>4</v>
      </c>
      <c r="U34" s="8">
        <f>SUMPRODUCT((raw!$A$2:$A$9876='2019-20_working'!$A$2)*(raw!$B$2:$B$9876='2019-20_working'!$A34)*(raw!$E$2:$E$9876='2019-20_working'!$T$6)*(raw!$F$2:$F$9876='2019-20_working'!U$7)*(raw!$G$2:$G$9876))</f>
        <v>0</v>
      </c>
      <c r="V34" s="8">
        <f>SUMPRODUCT((raw!$A$2:$A$9876='2019-20_working'!$A$2)*(raw!$B$2:$B$9876='2019-20_working'!$A34)*(raw!$E$2:$E$9876='2019-20_working'!$T$6)*(raw!$F$2:$F$9876='2019-20_working'!V$7)*(raw!$G$2:$G$9876))</f>
        <v>0</v>
      </c>
      <c r="W34" s="8">
        <f>SUMPRODUCT((raw!$A$2:$A$9876='2019-20_working'!$A$2)*(raw!$B$2:$B$9876='2019-20_working'!$A34)*(raw!$E$2:$E$9876='2019-20_working'!$T$6)*(raw!$F$2:$F$9876='2019-20_working'!W$7)*(raw!$G$2:$G$9876))</f>
        <v>0</v>
      </c>
      <c r="X34" s="8">
        <f>SUMPRODUCT((raw!$A$2:$A$9876='2019-20_working'!$A$2)*(raw!$B$2:$B$9876='2019-20_working'!$A34)*(raw!$E$2:$E$9876='2019-20_working'!$T$6)*(raw!$F$2:$F$9876='2019-20_working'!X$7)*(raw!$G$2:$G$9876))</f>
        <v>0</v>
      </c>
      <c r="Y34" s="8">
        <f>SUMPRODUCT((raw!$A$2:$A$9876='2019-20_working'!$A$2)*(raw!$B$2:$B$9876='2019-20_working'!$A34)*(raw!$E$2:$E$9876='2019-20_working'!$T$6)*(raw!$F$2:$F$9876='2019-20_working'!Y$7)*(raw!$G$2:$G$9876))</f>
        <v>0</v>
      </c>
      <c r="Z34" s="8">
        <f>SUMPRODUCT((raw!$A$2:$A$9876='2019-20_working'!$A$2)*(raw!$B$2:$B$9876='2019-20_working'!$A34)*(raw!$E$2:$E$9876='2019-20_working'!$T$6)*(raw!$F$2:$F$9876='2019-20_working'!Z$7)*(raw!$G$2:$G$9876))</f>
        <v>0</v>
      </c>
      <c r="AA34" s="8">
        <f>SUMPRODUCT((raw!$A$2:$A$9876='2019-20_working'!$A$2)*(raw!$B$2:$B$9876='2019-20_working'!$A34)*(raw!$E$2:$E$9876='2019-20_working'!$T$6)*(raw!$F$2:$F$9876='2019-20_working'!AA$7)*(raw!$G$2:$G$9876))</f>
        <v>0</v>
      </c>
      <c r="AC34" s="8">
        <f>SUMPRODUCT((raw!$A$2:$A$9876='2019-20_working'!$A$2)*(raw!$B$2:$B$9876='2019-20_working'!$A34)*(raw!$E$2:$E$9876='2019-20_working'!$AC$6)*(raw!$F$2:$F$9876='2019-20_working'!AC$7)*(raw!$G$2:$G$9876))</f>
        <v>6</v>
      </c>
      <c r="AD34" s="8">
        <f>SUMPRODUCT((raw!$A$2:$A$9876='2019-20_working'!$A$2)*(raw!$B$2:$B$9876='2019-20_working'!$A34)*(raw!$E$2:$E$9876='2019-20_working'!$AC$6)*(raw!$F$2:$F$9876='2019-20_working'!AD$7)*(raw!$G$2:$G$9876))</f>
        <v>0</v>
      </c>
      <c r="AE34" s="8">
        <f>SUMPRODUCT((raw!$A$2:$A$9876='2019-20_working'!$A$2)*(raw!$B$2:$B$9876='2019-20_working'!$A34)*(raw!$E$2:$E$9876='2019-20_working'!$AC$6)*(raw!$F$2:$F$9876='2019-20_working'!AE$7)*(raw!$G$2:$G$9876))</f>
        <v>0</v>
      </c>
      <c r="AF34" s="8">
        <f>SUMPRODUCT((raw!$A$2:$A$9876='2019-20_working'!$A$2)*(raw!$B$2:$B$9876='2019-20_working'!$A34)*(raw!$E$2:$E$9876='2019-20_working'!$AC$6)*(raw!$F$2:$F$9876='2019-20_working'!AF$7)*(raw!$G$2:$G$9876))</f>
        <v>0</v>
      </c>
      <c r="AG34" s="8">
        <f>SUMPRODUCT((raw!$A$2:$A$9876='2019-20_working'!$A$2)*(raw!$B$2:$B$9876='2019-20_working'!$A34)*(raw!$E$2:$E$9876='2019-20_working'!$AC$6)*(raw!$F$2:$F$9876='2019-20_working'!AG$7)*(raw!$G$2:$G$9876))</f>
        <v>0</v>
      </c>
      <c r="AH34" s="8">
        <f>SUMPRODUCT((raw!$A$2:$A$9876='2019-20_working'!$A$2)*(raw!$B$2:$B$9876='2019-20_working'!$A34)*(raw!$E$2:$E$9876='2019-20_working'!$AC$6)*(raw!$F$2:$F$9876='2019-20_working'!AH$7)*(raw!$G$2:$G$9876))</f>
        <v>0</v>
      </c>
      <c r="AI34" s="8">
        <f>SUMPRODUCT((raw!$A$2:$A$9876='2019-20_working'!$A$2)*(raw!$B$2:$B$9876='2019-20_working'!$A34)*(raw!$E$2:$E$9876='2019-20_working'!$AC$6)*(raw!$F$2:$F$9876='2019-20_working'!AI$7)*(raw!$G$2:$G$9876))</f>
        <v>0</v>
      </c>
      <c r="AJ34" s="8">
        <f>SUMPRODUCT((raw!$A$2:$A$9876='2019-20_working'!$A$2)*(raw!$B$2:$B$9876='2019-20_working'!$A34)*(raw!$E$2:$E$9876='2019-20_working'!$AC$6)*(raw!$F$2:$F$9876='2019-20_working'!AJ$7)*(raw!$G$2:$G$9876))</f>
        <v>0</v>
      </c>
    </row>
    <row r="35" spans="1:36" x14ac:dyDescent="0.3">
      <c r="A35" s="8" t="s">
        <v>42</v>
      </c>
      <c r="B35" s="8">
        <f>SUMPRODUCT((raw!$A$2:$A$9876='2019-20_working'!$A$2)*(raw!$B$2:$B$9876='2019-20_working'!$A35)*(raw!$E$2:$E$9876='2019-20_working'!$B$6:$I$6)*(raw!$F$2:$F$9876='2019-20_working'!B$7)*(raw!$G$2:$G$9876))</f>
        <v>0</v>
      </c>
      <c r="C35" s="8">
        <f>SUMPRODUCT((raw!$A$2:$A$9876='2019-20_working'!$A$2)*(raw!$B$2:$B$9876='2019-20_working'!$A35)*(raw!$E$2:$E$9876='2019-20_working'!$B$6:$I$6)*(raw!$F$2:$F$9876='2019-20_working'!C$7)*(raw!$G$2:$G$9876))</f>
        <v>0</v>
      </c>
      <c r="D35" s="8">
        <f>SUMPRODUCT((raw!$A$2:$A$9876='2019-20_working'!$A$2)*(raw!$B$2:$B$9876='2019-20_working'!$A35)*(raw!$E$2:$E$9876='2019-20_working'!$B$6:$I$6)*(raw!$F$2:$F$9876='2019-20_working'!D$7)*(raw!$G$2:$G$9876))</f>
        <v>0</v>
      </c>
      <c r="E35" s="8">
        <f>SUMPRODUCT((raw!$A$2:$A$9876='2019-20_working'!$A$2)*(raw!$B$2:$B$9876='2019-20_working'!$A35)*(raw!$E$2:$E$9876='2019-20_working'!$B$6:$I$6)*(raw!$F$2:$F$9876='2019-20_working'!E$7)*(raw!$G$2:$G$9876))</f>
        <v>0</v>
      </c>
      <c r="F35" s="8">
        <f>SUMPRODUCT((raw!$A$2:$A$9876='2019-20_working'!$A$2)*(raw!$B$2:$B$9876='2019-20_working'!$A35)*(raw!$E$2:$E$9876='2019-20_working'!$B$6:$I$6)*(raw!$F$2:$F$9876='2019-20_working'!F$7)*(raw!$G$2:$G$9876))</f>
        <v>0</v>
      </c>
      <c r="G35" s="8">
        <f>SUMPRODUCT((raw!$A$2:$A$9876='2019-20_working'!$A$2)*(raw!$B$2:$B$9876='2019-20_working'!$A35)*(raw!$E$2:$E$9876='2019-20_working'!$B$6:$I$6)*(raw!$F$2:$F$9876='2019-20_working'!G$7)*(raw!$G$2:$G$9876))</f>
        <v>0</v>
      </c>
      <c r="H35" s="8">
        <f>SUMPRODUCT((raw!$A$2:$A$9876='2019-20_working'!$A$2)*(raw!$B$2:$B$9876='2019-20_working'!$A35)*(raw!$E$2:$E$9876='2019-20_working'!$B$6:$I$6)*(raw!$F$2:$F$9876='2019-20_working'!H$7)*(raw!$G$2:$G$9876))</f>
        <v>0</v>
      </c>
      <c r="I35" s="8">
        <f>SUMPRODUCT((raw!$A$2:$A$9876='2019-20_working'!$A$2)*(raw!$B$2:$B$9876='2019-20_working'!$A35)*(raw!$E$2:$E$9876='2019-20_working'!$B$6:$I$6)*(raw!$F$2:$F$9876='2019-20_working'!I$7)*(raw!$G$2:$G$9876))</f>
        <v>11</v>
      </c>
      <c r="K35" s="8">
        <f>SUMPRODUCT((raw!$A$2:$A$9876='2019-20_working'!$A$2)*(raw!$B$2:$B$9876='2019-20_working'!$A35)*(raw!$E$2:$E$9876='2019-20_working'!$K$6)*(raw!$F$2:$F$9876='2019-20_working'!K$7)*(raw!$G$2:$G$9876))</f>
        <v>37</v>
      </c>
      <c r="L35" s="8">
        <f>SUMPRODUCT((raw!$A$2:$A$9876='2019-20_working'!$A$2)*(raw!$B$2:$B$9876='2019-20_working'!$A35)*(raw!$E$2:$E$9876='2019-20_working'!$K$6)*(raw!$F$2:$F$9876='2019-20_working'!L$7)*(raw!$G$2:$G$9876))</f>
        <v>1</v>
      </c>
      <c r="M35" s="8">
        <f>SUMPRODUCT((raw!$A$2:$A$9876='2019-20_working'!$A$2)*(raw!$B$2:$B$9876='2019-20_working'!$A35)*(raw!$E$2:$E$9876='2019-20_working'!$K$6)*(raw!$F$2:$F$9876='2019-20_working'!M$7)*(raw!$G$2:$G$9876))</f>
        <v>0</v>
      </c>
      <c r="N35" s="8">
        <f>SUMPRODUCT((raw!$A$2:$A$9876='2019-20_working'!$A$2)*(raw!$B$2:$B$9876='2019-20_working'!$A35)*(raw!$E$2:$E$9876='2019-20_working'!$K$6)*(raw!$F$2:$F$9876='2019-20_working'!N$7)*(raw!$G$2:$G$9876))</f>
        <v>0</v>
      </c>
      <c r="O35" s="8">
        <f>SUMPRODUCT((raw!$A$2:$A$9876='2019-20_working'!$A$2)*(raw!$B$2:$B$9876='2019-20_working'!$A35)*(raw!$E$2:$E$9876='2019-20_working'!$K$6)*(raw!$F$2:$F$9876='2019-20_working'!O$7)*(raw!$G$2:$G$9876))</f>
        <v>2</v>
      </c>
      <c r="P35" s="8">
        <f>SUMPRODUCT((raw!$A$2:$A$9876='2019-20_working'!$A$2)*(raw!$B$2:$B$9876='2019-20_working'!$A35)*(raw!$E$2:$E$9876='2019-20_working'!$K$6)*(raw!$F$2:$F$9876='2019-20_working'!P$7)*(raw!$G$2:$G$9876))</f>
        <v>0</v>
      </c>
      <c r="Q35" s="8">
        <f>SUMPRODUCT((raw!$A$2:$A$9876='2019-20_working'!$A$2)*(raw!$B$2:$B$9876='2019-20_working'!$A35)*(raw!$E$2:$E$9876='2019-20_working'!$K$6)*(raw!$F$2:$F$9876='2019-20_working'!Q$7)*(raw!$G$2:$G$9876))</f>
        <v>0</v>
      </c>
      <c r="R35" s="8">
        <f>SUMPRODUCT((raw!$A$2:$A$9876='2019-20_working'!$A$2)*(raw!$B$2:$B$9876='2019-20_working'!$A35)*(raw!$E$2:$E$9876='2019-20_working'!$K$6)*(raw!$F$2:$F$9876='2019-20_working'!R$7)*(raw!$G$2:$G$9876))</f>
        <v>3</v>
      </c>
      <c r="T35" s="8">
        <f>SUMPRODUCT((raw!$A$2:$A$9876='2019-20_working'!$A$2)*(raw!$B$2:$B$9876='2019-20_working'!$A35)*(raw!$E$2:$E$9876='2019-20_working'!$T$6)*(raw!$F$2:$F$9876='2019-20_working'!T$7)*(raw!$G$2:$G$9876))</f>
        <v>1</v>
      </c>
      <c r="U35" s="8">
        <f>SUMPRODUCT((raw!$A$2:$A$9876='2019-20_working'!$A$2)*(raw!$B$2:$B$9876='2019-20_working'!$A35)*(raw!$E$2:$E$9876='2019-20_working'!$T$6)*(raw!$F$2:$F$9876='2019-20_working'!U$7)*(raw!$G$2:$G$9876))</f>
        <v>0</v>
      </c>
      <c r="V35" s="8">
        <f>SUMPRODUCT((raw!$A$2:$A$9876='2019-20_working'!$A$2)*(raw!$B$2:$B$9876='2019-20_working'!$A35)*(raw!$E$2:$E$9876='2019-20_working'!$T$6)*(raw!$F$2:$F$9876='2019-20_working'!V$7)*(raw!$G$2:$G$9876))</f>
        <v>0</v>
      </c>
      <c r="W35" s="8">
        <f>SUMPRODUCT((raw!$A$2:$A$9876='2019-20_working'!$A$2)*(raw!$B$2:$B$9876='2019-20_working'!$A35)*(raw!$E$2:$E$9876='2019-20_working'!$T$6)*(raw!$F$2:$F$9876='2019-20_working'!W$7)*(raw!$G$2:$G$9876))</f>
        <v>0</v>
      </c>
      <c r="X35" s="8">
        <f>SUMPRODUCT((raw!$A$2:$A$9876='2019-20_working'!$A$2)*(raw!$B$2:$B$9876='2019-20_working'!$A35)*(raw!$E$2:$E$9876='2019-20_working'!$T$6)*(raw!$F$2:$F$9876='2019-20_working'!X$7)*(raw!$G$2:$G$9876))</f>
        <v>0</v>
      </c>
      <c r="Y35" s="8">
        <f>SUMPRODUCT((raw!$A$2:$A$9876='2019-20_working'!$A$2)*(raw!$B$2:$B$9876='2019-20_working'!$A35)*(raw!$E$2:$E$9876='2019-20_working'!$T$6)*(raw!$F$2:$F$9876='2019-20_working'!Y$7)*(raw!$G$2:$G$9876))</f>
        <v>0</v>
      </c>
      <c r="Z35" s="8">
        <f>SUMPRODUCT((raw!$A$2:$A$9876='2019-20_working'!$A$2)*(raw!$B$2:$B$9876='2019-20_working'!$A35)*(raw!$E$2:$E$9876='2019-20_working'!$T$6)*(raw!$F$2:$F$9876='2019-20_working'!Z$7)*(raw!$G$2:$G$9876))</f>
        <v>0</v>
      </c>
      <c r="AA35" s="8">
        <f>SUMPRODUCT((raw!$A$2:$A$9876='2019-20_working'!$A$2)*(raw!$B$2:$B$9876='2019-20_working'!$A35)*(raw!$E$2:$E$9876='2019-20_working'!$T$6)*(raw!$F$2:$F$9876='2019-20_working'!AA$7)*(raw!$G$2:$G$9876))</f>
        <v>0</v>
      </c>
      <c r="AC35" s="8">
        <f>SUMPRODUCT((raw!$A$2:$A$9876='2019-20_working'!$A$2)*(raw!$B$2:$B$9876='2019-20_working'!$A35)*(raw!$E$2:$E$9876='2019-20_working'!$AC$6)*(raw!$F$2:$F$9876='2019-20_working'!AC$7)*(raw!$G$2:$G$9876))</f>
        <v>4</v>
      </c>
      <c r="AD35" s="8">
        <f>SUMPRODUCT((raw!$A$2:$A$9876='2019-20_working'!$A$2)*(raw!$B$2:$B$9876='2019-20_working'!$A35)*(raw!$E$2:$E$9876='2019-20_working'!$AC$6)*(raw!$F$2:$F$9876='2019-20_working'!AD$7)*(raw!$G$2:$G$9876))</f>
        <v>0</v>
      </c>
      <c r="AE35" s="8">
        <f>SUMPRODUCT((raw!$A$2:$A$9876='2019-20_working'!$A$2)*(raw!$B$2:$B$9876='2019-20_working'!$A35)*(raw!$E$2:$E$9876='2019-20_working'!$AC$6)*(raw!$F$2:$F$9876='2019-20_working'!AE$7)*(raw!$G$2:$G$9876))</f>
        <v>0</v>
      </c>
      <c r="AF35" s="8">
        <f>SUMPRODUCT((raw!$A$2:$A$9876='2019-20_working'!$A$2)*(raw!$B$2:$B$9876='2019-20_working'!$A35)*(raw!$E$2:$E$9876='2019-20_working'!$AC$6)*(raw!$F$2:$F$9876='2019-20_working'!AF$7)*(raw!$G$2:$G$9876))</f>
        <v>0</v>
      </c>
      <c r="AG35" s="8">
        <f>SUMPRODUCT((raw!$A$2:$A$9876='2019-20_working'!$A$2)*(raw!$B$2:$B$9876='2019-20_working'!$A35)*(raw!$E$2:$E$9876='2019-20_working'!$AC$6)*(raw!$F$2:$F$9876='2019-20_working'!AG$7)*(raw!$G$2:$G$9876))</f>
        <v>0</v>
      </c>
      <c r="AH35" s="8">
        <f>SUMPRODUCT((raw!$A$2:$A$9876='2019-20_working'!$A$2)*(raw!$B$2:$B$9876='2019-20_working'!$A35)*(raw!$E$2:$E$9876='2019-20_working'!$AC$6)*(raw!$F$2:$F$9876='2019-20_working'!AH$7)*(raw!$G$2:$G$9876))</f>
        <v>0</v>
      </c>
      <c r="AI35" s="8">
        <f>SUMPRODUCT((raw!$A$2:$A$9876='2019-20_working'!$A$2)*(raw!$B$2:$B$9876='2019-20_working'!$A35)*(raw!$E$2:$E$9876='2019-20_working'!$AC$6)*(raw!$F$2:$F$9876='2019-20_working'!AI$7)*(raw!$G$2:$G$9876))</f>
        <v>0</v>
      </c>
      <c r="AJ35" s="8">
        <f>SUMPRODUCT((raw!$A$2:$A$9876='2019-20_working'!$A$2)*(raw!$B$2:$B$9876='2019-20_working'!$A35)*(raw!$E$2:$E$9876='2019-20_working'!$AC$6)*(raw!$F$2:$F$9876='2019-20_working'!AJ$7)*(raw!$G$2:$G$9876))</f>
        <v>79</v>
      </c>
    </row>
    <row r="36" spans="1:36" x14ac:dyDescent="0.3">
      <c r="A36" s="8" t="s">
        <v>43</v>
      </c>
      <c r="B36" s="8">
        <f>SUMPRODUCT((raw!$A$2:$A$9876='2019-20_working'!$A$2)*(raw!$B$2:$B$9876='2019-20_working'!$A36)*(raw!$E$2:$E$9876='2019-20_working'!$B$6:$I$6)*(raw!$F$2:$F$9876='2019-20_working'!B$7)*(raw!$G$2:$G$9876))</f>
        <v>0</v>
      </c>
      <c r="C36" s="8">
        <f>SUMPRODUCT((raw!$A$2:$A$9876='2019-20_working'!$A$2)*(raw!$B$2:$B$9876='2019-20_working'!$A36)*(raw!$E$2:$E$9876='2019-20_working'!$B$6:$I$6)*(raw!$F$2:$F$9876='2019-20_working'!C$7)*(raw!$G$2:$G$9876))</f>
        <v>0</v>
      </c>
      <c r="D36" s="8">
        <f>SUMPRODUCT((raw!$A$2:$A$9876='2019-20_working'!$A$2)*(raw!$B$2:$B$9876='2019-20_working'!$A36)*(raw!$E$2:$E$9876='2019-20_working'!$B$6:$I$6)*(raw!$F$2:$F$9876='2019-20_working'!D$7)*(raw!$G$2:$G$9876))</f>
        <v>0</v>
      </c>
      <c r="E36" s="8">
        <f>SUMPRODUCT((raw!$A$2:$A$9876='2019-20_working'!$A$2)*(raw!$B$2:$B$9876='2019-20_working'!$A36)*(raw!$E$2:$E$9876='2019-20_working'!$B$6:$I$6)*(raw!$F$2:$F$9876='2019-20_working'!E$7)*(raw!$G$2:$G$9876))</f>
        <v>0</v>
      </c>
      <c r="F36" s="8">
        <f>SUMPRODUCT((raw!$A$2:$A$9876='2019-20_working'!$A$2)*(raw!$B$2:$B$9876='2019-20_working'!$A36)*(raw!$E$2:$E$9876='2019-20_working'!$B$6:$I$6)*(raw!$F$2:$F$9876='2019-20_working'!F$7)*(raw!$G$2:$G$9876))</f>
        <v>0</v>
      </c>
      <c r="G36" s="8">
        <f>SUMPRODUCT((raw!$A$2:$A$9876='2019-20_working'!$A$2)*(raw!$B$2:$B$9876='2019-20_working'!$A36)*(raw!$E$2:$E$9876='2019-20_working'!$B$6:$I$6)*(raw!$F$2:$F$9876='2019-20_working'!G$7)*(raw!$G$2:$G$9876))</f>
        <v>0</v>
      </c>
      <c r="H36" s="8">
        <f>SUMPRODUCT((raw!$A$2:$A$9876='2019-20_working'!$A$2)*(raw!$B$2:$B$9876='2019-20_working'!$A36)*(raw!$E$2:$E$9876='2019-20_working'!$B$6:$I$6)*(raw!$F$2:$F$9876='2019-20_working'!H$7)*(raw!$G$2:$G$9876))</f>
        <v>0</v>
      </c>
      <c r="I36" s="8">
        <f>SUMPRODUCT((raw!$A$2:$A$9876='2019-20_working'!$A$2)*(raw!$B$2:$B$9876='2019-20_working'!$A36)*(raw!$E$2:$E$9876='2019-20_working'!$B$6:$I$6)*(raw!$F$2:$F$9876='2019-20_working'!I$7)*(raw!$G$2:$G$9876))</f>
        <v>0</v>
      </c>
      <c r="K36" s="8">
        <f>SUMPRODUCT((raw!$A$2:$A$9876='2019-20_working'!$A$2)*(raw!$B$2:$B$9876='2019-20_working'!$A36)*(raw!$E$2:$E$9876='2019-20_working'!$K$6)*(raw!$F$2:$F$9876='2019-20_working'!K$7)*(raw!$G$2:$G$9876))</f>
        <v>0</v>
      </c>
      <c r="L36" s="8">
        <f>SUMPRODUCT((raw!$A$2:$A$9876='2019-20_working'!$A$2)*(raw!$B$2:$B$9876='2019-20_working'!$A36)*(raw!$E$2:$E$9876='2019-20_working'!$K$6)*(raw!$F$2:$F$9876='2019-20_working'!L$7)*(raw!$G$2:$G$9876))</f>
        <v>0</v>
      </c>
      <c r="M36" s="8">
        <f>SUMPRODUCT((raw!$A$2:$A$9876='2019-20_working'!$A$2)*(raw!$B$2:$B$9876='2019-20_working'!$A36)*(raw!$E$2:$E$9876='2019-20_working'!$K$6)*(raw!$F$2:$F$9876='2019-20_working'!M$7)*(raw!$G$2:$G$9876))</f>
        <v>0</v>
      </c>
      <c r="N36" s="8">
        <f>SUMPRODUCT((raw!$A$2:$A$9876='2019-20_working'!$A$2)*(raw!$B$2:$B$9876='2019-20_working'!$A36)*(raw!$E$2:$E$9876='2019-20_working'!$K$6)*(raw!$F$2:$F$9876='2019-20_working'!N$7)*(raw!$G$2:$G$9876))</f>
        <v>0</v>
      </c>
      <c r="O36" s="8">
        <f>SUMPRODUCT((raw!$A$2:$A$9876='2019-20_working'!$A$2)*(raw!$B$2:$B$9876='2019-20_working'!$A36)*(raw!$E$2:$E$9876='2019-20_working'!$K$6)*(raw!$F$2:$F$9876='2019-20_working'!O$7)*(raw!$G$2:$G$9876))</f>
        <v>0</v>
      </c>
      <c r="P36" s="8">
        <f>SUMPRODUCT((raw!$A$2:$A$9876='2019-20_working'!$A$2)*(raw!$B$2:$B$9876='2019-20_working'!$A36)*(raw!$E$2:$E$9876='2019-20_working'!$K$6)*(raw!$F$2:$F$9876='2019-20_working'!P$7)*(raw!$G$2:$G$9876))</f>
        <v>0</v>
      </c>
      <c r="Q36" s="8">
        <f>SUMPRODUCT((raw!$A$2:$A$9876='2019-20_working'!$A$2)*(raw!$B$2:$B$9876='2019-20_working'!$A36)*(raw!$E$2:$E$9876='2019-20_working'!$K$6)*(raw!$F$2:$F$9876='2019-20_working'!Q$7)*(raw!$G$2:$G$9876))</f>
        <v>0</v>
      </c>
      <c r="R36" s="8">
        <f>SUMPRODUCT((raw!$A$2:$A$9876='2019-20_working'!$A$2)*(raw!$B$2:$B$9876='2019-20_working'!$A36)*(raw!$E$2:$E$9876='2019-20_working'!$K$6)*(raw!$F$2:$F$9876='2019-20_working'!R$7)*(raw!$G$2:$G$9876))</f>
        <v>0</v>
      </c>
      <c r="T36" s="8">
        <f>SUMPRODUCT((raw!$A$2:$A$9876='2019-20_working'!$A$2)*(raw!$B$2:$B$9876='2019-20_working'!$A36)*(raw!$E$2:$E$9876='2019-20_working'!$T$6)*(raw!$F$2:$F$9876='2019-20_working'!T$7)*(raw!$G$2:$G$9876))</f>
        <v>11</v>
      </c>
      <c r="U36" s="8">
        <f>SUMPRODUCT((raw!$A$2:$A$9876='2019-20_working'!$A$2)*(raw!$B$2:$B$9876='2019-20_working'!$A36)*(raw!$E$2:$E$9876='2019-20_working'!$T$6)*(raw!$F$2:$F$9876='2019-20_working'!U$7)*(raw!$G$2:$G$9876))</f>
        <v>0</v>
      </c>
      <c r="V36" s="8">
        <f>SUMPRODUCT((raw!$A$2:$A$9876='2019-20_working'!$A$2)*(raw!$B$2:$B$9876='2019-20_working'!$A36)*(raw!$E$2:$E$9876='2019-20_working'!$T$6)*(raw!$F$2:$F$9876='2019-20_working'!V$7)*(raw!$G$2:$G$9876))</f>
        <v>0</v>
      </c>
      <c r="W36" s="8">
        <f>SUMPRODUCT((raw!$A$2:$A$9876='2019-20_working'!$A$2)*(raw!$B$2:$B$9876='2019-20_working'!$A36)*(raw!$E$2:$E$9876='2019-20_working'!$T$6)*(raw!$F$2:$F$9876='2019-20_working'!W$7)*(raw!$G$2:$G$9876))</f>
        <v>0</v>
      </c>
      <c r="X36" s="8">
        <f>SUMPRODUCT((raw!$A$2:$A$9876='2019-20_working'!$A$2)*(raw!$B$2:$B$9876='2019-20_working'!$A36)*(raw!$E$2:$E$9876='2019-20_working'!$T$6)*(raw!$F$2:$F$9876='2019-20_working'!X$7)*(raw!$G$2:$G$9876))</f>
        <v>0</v>
      </c>
      <c r="Y36" s="8">
        <f>SUMPRODUCT((raw!$A$2:$A$9876='2019-20_working'!$A$2)*(raw!$B$2:$B$9876='2019-20_working'!$A36)*(raw!$E$2:$E$9876='2019-20_working'!$T$6)*(raw!$F$2:$F$9876='2019-20_working'!Y$7)*(raw!$G$2:$G$9876))</f>
        <v>0</v>
      </c>
      <c r="Z36" s="8">
        <f>SUMPRODUCT((raw!$A$2:$A$9876='2019-20_working'!$A$2)*(raw!$B$2:$B$9876='2019-20_working'!$A36)*(raw!$E$2:$E$9876='2019-20_working'!$T$6)*(raw!$F$2:$F$9876='2019-20_working'!Z$7)*(raw!$G$2:$G$9876))</f>
        <v>0</v>
      </c>
      <c r="AA36" s="8">
        <f>SUMPRODUCT((raw!$A$2:$A$9876='2019-20_working'!$A$2)*(raw!$B$2:$B$9876='2019-20_working'!$A36)*(raw!$E$2:$E$9876='2019-20_working'!$T$6)*(raw!$F$2:$F$9876='2019-20_working'!AA$7)*(raw!$G$2:$G$9876))</f>
        <v>0</v>
      </c>
      <c r="AC36" s="8">
        <f>SUMPRODUCT((raw!$A$2:$A$9876='2019-20_working'!$A$2)*(raw!$B$2:$B$9876='2019-20_working'!$A36)*(raw!$E$2:$E$9876='2019-20_working'!$AC$6)*(raw!$F$2:$F$9876='2019-20_working'!AC$7)*(raw!$G$2:$G$9876))</f>
        <v>0</v>
      </c>
      <c r="AD36" s="8">
        <f>SUMPRODUCT((raw!$A$2:$A$9876='2019-20_working'!$A$2)*(raw!$B$2:$B$9876='2019-20_working'!$A36)*(raw!$E$2:$E$9876='2019-20_working'!$AC$6)*(raw!$F$2:$F$9876='2019-20_working'!AD$7)*(raw!$G$2:$G$9876))</f>
        <v>0</v>
      </c>
      <c r="AE36" s="8">
        <f>SUMPRODUCT((raw!$A$2:$A$9876='2019-20_working'!$A$2)*(raw!$B$2:$B$9876='2019-20_working'!$A36)*(raw!$E$2:$E$9876='2019-20_working'!$AC$6)*(raw!$F$2:$F$9876='2019-20_working'!AE$7)*(raw!$G$2:$G$9876))</f>
        <v>0</v>
      </c>
      <c r="AF36" s="8">
        <f>SUMPRODUCT((raw!$A$2:$A$9876='2019-20_working'!$A$2)*(raw!$B$2:$B$9876='2019-20_working'!$A36)*(raw!$E$2:$E$9876='2019-20_working'!$AC$6)*(raw!$F$2:$F$9876='2019-20_working'!AF$7)*(raw!$G$2:$G$9876))</f>
        <v>0</v>
      </c>
      <c r="AG36" s="8">
        <f>SUMPRODUCT((raw!$A$2:$A$9876='2019-20_working'!$A$2)*(raw!$B$2:$B$9876='2019-20_working'!$A36)*(raw!$E$2:$E$9876='2019-20_working'!$AC$6)*(raw!$F$2:$F$9876='2019-20_working'!AG$7)*(raw!$G$2:$G$9876))</f>
        <v>0</v>
      </c>
      <c r="AH36" s="8">
        <f>SUMPRODUCT((raw!$A$2:$A$9876='2019-20_working'!$A$2)*(raw!$B$2:$B$9876='2019-20_working'!$A36)*(raw!$E$2:$E$9876='2019-20_working'!$AC$6)*(raw!$F$2:$F$9876='2019-20_working'!AH$7)*(raw!$G$2:$G$9876))</f>
        <v>0</v>
      </c>
      <c r="AI36" s="8">
        <f>SUMPRODUCT((raw!$A$2:$A$9876='2019-20_working'!$A$2)*(raw!$B$2:$B$9876='2019-20_working'!$A36)*(raw!$E$2:$E$9876='2019-20_working'!$AC$6)*(raw!$F$2:$F$9876='2019-20_working'!AI$7)*(raw!$G$2:$G$9876))</f>
        <v>0</v>
      </c>
      <c r="AJ36" s="8">
        <f>SUMPRODUCT((raw!$A$2:$A$9876='2019-20_working'!$A$2)*(raw!$B$2:$B$9876='2019-20_working'!$A36)*(raw!$E$2:$E$9876='2019-20_working'!$AC$6)*(raw!$F$2:$F$9876='2019-20_working'!AJ$7)*(raw!$G$2:$G$9876))</f>
        <v>0</v>
      </c>
    </row>
    <row r="37" spans="1:36" x14ac:dyDescent="0.3">
      <c r="A37" s="8" t="s">
        <v>44</v>
      </c>
      <c r="B37" s="8">
        <f>SUMPRODUCT((raw!$A$2:$A$9876='2019-20_working'!$A$2)*(raw!$B$2:$B$9876='2019-20_working'!$A37)*(raw!$E$2:$E$9876='2019-20_working'!$B$6:$I$6)*(raw!$F$2:$F$9876='2019-20_working'!B$7)*(raw!$G$2:$G$9876))</f>
        <v>18</v>
      </c>
      <c r="C37" s="8">
        <f>SUMPRODUCT((raw!$A$2:$A$9876='2019-20_working'!$A$2)*(raw!$B$2:$B$9876='2019-20_working'!$A37)*(raw!$E$2:$E$9876='2019-20_working'!$B$6:$I$6)*(raw!$F$2:$F$9876='2019-20_working'!C$7)*(raw!$G$2:$G$9876))</f>
        <v>0</v>
      </c>
      <c r="D37" s="8">
        <f>SUMPRODUCT((raw!$A$2:$A$9876='2019-20_working'!$A$2)*(raw!$B$2:$B$9876='2019-20_working'!$A37)*(raw!$E$2:$E$9876='2019-20_working'!$B$6:$I$6)*(raw!$F$2:$F$9876='2019-20_working'!D$7)*(raw!$G$2:$G$9876))</f>
        <v>2</v>
      </c>
      <c r="E37" s="8">
        <f>SUMPRODUCT((raw!$A$2:$A$9876='2019-20_working'!$A$2)*(raw!$B$2:$B$9876='2019-20_working'!$A37)*(raw!$E$2:$E$9876='2019-20_working'!$B$6:$I$6)*(raw!$F$2:$F$9876='2019-20_working'!E$7)*(raw!$G$2:$G$9876))</f>
        <v>0</v>
      </c>
      <c r="F37" s="8">
        <f>SUMPRODUCT((raw!$A$2:$A$9876='2019-20_working'!$A$2)*(raw!$B$2:$B$9876='2019-20_working'!$A37)*(raw!$E$2:$E$9876='2019-20_working'!$B$6:$I$6)*(raw!$F$2:$F$9876='2019-20_working'!F$7)*(raw!$G$2:$G$9876))</f>
        <v>0</v>
      </c>
      <c r="G37" s="8">
        <f>SUMPRODUCT((raw!$A$2:$A$9876='2019-20_working'!$A$2)*(raw!$B$2:$B$9876='2019-20_working'!$A37)*(raw!$E$2:$E$9876='2019-20_working'!$B$6:$I$6)*(raw!$F$2:$F$9876='2019-20_working'!G$7)*(raw!$G$2:$G$9876))</f>
        <v>0</v>
      </c>
      <c r="H37" s="8">
        <f>SUMPRODUCT((raw!$A$2:$A$9876='2019-20_working'!$A$2)*(raw!$B$2:$B$9876='2019-20_working'!$A37)*(raw!$E$2:$E$9876='2019-20_working'!$B$6:$I$6)*(raw!$F$2:$F$9876='2019-20_working'!H$7)*(raw!$G$2:$G$9876))</f>
        <v>0</v>
      </c>
      <c r="I37" s="8">
        <f>SUMPRODUCT((raw!$A$2:$A$9876='2019-20_working'!$A$2)*(raw!$B$2:$B$9876='2019-20_working'!$A37)*(raw!$E$2:$E$9876='2019-20_working'!$B$6:$I$6)*(raw!$F$2:$F$9876='2019-20_working'!I$7)*(raw!$G$2:$G$9876))</f>
        <v>1</v>
      </c>
      <c r="K37" s="8">
        <f>SUMPRODUCT((raw!$A$2:$A$9876='2019-20_working'!$A$2)*(raw!$B$2:$B$9876='2019-20_working'!$A37)*(raw!$E$2:$E$9876='2019-20_working'!$K$6)*(raw!$F$2:$F$9876='2019-20_working'!K$7)*(raw!$G$2:$G$9876))</f>
        <v>35</v>
      </c>
      <c r="L37" s="8">
        <f>SUMPRODUCT((raw!$A$2:$A$9876='2019-20_working'!$A$2)*(raw!$B$2:$B$9876='2019-20_working'!$A37)*(raw!$E$2:$E$9876='2019-20_working'!$K$6)*(raw!$F$2:$F$9876='2019-20_working'!L$7)*(raw!$G$2:$G$9876))</f>
        <v>0</v>
      </c>
      <c r="M37" s="8">
        <f>SUMPRODUCT((raw!$A$2:$A$9876='2019-20_working'!$A$2)*(raw!$B$2:$B$9876='2019-20_working'!$A37)*(raw!$E$2:$E$9876='2019-20_working'!$K$6)*(raw!$F$2:$F$9876='2019-20_working'!M$7)*(raw!$G$2:$G$9876))</f>
        <v>0</v>
      </c>
      <c r="N37" s="8">
        <f>SUMPRODUCT((raw!$A$2:$A$9876='2019-20_working'!$A$2)*(raw!$B$2:$B$9876='2019-20_working'!$A37)*(raw!$E$2:$E$9876='2019-20_working'!$K$6)*(raw!$F$2:$F$9876='2019-20_working'!N$7)*(raw!$G$2:$G$9876))</f>
        <v>1</v>
      </c>
      <c r="O37" s="8">
        <f>SUMPRODUCT((raw!$A$2:$A$9876='2019-20_working'!$A$2)*(raw!$B$2:$B$9876='2019-20_working'!$A37)*(raw!$E$2:$E$9876='2019-20_working'!$K$6)*(raw!$F$2:$F$9876='2019-20_working'!O$7)*(raw!$G$2:$G$9876))</f>
        <v>0</v>
      </c>
      <c r="P37" s="8">
        <f>SUMPRODUCT((raw!$A$2:$A$9876='2019-20_working'!$A$2)*(raw!$B$2:$B$9876='2019-20_working'!$A37)*(raw!$E$2:$E$9876='2019-20_working'!$K$6)*(raw!$F$2:$F$9876='2019-20_working'!P$7)*(raw!$G$2:$G$9876))</f>
        <v>0</v>
      </c>
      <c r="Q37" s="8">
        <f>SUMPRODUCT((raw!$A$2:$A$9876='2019-20_working'!$A$2)*(raw!$B$2:$B$9876='2019-20_working'!$A37)*(raw!$E$2:$E$9876='2019-20_working'!$K$6)*(raw!$F$2:$F$9876='2019-20_working'!Q$7)*(raw!$G$2:$G$9876))</f>
        <v>0</v>
      </c>
      <c r="R37" s="8">
        <f>SUMPRODUCT((raw!$A$2:$A$9876='2019-20_working'!$A$2)*(raw!$B$2:$B$9876='2019-20_working'!$A37)*(raw!$E$2:$E$9876='2019-20_working'!$K$6)*(raw!$F$2:$F$9876='2019-20_working'!R$7)*(raw!$G$2:$G$9876))</f>
        <v>7</v>
      </c>
      <c r="T37" s="8">
        <f>SUMPRODUCT((raw!$A$2:$A$9876='2019-20_working'!$A$2)*(raw!$B$2:$B$9876='2019-20_working'!$A37)*(raw!$E$2:$E$9876='2019-20_working'!$T$6)*(raw!$F$2:$F$9876='2019-20_working'!T$7)*(raw!$G$2:$G$9876))</f>
        <v>3</v>
      </c>
      <c r="U37" s="8">
        <f>SUMPRODUCT((raw!$A$2:$A$9876='2019-20_working'!$A$2)*(raw!$B$2:$B$9876='2019-20_working'!$A37)*(raw!$E$2:$E$9876='2019-20_working'!$T$6)*(raw!$F$2:$F$9876='2019-20_working'!U$7)*(raw!$G$2:$G$9876))</f>
        <v>0</v>
      </c>
      <c r="V37" s="8">
        <f>SUMPRODUCT((raw!$A$2:$A$9876='2019-20_working'!$A$2)*(raw!$B$2:$B$9876='2019-20_working'!$A37)*(raw!$E$2:$E$9876='2019-20_working'!$T$6)*(raw!$F$2:$F$9876='2019-20_working'!V$7)*(raw!$G$2:$G$9876))</f>
        <v>0</v>
      </c>
      <c r="W37" s="8">
        <f>SUMPRODUCT((raw!$A$2:$A$9876='2019-20_working'!$A$2)*(raw!$B$2:$B$9876='2019-20_working'!$A37)*(raw!$E$2:$E$9876='2019-20_working'!$T$6)*(raw!$F$2:$F$9876='2019-20_working'!W$7)*(raw!$G$2:$G$9876))</f>
        <v>0</v>
      </c>
      <c r="X37" s="8">
        <f>SUMPRODUCT((raw!$A$2:$A$9876='2019-20_working'!$A$2)*(raw!$B$2:$B$9876='2019-20_working'!$A37)*(raw!$E$2:$E$9876='2019-20_working'!$T$6)*(raw!$F$2:$F$9876='2019-20_working'!X$7)*(raw!$G$2:$G$9876))</f>
        <v>0</v>
      </c>
      <c r="Y37" s="8">
        <f>SUMPRODUCT((raw!$A$2:$A$9876='2019-20_working'!$A$2)*(raw!$B$2:$B$9876='2019-20_working'!$A37)*(raw!$E$2:$E$9876='2019-20_working'!$T$6)*(raw!$F$2:$F$9876='2019-20_working'!Y$7)*(raw!$G$2:$G$9876))</f>
        <v>0</v>
      </c>
      <c r="Z37" s="8">
        <f>SUMPRODUCT((raw!$A$2:$A$9876='2019-20_working'!$A$2)*(raw!$B$2:$B$9876='2019-20_working'!$A37)*(raw!$E$2:$E$9876='2019-20_working'!$T$6)*(raw!$F$2:$F$9876='2019-20_working'!Z$7)*(raw!$G$2:$G$9876))</f>
        <v>0</v>
      </c>
      <c r="AA37" s="8">
        <f>SUMPRODUCT((raw!$A$2:$A$9876='2019-20_working'!$A$2)*(raw!$B$2:$B$9876='2019-20_working'!$A37)*(raw!$E$2:$E$9876='2019-20_working'!$T$6)*(raw!$F$2:$F$9876='2019-20_working'!AA$7)*(raw!$G$2:$G$9876))</f>
        <v>0</v>
      </c>
      <c r="AC37" s="8">
        <f>SUMPRODUCT((raw!$A$2:$A$9876='2019-20_working'!$A$2)*(raw!$B$2:$B$9876='2019-20_working'!$A37)*(raw!$E$2:$E$9876='2019-20_working'!$AC$6)*(raw!$F$2:$F$9876='2019-20_working'!AC$7)*(raw!$G$2:$G$9876))</f>
        <v>5</v>
      </c>
      <c r="AD37" s="8">
        <f>SUMPRODUCT((raw!$A$2:$A$9876='2019-20_working'!$A$2)*(raw!$B$2:$B$9876='2019-20_working'!$A37)*(raw!$E$2:$E$9876='2019-20_working'!$AC$6)*(raw!$F$2:$F$9876='2019-20_working'!AD$7)*(raw!$G$2:$G$9876))</f>
        <v>0</v>
      </c>
      <c r="AE37" s="8">
        <f>SUMPRODUCT((raw!$A$2:$A$9876='2019-20_working'!$A$2)*(raw!$B$2:$B$9876='2019-20_working'!$A37)*(raw!$E$2:$E$9876='2019-20_working'!$AC$6)*(raw!$F$2:$F$9876='2019-20_working'!AE$7)*(raw!$G$2:$G$9876))</f>
        <v>1</v>
      </c>
      <c r="AF37" s="8">
        <f>SUMPRODUCT((raw!$A$2:$A$9876='2019-20_working'!$A$2)*(raw!$B$2:$B$9876='2019-20_working'!$A37)*(raw!$E$2:$E$9876='2019-20_working'!$AC$6)*(raw!$F$2:$F$9876='2019-20_working'!AF$7)*(raw!$G$2:$G$9876))</f>
        <v>0</v>
      </c>
      <c r="AG37" s="8">
        <f>SUMPRODUCT((raw!$A$2:$A$9876='2019-20_working'!$A$2)*(raw!$B$2:$B$9876='2019-20_working'!$A37)*(raw!$E$2:$E$9876='2019-20_working'!$AC$6)*(raw!$F$2:$F$9876='2019-20_working'!AG$7)*(raw!$G$2:$G$9876))</f>
        <v>0</v>
      </c>
      <c r="AH37" s="8">
        <f>SUMPRODUCT((raw!$A$2:$A$9876='2019-20_working'!$A$2)*(raw!$B$2:$B$9876='2019-20_working'!$A37)*(raw!$E$2:$E$9876='2019-20_working'!$AC$6)*(raw!$F$2:$F$9876='2019-20_working'!AH$7)*(raw!$G$2:$G$9876))</f>
        <v>0</v>
      </c>
      <c r="AI37" s="8">
        <f>SUMPRODUCT((raw!$A$2:$A$9876='2019-20_working'!$A$2)*(raw!$B$2:$B$9876='2019-20_working'!$A37)*(raw!$E$2:$E$9876='2019-20_working'!$AC$6)*(raw!$F$2:$F$9876='2019-20_working'!AI$7)*(raw!$G$2:$G$9876))</f>
        <v>0</v>
      </c>
      <c r="AJ37" s="8">
        <f>SUMPRODUCT((raw!$A$2:$A$9876='2019-20_working'!$A$2)*(raw!$B$2:$B$9876='2019-20_working'!$A37)*(raw!$E$2:$E$9876='2019-20_working'!$AC$6)*(raw!$F$2:$F$9876='2019-20_working'!AJ$7)*(raw!$G$2:$G$9876))</f>
        <v>0</v>
      </c>
    </row>
    <row r="38" spans="1:36" x14ac:dyDescent="0.3">
      <c r="A38" s="8" t="s">
        <v>45</v>
      </c>
      <c r="B38" s="8">
        <f>SUMPRODUCT((raw!$A$2:$A$9876='2019-20_working'!$A$2)*(raw!$B$2:$B$9876='2019-20_working'!$A38)*(raw!$E$2:$E$9876='2019-20_working'!$B$6:$I$6)*(raw!$F$2:$F$9876='2019-20_working'!B$7)*(raw!$G$2:$G$9876))</f>
        <v>13</v>
      </c>
      <c r="C38" s="8">
        <f>SUMPRODUCT((raw!$A$2:$A$9876='2019-20_working'!$A$2)*(raw!$B$2:$B$9876='2019-20_working'!$A38)*(raw!$E$2:$E$9876='2019-20_working'!$B$6:$I$6)*(raw!$F$2:$F$9876='2019-20_working'!C$7)*(raw!$G$2:$G$9876))</f>
        <v>0</v>
      </c>
      <c r="D38" s="8">
        <f>SUMPRODUCT((raw!$A$2:$A$9876='2019-20_working'!$A$2)*(raw!$B$2:$B$9876='2019-20_working'!$A38)*(raw!$E$2:$E$9876='2019-20_working'!$B$6:$I$6)*(raw!$F$2:$F$9876='2019-20_working'!D$7)*(raw!$G$2:$G$9876))</f>
        <v>0</v>
      </c>
      <c r="E38" s="8">
        <f>SUMPRODUCT((raw!$A$2:$A$9876='2019-20_working'!$A$2)*(raw!$B$2:$B$9876='2019-20_working'!$A38)*(raw!$E$2:$E$9876='2019-20_working'!$B$6:$I$6)*(raw!$F$2:$F$9876='2019-20_working'!E$7)*(raw!$G$2:$G$9876))</f>
        <v>0</v>
      </c>
      <c r="F38" s="8">
        <f>SUMPRODUCT((raw!$A$2:$A$9876='2019-20_working'!$A$2)*(raw!$B$2:$B$9876='2019-20_working'!$A38)*(raw!$E$2:$E$9876='2019-20_working'!$B$6:$I$6)*(raw!$F$2:$F$9876='2019-20_working'!F$7)*(raw!$G$2:$G$9876))</f>
        <v>0</v>
      </c>
      <c r="G38" s="8">
        <f>SUMPRODUCT((raw!$A$2:$A$9876='2019-20_working'!$A$2)*(raw!$B$2:$B$9876='2019-20_working'!$A38)*(raw!$E$2:$E$9876='2019-20_working'!$B$6:$I$6)*(raw!$F$2:$F$9876='2019-20_working'!G$7)*(raw!$G$2:$G$9876))</f>
        <v>0</v>
      </c>
      <c r="H38" s="8">
        <f>SUMPRODUCT((raw!$A$2:$A$9876='2019-20_working'!$A$2)*(raw!$B$2:$B$9876='2019-20_working'!$A38)*(raw!$E$2:$E$9876='2019-20_working'!$B$6:$I$6)*(raw!$F$2:$F$9876='2019-20_working'!H$7)*(raw!$G$2:$G$9876))</f>
        <v>0</v>
      </c>
      <c r="I38" s="8">
        <f>SUMPRODUCT((raw!$A$2:$A$9876='2019-20_working'!$A$2)*(raw!$B$2:$B$9876='2019-20_working'!$A38)*(raw!$E$2:$E$9876='2019-20_working'!$B$6:$I$6)*(raw!$F$2:$F$9876='2019-20_working'!I$7)*(raw!$G$2:$G$9876))</f>
        <v>25</v>
      </c>
      <c r="K38" s="8">
        <f>SUMPRODUCT((raw!$A$2:$A$9876='2019-20_working'!$A$2)*(raw!$B$2:$B$9876='2019-20_working'!$A38)*(raw!$E$2:$E$9876='2019-20_working'!$K$6)*(raw!$F$2:$F$9876='2019-20_working'!K$7)*(raw!$G$2:$G$9876))</f>
        <v>14</v>
      </c>
      <c r="L38" s="8">
        <f>SUMPRODUCT((raw!$A$2:$A$9876='2019-20_working'!$A$2)*(raw!$B$2:$B$9876='2019-20_working'!$A38)*(raw!$E$2:$E$9876='2019-20_working'!$K$6)*(raw!$F$2:$F$9876='2019-20_working'!L$7)*(raw!$G$2:$G$9876))</f>
        <v>0</v>
      </c>
      <c r="M38" s="8">
        <f>SUMPRODUCT((raw!$A$2:$A$9876='2019-20_working'!$A$2)*(raw!$B$2:$B$9876='2019-20_working'!$A38)*(raw!$E$2:$E$9876='2019-20_working'!$K$6)*(raw!$F$2:$F$9876='2019-20_working'!M$7)*(raw!$G$2:$G$9876))</f>
        <v>0</v>
      </c>
      <c r="N38" s="8">
        <f>SUMPRODUCT((raw!$A$2:$A$9876='2019-20_working'!$A$2)*(raw!$B$2:$B$9876='2019-20_working'!$A38)*(raw!$E$2:$E$9876='2019-20_working'!$K$6)*(raw!$F$2:$F$9876='2019-20_working'!N$7)*(raw!$G$2:$G$9876))</f>
        <v>0</v>
      </c>
      <c r="O38" s="8">
        <f>SUMPRODUCT((raw!$A$2:$A$9876='2019-20_working'!$A$2)*(raw!$B$2:$B$9876='2019-20_working'!$A38)*(raw!$E$2:$E$9876='2019-20_working'!$K$6)*(raw!$F$2:$F$9876='2019-20_working'!O$7)*(raw!$G$2:$G$9876))</f>
        <v>0</v>
      </c>
      <c r="P38" s="8">
        <f>SUMPRODUCT((raw!$A$2:$A$9876='2019-20_working'!$A$2)*(raw!$B$2:$B$9876='2019-20_working'!$A38)*(raw!$E$2:$E$9876='2019-20_working'!$K$6)*(raw!$F$2:$F$9876='2019-20_working'!P$7)*(raw!$G$2:$G$9876))</f>
        <v>0</v>
      </c>
      <c r="Q38" s="8">
        <f>SUMPRODUCT((raw!$A$2:$A$9876='2019-20_working'!$A$2)*(raw!$B$2:$B$9876='2019-20_working'!$A38)*(raw!$E$2:$E$9876='2019-20_working'!$K$6)*(raw!$F$2:$F$9876='2019-20_working'!Q$7)*(raw!$G$2:$G$9876))</f>
        <v>0</v>
      </c>
      <c r="R38" s="8">
        <f>SUMPRODUCT((raw!$A$2:$A$9876='2019-20_working'!$A$2)*(raw!$B$2:$B$9876='2019-20_working'!$A38)*(raw!$E$2:$E$9876='2019-20_working'!$K$6)*(raw!$F$2:$F$9876='2019-20_working'!R$7)*(raw!$G$2:$G$9876))</f>
        <v>31</v>
      </c>
      <c r="T38" s="8">
        <f>SUMPRODUCT((raw!$A$2:$A$9876='2019-20_working'!$A$2)*(raw!$B$2:$B$9876='2019-20_working'!$A38)*(raw!$E$2:$E$9876='2019-20_working'!$T$6)*(raw!$F$2:$F$9876='2019-20_working'!T$7)*(raw!$G$2:$G$9876))</f>
        <v>1</v>
      </c>
      <c r="U38" s="8">
        <f>SUMPRODUCT((raw!$A$2:$A$9876='2019-20_working'!$A$2)*(raw!$B$2:$B$9876='2019-20_working'!$A38)*(raw!$E$2:$E$9876='2019-20_working'!$T$6)*(raw!$F$2:$F$9876='2019-20_working'!U$7)*(raw!$G$2:$G$9876))</f>
        <v>0</v>
      </c>
      <c r="V38" s="8">
        <f>SUMPRODUCT((raw!$A$2:$A$9876='2019-20_working'!$A$2)*(raw!$B$2:$B$9876='2019-20_working'!$A38)*(raw!$E$2:$E$9876='2019-20_working'!$T$6)*(raw!$F$2:$F$9876='2019-20_working'!V$7)*(raw!$G$2:$G$9876))</f>
        <v>0</v>
      </c>
      <c r="W38" s="8">
        <f>SUMPRODUCT((raw!$A$2:$A$9876='2019-20_working'!$A$2)*(raw!$B$2:$B$9876='2019-20_working'!$A38)*(raw!$E$2:$E$9876='2019-20_working'!$T$6)*(raw!$F$2:$F$9876='2019-20_working'!W$7)*(raw!$G$2:$G$9876))</f>
        <v>0</v>
      </c>
      <c r="X38" s="8">
        <f>SUMPRODUCT((raw!$A$2:$A$9876='2019-20_working'!$A$2)*(raw!$B$2:$B$9876='2019-20_working'!$A38)*(raw!$E$2:$E$9876='2019-20_working'!$T$6)*(raw!$F$2:$F$9876='2019-20_working'!X$7)*(raw!$G$2:$G$9876))</f>
        <v>0</v>
      </c>
      <c r="Y38" s="8">
        <f>SUMPRODUCT((raw!$A$2:$A$9876='2019-20_working'!$A$2)*(raw!$B$2:$B$9876='2019-20_working'!$A38)*(raw!$E$2:$E$9876='2019-20_working'!$T$6)*(raw!$F$2:$F$9876='2019-20_working'!Y$7)*(raw!$G$2:$G$9876))</f>
        <v>0</v>
      </c>
      <c r="Z38" s="8">
        <f>SUMPRODUCT((raw!$A$2:$A$9876='2019-20_working'!$A$2)*(raw!$B$2:$B$9876='2019-20_working'!$A38)*(raw!$E$2:$E$9876='2019-20_working'!$T$6)*(raw!$F$2:$F$9876='2019-20_working'!Z$7)*(raw!$G$2:$G$9876))</f>
        <v>0</v>
      </c>
      <c r="AA38" s="8">
        <f>SUMPRODUCT((raw!$A$2:$A$9876='2019-20_working'!$A$2)*(raw!$B$2:$B$9876='2019-20_working'!$A38)*(raw!$E$2:$E$9876='2019-20_working'!$T$6)*(raw!$F$2:$F$9876='2019-20_working'!AA$7)*(raw!$G$2:$G$9876))</f>
        <v>2</v>
      </c>
      <c r="AC38" s="8">
        <f>SUMPRODUCT((raw!$A$2:$A$9876='2019-20_working'!$A$2)*(raw!$B$2:$B$9876='2019-20_working'!$A38)*(raw!$E$2:$E$9876='2019-20_working'!$AC$6)*(raw!$F$2:$F$9876='2019-20_working'!AC$7)*(raw!$G$2:$G$9876))</f>
        <v>6</v>
      </c>
      <c r="AD38" s="8">
        <f>SUMPRODUCT((raw!$A$2:$A$9876='2019-20_working'!$A$2)*(raw!$B$2:$B$9876='2019-20_working'!$A38)*(raw!$E$2:$E$9876='2019-20_working'!$AC$6)*(raw!$F$2:$F$9876='2019-20_working'!AD$7)*(raw!$G$2:$G$9876))</f>
        <v>0</v>
      </c>
      <c r="AE38" s="8">
        <f>SUMPRODUCT((raw!$A$2:$A$9876='2019-20_working'!$A$2)*(raw!$B$2:$B$9876='2019-20_working'!$A38)*(raw!$E$2:$E$9876='2019-20_working'!$AC$6)*(raw!$F$2:$F$9876='2019-20_working'!AE$7)*(raw!$G$2:$G$9876))</f>
        <v>0</v>
      </c>
      <c r="AF38" s="8">
        <f>SUMPRODUCT((raw!$A$2:$A$9876='2019-20_working'!$A$2)*(raw!$B$2:$B$9876='2019-20_working'!$A38)*(raw!$E$2:$E$9876='2019-20_working'!$AC$6)*(raw!$F$2:$F$9876='2019-20_working'!AF$7)*(raw!$G$2:$G$9876))</f>
        <v>0</v>
      </c>
      <c r="AG38" s="8">
        <f>SUMPRODUCT((raw!$A$2:$A$9876='2019-20_working'!$A$2)*(raw!$B$2:$B$9876='2019-20_working'!$A38)*(raw!$E$2:$E$9876='2019-20_working'!$AC$6)*(raw!$F$2:$F$9876='2019-20_working'!AG$7)*(raw!$G$2:$G$9876))</f>
        <v>0</v>
      </c>
      <c r="AH38" s="8">
        <f>SUMPRODUCT((raw!$A$2:$A$9876='2019-20_working'!$A$2)*(raw!$B$2:$B$9876='2019-20_working'!$A38)*(raw!$E$2:$E$9876='2019-20_working'!$AC$6)*(raw!$F$2:$F$9876='2019-20_working'!AH$7)*(raw!$G$2:$G$9876))</f>
        <v>0</v>
      </c>
      <c r="AI38" s="8">
        <f>SUMPRODUCT((raw!$A$2:$A$9876='2019-20_working'!$A$2)*(raw!$B$2:$B$9876='2019-20_working'!$A38)*(raw!$E$2:$E$9876='2019-20_working'!$AC$6)*(raw!$F$2:$F$9876='2019-20_working'!AI$7)*(raw!$G$2:$G$9876))</f>
        <v>0</v>
      </c>
      <c r="AJ38" s="8">
        <f>SUMPRODUCT((raw!$A$2:$A$9876='2019-20_working'!$A$2)*(raw!$B$2:$B$9876='2019-20_working'!$A38)*(raw!$E$2:$E$9876='2019-20_working'!$AC$6)*(raw!$F$2:$F$9876='2019-20_working'!AJ$7)*(raw!$G$2:$G$9876))</f>
        <v>14</v>
      </c>
    </row>
    <row r="39" spans="1:36" x14ac:dyDescent="0.3">
      <c r="A39" s="8" t="s">
        <v>46</v>
      </c>
      <c r="B39" s="8">
        <f>SUMPRODUCT((raw!$A$2:$A$9876='2019-20_working'!$A$2)*(raw!$B$2:$B$9876='2019-20_working'!$A39)*(raw!$E$2:$E$9876='2019-20_working'!$B$6:$I$6)*(raw!$F$2:$F$9876='2019-20_working'!B$7)*(raw!$G$2:$G$9876))</f>
        <v>0</v>
      </c>
      <c r="C39" s="8">
        <f>SUMPRODUCT((raw!$A$2:$A$9876='2019-20_working'!$A$2)*(raw!$B$2:$B$9876='2019-20_working'!$A39)*(raw!$E$2:$E$9876='2019-20_working'!$B$6:$I$6)*(raw!$F$2:$F$9876='2019-20_working'!C$7)*(raw!$G$2:$G$9876))</f>
        <v>0</v>
      </c>
      <c r="D39" s="8">
        <f>SUMPRODUCT((raw!$A$2:$A$9876='2019-20_working'!$A$2)*(raw!$B$2:$B$9876='2019-20_working'!$A39)*(raw!$E$2:$E$9876='2019-20_working'!$B$6:$I$6)*(raw!$F$2:$F$9876='2019-20_working'!D$7)*(raw!$G$2:$G$9876))</f>
        <v>0</v>
      </c>
      <c r="E39" s="8">
        <f>SUMPRODUCT((raw!$A$2:$A$9876='2019-20_working'!$A$2)*(raw!$B$2:$B$9876='2019-20_working'!$A39)*(raw!$E$2:$E$9876='2019-20_working'!$B$6:$I$6)*(raw!$F$2:$F$9876='2019-20_working'!E$7)*(raw!$G$2:$G$9876))</f>
        <v>0</v>
      </c>
      <c r="F39" s="8">
        <f>SUMPRODUCT((raw!$A$2:$A$9876='2019-20_working'!$A$2)*(raw!$B$2:$B$9876='2019-20_working'!$A39)*(raw!$E$2:$E$9876='2019-20_working'!$B$6:$I$6)*(raw!$F$2:$F$9876='2019-20_working'!F$7)*(raw!$G$2:$G$9876))</f>
        <v>0</v>
      </c>
      <c r="G39" s="8">
        <f>SUMPRODUCT((raw!$A$2:$A$9876='2019-20_working'!$A$2)*(raw!$B$2:$B$9876='2019-20_working'!$A39)*(raw!$E$2:$E$9876='2019-20_working'!$B$6:$I$6)*(raw!$F$2:$F$9876='2019-20_working'!G$7)*(raw!$G$2:$G$9876))</f>
        <v>0</v>
      </c>
      <c r="H39" s="8">
        <f>SUMPRODUCT((raw!$A$2:$A$9876='2019-20_working'!$A$2)*(raw!$B$2:$B$9876='2019-20_working'!$A39)*(raw!$E$2:$E$9876='2019-20_working'!$B$6:$I$6)*(raw!$F$2:$F$9876='2019-20_working'!H$7)*(raw!$G$2:$G$9876))</f>
        <v>0</v>
      </c>
      <c r="I39" s="8">
        <f>SUMPRODUCT((raw!$A$2:$A$9876='2019-20_working'!$A$2)*(raw!$B$2:$B$9876='2019-20_working'!$A39)*(raw!$E$2:$E$9876='2019-20_working'!$B$6:$I$6)*(raw!$F$2:$F$9876='2019-20_working'!I$7)*(raw!$G$2:$G$9876))</f>
        <v>13</v>
      </c>
      <c r="K39" s="8">
        <f>SUMPRODUCT((raw!$A$2:$A$9876='2019-20_working'!$A$2)*(raw!$B$2:$B$9876='2019-20_working'!$A39)*(raw!$E$2:$E$9876='2019-20_working'!$K$6)*(raw!$F$2:$F$9876='2019-20_working'!K$7)*(raw!$G$2:$G$9876))</f>
        <v>0</v>
      </c>
      <c r="L39" s="8">
        <f>SUMPRODUCT((raw!$A$2:$A$9876='2019-20_working'!$A$2)*(raw!$B$2:$B$9876='2019-20_working'!$A39)*(raw!$E$2:$E$9876='2019-20_working'!$K$6)*(raw!$F$2:$F$9876='2019-20_working'!L$7)*(raw!$G$2:$G$9876))</f>
        <v>0</v>
      </c>
      <c r="M39" s="8">
        <f>SUMPRODUCT((raw!$A$2:$A$9876='2019-20_working'!$A$2)*(raw!$B$2:$B$9876='2019-20_working'!$A39)*(raw!$E$2:$E$9876='2019-20_working'!$K$6)*(raw!$F$2:$F$9876='2019-20_working'!M$7)*(raw!$G$2:$G$9876))</f>
        <v>0</v>
      </c>
      <c r="N39" s="8">
        <f>SUMPRODUCT((raw!$A$2:$A$9876='2019-20_working'!$A$2)*(raw!$B$2:$B$9876='2019-20_working'!$A39)*(raw!$E$2:$E$9876='2019-20_working'!$K$6)*(raw!$F$2:$F$9876='2019-20_working'!N$7)*(raw!$G$2:$G$9876))</f>
        <v>0</v>
      </c>
      <c r="O39" s="8">
        <f>SUMPRODUCT((raw!$A$2:$A$9876='2019-20_working'!$A$2)*(raw!$B$2:$B$9876='2019-20_working'!$A39)*(raw!$E$2:$E$9876='2019-20_working'!$K$6)*(raw!$F$2:$F$9876='2019-20_working'!O$7)*(raw!$G$2:$G$9876))</f>
        <v>0</v>
      </c>
      <c r="P39" s="8">
        <f>SUMPRODUCT((raw!$A$2:$A$9876='2019-20_working'!$A$2)*(raw!$B$2:$B$9876='2019-20_working'!$A39)*(raw!$E$2:$E$9876='2019-20_working'!$K$6)*(raw!$F$2:$F$9876='2019-20_working'!P$7)*(raw!$G$2:$G$9876))</f>
        <v>0</v>
      </c>
      <c r="Q39" s="8">
        <f>SUMPRODUCT((raw!$A$2:$A$9876='2019-20_working'!$A$2)*(raw!$B$2:$B$9876='2019-20_working'!$A39)*(raw!$E$2:$E$9876='2019-20_working'!$K$6)*(raw!$F$2:$F$9876='2019-20_working'!Q$7)*(raw!$G$2:$G$9876))</f>
        <v>0</v>
      </c>
      <c r="R39" s="8">
        <f>SUMPRODUCT((raw!$A$2:$A$9876='2019-20_working'!$A$2)*(raw!$B$2:$B$9876='2019-20_working'!$A39)*(raw!$E$2:$E$9876='2019-20_working'!$K$6)*(raw!$F$2:$F$9876='2019-20_working'!R$7)*(raw!$G$2:$G$9876))</f>
        <v>14</v>
      </c>
      <c r="T39" s="8">
        <f>SUMPRODUCT((raw!$A$2:$A$9876='2019-20_working'!$A$2)*(raw!$B$2:$B$9876='2019-20_working'!$A39)*(raw!$E$2:$E$9876='2019-20_working'!$T$6)*(raw!$F$2:$F$9876='2019-20_working'!T$7)*(raw!$G$2:$G$9876))</f>
        <v>1</v>
      </c>
      <c r="U39" s="8">
        <f>SUMPRODUCT((raw!$A$2:$A$9876='2019-20_working'!$A$2)*(raw!$B$2:$B$9876='2019-20_working'!$A39)*(raw!$E$2:$E$9876='2019-20_working'!$T$6)*(raw!$F$2:$F$9876='2019-20_working'!U$7)*(raw!$G$2:$G$9876))</f>
        <v>0</v>
      </c>
      <c r="V39" s="8">
        <f>SUMPRODUCT((raw!$A$2:$A$9876='2019-20_working'!$A$2)*(raw!$B$2:$B$9876='2019-20_working'!$A39)*(raw!$E$2:$E$9876='2019-20_working'!$T$6)*(raw!$F$2:$F$9876='2019-20_working'!V$7)*(raw!$G$2:$G$9876))</f>
        <v>0</v>
      </c>
      <c r="W39" s="8">
        <f>SUMPRODUCT((raw!$A$2:$A$9876='2019-20_working'!$A$2)*(raw!$B$2:$B$9876='2019-20_working'!$A39)*(raw!$E$2:$E$9876='2019-20_working'!$T$6)*(raw!$F$2:$F$9876='2019-20_working'!W$7)*(raw!$G$2:$G$9876))</f>
        <v>0</v>
      </c>
      <c r="X39" s="8">
        <f>SUMPRODUCT((raw!$A$2:$A$9876='2019-20_working'!$A$2)*(raw!$B$2:$B$9876='2019-20_working'!$A39)*(raw!$E$2:$E$9876='2019-20_working'!$T$6)*(raw!$F$2:$F$9876='2019-20_working'!X$7)*(raw!$G$2:$G$9876))</f>
        <v>0</v>
      </c>
      <c r="Y39" s="8">
        <f>SUMPRODUCT((raw!$A$2:$A$9876='2019-20_working'!$A$2)*(raw!$B$2:$B$9876='2019-20_working'!$A39)*(raw!$E$2:$E$9876='2019-20_working'!$T$6)*(raw!$F$2:$F$9876='2019-20_working'!Y$7)*(raw!$G$2:$G$9876))</f>
        <v>0</v>
      </c>
      <c r="Z39" s="8">
        <f>SUMPRODUCT((raw!$A$2:$A$9876='2019-20_working'!$A$2)*(raw!$B$2:$B$9876='2019-20_working'!$A39)*(raw!$E$2:$E$9876='2019-20_working'!$T$6)*(raw!$F$2:$F$9876='2019-20_working'!Z$7)*(raw!$G$2:$G$9876))</f>
        <v>0</v>
      </c>
      <c r="AA39" s="8">
        <f>SUMPRODUCT((raw!$A$2:$A$9876='2019-20_working'!$A$2)*(raw!$B$2:$B$9876='2019-20_working'!$A39)*(raw!$E$2:$E$9876='2019-20_working'!$T$6)*(raw!$F$2:$F$9876='2019-20_working'!AA$7)*(raw!$G$2:$G$9876))</f>
        <v>0</v>
      </c>
      <c r="AC39" s="8">
        <f>SUMPRODUCT((raw!$A$2:$A$9876='2019-20_working'!$A$2)*(raw!$B$2:$B$9876='2019-20_working'!$A39)*(raw!$E$2:$E$9876='2019-20_working'!$AC$6)*(raw!$F$2:$F$9876='2019-20_working'!AC$7)*(raw!$G$2:$G$9876))</f>
        <v>3</v>
      </c>
      <c r="AD39" s="8">
        <f>SUMPRODUCT((raw!$A$2:$A$9876='2019-20_working'!$A$2)*(raw!$B$2:$B$9876='2019-20_working'!$A39)*(raw!$E$2:$E$9876='2019-20_working'!$AC$6)*(raw!$F$2:$F$9876='2019-20_working'!AD$7)*(raw!$G$2:$G$9876))</f>
        <v>0</v>
      </c>
      <c r="AE39" s="8">
        <f>SUMPRODUCT((raw!$A$2:$A$9876='2019-20_working'!$A$2)*(raw!$B$2:$B$9876='2019-20_working'!$A39)*(raw!$E$2:$E$9876='2019-20_working'!$AC$6)*(raw!$F$2:$F$9876='2019-20_working'!AE$7)*(raw!$G$2:$G$9876))</f>
        <v>0</v>
      </c>
      <c r="AF39" s="8">
        <f>SUMPRODUCT((raw!$A$2:$A$9876='2019-20_working'!$A$2)*(raw!$B$2:$B$9876='2019-20_working'!$A39)*(raw!$E$2:$E$9876='2019-20_working'!$AC$6)*(raw!$F$2:$F$9876='2019-20_working'!AF$7)*(raw!$G$2:$G$9876))</f>
        <v>0</v>
      </c>
      <c r="AG39" s="8">
        <f>SUMPRODUCT((raw!$A$2:$A$9876='2019-20_working'!$A$2)*(raw!$B$2:$B$9876='2019-20_working'!$A39)*(raw!$E$2:$E$9876='2019-20_working'!$AC$6)*(raw!$F$2:$F$9876='2019-20_working'!AG$7)*(raw!$G$2:$G$9876))</f>
        <v>0</v>
      </c>
      <c r="AH39" s="8">
        <f>SUMPRODUCT((raw!$A$2:$A$9876='2019-20_working'!$A$2)*(raw!$B$2:$B$9876='2019-20_working'!$A39)*(raw!$E$2:$E$9876='2019-20_working'!$AC$6)*(raw!$F$2:$F$9876='2019-20_working'!AH$7)*(raw!$G$2:$G$9876))</f>
        <v>0</v>
      </c>
      <c r="AI39" s="8">
        <f>SUMPRODUCT((raw!$A$2:$A$9876='2019-20_working'!$A$2)*(raw!$B$2:$B$9876='2019-20_working'!$A39)*(raw!$E$2:$E$9876='2019-20_working'!$AC$6)*(raw!$F$2:$F$9876='2019-20_working'!AI$7)*(raw!$G$2:$G$9876))</f>
        <v>0</v>
      </c>
      <c r="AJ39" s="8">
        <f>SUMPRODUCT((raw!$A$2:$A$9876='2019-20_working'!$A$2)*(raw!$B$2:$B$9876='2019-20_working'!$A39)*(raw!$E$2:$E$9876='2019-20_working'!$AC$6)*(raw!$F$2:$F$9876='2019-20_working'!AJ$7)*(raw!$G$2:$G$9876))</f>
        <v>0</v>
      </c>
    </row>
    <row r="40" spans="1:36" x14ac:dyDescent="0.3">
      <c r="A40" s="8" t="s">
        <v>47</v>
      </c>
      <c r="B40" s="8">
        <f>SUMPRODUCT((raw!$A$2:$A$9876='2019-20_working'!$A$2)*(raw!$B$2:$B$9876='2019-20_working'!$A40)*(raw!$E$2:$E$9876='2019-20_working'!$B$6:$I$6)*(raw!$F$2:$F$9876='2019-20_working'!B$7)*(raw!$G$2:$G$9876))</f>
        <v>6</v>
      </c>
      <c r="C40" s="8">
        <f>SUMPRODUCT((raw!$A$2:$A$9876='2019-20_working'!$A$2)*(raw!$B$2:$B$9876='2019-20_working'!$A40)*(raw!$E$2:$E$9876='2019-20_working'!$B$6:$I$6)*(raw!$F$2:$F$9876='2019-20_working'!C$7)*(raw!$G$2:$G$9876))</f>
        <v>0</v>
      </c>
      <c r="D40" s="8">
        <f>SUMPRODUCT((raw!$A$2:$A$9876='2019-20_working'!$A$2)*(raw!$B$2:$B$9876='2019-20_working'!$A40)*(raw!$E$2:$E$9876='2019-20_working'!$B$6:$I$6)*(raw!$F$2:$F$9876='2019-20_working'!D$7)*(raw!$G$2:$G$9876))</f>
        <v>1</v>
      </c>
      <c r="E40" s="8">
        <f>SUMPRODUCT((raw!$A$2:$A$9876='2019-20_working'!$A$2)*(raw!$B$2:$B$9876='2019-20_working'!$A40)*(raw!$E$2:$E$9876='2019-20_working'!$B$6:$I$6)*(raw!$F$2:$F$9876='2019-20_working'!E$7)*(raw!$G$2:$G$9876))</f>
        <v>0</v>
      </c>
      <c r="F40" s="8">
        <f>SUMPRODUCT((raw!$A$2:$A$9876='2019-20_working'!$A$2)*(raw!$B$2:$B$9876='2019-20_working'!$A40)*(raw!$E$2:$E$9876='2019-20_working'!$B$6:$I$6)*(raw!$F$2:$F$9876='2019-20_working'!F$7)*(raw!$G$2:$G$9876))</f>
        <v>1</v>
      </c>
      <c r="G40" s="8">
        <f>SUMPRODUCT((raw!$A$2:$A$9876='2019-20_working'!$A$2)*(raw!$B$2:$B$9876='2019-20_working'!$A40)*(raw!$E$2:$E$9876='2019-20_working'!$B$6:$I$6)*(raw!$F$2:$F$9876='2019-20_working'!G$7)*(raw!$G$2:$G$9876))</f>
        <v>0</v>
      </c>
      <c r="H40" s="8">
        <f>SUMPRODUCT((raw!$A$2:$A$9876='2019-20_working'!$A$2)*(raw!$B$2:$B$9876='2019-20_working'!$A40)*(raw!$E$2:$E$9876='2019-20_working'!$B$6:$I$6)*(raw!$F$2:$F$9876='2019-20_working'!H$7)*(raw!$G$2:$G$9876))</f>
        <v>0</v>
      </c>
      <c r="I40" s="8">
        <f>SUMPRODUCT((raw!$A$2:$A$9876='2019-20_working'!$A$2)*(raw!$B$2:$B$9876='2019-20_working'!$A40)*(raw!$E$2:$E$9876='2019-20_working'!$B$6:$I$6)*(raw!$F$2:$F$9876='2019-20_working'!I$7)*(raw!$G$2:$G$9876))</f>
        <v>0</v>
      </c>
      <c r="K40" s="8">
        <f>SUMPRODUCT((raw!$A$2:$A$9876='2019-20_working'!$A$2)*(raw!$B$2:$B$9876='2019-20_working'!$A40)*(raw!$E$2:$E$9876='2019-20_working'!$K$6)*(raw!$F$2:$F$9876='2019-20_working'!K$7)*(raw!$G$2:$G$9876))</f>
        <v>13</v>
      </c>
      <c r="L40" s="8">
        <f>SUMPRODUCT((raw!$A$2:$A$9876='2019-20_working'!$A$2)*(raw!$B$2:$B$9876='2019-20_working'!$A40)*(raw!$E$2:$E$9876='2019-20_working'!$K$6)*(raw!$F$2:$F$9876='2019-20_working'!L$7)*(raw!$G$2:$G$9876))</f>
        <v>1</v>
      </c>
      <c r="M40" s="8">
        <f>SUMPRODUCT((raw!$A$2:$A$9876='2019-20_working'!$A$2)*(raw!$B$2:$B$9876='2019-20_working'!$A40)*(raw!$E$2:$E$9876='2019-20_working'!$K$6)*(raw!$F$2:$F$9876='2019-20_working'!M$7)*(raw!$G$2:$G$9876))</f>
        <v>1</v>
      </c>
      <c r="N40" s="8">
        <f>SUMPRODUCT((raw!$A$2:$A$9876='2019-20_working'!$A$2)*(raw!$B$2:$B$9876='2019-20_working'!$A40)*(raw!$E$2:$E$9876='2019-20_working'!$K$6)*(raw!$F$2:$F$9876='2019-20_working'!N$7)*(raw!$G$2:$G$9876))</f>
        <v>0</v>
      </c>
      <c r="O40" s="8">
        <f>SUMPRODUCT((raw!$A$2:$A$9876='2019-20_working'!$A$2)*(raw!$B$2:$B$9876='2019-20_working'!$A40)*(raw!$E$2:$E$9876='2019-20_working'!$K$6)*(raw!$F$2:$F$9876='2019-20_working'!O$7)*(raw!$G$2:$G$9876))</f>
        <v>0</v>
      </c>
      <c r="P40" s="8">
        <f>SUMPRODUCT((raw!$A$2:$A$9876='2019-20_working'!$A$2)*(raw!$B$2:$B$9876='2019-20_working'!$A40)*(raw!$E$2:$E$9876='2019-20_working'!$K$6)*(raw!$F$2:$F$9876='2019-20_working'!P$7)*(raw!$G$2:$G$9876))</f>
        <v>0</v>
      </c>
      <c r="Q40" s="8">
        <f>SUMPRODUCT((raw!$A$2:$A$9876='2019-20_working'!$A$2)*(raw!$B$2:$B$9876='2019-20_working'!$A40)*(raw!$E$2:$E$9876='2019-20_working'!$K$6)*(raw!$F$2:$F$9876='2019-20_working'!Q$7)*(raw!$G$2:$G$9876))</f>
        <v>0</v>
      </c>
      <c r="R40" s="8">
        <f>SUMPRODUCT((raw!$A$2:$A$9876='2019-20_working'!$A$2)*(raw!$B$2:$B$9876='2019-20_working'!$A40)*(raw!$E$2:$E$9876='2019-20_working'!$K$6)*(raw!$F$2:$F$9876='2019-20_working'!R$7)*(raw!$G$2:$G$9876))</f>
        <v>0</v>
      </c>
      <c r="T40" s="8">
        <f>SUMPRODUCT((raw!$A$2:$A$9876='2019-20_working'!$A$2)*(raw!$B$2:$B$9876='2019-20_working'!$A40)*(raw!$E$2:$E$9876='2019-20_working'!$T$6)*(raw!$F$2:$F$9876='2019-20_working'!T$7)*(raw!$G$2:$G$9876))</f>
        <v>0</v>
      </c>
      <c r="U40" s="8">
        <f>SUMPRODUCT((raw!$A$2:$A$9876='2019-20_working'!$A$2)*(raw!$B$2:$B$9876='2019-20_working'!$A40)*(raw!$E$2:$E$9876='2019-20_working'!$T$6)*(raw!$F$2:$F$9876='2019-20_working'!U$7)*(raw!$G$2:$G$9876))</f>
        <v>0</v>
      </c>
      <c r="V40" s="8">
        <f>SUMPRODUCT((raw!$A$2:$A$9876='2019-20_working'!$A$2)*(raw!$B$2:$B$9876='2019-20_working'!$A40)*(raw!$E$2:$E$9876='2019-20_working'!$T$6)*(raw!$F$2:$F$9876='2019-20_working'!V$7)*(raw!$G$2:$G$9876))</f>
        <v>0</v>
      </c>
      <c r="W40" s="8">
        <f>SUMPRODUCT((raw!$A$2:$A$9876='2019-20_working'!$A$2)*(raw!$B$2:$B$9876='2019-20_working'!$A40)*(raw!$E$2:$E$9876='2019-20_working'!$T$6)*(raw!$F$2:$F$9876='2019-20_working'!W$7)*(raw!$G$2:$G$9876))</f>
        <v>0</v>
      </c>
      <c r="X40" s="8">
        <f>SUMPRODUCT((raw!$A$2:$A$9876='2019-20_working'!$A$2)*(raw!$B$2:$B$9876='2019-20_working'!$A40)*(raw!$E$2:$E$9876='2019-20_working'!$T$6)*(raw!$F$2:$F$9876='2019-20_working'!X$7)*(raw!$G$2:$G$9876))</f>
        <v>0</v>
      </c>
      <c r="Y40" s="8">
        <f>SUMPRODUCT((raw!$A$2:$A$9876='2019-20_working'!$A$2)*(raw!$B$2:$B$9876='2019-20_working'!$A40)*(raw!$E$2:$E$9876='2019-20_working'!$T$6)*(raw!$F$2:$F$9876='2019-20_working'!Y$7)*(raw!$G$2:$G$9876))</f>
        <v>0</v>
      </c>
      <c r="Z40" s="8">
        <f>SUMPRODUCT((raw!$A$2:$A$9876='2019-20_working'!$A$2)*(raw!$B$2:$B$9876='2019-20_working'!$A40)*(raw!$E$2:$E$9876='2019-20_working'!$T$6)*(raw!$F$2:$F$9876='2019-20_working'!Z$7)*(raw!$G$2:$G$9876))</f>
        <v>0</v>
      </c>
      <c r="AA40" s="8">
        <f>SUMPRODUCT((raw!$A$2:$A$9876='2019-20_working'!$A$2)*(raw!$B$2:$B$9876='2019-20_working'!$A40)*(raw!$E$2:$E$9876='2019-20_working'!$T$6)*(raw!$F$2:$F$9876='2019-20_working'!AA$7)*(raw!$G$2:$G$9876))</f>
        <v>0</v>
      </c>
      <c r="AC40" s="8">
        <f>SUMPRODUCT((raw!$A$2:$A$9876='2019-20_working'!$A$2)*(raw!$B$2:$B$9876='2019-20_working'!$A40)*(raw!$E$2:$E$9876='2019-20_working'!$AC$6)*(raw!$F$2:$F$9876='2019-20_working'!AC$7)*(raw!$G$2:$G$9876))</f>
        <v>15</v>
      </c>
      <c r="AD40" s="8">
        <f>SUMPRODUCT((raw!$A$2:$A$9876='2019-20_working'!$A$2)*(raw!$B$2:$B$9876='2019-20_working'!$A40)*(raw!$E$2:$E$9876='2019-20_working'!$AC$6)*(raw!$F$2:$F$9876='2019-20_working'!AD$7)*(raw!$G$2:$G$9876))</f>
        <v>0</v>
      </c>
      <c r="AE40" s="8">
        <f>SUMPRODUCT((raw!$A$2:$A$9876='2019-20_working'!$A$2)*(raw!$B$2:$B$9876='2019-20_working'!$A40)*(raw!$E$2:$E$9876='2019-20_working'!$AC$6)*(raw!$F$2:$F$9876='2019-20_working'!AE$7)*(raw!$G$2:$G$9876))</f>
        <v>0</v>
      </c>
      <c r="AF40" s="8">
        <f>SUMPRODUCT((raw!$A$2:$A$9876='2019-20_working'!$A$2)*(raw!$B$2:$B$9876='2019-20_working'!$A40)*(raw!$E$2:$E$9876='2019-20_working'!$AC$6)*(raw!$F$2:$F$9876='2019-20_working'!AF$7)*(raw!$G$2:$G$9876))</f>
        <v>1</v>
      </c>
      <c r="AG40" s="8">
        <f>SUMPRODUCT((raw!$A$2:$A$9876='2019-20_working'!$A$2)*(raw!$B$2:$B$9876='2019-20_working'!$A40)*(raw!$E$2:$E$9876='2019-20_working'!$AC$6)*(raw!$F$2:$F$9876='2019-20_working'!AG$7)*(raw!$G$2:$G$9876))</f>
        <v>0</v>
      </c>
      <c r="AH40" s="8">
        <f>SUMPRODUCT((raw!$A$2:$A$9876='2019-20_working'!$A$2)*(raw!$B$2:$B$9876='2019-20_working'!$A40)*(raw!$E$2:$E$9876='2019-20_working'!$AC$6)*(raw!$F$2:$F$9876='2019-20_working'!AH$7)*(raw!$G$2:$G$9876))</f>
        <v>0</v>
      </c>
      <c r="AI40" s="8">
        <f>SUMPRODUCT((raw!$A$2:$A$9876='2019-20_working'!$A$2)*(raw!$B$2:$B$9876='2019-20_working'!$A40)*(raw!$E$2:$E$9876='2019-20_working'!$AC$6)*(raw!$F$2:$F$9876='2019-20_working'!AI$7)*(raw!$G$2:$G$9876))</f>
        <v>0</v>
      </c>
      <c r="AJ40" s="8">
        <f>SUMPRODUCT((raw!$A$2:$A$9876='2019-20_working'!$A$2)*(raw!$B$2:$B$9876='2019-20_working'!$A40)*(raw!$E$2:$E$9876='2019-20_working'!$AC$6)*(raw!$F$2:$F$9876='2019-20_working'!AJ$7)*(raw!$G$2:$G$9876))</f>
        <v>7</v>
      </c>
    </row>
    <row r="41" spans="1:36" x14ac:dyDescent="0.3">
      <c r="A41" s="8" t="s">
        <v>48</v>
      </c>
      <c r="B41" s="8">
        <f>SUMPRODUCT((raw!$A$2:$A$9876='2019-20_working'!$A$2)*(raw!$B$2:$B$9876='2019-20_working'!$A41)*(raw!$E$2:$E$9876='2019-20_working'!$B$6:$I$6)*(raw!$F$2:$F$9876='2019-20_working'!B$7)*(raw!$G$2:$G$9876))</f>
        <v>14</v>
      </c>
      <c r="C41" s="8">
        <f>SUMPRODUCT((raw!$A$2:$A$9876='2019-20_working'!$A$2)*(raw!$B$2:$B$9876='2019-20_working'!$A41)*(raw!$E$2:$E$9876='2019-20_working'!$B$6:$I$6)*(raw!$F$2:$F$9876='2019-20_working'!C$7)*(raw!$G$2:$G$9876))</f>
        <v>0</v>
      </c>
      <c r="D41" s="8">
        <f>SUMPRODUCT((raw!$A$2:$A$9876='2019-20_working'!$A$2)*(raw!$B$2:$B$9876='2019-20_working'!$A41)*(raw!$E$2:$E$9876='2019-20_working'!$B$6:$I$6)*(raw!$F$2:$F$9876='2019-20_working'!D$7)*(raw!$G$2:$G$9876))</f>
        <v>0</v>
      </c>
      <c r="E41" s="8">
        <f>SUMPRODUCT((raw!$A$2:$A$9876='2019-20_working'!$A$2)*(raw!$B$2:$B$9876='2019-20_working'!$A41)*(raw!$E$2:$E$9876='2019-20_working'!$B$6:$I$6)*(raw!$F$2:$F$9876='2019-20_working'!E$7)*(raw!$G$2:$G$9876))</f>
        <v>0</v>
      </c>
      <c r="F41" s="8">
        <f>SUMPRODUCT((raw!$A$2:$A$9876='2019-20_working'!$A$2)*(raw!$B$2:$B$9876='2019-20_working'!$A41)*(raw!$E$2:$E$9876='2019-20_working'!$B$6:$I$6)*(raw!$F$2:$F$9876='2019-20_working'!F$7)*(raw!$G$2:$G$9876))</f>
        <v>0</v>
      </c>
      <c r="G41" s="8">
        <f>SUMPRODUCT((raw!$A$2:$A$9876='2019-20_working'!$A$2)*(raw!$B$2:$B$9876='2019-20_working'!$A41)*(raw!$E$2:$E$9876='2019-20_working'!$B$6:$I$6)*(raw!$F$2:$F$9876='2019-20_working'!G$7)*(raw!$G$2:$G$9876))</f>
        <v>0</v>
      </c>
      <c r="H41" s="8">
        <f>SUMPRODUCT((raw!$A$2:$A$9876='2019-20_working'!$A$2)*(raw!$B$2:$B$9876='2019-20_working'!$A41)*(raw!$E$2:$E$9876='2019-20_working'!$B$6:$I$6)*(raw!$F$2:$F$9876='2019-20_working'!H$7)*(raw!$G$2:$G$9876))</f>
        <v>0</v>
      </c>
      <c r="I41" s="8">
        <f>SUMPRODUCT((raw!$A$2:$A$9876='2019-20_working'!$A$2)*(raw!$B$2:$B$9876='2019-20_working'!$A41)*(raw!$E$2:$E$9876='2019-20_working'!$B$6:$I$6)*(raw!$F$2:$F$9876='2019-20_working'!I$7)*(raw!$G$2:$G$9876))</f>
        <v>4</v>
      </c>
      <c r="K41" s="8">
        <f>SUMPRODUCT((raw!$A$2:$A$9876='2019-20_working'!$A$2)*(raw!$B$2:$B$9876='2019-20_working'!$A41)*(raw!$E$2:$E$9876='2019-20_working'!$K$6)*(raw!$F$2:$F$9876='2019-20_working'!K$7)*(raw!$G$2:$G$9876))</f>
        <v>50</v>
      </c>
      <c r="L41" s="8">
        <f>SUMPRODUCT((raw!$A$2:$A$9876='2019-20_working'!$A$2)*(raw!$B$2:$B$9876='2019-20_working'!$A41)*(raw!$E$2:$E$9876='2019-20_working'!$K$6)*(raw!$F$2:$F$9876='2019-20_working'!L$7)*(raw!$G$2:$G$9876))</f>
        <v>3</v>
      </c>
      <c r="M41" s="8">
        <f>SUMPRODUCT((raw!$A$2:$A$9876='2019-20_working'!$A$2)*(raw!$B$2:$B$9876='2019-20_working'!$A41)*(raw!$E$2:$E$9876='2019-20_working'!$K$6)*(raw!$F$2:$F$9876='2019-20_working'!M$7)*(raw!$G$2:$G$9876))</f>
        <v>1</v>
      </c>
      <c r="N41" s="8">
        <f>SUMPRODUCT((raw!$A$2:$A$9876='2019-20_working'!$A$2)*(raw!$B$2:$B$9876='2019-20_working'!$A41)*(raw!$E$2:$E$9876='2019-20_working'!$K$6)*(raw!$F$2:$F$9876='2019-20_working'!N$7)*(raw!$G$2:$G$9876))</f>
        <v>0</v>
      </c>
      <c r="O41" s="8">
        <f>SUMPRODUCT((raw!$A$2:$A$9876='2019-20_working'!$A$2)*(raw!$B$2:$B$9876='2019-20_working'!$A41)*(raw!$E$2:$E$9876='2019-20_working'!$K$6)*(raw!$F$2:$F$9876='2019-20_working'!O$7)*(raw!$G$2:$G$9876))</f>
        <v>0</v>
      </c>
      <c r="P41" s="8">
        <f>SUMPRODUCT((raw!$A$2:$A$9876='2019-20_working'!$A$2)*(raw!$B$2:$B$9876='2019-20_working'!$A41)*(raw!$E$2:$E$9876='2019-20_working'!$K$6)*(raw!$F$2:$F$9876='2019-20_working'!P$7)*(raw!$G$2:$G$9876))</f>
        <v>0</v>
      </c>
      <c r="Q41" s="8">
        <f>SUMPRODUCT((raw!$A$2:$A$9876='2019-20_working'!$A$2)*(raw!$B$2:$B$9876='2019-20_working'!$A41)*(raw!$E$2:$E$9876='2019-20_working'!$K$6)*(raw!$F$2:$F$9876='2019-20_working'!Q$7)*(raw!$G$2:$G$9876))</f>
        <v>1</v>
      </c>
      <c r="R41" s="8">
        <f>SUMPRODUCT((raw!$A$2:$A$9876='2019-20_working'!$A$2)*(raw!$B$2:$B$9876='2019-20_working'!$A41)*(raw!$E$2:$E$9876='2019-20_working'!$K$6)*(raw!$F$2:$F$9876='2019-20_working'!R$7)*(raw!$G$2:$G$9876))</f>
        <v>5</v>
      </c>
      <c r="T41" s="8">
        <f>SUMPRODUCT((raw!$A$2:$A$9876='2019-20_working'!$A$2)*(raw!$B$2:$B$9876='2019-20_working'!$A41)*(raw!$E$2:$E$9876='2019-20_working'!$T$6)*(raw!$F$2:$F$9876='2019-20_working'!T$7)*(raw!$G$2:$G$9876))</f>
        <v>0</v>
      </c>
      <c r="U41" s="8">
        <f>SUMPRODUCT((raw!$A$2:$A$9876='2019-20_working'!$A$2)*(raw!$B$2:$B$9876='2019-20_working'!$A41)*(raw!$E$2:$E$9876='2019-20_working'!$T$6)*(raw!$F$2:$F$9876='2019-20_working'!U$7)*(raw!$G$2:$G$9876))</f>
        <v>0</v>
      </c>
      <c r="V41" s="8">
        <f>SUMPRODUCT((raw!$A$2:$A$9876='2019-20_working'!$A$2)*(raw!$B$2:$B$9876='2019-20_working'!$A41)*(raw!$E$2:$E$9876='2019-20_working'!$T$6)*(raw!$F$2:$F$9876='2019-20_working'!V$7)*(raw!$G$2:$G$9876))</f>
        <v>0</v>
      </c>
      <c r="W41" s="8">
        <f>SUMPRODUCT((raw!$A$2:$A$9876='2019-20_working'!$A$2)*(raw!$B$2:$B$9876='2019-20_working'!$A41)*(raw!$E$2:$E$9876='2019-20_working'!$T$6)*(raw!$F$2:$F$9876='2019-20_working'!W$7)*(raw!$G$2:$G$9876))</f>
        <v>0</v>
      </c>
      <c r="X41" s="8">
        <f>SUMPRODUCT((raw!$A$2:$A$9876='2019-20_working'!$A$2)*(raw!$B$2:$B$9876='2019-20_working'!$A41)*(raw!$E$2:$E$9876='2019-20_working'!$T$6)*(raw!$F$2:$F$9876='2019-20_working'!X$7)*(raw!$G$2:$G$9876))</f>
        <v>0</v>
      </c>
      <c r="Y41" s="8">
        <f>SUMPRODUCT((raw!$A$2:$A$9876='2019-20_working'!$A$2)*(raw!$B$2:$B$9876='2019-20_working'!$A41)*(raw!$E$2:$E$9876='2019-20_working'!$T$6)*(raw!$F$2:$F$9876='2019-20_working'!Y$7)*(raw!$G$2:$G$9876))</f>
        <v>0</v>
      </c>
      <c r="Z41" s="8">
        <f>SUMPRODUCT((raw!$A$2:$A$9876='2019-20_working'!$A$2)*(raw!$B$2:$B$9876='2019-20_working'!$A41)*(raw!$E$2:$E$9876='2019-20_working'!$T$6)*(raw!$F$2:$F$9876='2019-20_working'!Z$7)*(raw!$G$2:$G$9876))</f>
        <v>0</v>
      </c>
      <c r="AA41" s="8">
        <f>SUMPRODUCT((raw!$A$2:$A$9876='2019-20_working'!$A$2)*(raw!$B$2:$B$9876='2019-20_working'!$A41)*(raw!$E$2:$E$9876='2019-20_working'!$T$6)*(raw!$F$2:$F$9876='2019-20_working'!AA$7)*(raw!$G$2:$G$9876))</f>
        <v>0</v>
      </c>
      <c r="AC41" s="8">
        <f>SUMPRODUCT((raw!$A$2:$A$9876='2019-20_working'!$A$2)*(raw!$B$2:$B$9876='2019-20_working'!$A41)*(raw!$E$2:$E$9876='2019-20_working'!$AC$6)*(raw!$F$2:$F$9876='2019-20_working'!AC$7)*(raw!$G$2:$G$9876))</f>
        <v>10</v>
      </c>
      <c r="AD41" s="8">
        <f>SUMPRODUCT((raw!$A$2:$A$9876='2019-20_working'!$A$2)*(raw!$B$2:$B$9876='2019-20_working'!$A41)*(raw!$E$2:$E$9876='2019-20_working'!$AC$6)*(raw!$F$2:$F$9876='2019-20_working'!AD$7)*(raw!$G$2:$G$9876))</f>
        <v>3</v>
      </c>
      <c r="AE41" s="8">
        <f>SUMPRODUCT((raw!$A$2:$A$9876='2019-20_working'!$A$2)*(raw!$B$2:$B$9876='2019-20_working'!$A41)*(raw!$E$2:$E$9876='2019-20_working'!$AC$6)*(raw!$F$2:$F$9876='2019-20_working'!AE$7)*(raw!$G$2:$G$9876))</f>
        <v>0</v>
      </c>
      <c r="AF41" s="8">
        <f>SUMPRODUCT((raw!$A$2:$A$9876='2019-20_working'!$A$2)*(raw!$B$2:$B$9876='2019-20_working'!$A41)*(raw!$E$2:$E$9876='2019-20_working'!$AC$6)*(raw!$F$2:$F$9876='2019-20_working'!AF$7)*(raw!$G$2:$G$9876))</f>
        <v>0</v>
      </c>
      <c r="AG41" s="8">
        <f>SUMPRODUCT((raw!$A$2:$A$9876='2019-20_working'!$A$2)*(raw!$B$2:$B$9876='2019-20_working'!$A41)*(raw!$E$2:$E$9876='2019-20_working'!$AC$6)*(raw!$F$2:$F$9876='2019-20_working'!AG$7)*(raw!$G$2:$G$9876))</f>
        <v>0</v>
      </c>
      <c r="AH41" s="8">
        <f>SUMPRODUCT((raw!$A$2:$A$9876='2019-20_working'!$A$2)*(raw!$B$2:$B$9876='2019-20_working'!$A41)*(raw!$E$2:$E$9876='2019-20_working'!$AC$6)*(raw!$F$2:$F$9876='2019-20_working'!AH$7)*(raw!$G$2:$G$9876))</f>
        <v>0</v>
      </c>
      <c r="AI41" s="8">
        <f>SUMPRODUCT((raw!$A$2:$A$9876='2019-20_working'!$A$2)*(raw!$B$2:$B$9876='2019-20_working'!$A41)*(raw!$E$2:$E$9876='2019-20_working'!$AC$6)*(raw!$F$2:$F$9876='2019-20_working'!AI$7)*(raw!$G$2:$G$9876))</f>
        <v>0</v>
      </c>
      <c r="AJ41" s="8">
        <f>SUMPRODUCT((raw!$A$2:$A$9876='2019-20_working'!$A$2)*(raw!$B$2:$B$9876='2019-20_working'!$A41)*(raw!$E$2:$E$9876='2019-20_working'!$AC$6)*(raw!$F$2:$F$9876='2019-20_working'!AJ$7)*(raw!$G$2:$G$9876))</f>
        <v>2</v>
      </c>
    </row>
    <row r="42" spans="1:36" x14ac:dyDescent="0.3">
      <c r="A42" s="8" t="s">
        <v>49</v>
      </c>
      <c r="B42" s="8">
        <f>SUMPRODUCT((raw!$A$2:$A$9876='2019-20_working'!$A$2)*(raw!$B$2:$B$9876='2019-20_working'!$A42)*(raw!$E$2:$E$9876='2019-20_working'!$B$6:$I$6)*(raw!$F$2:$F$9876='2019-20_working'!B$7)*(raw!$G$2:$G$9876))</f>
        <v>5</v>
      </c>
      <c r="C42" s="8">
        <f>SUMPRODUCT((raw!$A$2:$A$9876='2019-20_working'!$A$2)*(raw!$B$2:$B$9876='2019-20_working'!$A42)*(raw!$E$2:$E$9876='2019-20_working'!$B$6:$I$6)*(raw!$F$2:$F$9876='2019-20_working'!C$7)*(raw!$G$2:$G$9876))</f>
        <v>2</v>
      </c>
      <c r="D42" s="8">
        <f>SUMPRODUCT((raw!$A$2:$A$9876='2019-20_working'!$A$2)*(raw!$B$2:$B$9876='2019-20_working'!$A42)*(raw!$E$2:$E$9876='2019-20_working'!$B$6:$I$6)*(raw!$F$2:$F$9876='2019-20_working'!D$7)*(raw!$G$2:$G$9876))</f>
        <v>1</v>
      </c>
      <c r="E42" s="8">
        <f>SUMPRODUCT((raw!$A$2:$A$9876='2019-20_working'!$A$2)*(raw!$B$2:$B$9876='2019-20_working'!$A42)*(raw!$E$2:$E$9876='2019-20_working'!$B$6:$I$6)*(raw!$F$2:$F$9876='2019-20_working'!E$7)*(raw!$G$2:$G$9876))</f>
        <v>0</v>
      </c>
      <c r="F42" s="8">
        <f>SUMPRODUCT((raw!$A$2:$A$9876='2019-20_working'!$A$2)*(raw!$B$2:$B$9876='2019-20_working'!$A42)*(raw!$E$2:$E$9876='2019-20_working'!$B$6:$I$6)*(raw!$F$2:$F$9876='2019-20_working'!F$7)*(raw!$G$2:$G$9876))</f>
        <v>0</v>
      </c>
      <c r="G42" s="8">
        <f>SUMPRODUCT((raw!$A$2:$A$9876='2019-20_working'!$A$2)*(raw!$B$2:$B$9876='2019-20_working'!$A42)*(raw!$E$2:$E$9876='2019-20_working'!$B$6:$I$6)*(raw!$F$2:$F$9876='2019-20_working'!G$7)*(raw!$G$2:$G$9876))</f>
        <v>0</v>
      </c>
      <c r="H42" s="8">
        <f>SUMPRODUCT((raw!$A$2:$A$9876='2019-20_working'!$A$2)*(raw!$B$2:$B$9876='2019-20_working'!$A42)*(raw!$E$2:$E$9876='2019-20_working'!$B$6:$I$6)*(raw!$F$2:$F$9876='2019-20_working'!H$7)*(raw!$G$2:$G$9876))</f>
        <v>0</v>
      </c>
      <c r="I42" s="8">
        <f>SUMPRODUCT((raw!$A$2:$A$9876='2019-20_working'!$A$2)*(raw!$B$2:$B$9876='2019-20_working'!$A42)*(raw!$E$2:$E$9876='2019-20_working'!$B$6:$I$6)*(raw!$F$2:$F$9876='2019-20_working'!I$7)*(raw!$G$2:$G$9876))</f>
        <v>2</v>
      </c>
      <c r="K42" s="8">
        <f>SUMPRODUCT((raw!$A$2:$A$9876='2019-20_working'!$A$2)*(raw!$B$2:$B$9876='2019-20_working'!$A42)*(raw!$E$2:$E$9876='2019-20_working'!$K$6)*(raw!$F$2:$F$9876='2019-20_working'!K$7)*(raw!$G$2:$G$9876))</f>
        <v>12</v>
      </c>
      <c r="L42" s="8">
        <f>SUMPRODUCT((raw!$A$2:$A$9876='2019-20_working'!$A$2)*(raw!$B$2:$B$9876='2019-20_working'!$A42)*(raw!$E$2:$E$9876='2019-20_working'!$K$6)*(raw!$F$2:$F$9876='2019-20_working'!L$7)*(raw!$G$2:$G$9876))</f>
        <v>2</v>
      </c>
      <c r="M42" s="8">
        <f>SUMPRODUCT((raw!$A$2:$A$9876='2019-20_working'!$A$2)*(raw!$B$2:$B$9876='2019-20_working'!$A42)*(raw!$E$2:$E$9876='2019-20_working'!$K$6)*(raw!$F$2:$F$9876='2019-20_working'!M$7)*(raw!$G$2:$G$9876))</f>
        <v>0</v>
      </c>
      <c r="N42" s="8">
        <f>SUMPRODUCT((raw!$A$2:$A$9876='2019-20_working'!$A$2)*(raw!$B$2:$B$9876='2019-20_working'!$A42)*(raw!$E$2:$E$9876='2019-20_working'!$K$6)*(raw!$F$2:$F$9876='2019-20_working'!N$7)*(raw!$G$2:$G$9876))</f>
        <v>1</v>
      </c>
      <c r="O42" s="8">
        <f>SUMPRODUCT((raw!$A$2:$A$9876='2019-20_working'!$A$2)*(raw!$B$2:$B$9876='2019-20_working'!$A42)*(raw!$E$2:$E$9876='2019-20_working'!$K$6)*(raw!$F$2:$F$9876='2019-20_working'!O$7)*(raw!$G$2:$G$9876))</f>
        <v>0</v>
      </c>
      <c r="P42" s="8">
        <f>SUMPRODUCT((raw!$A$2:$A$9876='2019-20_working'!$A$2)*(raw!$B$2:$B$9876='2019-20_working'!$A42)*(raw!$E$2:$E$9876='2019-20_working'!$K$6)*(raw!$F$2:$F$9876='2019-20_working'!P$7)*(raw!$G$2:$G$9876))</f>
        <v>0</v>
      </c>
      <c r="Q42" s="8">
        <f>SUMPRODUCT((raw!$A$2:$A$9876='2019-20_working'!$A$2)*(raw!$B$2:$B$9876='2019-20_working'!$A42)*(raw!$E$2:$E$9876='2019-20_working'!$K$6)*(raw!$F$2:$F$9876='2019-20_working'!Q$7)*(raw!$G$2:$G$9876))</f>
        <v>1</v>
      </c>
      <c r="R42" s="8">
        <f>SUMPRODUCT((raw!$A$2:$A$9876='2019-20_working'!$A$2)*(raw!$B$2:$B$9876='2019-20_working'!$A42)*(raw!$E$2:$E$9876='2019-20_working'!$K$6)*(raw!$F$2:$F$9876='2019-20_working'!R$7)*(raw!$G$2:$G$9876))</f>
        <v>9</v>
      </c>
      <c r="T42" s="8">
        <f>SUMPRODUCT((raw!$A$2:$A$9876='2019-20_working'!$A$2)*(raw!$B$2:$B$9876='2019-20_working'!$A42)*(raw!$E$2:$E$9876='2019-20_working'!$T$6)*(raw!$F$2:$F$9876='2019-20_working'!T$7)*(raw!$G$2:$G$9876))</f>
        <v>0</v>
      </c>
      <c r="U42" s="8">
        <f>SUMPRODUCT((raw!$A$2:$A$9876='2019-20_working'!$A$2)*(raw!$B$2:$B$9876='2019-20_working'!$A42)*(raw!$E$2:$E$9876='2019-20_working'!$T$6)*(raw!$F$2:$F$9876='2019-20_working'!U$7)*(raw!$G$2:$G$9876))</f>
        <v>1</v>
      </c>
      <c r="V42" s="8">
        <f>SUMPRODUCT((raw!$A$2:$A$9876='2019-20_working'!$A$2)*(raw!$B$2:$B$9876='2019-20_working'!$A42)*(raw!$E$2:$E$9876='2019-20_working'!$T$6)*(raw!$F$2:$F$9876='2019-20_working'!V$7)*(raw!$G$2:$G$9876))</f>
        <v>0</v>
      </c>
      <c r="W42" s="8">
        <f>SUMPRODUCT((raw!$A$2:$A$9876='2019-20_working'!$A$2)*(raw!$B$2:$B$9876='2019-20_working'!$A42)*(raw!$E$2:$E$9876='2019-20_working'!$T$6)*(raw!$F$2:$F$9876='2019-20_working'!W$7)*(raw!$G$2:$G$9876))</f>
        <v>0</v>
      </c>
      <c r="X42" s="8">
        <f>SUMPRODUCT((raw!$A$2:$A$9876='2019-20_working'!$A$2)*(raw!$B$2:$B$9876='2019-20_working'!$A42)*(raw!$E$2:$E$9876='2019-20_working'!$T$6)*(raw!$F$2:$F$9876='2019-20_working'!X$7)*(raw!$G$2:$G$9876))</f>
        <v>0</v>
      </c>
      <c r="Y42" s="8">
        <f>SUMPRODUCT((raw!$A$2:$A$9876='2019-20_working'!$A$2)*(raw!$B$2:$B$9876='2019-20_working'!$A42)*(raw!$E$2:$E$9876='2019-20_working'!$T$6)*(raw!$F$2:$F$9876='2019-20_working'!Y$7)*(raw!$G$2:$G$9876))</f>
        <v>0</v>
      </c>
      <c r="Z42" s="8">
        <f>SUMPRODUCT((raw!$A$2:$A$9876='2019-20_working'!$A$2)*(raw!$B$2:$B$9876='2019-20_working'!$A42)*(raw!$E$2:$E$9876='2019-20_working'!$T$6)*(raw!$F$2:$F$9876='2019-20_working'!Z$7)*(raw!$G$2:$G$9876))</f>
        <v>0</v>
      </c>
      <c r="AA42" s="8">
        <f>SUMPRODUCT((raw!$A$2:$A$9876='2019-20_working'!$A$2)*(raw!$B$2:$B$9876='2019-20_working'!$A42)*(raw!$E$2:$E$9876='2019-20_working'!$T$6)*(raw!$F$2:$F$9876='2019-20_working'!AA$7)*(raw!$G$2:$G$9876))</f>
        <v>2</v>
      </c>
      <c r="AC42" s="8">
        <f>SUMPRODUCT((raw!$A$2:$A$9876='2019-20_working'!$A$2)*(raw!$B$2:$B$9876='2019-20_working'!$A42)*(raw!$E$2:$E$9876='2019-20_working'!$AC$6)*(raw!$F$2:$F$9876='2019-20_working'!AC$7)*(raw!$G$2:$G$9876))</f>
        <v>4</v>
      </c>
      <c r="AD42" s="8">
        <f>SUMPRODUCT((raw!$A$2:$A$9876='2019-20_working'!$A$2)*(raw!$B$2:$B$9876='2019-20_working'!$A42)*(raw!$E$2:$E$9876='2019-20_working'!$AC$6)*(raw!$F$2:$F$9876='2019-20_working'!AD$7)*(raw!$G$2:$G$9876))</f>
        <v>3</v>
      </c>
      <c r="AE42" s="8">
        <f>SUMPRODUCT((raw!$A$2:$A$9876='2019-20_working'!$A$2)*(raw!$B$2:$B$9876='2019-20_working'!$A42)*(raw!$E$2:$E$9876='2019-20_working'!$AC$6)*(raw!$F$2:$F$9876='2019-20_working'!AE$7)*(raw!$G$2:$G$9876))</f>
        <v>0</v>
      </c>
      <c r="AF42" s="8">
        <f>SUMPRODUCT((raw!$A$2:$A$9876='2019-20_working'!$A$2)*(raw!$B$2:$B$9876='2019-20_working'!$A42)*(raw!$E$2:$E$9876='2019-20_working'!$AC$6)*(raw!$F$2:$F$9876='2019-20_working'!AF$7)*(raw!$G$2:$G$9876))</f>
        <v>0</v>
      </c>
      <c r="AG42" s="8">
        <f>SUMPRODUCT((raw!$A$2:$A$9876='2019-20_working'!$A$2)*(raw!$B$2:$B$9876='2019-20_working'!$A42)*(raw!$E$2:$E$9876='2019-20_working'!$AC$6)*(raw!$F$2:$F$9876='2019-20_working'!AG$7)*(raw!$G$2:$G$9876))</f>
        <v>0</v>
      </c>
      <c r="AH42" s="8">
        <f>SUMPRODUCT((raw!$A$2:$A$9876='2019-20_working'!$A$2)*(raw!$B$2:$B$9876='2019-20_working'!$A42)*(raw!$E$2:$E$9876='2019-20_working'!$AC$6)*(raw!$F$2:$F$9876='2019-20_working'!AH$7)*(raw!$G$2:$G$9876))</f>
        <v>0</v>
      </c>
      <c r="AI42" s="8">
        <f>SUMPRODUCT((raw!$A$2:$A$9876='2019-20_working'!$A$2)*(raw!$B$2:$B$9876='2019-20_working'!$A42)*(raw!$E$2:$E$9876='2019-20_working'!$AC$6)*(raw!$F$2:$F$9876='2019-20_working'!AI$7)*(raw!$G$2:$G$9876))</f>
        <v>0</v>
      </c>
      <c r="AJ42" s="8">
        <f>SUMPRODUCT((raw!$A$2:$A$9876='2019-20_working'!$A$2)*(raw!$B$2:$B$9876='2019-20_working'!$A42)*(raw!$E$2:$E$9876='2019-20_working'!$AC$6)*(raw!$F$2:$F$9876='2019-20_working'!AJ$7)*(raw!$G$2:$G$9876))</f>
        <v>5</v>
      </c>
    </row>
    <row r="43" spans="1:36" x14ac:dyDescent="0.3">
      <c r="A43" s="8" t="s">
        <v>50</v>
      </c>
      <c r="B43" s="8">
        <f>SUMPRODUCT((raw!$A$2:$A$9876='2019-20_working'!$A$2)*(raw!$B$2:$B$9876='2019-20_working'!$A43)*(raw!$E$2:$E$9876='2019-20_working'!$B$6:$I$6)*(raw!$F$2:$F$9876='2019-20_working'!B$7)*(raw!$G$2:$G$9876))</f>
        <v>3</v>
      </c>
      <c r="C43" s="8">
        <f>SUMPRODUCT((raw!$A$2:$A$9876='2019-20_working'!$A$2)*(raw!$B$2:$B$9876='2019-20_working'!$A43)*(raw!$E$2:$E$9876='2019-20_working'!$B$6:$I$6)*(raw!$F$2:$F$9876='2019-20_working'!C$7)*(raw!$G$2:$G$9876))</f>
        <v>0</v>
      </c>
      <c r="D43" s="8">
        <f>SUMPRODUCT((raw!$A$2:$A$9876='2019-20_working'!$A$2)*(raw!$B$2:$B$9876='2019-20_working'!$A43)*(raw!$E$2:$E$9876='2019-20_working'!$B$6:$I$6)*(raw!$F$2:$F$9876='2019-20_working'!D$7)*(raw!$G$2:$G$9876))</f>
        <v>0</v>
      </c>
      <c r="E43" s="8">
        <f>SUMPRODUCT((raw!$A$2:$A$9876='2019-20_working'!$A$2)*(raw!$B$2:$B$9876='2019-20_working'!$A43)*(raw!$E$2:$E$9876='2019-20_working'!$B$6:$I$6)*(raw!$F$2:$F$9876='2019-20_working'!E$7)*(raw!$G$2:$G$9876))</f>
        <v>0</v>
      </c>
      <c r="F43" s="8">
        <f>SUMPRODUCT((raw!$A$2:$A$9876='2019-20_working'!$A$2)*(raw!$B$2:$B$9876='2019-20_working'!$A43)*(raw!$E$2:$E$9876='2019-20_working'!$B$6:$I$6)*(raw!$F$2:$F$9876='2019-20_working'!F$7)*(raw!$G$2:$G$9876))</f>
        <v>0</v>
      </c>
      <c r="G43" s="8">
        <f>SUMPRODUCT((raw!$A$2:$A$9876='2019-20_working'!$A$2)*(raw!$B$2:$B$9876='2019-20_working'!$A43)*(raw!$E$2:$E$9876='2019-20_working'!$B$6:$I$6)*(raw!$F$2:$F$9876='2019-20_working'!G$7)*(raw!$G$2:$G$9876))</f>
        <v>0</v>
      </c>
      <c r="H43" s="8">
        <f>SUMPRODUCT((raw!$A$2:$A$9876='2019-20_working'!$A$2)*(raw!$B$2:$B$9876='2019-20_working'!$A43)*(raw!$E$2:$E$9876='2019-20_working'!$B$6:$I$6)*(raw!$F$2:$F$9876='2019-20_working'!H$7)*(raw!$G$2:$G$9876))</f>
        <v>0</v>
      </c>
      <c r="I43" s="8">
        <f>SUMPRODUCT((raw!$A$2:$A$9876='2019-20_working'!$A$2)*(raw!$B$2:$B$9876='2019-20_working'!$A43)*(raw!$E$2:$E$9876='2019-20_working'!$B$6:$I$6)*(raw!$F$2:$F$9876='2019-20_working'!I$7)*(raw!$G$2:$G$9876))</f>
        <v>0</v>
      </c>
      <c r="K43" s="8">
        <f>SUMPRODUCT((raw!$A$2:$A$9876='2019-20_working'!$A$2)*(raw!$B$2:$B$9876='2019-20_working'!$A43)*(raw!$E$2:$E$9876='2019-20_working'!$K$6)*(raw!$F$2:$F$9876='2019-20_working'!K$7)*(raw!$G$2:$G$9876))</f>
        <v>41</v>
      </c>
      <c r="L43" s="8">
        <f>SUMPRODUCT((raw!$A$2:$A$9876='2019-20_working'!$A$2)*(raw!$B$2:$B$9876='2019-20_working'!$A43)*(raw!$E$2:$E$9876='2019-20_working'!$K$6)*(raw!$F$2:$F$9876='2019-20_working'!L$7)*(raw!$G$2:$G$9876))</f>
        <v>2</v>
      </c>
      <c r="M43" s="8">
        <f>SUMPRODUCT((raw!$A$2:$A$9876='2019-20_working'!$A$2)*(raw!$B$2:$B$9876='2019-20_working'!$A43)*(raw!$E$2:$E$9876='2019-20_working'!$K$6)*(raw!$F$2:$F$9876='2019-20_working'!M$7)*(raw!$G$2:$G$9876))</f>
        <v>0</v>
      </c>
      <c r="N43" s="8">
        <f>SUMPRODUCT((raw!$A$2:$A$9876='2019-20_working'!$A$2)*(raw!$B$2:$B$9876='2019-20_working'!$A43)*(raw!$E$2:$E$9876='2019-20_working'!$K$6)*(raw!$F$2:$F$9876='2019-20_working'!N$7)*(raw!$G$2:$G$9876))</f>
        <v>1</v>
      </c>
      <c r="O43" s="8">
        <f>SUMPRODUCT((raw!$A$2:$A$9876='2019-20_working'!$A$2)*(raw!$B$2:$B$9876='2019-20_working'!$A43)*(raw!$E$2:$E$9876='2019-20_working'!$K$6)*(raw!$F$2:$F$9876='2019-20_working'!O$7)*(raw!$G$2:$G$9876))</f>
        <v>0</v>
      </c>
      <c r="P43" s="8">
        <f>SUMPRODUCT((raw!$A$2:$A$9876='2019-20_working'!$A$2)*(raw!$B$2:$B$9876='2019-20_working'!$A43)*(raw!$E$2:$E$9876='2019-20_working'!$K$6)*(raw!$F$2:$F$9876='2019-20_working'!P$7)*(raw!$G$2:$G$9876))</f>
        <v>0</v>
      </c>
      <c r="Q43" s="8">
        <f>SUMPRODUCT((raw!$A$2:$A$9876='2019-20_working'!$A$2)*(raw!$B$2:$B$9876='2019-20_working'!$A43)*(raw!$E$2:$E$9876='2019-20_working'!$K$6)*(raw!$F$2:$F$9876='2019-20_working'!Q$7)*(raw!$G$2:$G$9876))</f>
        <v>0</v>
      </c>
      <c r="R43" s="8">
        <f>SUMPRODUCT((raw!$A$2:$A$9876='2019-20_working'!$A$2)*(raw!$B$2:$B$9876='2019-20_working'!$A43)*(raw!$E$2:$E$9876='2019-20_working'!$K$6)*(raw!$F$2:$F$9876='2019-20_working'!R$7)*(raw!$G$2:$G$9876))</f>
        <v>0</v>
      </c>
      <c r="T43" s="8">
        <f>SUMPRODUCT((raw!$A$2:$A$9876='2019-20_working'!$A$2)*(raw!$B$2:$B$9876='2019-20_working'!$A43)*(raw!$E$2:$E$9876='2019-20_working'!$T$6)*(raw!$F$2:$F$9876='2019-20_working'!T$7)*(raw!$G$2:$G$9876))</f>
        <v>0</v>
      </c>
      <c r="U43" s="8">
        <f>SUMPRODUCT((raw!$A$2:$A$9876='2019-20_working'!$A$2)*(raw!$B$2:$B$9876='2019-20_working'!$A43)*(raw!$E$2:$E$9876='2019-20_working'!$T$6)*(raw!$F$2:$F$9876='2019-20_working'!U$7)*(raw!$G$2:$G$9876))</f>
        <v>0</v>
      </c>
      <c r="V43" s="8">
        <f>SUMPRODUCT((raw!$A$2:$A$9876='2019-20_working'!$A$2)*(raw!$B$2:$B$9876='2019-20_working'!$A43)*(raw!$E$2:$E$9876='2019-20_working'!$T$6)*(raw!$F$2:$F$9876='2019-20_working'!V$7)*(raw!$G$2:$G$9876))</f>
        <v>0</v>
      </c>
      <c r="W43" s="8">
        <f>SUMPRODUCT((raw!$A$2:$A$9876='2019-20_working'!$A$2)*(raw!$B$2:$B$9876='2019-20_working'!$A43)*(raw!$E$2:$E$9876='2019-20_working'!$T$6)*(raw!$F$2:$F$9876='2019-20_working'!W$7)*(raw!$G$2:$G$9876))</f>
        <v>0</v>
      </c>
      <c r="X43" s="8">
        <f>SUMPRODUCT((raw!$A$2:$A$9876='2019-20_working'!$A$2)*(raw!$B$2:$B$9876='2019-20_working'!$A43)*(raw!$E$2:$E$9876='2019-20_working'!$T$6)*(raw!$F$2:$F$9876='2019-20_working'!X$7)*(raw!$G$2:$G$9876))</f>
        <v>0</v>
      </c>
      <c r="Y43" s="8">
        <f>SUMPRODUCT((raw!$A$2:$A$9876='2019-20_working'!$A$2)*(raw!$B$2:$B$9876='2019-20_working'!$A43)*(raw!$E$2:$E$9876='2019-20_working'!$T$6)*(raw!$F$2:$F$9876='2019-20_working'!Y$7)*(raw!$G$2:$G$9876))</f>
        <v>0</v>
      </c>
      <c r="Z43" s="8">
        <f>SUMPRODUCT((raw!$A$2:$A$9876='2019-20_working'!$A$2)*(raw!$B$2:$B$9876='2019-20_working'!$A43)*(raw!$E$2:$E$9876='2019-20_working'!$T$6)*(raw!$F$2:$F$9876='2019-20_working'!Z$7)*(raw!$G$2:$G$9876))</f>
        <v>0</v>
      </c>
      <c r="AA43" s="8">
        <f>SUMPRODUCT((raw!$A$2:$A$9876='2019-20_working'!$A$2)*(raw!$B$2:$B$9876='2019-20_working'!$A43)*(raw!$E$2:$E$9876='2019-20_working'!$T$6)*(raw!$F$2:$F$9876='2019-20_working'!AA$7)*(raw!$G$2:$G$9876))</f>
        <v>0</v>
      </c>
      <c r="AC43" s="8">
        <f>SUMPRODUCT((raw!$A$2:$A$9876='2019-20_working'!$A$2)*(raw!$B$2:$B$9876='2019-20_working'!$A43)*(raw!$E$2:$E$9876='2019-20_working'!$AC$6)*(raw!$F$2:$F$9876='2019-20_working'!AC$7)*(raw!$G$2:$G$9876))</f>
        <v>25</v>
      </c>
      <c r="AD43" s="8">
        <f>SUMPRODUCT((raw!$A$2:$A$9876='2019-20_working'!$A$2)*(raw!$B$2:$B$9876='2019-20_working'!$A43)*(raw!$E$2:$E$9876='2019-20_working'!$AC$6)*(raw!$F$2:$F$9876='2019-20_working'!AD$7)*(raw!$G$2:$G$9876))</f>
        <v>0</v>
      </c>
      <c r="AE43" s="8">
        <f>SUMPRODUCT((raw!$A$2:$A$9876='2019-20_working'!$A$2)*(raw!$B$2:$B$9876='2019-20_working'!$A43)*(raw!$E$2:$E$9876='2019-20_working'!$AC$6)*(raw!$F$2:$F$9876='2019-20_working'!AE$7)*(raw!$G$2:$G$9876))</f>
        <v>0</v>
      </c>
      <c r="AF43" s="8">
        <f>SUMPRODUCT((raw!$A$2:$A$9876='2019-20_working'!$A$2)*(raw!$B$2:$B$9876='2019-20_working'!$A43)*(raw!$E$2:$E$9876='2019-20_working'!$AC$6)*(raw!$F$2:$F$9876='2019-20_working'!AF$7)*(raw!$G$2:$G$9876))</f>
        <v>0</v>
      </c>
      <c r="AG43" s="8">
        <f>SUMPRODUCT((raw!$A$2:$A$9876='2019-20_working'!$A$2)*(raw!$B$2:$B$9876='2019-20_working'!$A43)*(raw!$E$2:$E$9876='2019-20_working'!$AC$6)*(raw!$F$2:$F$9876='2019-20_working'!AG$7)*(raw!$G$2:$G$9876))</f>
        <v>0</v>
      </c>
      <c r="AH43" s="8">
        <f>SUMPRODUCT((raw!$A$2:$A$9876='2019-20_working'!$A$2)*(raw!$B$2:$B$9876='2019-20_working'!$A43)*(raw!$E$2:$E$9876='2019-20_working'!$AC$6)*(raw!$F$2:$F$9876='2019-20_working'!AH$7)*(raw!$G$2:$G$9876))</f>
        <v>0</v>
      </c>
      <c r="AI43" s="8">
        <f>SUMPRODUCT((raw!$A$2:$A$9876='2019-20_working'!$A$2)*(raw!$B$2:$B$9876='2019-20_working'!$A43)*(raw!$E$2:$E$9876='2019-20_working'!$AC$6)*(raw!$F$2:$F$9876='2019-20_working'!AI$7)*(raw!$G$2:$G$9876))</f>
        <v>0</v>
      </c>
      <c r="AJ43" s="8">
        <f>SUMPRODUCT((raw!$A$2:$A$9876='2019-20_working'!$A$2)*(raw!$B$2:$B$9876='2019-20_working'!$A43)*(raw!$E$2:$E$9876='2019-20_working'!$AC$6)*(raw!$F$2:$F$9876='2019-20_working'!AJ$7)*(raw!$G$2:$G$9876))</f>
        <v>0</v>
      </c>
    </row>
    <row r="44" spans="1:36" x14ac:dyDescent="0.3">
      <c r="A44" s="8" t="s">
        <v>51</v>
      </c>
      <c r="B44" s="8">
        <f>SUMPRODUCT((raw!$A$2:$A$9876='2019-20_working'!$A$2)*(raw!$B$2:$B$9876='2019-20_working'!$A44)*(raw!$E$2:$E$9876='2019-20_working'!$B$6:$I$6)*(raw!$F$2:$F$9876='2019-20_working'!B$7)*(raw!$G$2:$G$9876))</f>
        <v>2</v>
      </c>
      <c r="C44" s="8">
        <f>SUMPRODUCT((raw!$A$2:$A$9876='2019-20_working'!$A$2)*(raw!$B$2:$B$9876='2019-20_working'!$A44)*(raw!$E$2:$E$9876='2019-20_working'!$B$6:$I$6)*(raw!$F$2:$F$9876='2019-20_working'!C$7)*(raw!$G$2:$G$9876))</f>
        <v>0</v>
      </c>
      <c r="D44" s="8">
        <f>SUMPRODUCT((raw!$A$2:$A$9876='2019-20_working'!$A$2)*(raw!$B$2:$B$9876='2019-20_working'!$A44)*(raw!$E$2:$E$9876='2019-20_working'!$B$6:$I$6)*(raw!$F$2:$F$9876='2019-20_working'!D$7)*(raw!$G$2:$G$9876))</f>
        <v>0</v>
      </c>
      <c r="E44" s="8">
        <f>SUMPRODUCT((raw!$A$2:$A$9876='2019-20_working'!$A$2)*(raw!$B$2:$B$9876='2019-20_working'!$A44)*(raw!$E$2:$E$9876='2019-20_working'!$B$6:$I$6)*(raw!$F$2:$F$9876='2019-20_working'!E$7)*(raw!$G$2:$G$9876))</f>
        <v>0</v>
      </c>
      <c r="F44" s="8">
        <f>SUMPRODUCT((raw!$A$2:$A$9876='2019-20_working'!$A$2)*(raw!$B$2:$B$9876='2019-20_working'!$A44)*(raw!$E$2:$E$9876='2019-20_working'!$B$6:$I$6)*(raw!$F$2:$F$9876='2019-20_working'!F$7)*(raw!$G$2:$G$9876))</f>
        <v>0</v>
      </c>
      <c r="G44" s="8">
        <f>SUMPRODUCT((raw!$A$2:$A$9876='2019-20_working'!$A$2)*(raw!$B$2:$B$9876='2019-20_working'!$A44)*(raw!$E$2:$E$9876='2019-20_working'!$B$6:$I$6)*(raw!$F$2:$F$9876='2019-20_working'!G$7)*(raw!$G$2:$G$9876))</f>
        <v>0</v>
      </c>
      <c r="H44" s="8">
        <f>SUMPRODUCT((raw!$A$2:$A$9876='2019-20_working'!$A$2)*(raw!$B$2:$B$9876='2019-20_working'!$A44)*(raw!$E$2:$E$9876='2019-20_working'!$B$6:$I$6)*(raw!$F$2:$F$9876='2019-20_working'!H$7)*(raw!$G$2:$G$9876))</f>
        <v>0</v>
      </c>
      <c r="I44" s="8">
        <f>SUMPRODUCT((raw!$A$2:$A$9876='2019-20_working'!$A$2)*(raw!$B$2:$B$9876='2019-20_working'!$A44)*(raw!$E$2:$E$9876='2019-20_working'!$B$6:$I$6)*(raw!$F$2:$F$9876='2019-20_working'!I$7)*(raw!$G$2:$G$9876))</f>
        <v>4</v>
      </c>
      <c r="K44" s="8">
        <f>SUMPRODUCT((raw!$A$2:$A$9876='2019-20_working'!$A$2)*(raw!$B$2:$B$9876='2019-20_working'!$A44)*(raw!$E$2:$E$9876='2019-20_working'!$K$6)*(raw!$F$2:$F$9876='2019-20_working'!K$7)*(raw!$G$2:$G$9876))</f>
        <v>1</v>
      </c>
      <c r="L44" s="8">
        <f>SUMPRODUCT((raw!$A$2:$A$9876='2019-20_working'!$A$2)*(raw!$B$2:$B$9876='2019-20_working'!$A44)*(raw!$E$2:$E$9876='2019-20_working'!$K$6)*(raw!$F$2:$F$9876='2019-20_working'!L$7)*(raw!$G$2:$G$9876))</f>
        <v>0</v>
      </c>
      <c r="M44" s="8">
        <f>SUMPRODUCT((raw!$A$2:$A$9876='2019-20_working'!$A$2)*(raw!$B$2:$B$9876='2019-20_working'!$A44)*(raw!$E$2:$E$9876='2019-20_working'!$K$6)*(raw!$F$2:$F$9876='2019-20_working'!M$7)*(raw!$G$2:$G$9876))</f>
        <v>0</v>
      </c>
      <c r="N44" s="8">
        <f>SUMPRODUCT((raw!$A$2:$A$9876='2019-20_working'!$A$2)*(raw!$B$2:$B$9876='2019-20_working'!$A44)*(raw!$E$2:$E$9876='2019-20_working'!$K$6)*(raw!$F$2:$F$9876='2019-20_working'!N$7)*(raw!$G$2:$G$9876))</f>
        <v>0</v>
      </c>
      <c r="O44" s="8">
        <f>SUMPRODUCT((raw!$A$2:$A$9876='2019-20_working'!$A$2)*(raw!$B$2:$B$9876='2019-20_working'!$A44)*(raw!$E$2:$E$9876='2019-20_working'!$K$6)*(raw!$F$2:$F$9876='2019-20_working'!O$7)*(raw!$G$2:$G$9876))</f>
        <v>0</v>
      </c>
      <c r="P44" s="8">
        <f>SUMPRODUCT((raw!$A$2:$A$9876='2019-20_working'!$A$2)*(raw!$B$2:$B$9876='2019-20_working'!$A44)*(raw!$E$2:$E$9876='2019-20_working'!$K$6)*(raw!$F$2:$F$9876='2019-20_working'!P$7)*(raw!$G$2:$G$9876))</f>
        <v>0</v>
      </c>
      <c r="Q44" s="8">
        <f>SUMPRODUCT((raw!$A$2:$A$9876='2019-20_working'!$A$2)*(raw!$B$2:$B$9876='2019-20_working'!$A44)*(raw!$E$2:$E$9876='2019-20_working'!$K$6)*(raw!$F$2:$F$9876='2019-20_working'!Q$7)*(raw!$G$2:$G$9876))</f>
        <v>0</v>
      </c>
      <c r="R44" s="8">
        <f>SUMPRODUCT((raw!$A$2:$A$9876='2019-20_working'!$A$2)*(raw!$B$2:$B$9876='2019-20_working'!$A44)*(raw!$E$2:$E$9876='2019-20_working'!$K$6)*(raw!$F$2:$F$9876='2019-20_working'!R$7)*(raw!$G$2:$G$9876))</f>
        <v>42</v>
      </c>
      <c r="T44" s="8">
        <f>SUMPRODUCT((raw!$A$2:$A$9876='2019-20_working'!$A$2)*(raw!$B$2:$B$9876='2019-20_working'!$A44)*(raw!$E$2:$E$9876='2019-20_working'!$T$6)*(raw!$F$2:$F$9876='2019-20_working'!T$7)*(raw!$G$2:$G$9876))</f>
        <v>0</v>
      </c>
      <c r="U44" s="8">
        <f>SUMPRODUCT((raw!$A$2:$A$9876='2019-20_working'!$A$2)*(raw!$B$2:$B$9876='2019-20_working'!$A44)*(raw!$E$2:$E$9876='2019-20_working'!$T$6)*(raw!$F$2:$F$9876='2019-20_working'!U$7)*(raw!$G$2:$G$9876))</f>
        <v>0</v>
      </c>
      <c r="V44" s="8">
        <f>SUMPRODUCT((raw!$A$2:$A$9876='2019-20_working'!$A$2)*(raw!$B$2:$B$9876='2019-20_working'!$A44)*(raw!$E$2:$E$9876='2019-20_working'!$T$6)*(raw!$F$2:$F$9876='2019-20_working'!V$7)*(raw!$G$2:$G$9876))</f>
        <v>0</v>
      </c>
      <c r="W44" s="8">
        <f>SUMPRODUCT((raw!$A$2:$A$9876='2019-20_working'!$A$2)*(raw!$B$2:$B$9876='2019-20_working'!$A44)*(raw!$E$2:$E$9876='2019-20_working'!$T$6)*(raw!$F$2:$F$9876='2019-20_working'!W$7)*(raw!$G$2:$G$9876))</f>
        <v>0</v>
      </c>
      <c r="X44" s="8">
        <f>SUMPRODUCT((raw!$A$2:$A$9876='2019-20_working'!$A$2)*(raw!$B$2:$B$9876='2019-20_working'!$A44)*(raw!$E$2:$E$9876='2019-20_working'!$T$6)*(raw!$F$2:$F$9876='2019-20_working'!X$7)*(raw!$G$2:$G$9876))</f>
        <v>0</v>
      </c>
      <c r="Y44" s="8">
        <f>SUMPRODUCT((raw!$A$2:$A$9876='2019-20_working'!$A$2)*(raw!$B$2:$B$9876='2019-20_working'!$A44)*(raw!$E$2:$E$9876='2019-20_working'!$T$6)*(raw!$F$2:$F$9876='2019-20_working'!Y$7)*(raw!$G$2:$G$9876))</f>
        <v>0</v>
      </c>
      <c r="Z44" s="8">
        <f>SUMPRODUCT((raw!$A$2:$A$9876='2019-20_working'!$A$2)*(raw!$B$2:$B$9876='2019-20_working'!$A44)*(raw!$E$2:$E$9876='2019-20_working'!$T$6)*(raw!$F$2:$F$9876='2019-20_working'!Z$7)*(raw!$G$2:$G$9876))</f>
        <v>0</v>
      </c>
      <c r="AA44" s="8">
        <f>SUMPRODUCT((raw!$A$2:$A$9876='2019-20_working'!$A$2)*(raw!$B$2:$B$9876='2019-20_working'!$A44)*(raw!$E$2:$E$9876='2019-20_working'!$T$6)*(raw!$F$2:$F$9876='2019-20_working'!AA$7)*(raw!$G$2:$G$9876))</f>
        <v>0</v>
      </c>
      <c r="AC44" s="8">
        <f>SUMPRODUCT((raw!$A$2:$A$9876='2019-20_working'!$A$2)*(raw!$B$2:$B$9876='2019-20_working'!$A44)*(raw!$E$2:$E$9876='2019-20_working'!$AC$6)*(raw!$F$2:$F$9876='2019-20_working'!AC$7)*(raw!$G$2:$G$9876))</f>
        <v>4</v>
      </c>
      <c r="AD44" s="8">
        <f>SUMPRODUCT((raw!$A$2:$A$9876='2019-20_working'!$A$2)*(raw!$B$2:$B$9876='2019-20_working'!$A44)*(raw!$E$2:$E$9876='2019-20_working'!$AC$6)*(raw!$F$2:$F$9876='2019-20_working'!AD$7)*(raw!$G$2:$G$9876))</f>
        <v>0</v>
      </c>
      <c r="AE44" s="8">
        <f>SUMPRODUCT((raw!$A$2:$A$9876='2019-20_working'!$A$2)*(raw!$B$2:$B$9876='2019-20_working'!$A44)*(raw!$E$2:$E$9876='2019-20_working'!$AC$6)*(raw!$F$2:$F$9876='2019-20_working'!AE$7)*(raw!$G$2:$G$9876))</f>
        <v>0</v>
      </c>
      <c r="AF44" s="8">
        <f>SUMPRODUCT((raw!$A$2:$A$9876='2019-20_working'!$A$2)*(raw!$B$2:$B$9876='2019-20_working'!$A44)*(raw!$E$2:$E$9876='2019-20_working'!$AC$6)*(raw!$F$2:$F$9876='2019-20_working'!AF$7)*(raw!$G$2:$G$9876))</f>
        <v>0</v>
      </c>
      <c r="AG44" s="8">
        <f>SUMPRODUCT((raw!$A$2:$A$9876='2019-20_working'!$A$2)*(raw!$B$2:$B$9876='2019-20_working'!$A44)*(raw!$E$2:$E$9876='2019-20_working'!$AC$6)*(raw!$F$2:$F$9876='2019-20_working'!AG$7)*(raw!$G$2:$G$9876))</f>
        <v>0</v>
      </c>
      <c r="AH44" s="8">
        <f>SUMPRODUCT((raw!$A$2:$A$9876='2019-20_working'!$A$2)*(raw!$B$2:$B$9876='2019-20_working'!$A44)*(raw!$E$2:$E$9876='2019-20_working'!$AC$6)*(raw!$F$2:$F$9876='2019-20_working'!AH$7)*(raw!$G$2:$G$9876))</f>
        <v>0</v>
      </c>
      <c r="AI44" s="8">
        <f>SUMPRODUCT((raw!$A$2:$A$9876='2019-20_working'!$A$2)*(raw!$B$2:$B$9876='2019-20_working'!$A44)*(raw!$E$2:$E$9876='2019-20_working'!$AC$6)*(raw!$F$2:$F$9876='2019-20_working'!AI$7)*(raw!$G$2:$G$9876))</f>
        <v>0</v>
      </c>
      <c r="AJ44" s="8">
        <f>SUMPRODUCT((raw!$A$2:$A$9876='2019-20_working'!$A$2)*(raw!$B$2:$B$9876='2019-20_working'!$A44)*(raw!$E$2:$E$9876='2019-20_working'!$AC$6)*(raw!$F$2:$F$9876='2019-20_working'!AJ$7)*(raw!$G$2:$G$9876))</f>
        <v>2</v>
      </c>
    </row>
    <row r="45" spans="1:36" x14ac:dyDescent="0.3">
      <c r="A45" s="8" t="s">
        <v>52</v>
      </c>
      <c r="B45" s="8">
        <f>SUMPRODUCT((raw!$A$2:$A$9876='2019-20_working'!$A$2)*(raw!$B$2:$B$9876='2019-20_working'!$A45)*(raw!$E$2:$E$9876='2019-20_working'!$B$6:$I$6)*(raw!$F$2:$F$9876='2019-20_working'!B$7)*(raw!$G$2:$G$9876))</f>
        <v>34</v>
      </c>
      <c r="C45" s="8">
        <f>SUMPRODUCT((raw!$A$2:$A$9876='2019-20_working'!$A$2)*(raw!$B$2:$B$9876='2019-20_working'!$A45)*(raw!$E$2:$E$9876='2019-20_working'!$B$6:$I$6)*(raw!$F$2:$F$9876='2019-20_working'!C$7)*(raw!$G$2:$G$9876))</f>
        <v>1</v>
      </c>
      <c r="D45" s="8">
        <f>SUMPRODUCT((raw!$A$2:$A$9876='2019-20_working'!$A$2)*(raw!$B$2:$B$9876='2019-20_working'!$A45)*(raw!$E$2:$E$9876='2019-20_working'!$B$6:$I$6)*(raw!$F$2:$F$9876='2019-20_working'!D$7)*(raw!$G$2:$G$9876))</f>
        <v>0</v>
      </c>
      <c r="E45" s="8">
        <f>SUMPRODUCT((raw!$A$2:$A$9876='2019-20_working'!$A$2)*(raw!$B$2:$B$9876='2019-20_working'!$A45)*(raw!$E$2:$E$9876='2019-20_working'!$B$6:$I$6)*(raw!$F$2:$F$9876='2019-20_working'!E$7)*(raw!$G$2:$G$9876))</f>
        <v>0</v>
      </c>
      <c r="F45" s="8">
        <f>SUMPRODUCT((raw!$A$2:$A$9876='2019-20_working'!$A$2)*(raw!$B$2:$B$9876='2019-20_working'!$A45)*(raw!$E$2:$E$9876='2019-20_working'!$B$6:$I$6)*(raw!$F$2:$F$9876='2019-20_working'!F$7)*(raw!$G$2:$G$9876))</f>
        <v>0</v>
      </c>
      <c r="G45" s="8">
        <f>SUMPRODUCT((raw!$A$2:$A$9876='2019-20_working'!$A$2)*(raw!$B$2:$B$9876='2019-20_working'!$A45)*(raw!$E$2:$E$9876='2019-20_working'!$B$6:$I$6)*(raw!$F$2:$F$9876='2019-20_working'!G$7)*(raw!$G$2:$G$9876))</f>
        <v>0</v>
      </c>
      <c r="H45" s="8">
        <f>SUMPRODUCT((raw!$A$2:$A$9876='2019-20_working'!$A$2)*(raw!$B$2:$B$9876='2019-20_working'!$A45)*(raw!$E$2:$E$9876='2019-20_working'!$B$6:$I$6)*(raw!$F$2:$F$9876='2019-20_working'!H$7)*(raw!$G$2:$G$9876))</f>
        <v>0</v>
      </c>
      <c r="I45" s="8">
        <f>SUMPRODUCT((raw!$A$2:$A$9876='2019-20_working'!$A$2)*(raw!$B$2:$B$9876='2019-20_working'!$A45)*(raw!$E$2:$E$9876='2019-20_working'!$B$6:$I$6)*(raw!$F$2:$F$9876='2019-20_working'!I$7)*(raw!$G$2:$G$9876))</f>
        <v>0</v>
      </c>
      <c r="K45" s="8">
        <f>SUMPRODUCT((raw!$A$2:$A$9876='2019-20_working'!$A$2)*(raw!$B$2:$B$9876='2019-20_working'!$A45)*(raw!$E$2:$E$9876='2019-20_working'!$K$6)*(raw!$F$2:$F$9876='2019-20_working'!K$7)*(raw!$G$2:$G$9876))</f>
        <v>7</v>
      </c>
      <c r="L45" s="8">
        <f>SUMPRODUCT((raw!$A$2:$A$9876='2019-20_working'!$A$2)*(raw!$B$2:$B$9876='2019-20_working'!$A45)*(raw!$E$2:$E$9876='2019-20_working'!$K$6)*(raw!$F$2:$F$9876='2019-20_working'!L$7)*(raw!$G$2:$G$9876))</f>
        <v>1</v>
      </c>
      <c r="M45" s="8">
        <f>SUMPRODUCT((raw!$A$2:$A$9876='2019-20_working'!$A$2)*(raw!$B$2:$B$9876='2019-20_working'!$A45)*(raw!$E$2:$E$9876='2019-20_working'!$K$6)*(raw!$F$2:$F$9876='2019-20_working'!M$7)*(raw!$G$2:$G$9876))</f>
        <v>0</v>
      </c>
      <c r="N45" s="8">
        <f>SUMPRODUCT((raw!$A$2:$A$9876='2019-20_working'!$A$2)*(raw!$B$2:$B$9876='2019-20_working'!$A45)*(raw!$E$2:$E$9876='2019-20_working'!$K$6)*(raw!$F$2:$F$9876='2019-20_working'!N$7)*(raw!$G$2:$G$9876))</f>
        <v>0</v>
      </c>
      <c r="O45" s="8">
        <f>SUMPRODUCT((raw!$A$2:$A$9876='2019-20_working'!$A$2)*(raw!$B$2:$B$9876='2019-20_working'!$A45)*(raw!$E$2:$E$9876='2019-20_working'!$K$6)*(raw!$F$2:$F$9876='2019-20_working'!O$7)*(raw!$G$2:$G$9876))</f>
        <v>0</v>
      </c>
      <c r="P45" s="8">
        <f>SUMPRODUCT((raw!$A$2:$A$9876='2019-20_working'!$A$2)*(raw!$B$2:$B$9876='2019-20_working'!$A45)*(raw!$E$2:$E$9876='2019-20_working'!$K$6)*(raw!$F$2:$F$9876='2019-20_working'!P$7)*(raw!$G$2:$G$9876))</f>
        <v>0</v>
      </c>
      <c r="Q45" s="8">
        <f>SUMPRODUCT((raw!$A$2:$A$9876='2019-20_working'!$A$2)*(raw!$B$2:$B$9876='2019-20_working'!$A45)*(raw!$E$2:$E$9876='2019-20_working'!$K$6)*(raw!$F$2:$F$9876='2019-20_working'!Q$7)*(raw!$G$2:$G$9876))</f>
        <v>0</v>
      </c>
      <c r="R45" s="8">
        <f>SUMPRODUCT((raw!$A$2:$A$9876='2019-20_working'!$A$2)*(raw!$B$2:$B$9876='2019-20_working'!$A45)*(raw!$E$2:$E$9876='2019-20_working'!$K$6)*(raw!$F$2:$F$9876='2019-20_working'!R$7)*(raw!$G$2:$G$9876))</f>
        <v>0</v>
      </c>
      <c r="T45" s="8">
        <f>SUMPRODUCT((raw!$A$2:$A$9876='2019-20_working'!$A$2)*(raw!$B$2:$B$9876='2019-20_working'!$A45)*(raw!$E$2:$E$9876='2019-20_working'!$T$6)*(raw!$F$2:$F$9876='2019-20_working'!T$7)*(raw!$G$2:$G$9876))</f>
        <v>3</v>
      </c>
      <c r="U45" s="8">
        <f>SUMPRODUCT((raw!$A$2:$A$9876='2019-20_working'!$A$2)*(raw!$B$2:$B$9876='2019-20_working'!$A45)*(raw!$E$2:$E$9876='2019-20_working'!$T$6)*(raw!$F$2:$F$9876='2019-20_working'!U$7)*(raw!$G$2:$G$9876))</f>
        <v>0</v>
      </c>
      <c r="V45" s="8">
        <f>SUMPRODUCT((raw!$A$2:$A$9876='2019-20_working'!$A$2)*(raw!$B$2:$B$9876='2019-20_working'!$A45)*(raw!$E$2:$E$9876='2019-20_working'!$T$6)*(raw!$F$2:$F$9876='2019-20_working'!V$7)*(raw!$G$2:$G$9876))</f>
        <v>0</v>
      </c>
      <c r="W45" s="8">
        <f>SUMPRODUCT((raw!$A$2:$A$9876='2019-20_working'!$A$2)*(raw!$B$2:$B$9876='2019-20_working'!$A45)*(raw!$E$2:$E$9876='2019-20_working'!$T$6)*(raw!$F$2:$F$9876='2019-20_working'!W$7)*(raw!$G$2:$G$9876))</f>
        <v>0</v>
      </c>
      <c r="X45" s="8">
        <f>SUMPRODUCT((raw!$A$2:$A$9876='2019-20_working'!$A$2)*(raw!$B$2:$B$9876='2019-20_working'!$A45)*(raw!$E$2:$E$9876='2019-20_working'!$T$6)*(raw!$F$2:$F$9876='2019-20_working'!X$7)*(raw!$G$2:$G$9876))</f>
        <v>0</v>
      </c>
      <c r="Y45" s="8">
        <f>SUMPRODUCT((raw!$A$2:$A$9876='2019-20_working'!$A$2)*(raw!$B$2:$B$9876='2019-20_working'!$A45)*(raw!$E$2:$E$9876='2019-20_working'!$T$6)*(raw!$F$2:$F$9876='2019-20_working'!Y$7)*(raw!$G$2:$G$9876))</f>
        <v>0</v>
      </c>
      <c r="Z45" s="8">
        <f>SUMPRODUCT((raw!$A$2:$A$9876='2019-20_working'!$A$2)*(raw!$B$2:$B$9876='2019-20_working'!$A45)*(raw!$E$2:$E$9876='2019-20_working'!$T$6)*(raw!$F$2:$F$9876='2019-20_working'!Z$7)*(raw!$G$2:$G$9876))</f>
        <v>0</v>
      </c>
      <c r="AA45" s="8">
        <f>SUMPRODUCT((raw!$A$2:$A$9876='2019-20_working'!$A$2)*(raw!$B$2:$B$9876='2019-20_working'!$A45)*(raw!$E$2:$E$9876='2019-20_working'!$T$6)*(raw!$F$2:$F$9876='2019-20_working'!AA$7)*(raw!$G$2:$G$9876))</f>
        <v>0</v>
      </c>
      <c r="AC45" s="8">
        <f>SUMPRODUCT((raw!$A$2:$A$9876='2019-20_working'!$A$2)*(raw!$B$2:$B$9876='2019-20_working'!$A45)*(raw!$E$2:$E$9876='2019-20_working'!$AC$6)*(raw!$F$2:$F$9876='2019-20_working'!AC$7)*(raw!$G$2:$G$9876))</f>
        <v>12</v>
      </c>
      <c r="AD45" s="8">
        <f>SUMPRODUCT((raw!$A$2:$A$9876='2019-20_working'!$A$2)*(raw!$B$2:$B$9876='2019-20_working'!$A45)*(raw!$E$2:$E$9876='2019-20_working'!$AC$6)*(raw!$F$2:$F$9876='2019-20_working'!AD$7)*(raw!$G$2:$G$9876))</f>
        <v>2</v>
      </c>
      <c r="AE45" s="8">
        <f>SUMPRODUCT((raw!$A$2:$A$9876='2019-20_working'!$A$2)*(raw!$B$2:$B$9876='2019-20_working'!$A45)*(raw!$E$2:$E$9876='2019-20_working'!$AC$6)*(raw!$F$2:$F$9876='2019-20_working'!AE$7)*(raw!$G$2:$G$9876))</f>
        <v>0</v>
      </c>
      <c r="AF45" s="8">
        <f>SUMPRODUCT((raw!$A$2:$A$9876='2019-20_working'!$A$2)*(raw!$B$2:$B$9876='2019-20_working'!$A45)*(raw!$E$2:$E$9876='2019-20_working'!$AC$6)*(raw!$F$2:$F$9876='2019-20_working'!AF$7)*(raw!$G$2:$G$9876))</f>
        <v>0</v>
      </c>
      <c r="AG45" s="8">
        <f>SUMPRODUCT((raw!$A$2:$A$9876='2019-20_working'!$A$2)*(raw!$B$2:$B$9876='2019-20_working'!$A45)*(raw!$E$2:$E$9876='2019-20_working'!$AC$6)*(raw!$F$2:$F$9876='2019-20_working'!AG$7)*(raw!$G$2:$G$9876))</f>
        <v>1</v>
      </c>
      <c r="AH45" s="8">
        <f>SUMPRODUCT((raw!$A$2:$A$9876='2019-20_working'!$A$2)*(raw!$B$2:$B$9876='2019-20_working'!$A45)*(raw!$E$2:$E$9876='2019-20_working'!$AC$6)*(raw!$F$2:$F$9876='2019-20_working'!AH$7)*(raw!$G$2:$G$9876))</f>
        <v>0</v>
      </c>
      <c r="AI45" s="8">
        <f>SUMPRODUCT((raw!$A$2:$A$9876='2019-20_working'!$A$2)*(raw!$B$2:$B$9876='2019-20_working'!$A45)*(raw!$E$2:$E$9876='2019-20_working'!$AC$6)*(raw!$F$2:$F$9876='2019-20_working'!AI$7)*(raw!$G$2:$G$9876))</f>
        <v>0</v>
      </c>
      <c r="AJ45" s="8">
        <f>SUMPRODUCT((raw!$A$2:$A$9876='2019-20_working'!$A$2)*(raw!$B$2:$B$9876='2019-20_working'!$A45)*(raw!$E$2:$E$9876='2019-20_working'!$AC$6)*(raw!$F$2:$F$9876='2019-20_working'!AJ$7)*(raw!$G$2:$G$9876))</f>
        <v>1</v>
      </c>
    </row>
    <row r="46" spans="1:36" x14ac:dyDescent="0.3">
      <c r="A46" s="8" t="s">
        <v>53</v>
      </c>
      <c r="B46" s="8">
        <f>SUMPRODUCT((raw!$A$2:$A$9876='2019-20_working'!$A$2)*(raw!$B$2:$B$9876='2019-20_working'!$A46)*(raw!$E$2:$E$9876='2019-20_working'!$B$6:$I$6)*(raw!$F$2:$F$9876='2019-20_working'!B$7)*(raw!$G$2:$G$9876))</f>
        <v>13</v>
      </c>
      <c r="C46" s="8">
        <f>SUMPRODUCT((raw!$A$2:$A$9876='2019-20_working'!$A$2)*(raw!$B$2:$B$9876='2019-20_working'!$A46)*(raw!$E$2:$E$9876='2019-20_working'!$B$6:$I$6)*(raw!$F$2:$F$9876='2019-20_working'!C$7)*(raw!$G$2:$G$9876))</f>
        <v>0</v>
      </c>
      <c r="D46" s="8">
        <f>SUMPRODUCT((raw!$A$2:$A$9876='2019-20_working'!$A$2)*(raw!$B$2:$B$9876='2019-20_working'!$A46)*(raw!$E$2:$E$9876='2019-20_working'!$B$6:$I$6)*(raw!$F$2:$F$9876='2019-20_working'!D$7)*(raw!$G$2:$G$9876))</f>
        <v>0</v>
      </c>
      <c r="E46" s="8">
        <f>SUMPRODUCT((raw!$A$2:$A$9876='2019-20_working'!$A$2)*(raw!$B$2:$B$9876='2019-20_working'!$A46)*(raw!$E$2:$E$9876='2019-20_working'!$B$6:$I$6)*(raw!$F$2:$F$9876='2019-20_working'!E$7)*(raw!$G$2:$G$9876))</f>
        <v>1</v>
      </c>
      <c r="F46" s="8">
        <f>SUMPRODUCT((raw!$A$2:$A$9876='2019-20_working'!$A$2)*(raw!$B$2:$B$9876='2019-20_working'!$A46)*(raw!$E$2:$E$9876='2019-20_working'!$B$6:$I$6)*(raw!$F$2:$F$9876='2019-20_working'!F$7)*(raw!$G$2:$G$9876))</f>
        <v>0</v>
      </c>
      <c r="G46" s="8">
        <f>SUMPRODUCT((raw!$A$2:$A$9876='2019-20_working'!$A$2)*(raw!$B$2:$B$9876='2019-20_working'!$A46)*(raw!$E$2:$E$9876='2019-20_working'!$B$6:$I$6)*(raw!$F$2:$F$9876='2019-20_working'!G$7)*(raw!$G$2:$G$9876))</f>
        <v>0</v>
      </c>
      <c r="H46" s="8">
        <f>SUMPRODUCT((raw!$A$2:$A$9876='2019-20_working'!$A$2)*(raw!$B$2:$B$9876='2019-20_working'!$A46)*(raw!$E$2:$E$9876='2019-20_working'!$B$6:$I$6)*(raw!$F$2:$F$9876='2019-20_working'!H$7)*(raw!$G$2:$G$9876))</f>
        <v>0</v>
      </c>
      <c r="I46" s="8">
        <f>SUMPRODUCT((raw!$A$2:$A$9876='2019-20_working'!$A$2)*(raw!$B$2:$B$9876='2019-20_working'!$A46)*(raw!$E$2:$E$9876='2019-20_working'!$B$6:$I$6)*(raw!$F$2:$F$9876='2019-20_working'!I$7)*(raw!$G$2:$G$9876))</f>
        <v>10</v>
      </c>
      <c r="K46" s="8">
        <f>SUMPRODUCT((raw!$A$2:$A$9876='2019-20_working'!$A$2)*(raw!$B$2:$B$9876='2019-20_working'!$A46)*(raw!$E$2:$E$9876='2019-20_working'!$K$6)*(raw!$F$2:$F$9876='2019-20_working'!K$7)*(raw!$G$2:$G$9876))</f>
        <v>11</v>
      </c>
      <c r="L46" s="8">
        <f>SUMPRODUCT((raw!$A$2:$A$9876='2019-20_working'!$A$2)*(raw!$B$2:$B$9876='2019-20_working'!$A46)*(raw!$E$2:$E$9876='2019-20_working'!$K$6)*(raw!$F$2:$F$9876='2019-20_working'!L$7)*(raw!$G$2:$G$9876))</f>
        <v>0</v>
      </c>
      <c r="M46" s="8">
        <f>SUMPRODUCT((raw!$A$2:$A$9876='2019-20_working'!$A$2)*(raw!$B$2:$B$9876='2019-20_working'!$A46)*(raw!$E$2:$E$9876='2019-20_working'!$K$6)*(raw!$F$2:$F$9876='2019-20_working'!M$7)*(raw!$G$2:$G$9876))</f>
        <v>0</v>
      </c>
      <c r="N46" s="8">
        <f>SUMPRODUCT((raw!$A$2:$A$9876='2019-20_working'!$A$2)*(raw!$B$2:$B$9876='2019-20_working'!$A46)*(raw!$E$2:$E$9876='2019-20_working'!$K$6)*(raw!$F$2:$F$9876='2019-20_working'!N$7)*(raw!$G$2:$G$9876))</f>
        <v>0</v>
      </c>
      <c r="O46" s="8">
        <f>SUMPRODUCT((raw!$A$2:$A$9876='2019-20_working'!$A$2)*(raw!$B$2:$B$9876='2019-20_working'!$A46)*(raw!$E$2:$E$9876='2019-20_working'!$K$6)*(raw!$F$2:$F$9876='2019-20_working'!O$7)*(raw!$G$2:$G$9876))</f>
        <v>0</v>
      </c>
      <c r="P46" s="8">
        <f>SUMPRODUCT((raw!$A$2:$A$9876='2019-20_working'!$A$2)*(raw!$B$2:$B$9876='2019-20_working'!$A46)*(raw!$E$2:$E$9876='2019-20_working'!$K$6)*(raw!$F$2:$F$9876='2019-20_working'!P$7)*(raw!$G$2:$G$9876))</f>
        <v>0</v>
      </c>
      <c r="Q46" s="8">
        <f>SUMPRODUCT((raw!$A$2:$A$9876='2019-20_working'!$A$2)*(raw!$B$2:$B$9876='2019-20_working'!$A46)*(raw!$E$2:$E$9876='2019-20_working'!$K$6)*(raw!$F$2:$F$9876='2019-20_working'!Q$7)*(raw!$G$2:$G$9876))</f>
        <v>0</v>
      </c>
      <c r="R46" s="8">
        <f>SUMPRODUCT((raw!$A$2:$A$9876='2019-20_working'!$A$2)*(raw!$B$2:$B$9876='2019-20_working'!$A46)*(raw!$E$2:$E$9876='2019-20_working'!$K$6)*(raw!$F$2:$F$9876='2019-20_working'!R$7)*(raw!$G$2:$G$9876))</f>
        <v>4</v>
      </c>
      <c r="T46" s="8">
        <f>SUMPRODUCT((raw!$A$2:$A$9876='2019-20_working'!$A$2)*(raw!$B$2:$B$9876='2019-20_working'!$A46)*(raw!$E$2:$E$9876='2019-20_working'!$T$6)*(raw!$F$2:$F$9876='2019-20_working'!T$7)*(raw!$G$2:$G$9876))</f>
        <v>2</v>
      </c>
      <c r="U46" s="8">
        <f>SUMPRODUCT((raw!$A$2:$A$9876='2019-20_working'!$A$2)*(raw!$B$2:$B$9876='2019-20_working'!$A46)*(raw!$E$2:$E$9876='2019-20_working'!$T$6)*(raw!$F$2:$F$9876='2019-20_working'!U$7)*(raw!$G$2:$G$9876))</f>
        <v>0</v>
      </c>
      <c r="V46" s="8">
        <f>SUMPRODUCT((raw!$A$2:$A$9876='2019-20_working'!$A$2)*(raw!$B$2:$B$9876='2019-20_working'!$A46)*(raw!$E$2:$E$9876='2019-20_working'!$T$6)*(raw!$F$2:$F$9876='2019-20_working'!V$7)*(raw!$G$2:$G$9876))</f>
        <v>0</v>
      </c>
      <c r="W46" s="8">
        <f>SUMPRODUCT((raw!$A$2:$A$9876='2019-20_working'!$A$2)*(raw!$B$2:$B$9876='2019-20_working'!$A46)*(raw!$E$2:$E$9876='2019-20_working'!$T$6)*(raw!$F$2:$F$9876='2019-20_working'!W$7)*(raw!$G$2:$G$9876))</f>
        <v>0</v>
      </c>
      <c r="X46" s="8">
        <f>SUMPRODUCT((raw!$A$2:$A$9876='2019-20_working'!$A$2)*(raw!$B$2:$B$9876='2019-20_working'!$A46)*(raw!$E$2:$E$9876='2019-20_working'!$T$6)*(raw!$F$2:$F$9876='2019-20_working'!X$7)*(raw!$G$2:$G$9876))</f>
        <v>0</v>
      </c>
      <c r="Y46" s="8">
        <f>SUMPRODUCT((raw!$A$2:$A$9876='2019-20_working'!$A$2)*(raw!$B$2:$B$9876='2019-20_working'!$A46)*(raw!$E$2:$E$9876='2019-20_working'!$T$6)*(raw!$F$2:$F$9876='2019-20_working'!Y$7)*(raw!$G$2:$G$9876))</f>
        <v>0</v>
      </c>
      <c r="Z46" s="8">
        <f>SUMPRODUCT((raw!$A$2:$A$9876='2019-20_working'!$A$2)*(raw!$B$2:$B$9876='2019-20_working'!$A46)*(raw!$E$2:$E$9876='2019-20_working'!$T$6)*(raw!$F$2:$F$9876='2019-20_working'!Z$7)*(raw!$G$2:$G$9876))</f>
        <v>0</v>
      </c>
      <c r="AA46" s="8">
        <f>SUMPRODUCT((raw!$A$2:$A$9876='2019-20_working'!$A$2)*(raw!$B$2:$B$9876='2019-20_working'!$A46)*(raw!$E$2:$E$9876='2019-20_working'!$T$6)*(raw!$F$2:$F$9876='2019-20_working'!AA$7)*(raw!$G$2:$G$9876))</f>
        <v>0</v>
      </c>
      <c r="AC46" s="8">
        <f>SUMPRODUCT((raw!$A$2:$A$9876='2019-20_working'!$A$2)*(raw!$B$2:$B$9876='2019-20_working'!$A46)*(raw!$E$2:$E$9876='2019-20_working'!$AC$6)*(raw!$F$2:$F$9876='2019-20_working'!AC$7)*(raw!$G$2:$G$9876))</f>
        <v>15</v>
      </c>
      <c r="AD46" s="8">
        <f>SUMPRODUCT((raw!$A$2:$A$9876='2019-20_working'!$A$2)*(raw!$B$2:$B$9876='2019-20_working'!$A46)*(raw!$E$2:$E$9876='2019-20_working'!$AC$6)*(raw!$F$2:$F$9876='2019-20_working'!AD$7)*(raw!$G$2:$G$9876))</f>
        <v>0</v>
      </c>
      <c r="AE46" s="8">
        <f>SUMPRODUCT((raw!$A$2:$A$9876='2019-20_working'!$A$2)*(raw!$B$2:$B$9876='2019-20_working'!$A46)*(raw!$E$2:$E$9876='2019-20_working'!$AC$6)*(raw!$F$2:$F$9876='2019-20_working'!AE$7)*(raw!$G$2:$G$9876))</f>
        <v>0</v>
      </c>
      <c r="AF46" s="8">
        <f>SUMPRODUCT((raw!$A$2:$A$9876='2019-20_working'!$A$2)*(raw!$B$2:$B$9876='2019-20_working'!$A46)*(raw!$E$2:$E$9876='2019-20_working'!$AC$6)*(raw!$F$2:$F$9876='2019-20_working'!AF$7)*(raw!$G$2:$G$9876))</f>
        <v>0</v>
      </c>
      <c r="AG46" s="8">
        <f>SUMPRODUCT((raw!$A$2:$A$9876='2019-20_working'!$A$2)*(raw!$B$2:$B$9876='2019-20_working'!$A46)*(raw!$E$2:$E$9876='2019-20_working'!$AC$6)*(raw!$F$2:$F$9876='2019-20_working'!AG$7)*(raw!$G$2:$G$9876))</f>
        <v>0</v>
      </c>
      <c r="AH46" s="8">
        <f>SUMPRODUCT((raw!$A$2:$A$9876='2019-20_working'!$A$2)*(raw!$B$2:$B$9876='2019-20_working'!$A46)*(raw!$E$2:$E$9876='2019-20_working'!$AC$6)*(raw!$F$2:$F$9876='2019-20_working'!AH$7)*(raw!$G$2:$G$9876))</f>
        <v>0</v>
      </c>
      <c r="AI46" s="8">
        <f>SUMPRODUCT((raw!$A$2:$A$9876='2019-20_working'!$A$2)*(raw!$B$2:$B$9876='2019-20_working'!$A46)*(raw!$E$2:$E$9876='2019-20_working'!$AC$6)*(raw!$F$2:$F$9876='2019-20_working'!AI$7)*(raw!$G$2:$G$9876))</f>
        <v>0</v>
      </c>
      <c r="AJ46" s="8">
        <f>SUMPRODUCT((raw!$A$2:$A$9876='2019-20_working'!$A$2)*(raw!$B$2:$B$9876='2019-20_working'!$A46)*(raw!$E$2:$E$9876='2019-20_working'!$AC$6)*(raw!$F$2:$F$9876='2019-20_working'!AJ$7)*(raw!$G$2:$G$9876))</f>
        <v>3</v>
      </c>
    </row>
    <row r="47" spans="1:36" x14ac:dyDescent="0.3">
      <c r="A47" s="8" t="s">
        <v>54</v>
      </c>
      <c r="B47" s="8">
        <f>SUMPRODUCT((raw!$A$2:$A$9876='2019-20_working'!$A$2)*(raw!$B$2:$B$9876='2019-20_working'!$A47)*(raw!$E$2:$E$9876='2019-20_working'!$B$6:$I$6)*(raw!$F$2:$F$9876='2019-20_working'!B$7)*(raw!$G$2:$G$9876))</f>
        <v>2</v>
      </c>
      <c r="C47" s="8">
        <f>SUMPRODUCT((raw!$A$2:$A$9876='2019-20_working'!$A$2)*(raw!$B$2:$B$9876='2019-20_working'!$A47)*(raw!$E$2:$E$9876='2019-20_working'!$B$6:$I$6)*(raw!$F$2:$F$9876='2019-20_working'!C$7)*(raw!$G$2:$G$9876))</f>
        <v>0</v>
      </c>
      <c r="D47" s="8">
        <f>SUMPRODUCT((raw!$A$2:$A$9876='2019-20_working'!$A$2)*(raw!$B$2:$B$9876='2019-20_working'!$A47)*(raw!$E$2:$E$9876='2019-20_working'!$B$6:$I$6)*(raw!$F$2:$F$9876='2019-20_working'!D$7)*(raw!$G$2:$G$9876))</f>
        <v>0</v>
      </c>
      <c r="E47" s="8">
        <f>SUMPRODUCT((raw!$A$2:$A$9876='2019-20_working'!$A$2)*(raw!$B$2:$B$9876='2019-20_working'!$A47)*(raw!$E$2:$E$9876='2019-20_working'!$B$6:$I$6)*(raw!$F$2:$F$9876='2019-20_working'!E$7)*(raw!$G$2:$G$9876))</f>
        <v>0</v>
      </c>
      <c r="F47" s="8">
        <f>SUMPRODUCT((raw!$A$2:$A$9876='2019-20_working'!$A$2)*(raw!$B$2:$B$9876='2019-20_working'!$A47)*(raw!$E$2:$E$9876='2019-20_working'!$B$6:$I$6)*(raw!$F$2:$F$9876='2019-20_working'!F$7)*(raw!$G$2:$G$9876))</f>
        <v>0</v>
      </c>
      <c r="G47" s="8">
        <f>SUMPRODUCT((raw!$A$2:$A$9876='2019-20_working'!$A$2)*(raw!$B$2:$B$9876='2019-20_working'!$A47)*(raw!$E$2:$E$9876='2019-20_working'!$B$6:$I$6)*(raw!$F$2:$F$9876='2019-20_working'!G$7)*(raw!$G$2:$G$9876))</f>
        <v>0</v>
      </c>
      <c r="H47" s="8">
        <f>SUMPRODUCT((raw!$A$2:$A$9876='2019-20_working'!$A$2)*(raw!$B$2:$B$9876='2019-20_working'!$A47)*(raw!$E$2:$E$9876='2019-20_working'!$B$6:$I$6)*(raw!$F$2:$F$9876='2019-20_working'!H$7)*(raw!$G$2:$G$9876))</f>
        <v>0</v>
      </c>
      <c r="I47" s="8">
        <f>SUMPRODUCT((raw!$A$2:$A$9876='2019-20_working'!$A$2)*(raw!$B$2:$B$9876='2019-20_working'!$A47)*(raw!$E$2:$E$9876='2019-20_working'!$B$6:$I$6)*(raw!$F$2:$F$9876='2019-20_working'!I$7)*(raw!$G$2:$G$9876))</f>
        <v>11</v>
      </c>
      <c r="K47" s="8">
        <f>SUMPRODUCT((raw!$A$2:$A$9876='2019-20_working'!$A$2)*(raw!$B$2:$B$9876='2019-20_working'!$A47)*(raw!$E$2:$E$9876='2019-20_working'!$K$6)*(raw!$F$2:$F$9876='2019-20_working'!K$7)*(raw!$G$2:$G$9876))</f>
        <v>30</v>
      </c>
      <c r="L47" s="8">
        <f>SUMPRODUCT((raw!$A$2:$A$9876='2019-20_working'!$A$2)*(raw!$B$2:$B$9876='2019-20_working'!$A47)*(raw!$E$2:$E$9876='2019-20_working'!$K$6)*(raw!$F$2:$F$9876='2019-20_working'!L$7)*(raw!$G$2:$G$9876))</f>
        <v>0</v>
      </c>
      <c r="M47" s="8">
        <f>SUMPRODUCT((raw!$A$2:$A$9876='2019-20_working'!$A$2)*(raw!$B$2:$B$9876='2019-20_working'!$A47)*(raw!$E$2:$E$9876='2019-20_working'!$K$6)*(raw!$F$2:$F$9876='2019-20_working'!M$7)*(raw!$G$2:$G$9876))</f>
        <v>0</v>
      </c>
      <c r="N47" s="8">
        <f>SUMPRODUCT((raw!$A$2:$A$9876='2019-20_working'!$A$2)*(raw!$B$2:$B$9876='2019-20_working'!$A47)*(raw!$E$2:$E$9876='2019-20_working'!$K$6)*(raw!$F$2:$F$9876='2019-20_working'!N$7)*(raw!$G$2:$G$9876))</f>
        <v>0</v>
      </c>
      <c r="O47" s="8">
        <f>SUMPRODUCT((raw!$A$2:$A$9876='2019-20_working'!$A$2)*(raw!$B$2:$B$9876='2019-20_working'!$A47)*(raw!$E$2:$E$9876='2019-20_working'!$K$6)*(raw!$F$2:$F$9876='2019-20_working'!O$7)*(raw!$G$2:$G$9876))</f>
        <v>0</v>
      </c>
      <c r="P47" s="8">
        <f>SUMPRODUCT((raw!$A$2:$A$9876='2019-20_working'!$A$2)*(raw!$B$2:$B$9876='2019-20_working'!$A47)*(raw!$E$2:$E$9876='2019-20_working'!$K$6)*(raw!$F$2:$F$9876='2019-20_working'!P$7)*(raw!$G$2:$G$9876))</f>
        <v>0</v>
      </c>
      <c r="Q47" s="8">
        <f>SUMPRODUCT((raw!$A$2:$A$9876='2019-20_working'!$A$2)*(raw!$B$2:$B$9876='2019-20_working'!$A47)*(raw!$E$2:$E$9876='2019-20_working'!$K$6)*(raw!$F$2:$F$9876='2019-20_working'!Q$7)*(raw!$G$2:$G$9876))</f>
        <v>1</v>
      </c>
      <c r="R47" s="8">
        <f>SUMPRODUCT((raw!$A$2:$A$9876='2019-20_working'!$A$2)*(raw!$B$2:$B$9876='2019-20_working'!$A47)*(raw!$E$2:$E$9876='2019-20_working'!$K$6)*(raw!$F$2:$F$9876='2019-20_working'!R$7)*(raw!$G$2:$G$9876))</f>
        <v>13</v>
      </c>
      <c r="T47" s="8">
        <f>SUMPRODUCT((raw!$A$2:$A$9876='2019-20_working'!$A$2)*(raw!$B$2:$B$9876='2019-20_working'!$A47)*(raw!$E$2:$E$9876='2019-20_working'!$T$6)*(raw!$F$2:$F$9876='2019-20_working'!T$7)*(raw!$G$2:$G$9876))</f>
        <v>0</v>
      </c>
      <c r="U47" s="8">
        <f>SUMPRODUCT((raw!$A$2:$A$9876='2019-20_working'!$A$2)*(raw!$B$2:$B$9876='2019-20_working'!$A47)*(raw!$E$2:$E$9876='2019-20_working'!$T$6)*(raw!$F$2:$F$9876='2019-20_working'!U$7)*(raw!$G$2:$G$9876))</f>
        <v>0</v>
      </c>
      <c r="V47" s="8">
        <f>SUMPRODUCT((raw!$A$2:$A$9876='2019-20_working'!$A$2)*(raw!$B$2:$B$9876='2019-20_working'!$A47)*(raw!$E$2:$E$9876='2019-20_working'!$T$6)*(raw!$F$2:$F$9876='2019-20_working'!V$7)*(raw!$G$2:$G$9876))</f>
        <v>0</v>
      </c>
      <c r="W47" s="8">
        <f>SUMPRODUCT((raw!$A$2:$A$9876='2019-20_working'!$A$2)*(raw!$B$2:$B$9876='2019-20_working'!$A47)*(raw!$E$2:$E$9876='2019-20_working'!$T$6)*(raw!$F$2:$F$9876='2019-20_working'!W$7)*(raw!$G$2:$G$9876))</f>
        <v>0</v>
      </c>
      <c r="X47" s="8">
        <f>SUMPRODUCT((raw!$A$2:$A$9876='2019-20_working'!$A$2)*(raw!$B$2:$B$9876='2019-20_working'!$A47)*(raw!$E$2:$E$9876='2019-20_working'!$T$6)*(raw!$F$2:$F$9876='2019-20_working'!X$7)*(raw!$G$2:$G$9876))</f>
        <v>0</v>
      </c>
      <c r="Y47" s="8">
        <f>SUMPRODUCT((raw!$A$2:$A$9876='2019-20_working'!$A$2)*(raw!$B$2:$B$9876='2019-20_working'!$A47)*(raw!$E$2:$E$9876='2019-20_working'!$T$6)*(raw!$F$2:$F$9876='2019-20_working'!Y$7)*(raw!$G$2:$G$9876))</f>
        <v>0</v>
      </c>
      <c r="Z47" s="8">
        <f>SUMPRODUCT((raw!$A$2:$A$9876='2019-20_working'!$A$2)*(raw!$B$2:$B$9876='2019-20_working'!$A47)*(raw!$E$2:$E$9876='2019-20_working'!$T$6)*(raw!$F$2:$F$9876='2019-20_working'!Z$7)*(raw!$G$2:$G$9876))</f>
        <v>0</v>
      </c>
      <c r="AA47" s="8">
        <f>SUMPRODUCT((raw!$A$2:$A$9876='2019-20_working'!$A$2)*(raw!$B$2:$B$9876='2019-20_working'!$A47)*(raw!$E$2:$E$9876='2019-20_working'!$T$6)*(raw!$F$2:$F$9876='2019-20_working'!AA$7)*(raw!$G$2:$G$9876))</f>
        <v>0</v>
      </c>
      <c r="AC47" s="8">
        <f>SUMPRODUCT((raw!$A$2:$A$9876='2019-20_working'!$A$2)*(raw!$B$2:$B$9876='2019-20_working'!$A47)*(raw!$E$2:$E$9876='2019-20_working'!$AC$6)*(raw!$F$2:$F$9876='2019-20_working'!AC$7)*(raw!$G$2:$G$9876))</f>
        <v>1</v>
      </c>
      <c r="AD47" s="8">
        <f>SUMPRODUCT((raw!$A$2:$A$9876='2019-20_working'!$A$2)*(raw!$B$2:$B$9876='2019-20_working'!$A47)*(raw!$E$2:$E$9876='2019-20_working'!$AC$6)*(raw!$F$2:$F$9876='2019-20_working'!AD$7)*(raw!$G$2:$G$9876))</f>
        <v>0</v>
      </c>
      <c r="AE47" s="8">
        <f>SUMPRODUCT((raw!$A$2:$A$9876='2019-20_working'!$A$2)*(raw!$B$2:$B$9876='2019-20_working'!$A47)*(raw!$E$2:$E$9876='2019-20_working'!$AC$6)*(raw!$F$2:$F$9876='2019-20_working'!AE$7)*(raw!$G$2:$G$9876))</f>
        <v>0</v>
      </c>
      <c r="AF47" s="8">
        <f>SUMPRODUCT((raw!$A$2:$A$9876='2019-20_working'!$A$2)*(raw!$B$2:$B$9876='2019-20_working'!$A47)*(raw!$E$2:$E$9876='2019-20_working'!$AC$6)*(raw!$F$2:$F$9876='2019-20_working'!AF$7)*(raw!$G$2:$G$9876))</f>
        <v>0</v>
      </c>
      <c r="AG47" s="8">
        <f>SUMPRODUCT((raw!$A$2:$A$9876='2019-20_working'!$A$2)*(raw!$B$2:$B$9876='2019-20_working'!$A47)*(raw!$E$2:$E$9876='2019-20_working'!$AC$6)*(raw!$F$2:$F$9876='2019-20_working'!AG$7)*(raw!$G$2:$G$9876))</f>
        <v>0</v>
      </c>
      <c r="AH47" s="8">
        <f>SUMPRODUCT((raw!$A$2:$A$9876='2019-20_working'!$A$2)*(raw!$B$2:$B$9876='2019-20_working'!$A47)*(raw!$E$2:$E$9876='2019-20_working'!$AC$6)*(raw!$F$2:$F$9876='2019-20_working'!AH$7)*(raw!$G$2:$G$9876))</f>
        <v>0</v>
      </c>
      <c r="AI47" s="8">
        <f>SUMPRODUCT((raw!$A$2:$A$9876='2019-20_working'!$A$2)*(raw!$B$2:$B$9876='2019-20_working'!$A47)*(raw!$E$2:$E$9876='2019-20_working'!$AC$6)*(raw!$F$2:$F$9876='2019-20_working'!AI$7)*(raw!$G$2:$G$9876))</f>
        <v>0</v>
      </c>
      <c r="AJ47" s="8">
        <f>SUMPRODUCT((raw!$A$2:$A$9876='2019-20_working'!$A$2)*(raw!$B$2:$B$9876='2019-20_working'!$A47)*(raw!$E$2:$E$9876='2019-20_working'!$AC$6)*(raw!$F$2:$F$9876='2019-20_working'!AJ$7)*(raw!$G$2:$G$9876))</f>
        <v>13</v>
      </c>
    </row>
    <row r="48" spans="1:36" x14ac:dyDescent="0.3">
      <c r="A48" s="8" t="s">
        <v>55</v>
      </c>
      <c r="B48" s="8">
        <f>SUMPRODUCT((raw!$A$2:$A$9876='2019-20_working'!$A$2)*(raw!$B$2:$B$9876='2019-20_working'!$A48)*(raw!$E$2:$E$9876='2019-20_working'!$B$6:$I$6)*(raw!$F$2:$F$9876='2019-20_working'!B$7)*(raw!$G$2:$G$9876))</f>
        <v>0</v>
      </c>
      <c r="C48" s="8">
        <f>SUMPRODUCT((raw!$A$2:$A$9876='2019-20_working'!$A$2)*(raw!$B$2:$B$9876='2019-20_working'!$A48)*(raw!$E$2:$E$9876='2019-20_working'!$B$6:$I$6)*(raw!$F$2:$F$9876='2019-20_working'!C$7)*(raw!$G$2:$G$9876))</f>
        <v>0</v>
      </c>
      <c r="D48" s="8">
        <f>SUMPRODUCT((raw!$A$2:$A$9876='2019-20_working'!$A$2)*(raw!$B$2:$B$9876='2019-20_working'!$A48)*(raw!$E$2:$E$9876='2019-20_working'!$B$6:$I$6)*(raw!$F$2:$F$9876='2019-20_working'!D$7)*(raw!$G$2:$G$9876))</f>
        <v>0</v>
      </c>
      <c r="E48" s="8">
        <f>SUMPRODUCT((raw!$A$2:$A$9876='2019-20_working'!$A$2)*(raw!$B$2:$B$9876='2019-20_working'!$A48)*(raw!$E$2:$E$9876='2019-20_working'!$B$6:$I$6)*(raw!$F$2:$F$9876='2019-20_working'!E$7)*(raw!$G$2:$G$9876))</f>
        <v>0</v>
      </c>
      <c r="F48" s="8">
        <f>SUMPRODUCT((raw!$A$2:$A$9876='2019-20_working'!$A$2)*(raw!$B$2:$B$9876='2019-20_working'!$A48)*(raw!$E$2:$E$9876='2019-20_working'!$B$6:$I$6)*(raw!$F$2:$F$9876='2019-20_working'!F$7)*(raw!$G$2:$G$9876))</f>
        <v>0</v>
      </c>
      <c r="G48" s="8">
        <f>SUMPRODUCT((raw!$A$2:$A$9876='2019-20_working'!$A$2)*(raw!$B$2:$B$9876='2019-20_working'!$A48)*(raw!$E$2:$E$9876='2019-20_working'!$B$6:$I$6)*(raw!$F$2:$F$9876='2019-20_working'!G$7)*(raw!$G$2:$G$9876))</f>
        <v>0</v>
      </c>
      <c r="H48" s="8">
        <f>SUMPRODUCT((raw!$A$2:$A$9876='2019-20_working'!$A$2)*(raw!$B$2:$B$9876='2019-20_working'!$A48)*(raw!$E$2:$E$9876='2019-20_working'!$B$6:$I$6)*(raw!$F$2:$F$9876='2019-20_working'!H$7)*(raw!$G$2:$G$9876))</f>
        <v>0</v>
      </c>
      <c r="I48" s="8">
        <f>SUMPRODUCT((raw!$A$2:$A$9876='2019-20_working'!$A$2)*(raw!$B$2:$B$9876='2019-20_working'!$A48)*(raw!$E$2:$E$9876='2019-20_working'!$B$6:$I$6)*(raw!$F$2:$F$9876='2019-20_working'!I$7)*(raw!$G$2:$G$9876))</f>
        <v>0</v>
      </c>
      <c r="K48" s="8">
        <f>SUMPRODUCT((raw!$A$2:$A$9876='2019-20_working'!$A$2)*(raw!$B$2:$B$9876='2019-20_working'!$A48)*(raw!$E$2:$E$9876='2019-20_working'!$K$6)*(raw!$F$2:$F$9876='2019-20_working'!K$7)*(raw!$G$2:$G$9876))</f>
        <v>3</v>
      </c>
      <c r="L48" s="8">
        <f>SUMPRODUCT((raw!$A$2:$A$9876='2019-20_working'!$A$2)*(raw!$B$2:$B$9876='2019-20_working'!$A48)*(raw!$E$2:$E$9876='2019-20_working'!$K$6)*(raw!$F$2:$F$9876='2019-20_working'!L$7)*(raw!$G$2:$G$9876))</f>
        <v>0</v>
      </c>
      <c r="M48" s="8">
        <f>SUMPRODUCT((raw!$A$2:$A$9876='2019-20_working'!$A$2)*(raw!$B$2:$B$9876='2019-20_working'!$A48)*(raw!$E$2:$E$9876='2019-20_working'!$K$6)*(raw!$F$2:$F$9876='2019-20_working'!M$7)*(raw!$G$2:$G$9876))</f>
        <v>0</v>
      </c>
      <c r="N48" s="8">
        <f>SUMPRODUCT((raw!$A$2:$A$9876='2019-20_working'!$A$2)*(raw!$B$2:$B$9876='2019-20_working'!$A48)*(raw!$E$2:$E$9876='2019-20_working'!$K$6)*(raw!$F$2:$F$9876='2019-20_working'!N$7)*(raw!$G$2:$G$9876))</f>
        <v>0</v>
      </c>
      <c r="O48" s="8">
        <f>SUMPRODUCT((raw!$A$2:$A$9876='2019-20_working'!$A$2)*(raw!$B$2:$B$9876='2019-20_working'!$A48)*(raw!$E$2:$E$9876='2019-20_working'!$K$6)*(raw!$F$2:$F$9876='2019-20_working'!O$7)*(raw!$G$2:$G$9876))</f>
        <v>0</v>
      </c>
      <c r="P48" s="8">
        <f>SUMPRODUCT((raw!$A$2:$A$9876='2019-20_working'!$A$2)*(raw!$B$2:$B$9876='2019-20_working'!$A48)*(raw!$E$2:$E$9876='2019-20_working'!$K$6)*(raw!$F$2:$F$9876='2019-20_working'!P$7)*(raw!$G$2:$G$9876))</f>
        <v>0</v>
      </c>
      <c r="Q48" s="8">
        <f>SUMPRODUCT((raw!$A$2:$A$9876='2019-20_working'!$A$2)*(raw!$B$2:$B$9876='2019-20_working'!$A48)*(raw!$E$2:$E$9876='2019-20_working'!$K$6)*(raw!$F$2:$F$9876='2019-20_working'!Q$7)*(raw!$G$2:$G$9876))</f>
        <v>0</v>
      </c>
      <c r="R48" s="8">
        <f>SUMPRODUCT((raw!$A$2:$A$9876='2019-20_working'!$A$2)*(raw!$B$2:$B$9876='2019-20_working'!$A48)*(raw!$E$2:$E$9876='2019-20_working'!$K$6)*(raw!$F$2:$F$9876='2019-20_working'!R$7)*(raw!$G$2:$G$9876))</f>
        <v>0</v>
      </c>
      <c r="T48" s="8">
        <f>SUMPRODUCT((raw!$A$2:$A$9876='2019-20_working'!$A$2)*(raw!$B$2:$B$9876='2019-20_working'!$A48)*(raw!$E$2:$E$9876='2019-20_working'!$T$6)*(raw!$F$2:$F$9876='2019-20_working'!T$7)*(raw!$G$2:$G$9876))</f>
        <v>0</v>
      </c>
      <c r="U48" s="8">
        <f>SUMPRODUCT((raw!$A$2:$A$9876='2019-20_working'!$A$2)*(raw!$B$2:$B$9876='2019-20_working'!$A48)*(raw!$E$2:$E$9876='2019-20_working'!$T$6)*(raw!$F$2:$F$9876='2019-20_working'!U$7)*(raw!$G$2:$G$9876))</f>
        <v>0</v>
      </c>
      <c r="V48" s="8">
        <f>SUMPRODUCT((raw!$A$2:$A$9876='2019-20_working'!$A$2)*(raw!$B$2:$B$9876='2019-20_working'!$A48)*(raw!$E$2:$E$9876='2019-20_working'!$T$6)*(raw!$F$2:$F$9876='2019-20_working'!V$7)*(raw!$G$2:$G$9876))</f>
        <v>0</v>
      </c>
      <c r="W48" s="8">
        <f>SUMPRODUCT((raw!$A$2:$A$9876='2019-20_working'!$A$2)*(raw!$B$2:$B$9876='2019-20_working'!$A48)*(raw!$E$2:$E$9876='2019-20_working'!$T$6)*(raw!$F$2:$F$9876='2019-20_working'!W$7)*(raw!$G$2:$G$9876))</f>
        <v>0</v>
      </c>
      <c r="X48" s="8">
        <f>SUMPRODUCT((raw!$A$2:$A$9876='2019-20_working'!$A$2)*(raw!$B$2:$B$9876='2019-20_working'!$A48)*(raw!$E$2:$E$9876='2019-20_working'!$T$6)*(raw!$F$2:$F$9876='2019-20_working'!X$7)*(raw!$G$2:$G$9876))</f>
        <v>0</v>
      </c>
      <c r="Y48" s="8">
        <f>SUMPRODUCT((raw!$A$2:$A$9876='2019-20_working'!$A$2)*(raw!$B$2:$B$9876='2019-20_working'!$A48)*(raw!$E$2:$E$9876='2019-20_working'!$T$6)*(raw!$F$2:$F$9876='2019-20_working'!Y$7)*(raw!$G$2:$G$9876))</f>
        <v>0</v>
      </c>
      <c r="Z48" s="8">
        <f>SUMPRODUCT((raw!$A$2:$A$9876='2019-20_working'!$A$2)*(raw!$B$2:$B$9876='2019-20_working'!$A48)*(raw!$E$2:$E$9876='2019-20_working'!$T$6)*(raw!$F$2:$F$9876='2019-20_working'!Z$7)*(raw!$G$2:$G$9876))</f>
        <v>0</v>
      </c>
      <c r="AA48" s="8">
        <f>SUMPRODUCT((raw!$A$2:$A$9876='2019-20_working'!$A$2)*(raw!$B$2:$B$9876='2019-20_working'!$A48)*(raw!$E$2:$E$9876='2019-20_working'!$T$6)*(raw!$F$2:$F$9876='2019-20_working'!AA$7)*(raw!$G$2:$G$9876))</f>
        <v>0</v>
      </c>
      <c r="AC48" s="8">
        <f>SUMPRODUCT((raw!$A$2:$A$9876='2019-20_working'!$A$2)*(raw!$B$2:$B$9876='2019-20_working'!$A48)*(raw!$E$2:$E$9876='2019-20_working'!$AC$6)*(raw!$F$2:$F$9876='2019-20_working'!AC$7)*(raw!$G$2:$G$9876))</f>
        <v>0</v>
      </c>
      <c r="AD48" s="8">
        <f>SUMPRODUCT((raw!$A$2:$A$9876='2019-20_working'!$A$2)*(raw!$B$2:$B$9876='2019-20_working'!$A48)*(raw!$E$2:$E$9876='2019-20_working'!$AC$6)*(raw!$F$2:$F$9876='2019-20_working'!AD$7)*(raw!$G$2:$G$9876))</f>
        <v>0</v>
      </c>
      <c r="AE48" s="8">
        <f>SUMPRODUCT((raw!$A$2:$A$9876='2019-20_working'!$A$2)*(raw!$B$2:$B$9876='2019-20_working'!$A48)*(raw!$E$2:$E$9876='2019-20_working'!$AC$6)*(raw!$F$2:$F$9876='2019-20_working'!AE$7)*(raw!$G$2:$G$9876))</f>
        <v>0</v>
      </c>
      <c r="AF48" s="8">
        <f>SUMPRODUCT((raw!$A$2:$A$9876='2019-20_working'!$A$2)*(raw!$B$2:$B$9876='2019-20_working'!$A48)*(raw!$E$2:$E$9876='2019-20_working'!$AC$6)*(raw!$F$2:$F$9876='2019-20_working'!AF$7)*(raw!$G$2:$G$9876))</f>
        <v>0</v>
      </c>
      <c r="AG48" s="8">
        <f>SUMPRODUCT((raw!$A$2:$A$9876='2019-20_working'!$A$2)*(raw!$B$2:$B$9876='2019-20_working'!$A48)*(raw!$E$2:$E$9876='2019-20_working'!$AC$6)*(raw!$F$2:$F$9876='2019-20_working'!AG$7)*(raw!$G$2:$G$9876))</f>
        <v>0</v>
      </c>
      <c r="AH48" s="8">
        <f>SUMPRODUCT((raw!$A$2:$A$9876='2019-20_working'!$A$2)*(raw!$B$2:$B$9876='2019-20_working'!$A48)*(raw!$E$2:$E$9876='2019-20_working'!$AC$6)*(raw!$F$2:$F$9876='2019-20_working'!AH$7)*(raw!$G$2:$G$9876))</f>
        <v>0</v>
      </c>
      <c r="AI48" s="8">
        <f>SUMPRODUCT((raw!$A$2:$A$9876='2019-20_working'!$A$2)*(raw!$B$2:$B$9876='2019-20_working'!$A48)*(raw!$E$2:$E$9876='2019-20_working'!$AC$6)*(raw!$F$2:$F$9876='2019-20_working'!AI$7)*(raw!$G$2:$G$9876))</f>
        <v>0</v>
      </c>
      <c r="AJ48" s="8">
        <f>SUMPRODUCT((raw!$A$2:$A$9876='2019-20_working'!$A$2)*(raw!$B$2:$B$9876='2019-20_working'!$A48)*(raw!$E$2:$E$9876='2019-20_working'!$AC$6)*(raw!$F$2:$F$9876='2019-20_working'!AJ$7)*(raw!$G$2:$G$9876))</f>
        <v>0</v>
      </c>
    </row>
    <row r="49" spans="1:36" x14ac:dyDescent="0.3">
      <c r="A49" s="8" t="s">
        <v>56</v>
      </c>
      <c r="B49" s="8">
        <f>SUM(B50:B56)</f>
        <v>450</v>
      </c>
      <c r="C49" s="8">
        <f t="shared" ref="C49:I49" si="8">SUM(C50:C56)</f>
        <v>11</v>
      </c>
      <c r="D49" s="8">
        <f t="shared" si="8"/>
        <v>31</v>
      </c>
      <c r="E49" s="8">
        <f t="shared" si="8"/>
        <v>7</v>
      </c>
      <c r="F49" s="8">
        <f t="shared" si="8"/>
        <v>20</v>
      </c>
      <c r="G49" s="8">
        <f t="shared" si="8"/>
        <v>2</v>
      </c>
      <c r="H49" s="8">
        <f t="shared" si="8"/>
        <v>10</v>
      </c>
      <c r="I49" s="8">
        <f t="shared" si="8"/>
        <v>35</v>
      </c>
      <c r="K49" s="8">
        <f t="shared" ref="K49:R49" si="9">SUM(K50:K56)</f>
        <v>74</v>
      </c>
      <c r="L49" s="8">
        <f t="shared" si="9"/>
        <v>0</v>
      </c>
      <c r="M49" s="8">
        <f t="shared" si="9"/>
        <v>1</v>
      </c>
      <c r="N49" s="8">
        <f t="shared" si="9"/>
        <v>0</v>
      </c>
      <c r="O49" s="8">
        <f t="shared" si="9"/>
        <v>0</v>
      </c>
      <c r="P49" s="8">
        <f t="shared" si="9"/>
        <v>0</v>
      </c>
      <c r="Q49" s="8">
        <f t="shared" si="9"/>
        <v>0</v>
      </c>
      <c r="R49" s="8">
        <f t="shared" si="9"/>
        <v>4</v>
      </c>
      <c r="T49" s="8">
        <f t="shared" ref="T49:AA49" si="10">SUM(T50:T56)</f>
        <v>25</v>
      </c>
      <c r="U49" s="8">
        <f t="shared" si="10"/>
        <v>0</v>
      </c>
      <c r="V49" s="8">
        <f t="shared" si="10"/>
        <v>1</v>
      </c>
      <c r="W49" s="8">
        <f t="shared" si="10"/>
        <v>0</v>
      </c>
      <c r="X49" s="8">
        <f t="shared" si="10"/>
        <v>1</v>
      </c>
      <c r="Y49" s="8">
        <f t="shared" si="10"/>
        <v>0</v>
      </c>
      <c r="Z49" s="8">
        <f t="shared" si="10"/>
        <v>1</v>
      </c>
      <c r="AA49" s="8">
        <f t="shared" si="10"/>
        <v>3</v>
      </c>
      <c r="AC49" s="8">
        <f t="shared" ref="AC49:AJ49" si="11">SUM(AC50:AC56)</f>
        <v>175</v>
      </c>
      <c r="AD49" s="8">
        <f t="shared" si="11"/>
        <v>7</v>
      </c>
      <c r="AE49" s="8">
        <f t="shared" si="11"/>
        <v>5</v>
      </c>
      <c r="AF49" s="8">
        <f t="shared" si="11"/>
        <v>14</v>
      </c>
      <c r="AG49" s="8">
        <f t="shared" si="11"/>
        <v>19</v>
      </c>
      <c r="AH49" s="8">
        <f t="shared" si="11"/>
        <v>0</v>
      </c>
      <c r="AI49" s="8">
        <f t="shared" si="11"/>
        <v>4</v>
      </c>
      <c r="AJ49" s="8">
        <f t="shared" si="11"/>
        <v>22</v>
      </c>
    </row>
    <row r="50" spans="1:36" x14ac:dyDescent="0.3">
      <c r="A50" s="8" t="s">
        <v>57</v>
      </c>
      <c r="B50" s="8">
        <f>SUMPRODUCT((raw!$A$2:$A$9876='2019-20_working'!$A$2)*(raw!$B$2:$B$9876='2019-20_working'!$A50)*(raw!$E$2:$E$9876='2019-20_working'!$B$6:$I$6)*(raw!$F$2:$F$9876='2019-20_working'!B$7)*(raw!$G$2:$G$9876))</f>
        <v>57</v>
      </c>
      <c r="C50" s="8">
        <f>SUMPRODUCT((raw!$A$2:$A$9876='2019-20_working'!$A$2)*(raw!$B$2:$B$9876='2019-20_working'!$A50)*(raw!$E$2:$E$9876='2019-20_working'!$B$6:$I$6)*(raw!$F$2:$F$9876='2019-20_working'!C$7)*(raw!$G$2:$G$9876))</f>
        <v>1</v>
      </c>
      <c r="D50" s="8">
        <f>SUMPRODUCT((raw!$A$2:$A$9876='2019-20_working'!$A$2)*(raw!$B$2:$B$9876='2019-20_working'!$A50)*(raw!$E$2:$E$9876='2019-20_working'!$B$6:$I$6)*(raw!$F$2:$F$9876='2019-20_working'!D$7)*(raw!$G$2:$G$9876))</f>
        <v>3</v>
      </c>
      <c r="E50" s="8">
        <f>SUMPRODUCT((raw!$A$2:$A$9876='2019-20_working'!$A$2)*(raw!$B$2:$B$9876='2019-20_working'!$A50)*(raw!$E$2:$E$9876='2019-20_working'!$B$6:$I$6)*(raw!$F$2:$F$9876='2019-20_working'!E$7)*(raw!$G$2:$G$9876))</f>
        <v>0</v>
      </c>
      <c r="F50" s="8">
        <f>SUMPRODUCT((raw!$A$2:$A$9876='2019-20_working'!$A$2)*(raw!$B$2:$B$9876='2019-20_working'!$A50)*(raw!$E$2:$E$9876='2019-20_working'!$B$6:$I$6)*(raw!$F$2:$F$9876='2019-20_working'!F$7)*(raw!$G$2:$G$9876))</f>
        <v>0</v>
      </c>
      <c r="G50" s="8">
        <f>SUMPRODUCT((raw!$A$2:$A$9876='2019-20_working'!$A$2)*(raw!$B$2:$B$9876='2019-20_working'!$A50)*(raw!$E$2:$E$9876='2019-20_working'!$B$6:$I$6)*(raw!$F$2:$F$9876='2019-20_working'!G$7)*(raw!$G$2:$G$9876))</f>
        <v>0</v>
      </c>
      <c r="H50" s="8">
        <f>SUMPRODUCT((raw!$A$2:$A$9876='2019-20_working'!$A$2)*(raw!$B$2:$B$9876='2019-20_working'!$A50)*(raw!$E$2:$E$9876='2019-20_working'!$B$6:$I$6)*(raw!$F$2:$F$9876='2019-20_working'!H$7)*(raw!$G$2:$G$9876))</f>
        <v>1</v>
      </c>
      <c r="I50" s="8">
        <f>SUMPRODUCT((raw!$A$2:$A$9876='2019-20_working'!$A$2)*(raw!$B$2:$B$9876='2019-20_working'!$A50)*(raw!$E$2:$E$9876='2019-20_working'!$B$6:$I$6)*(raw!$F$2:$F$9876='2019-20_working'!I$7)*(raw!$G$2:$G$9876))</f>
        <v>9</v>
      </c>
      <c r="K50" s="8">
        <f>SUMPRODUCT((raw!$A$2:$A$9876='2019-20_working'!$A$2)*(raw!$B$2:$B$9876='2019-20_working'!$A50)*(raw!$E$2:$E$9876='2019-20_working'!$K$6)*(raw!$F$2:$F$9876='2019-20_working'!K$7)*(raw!$G$2:$G$9876))</f>
        <v>0</v>
      </c>
      <c r="L50" s="8">
        <f>SUMPRODUCT((raw!$A$2:$A$9876='2019-20_working'!$A$2)*(raw!$B$2:$B$9876='2019-20_working'!$A50)*(raw!$E$2:$E$9876='2019-20_working'!$K$6)*(raw!$F$2:$F$9876='2019-20_working'!L$7)*(raw!$G$2:$G$9876))</f>
        <v>0</v>
      </c>
      <c r="M50" s="8">
        <f>SUMPRODUCT((raw!$A$2:$A$9876='2019-20_working'!$A$2)*(raw!$B$2:$B$9876='2019-20_working'!$A50)*(raw!$E$2:$E$9876='2019-20_working'!$K$6)*(raw!$F$2:$F$9876='2019-20_working'!M$7)*(raw!$G$2:$G$9876))</f>
        <v>0</v>
      </c>
      <c r="N50" s="8">
        <f>SUMPRODUCT((raw!$A$2:$A$9876='2019-20_working'!$A$2)*(raw!$B$2:$B$9876='2019-20_working'!$A50)*(raw!$E$2:$E$9876='2019-20_working'!$K$6)*(raw!$F$2:$F$9876='2019-20_working'!N$7)*(raw!$G$2:$G$9876))</f>
        <v>0</v>
      </c>
      <c r="O50" s="8">
        <f>SUMPRODUCT((raw!$A$2:$A$9876='2019-20_working'!$A$2)*(raw!$B$2:$B$9876='2019-20_working'!$A50)*(raw!$E$2:$E$9876='2019-20_working'!$K$6)*(raw!$F$2:$F$9876='2019-20_working'!O$7)*(raw!$G$2:$G$9876))</f>
        <v>0</v>
      </c>
      <c r="P50" s="8">
        <f>SUMPRODUCT((raw!$A$2:$A$9876='2019-20_working'!$A$2)*(raw!$B$2:$B$9876='2019-20_working'!$A50)*(raw!$E$2:$E$9876='2019-20_working'!$K$6)*(raw!$F$2:$F$9876='2019-20_working'!P$7)*(raw!$G$2:$G$9876))</f>
        <v>0</v>
      </c>
      <c r="Q50" s="8">
        <f>SUMPRODUCT((raw!$A$2:$A$9876='2019-20_working'!$A$2)*(raw!$B$2:$B$9876='2019-20_working'!$A50)*(raw!$E$2:$E$9876='2019-20_working'!$K$6)*(raw!$F$2:$F$9876='2019-20_working'!Q$7)*(raw!$G$2:$G$9876))</f>
        <v>0</v>
      </c>
      <c r="R50" s="8">
        <f>SUMPRODUCT((raw!$A$2:$A$9876='2019-20_working'!$A$2)*(raw!$B$2:$B$9876='2019-20_working'!$A50)*(raw!$E$2:$E$9876='2019-20_working'!$K$6)*(raw!$F$2:$F$9876='2019-20_working'!R$7)*(raw!$G$2:$G$9876))</f>
        <v>0</v>
      </c>
      <c r="T50" s="8">
        <f>SUMPRODUCT((raw!$A$2:$A$9876='2019-20_working'!$A$2)*(raw!$B$2:$B$9876='2019-20_working'!$A50)*(raw!$E$2:$E$9876='2019-20_working'!$T$6)*(raw!$F$2:$F$9876='2019-20_working'!T$7)*(raw!$G$2:$G$9876))</f>
        <v>0</v>
      </c>
      <c r="U50" s="8">
        <f>SUMPRODUCT((raw!$A$2:$A$9876='2019-20_working'!$A$2)*(raw!$B$2:$B$9876='2019-20_working'!$A50)*(raw!$E$2:$E$9876='2019-20_working'!$T$6)*(raw!$F$2:$F$9876='2019-20_working'!U$7)*(raw!$G$2:$G$9876))</f>
        <v>0</v>
      </c>
      <c r="V50" s="8">
        <f>SUMPRODUCT((raw!$A$2:$A$9876='2019-20_working'!$A$2)*(raw!$B$2:$B$9876='2019-20_working'!$A50)*(raw!$E$2:$E$9876='2019-20_working'!$T$6)*(raw!$F$2:$F$9876='2019-20_working'!V$7)*(raw!$G$2:$G$9876))</f>
        <v>0</v>
      </c>
      <c r="W50" s="8">
        <f>SUMPRODUCT((raw!$A$2:$A$9876='2019-20_working'!$A$2)*(raw!$B$2:$B$9876='2019-20_working'!$A50)*(raw!$E$2:$E$9876='2019-20_working'!$T$6)*(raw!$F$2:$F$9876='2019-20_working'!W$7)*(raw!$G$2:$G$9876))</f>
        <v>0</v>
      </c>
      <c r="X50" s="8">
        <f>SUMPRODUCT((raw!$A$2:$A$9876='2019-20_working'!$A$2)*(raw!$B$2:$B$9876='2019-20_working'!$A50)*(raw!$E$2:$E$9876='2019-20_working'!$T$6)*(raw!$F$2:$F$9876='2019-20_working'!X$7)*(raw!$G$2:$G$9876))</f>
        <v>0</v>
      </c>
      <c r="Y50" s="8">
        <f>SUMPRODUCT((raw!$A$2:$A$9876='2019-20_working'!$A$2)*(raw!$B$2:$B$9876='2019-20_working'!$A50)*(raw!$E$2:$E$9876='2019-20_working'!$T$6)*(raw!$F$2:$F$9876='2019-20_working'!Y$7)*(raw!$G$2:$G$9876))</f>
        <v>0</v>
      </c>
      <c r="Z50" s="8">
        <f>SUMPRODUCT((raw!$A$2:$A$9876='2019-20_working'!$A$2)*(raw!$B$2:$B$9876='2019-20_working'!$A50)*(raw!$E$2:$E$9876='2019-20_working'!$T$6)*(raw!$F$2:$F$9876='2019-20_working'!Z$7)*(raw!$G$2:$G$9876))</f>
        <v>0</v>
      </c>
      <c r="AA50" s="8">
        <f>SUMPRODUCT((raw!$A$2:$A$9876='2019-20_working'!$A$2)*(raw!$B$2:$B$9876='2019-20_working'!$A50)*(raw!$E$2:$E$9876='2019-20_working'!$T$6)*(raw!$F$2:$F$9876='2019-20_working'!AA$7)*(raw!$G$2:$G$9876))</f>
        <v>0</v>
      </c>
      <c r="AC50" s="8">
        <f>SUMPRODUCT((raw!$A$2:$A$9876='2019-20_working'!$A$2)*(raw!$B$2:$B$9876='2019-20_working'!$A50)*(raw!$E$2:$E$9876='2019-20_working'!$AC$6)*(raw!$F$2:$F$9876='2019-20_working'!AC$7)*(raw!$G$2:$G$9876))</f>
        <v>4</v>
      </c>
      <c r="AD50" s="8">
        <f>SUMPRODUCT((raw!$A$2:$A$9876='2019-20_working'!$A$2)*(raw!$B$2:$B$9876='2019-20_working'!$A50)*(raw!$E$2:$E$9876='2019-20_working'!$AC$6)*(raw!$F$2:$F$9876='2019-20_working'!AD$7)*(raw!$G$2:$G$9876))</f>
        <v>0</v>
      </c>
      <c r="AE50" s="8">
        <f>SUMPRODUCT((raw!$A$2:$A$9876='2019-20_working'!$A$2)*(raw!$B$2:$B$9876='2019-20_working'!$A50)*(raw!$E$2:$E$9876='2019-20_working'!$AC$6)*(raw!$F$2:$F$9876='2019-20_working'!AE$7)*(raw!$G$2:$G$9876))</f>
        <v>0</v>
      </c>
      <c r="AF50" s="8">
        <f>SUMPRODUCT((raw!$A$2:$A$9876='2019-20_working'!$A$2)*(raw!$B$2:$B$9876='2019-20_working'!$A50)*(raw!$E$2:$E$9876='2019-20_working'!$AC$6)*(raw!$F$2:$F$9876='2019-20_working'!AF$7)*(raw!$G$2:$G$9876))</f>
        <v>0</v>
      </c>
      <c r="AG50" s="8">
        <f>SUMPRODUCT((raw!$A$2:$A$9876='2019-20_working'!$A$2)*(raw!$B$2:$B$9876='2019-20_working'!$A50)*(raw!$E$2:$E$9876='2019-20_working'!$AC$6)*(raw!$F$2:$F$9876='2019-20_working'!AG$7)*(raw!$G$2:$G$9876))</f>
        <v>0</v>
      </c>
      <c r="AH50" s="8">
        <f>SUMPRODUCT((raw!$A$2:$A$9876='2019-20_working'!$A$2)*(raw!$B$2:$B$9876='2019-20_working'!$A50)*(raw!$E$2:$E$9876='2019-20_working'!$AC$6)*(raw!$F$2:$F$9876='2019-20_working'!AH$7)*(raw!$G$2:$G$9876))</f>
        <v>0</v>
      </c>
      <c r="AI50" s="8">
        <f>SUMPRODUCT((raw!$A$2:$A$9876='2019-20_working'!$A$2)*(raw!$B$2:$B$9876='2019-20_working'!$A50)*(raw!$E$2:$E$9876='2019-20_working'!$AC$6)*(raw!$F$2:$F$9876='2019-20_working'!AI$7)*(raw!$G$2:$G$9876))</f>
        <v>0</v>
      </c>
      <c r="AJ50" s="8">
        <f>SUMPRODUCT((raw!$A$2:$A$9876='2019-20_working'!$A$2)*(raw!$B$2:$B$9876='2019-20_working'!$A50)*(raw!$E$2:$E$9876='2019-20_working'!$AC$6)*(raw!$F$2:$F$9876='2019-20_working'!AJ$7)*(raw!$G$2:$G$9876))</f>
        <v>0</v>
      </c>
    </row>
    <row r="51" spans="1:36" x14ac:dyDescent="0.3">
      <c r="A51" s="8" t="s">
        <v>58</v>
      </c>
      <c r="B51" s="8">
        <f>SUMPRODUCT((raw!$A$2:$A$9876='2019-20_working'!$A$2)*(raw!$B$2:$B$9876='2019-20_working'!$A51)*(raw!$E$2:$E$9876='2019-20_working'!$B$6:$I$6)*(raw!$F$2:$F$9876='2019-20_working'!B$7)*(raw!$G$2:$G$9876))</f>
        <v>66</v>
      </c>
      <c r="C51" s="8">
        <f>SUMPRODUCT((raw!$A$2:$A$9876='2019-20_working'!$A$2)*(raw!$B$2:$B$9876='2019-20_working'!$A51)*(raw!$E$2:$E$9876='2019-20_working'!$B$6:$I$6)*(raw!$F$2:$F$9876='2019-20_working'!C$7)*(raw!$G$2:$G$9876))</f>
        <v>0</v>
      </c>
      <c r="D51" s="8">
        <f>SUMPRODUCT((raw!$A$2:$A$9876='2019-20_working'!$A$2)*(raw!$B$2:$B$9876='2019-20_working'!$A51)*(raw!$E$2:$E$9876='2019-20_working'!$B$6:$I$6)*(raw!$F$2:$F$9876='2019-20_working'!D$7)*(raw!$G$2:$G$9876))</f>
        <v>2</v>
      </c>
      <c r="E51" s="8">
        <f>SUMPRODUCT((raw!$A$2:$A$9876='2019-20_working'!$A$2)*(raw!$B$2:$B$9876='2019-20_working'!$A51)*(raw!$E$2:$E$9876='2019-20_working'!$B$6:$I$6)*(raw!$F$2:$F$9876='2019-20_working'!E$7)*(raw!$G$2:$G$9876))</f>
        <v>0</v>
      </c>
      <c r="F51" s="8">
        <f>SUMPRODUCT((raw!$A$2:$A$9876='2019-20_working'!$A$2)*(raw!$B$2:$B$9876='2019-20_working'!$A51)*(raw!$E$2:$E$9876='2019-20_working'!$B$6:$I$6)*(raw!$F$2:$F$9876='2019-20_working'!F$7)*(raw!$G$2:$G$9876))</f>
        <v>0</v>
      </c>
      <c r="G51" s="8">
        <f>SUMPRODUCT((raw!$A$2:$A$9876='2019-20_working'!$A$2)*(raw!$B$2:$B$9876='2019-20_working'!$A51)*(raw!$E$2:$E$9876='2019-20_working'!$B$6:$I$6)*(raw!$F$2:$F$9876='2019-20_working'!G$7)*(raw!$G$2:$G$9876))</f>
        <v>0</v>
      </c>
      <c r="H51" s="8">
        <f>SUMPRODUCT((raw!$A$2:$A$9876='2019-20_working'!$A$2)*(raw!$B$2:$B$9876='2019-20_working'!$A51)*(raw!$E$2:$E$9876='2019-20_working'!$B$6:$I$6)*(raw!$F$2:$F$9876='2019-20_working'!H$7)*(raw!$G$2:$G$9876))</f>
        <v>0</v>
      </c>
      <c r="I51" s="8">
        <f>SUMPRODUCT((raw!$A$2:$A$9876='2019-20_working'!$A$2)*(raw!$B$2:$B$9876='2019-20_working'!$A51)*(raw!$E$2:$E$9876='2019-20_working'!$B$6:$I$6)*(raw!$F$2:$F$9876='2019-20_working'!I$7)*(raw!$G$2:$G$9876))</f>
        <v>5</v>
      </c>
      <c r="K51" s="8">
        <f>SUMPRODUCT((raw!$A$2:$A$9876='2019-20_working'!$A$2)*(raw!$B$2:$B$9876='2019-20_working'!$A51)*(raw!$E$2:$E$9876='2019-20_working'!$K$6)*(raw!$F$2:$F$9876='2019-20_working'!K$7)*(raw!$G$2:$G$9876))</f>
        <v>41</v>
      </c>
      <c r="L51" s="8">
        <f>SUMPRODUCT((raw!$A$2:$A$9876='2019-20_working'!$A$2)*(raw!$B$2:$B$9876='2019-20_working'!$A51)*(raw!$E$2:$E$9876='2019-20_working'!$K$6)*(raw!$F$2:$F$9876='2019-20_working'!L$7)*(raw!$G$2:$G$9876))</f>
        <v>0</v>
      </c>
      <c r="M51" s="8">
        <f>SUMPRODUCT((raw!$A$2:$A$9876='2019-20_working'!$A$2)*(raw!$B$2:$B$9876='2019-20_working'!$A51)*(raw!$E$2:$E$9876='2019-20_working'!$K$6)*(raw!$F$2:$F$9876='2019-20_working'!M$7)*(raw!$G$2:$G$9876))</f>
        <v>1</v>
      </c>
      <c r="N51" s="8">
        <f>SUMPRODUCT((raw!$A$2:$A$9876='2019-20_working'!$A$2)*(raw!$B$2:$B$9876='2019-20_working'!$A51)*(raw!$E$2:$E$9876='2019-20_working'!$K$6)*(raw!$F$2:$F$9876='2019-20_working'!N$7)*(raw!$G$2:$G$9876))</f>
        <v>0</v>
      </c>
      <c r="O51" s="8">
        <f>SUMPRODUCT((raw!$A$2:$A$9876='2019-20_working'!$A$2)*(raw!$B$2:$B$9876='2019-20_working'!$A51)*(raw!$E$2:$E$9876='2019-20_working'!$K$6)*(raw!$F$2:$F$9876='2019-20_working'!O$7)*(raw!$G$2:$G$9876))</f>
        <v>0</v>
      </c>
      <c r="P51" s="8">
        <f>SUMPRODUCT((raw!$A$2:$A$9876='2019-20_working'!$A$2)*(raw!$B$2:$B$9876='2019-20_working'!$A51)*(raw!$E$2:$E$9876='2019-20_working'!$K$6)*(raw!$F$2:$F$9876='2019-20_working'!P$7)*(raw!$G$2:$G$9876))</f>
        <v>0</v>
      </c>
      <c r="Q51" s="8">
        <f>SUMPRODUCT((raw!$A$2:$A$9876='2019-20_working'!$A$2)*(raw!$B$2:$B$9876='2019-20_working'!$A51)*(raw!$E$2:$E$9876='2019-20_working'!$K$6)*(raw!$F$2:$F$9876='2019-20_working'!Q$7)*(raw!$G$2:$G$9876))</f>
        <v>0</v>
      </c>
      <c r="R51" s="8">
        <f>SUMPRODUCT((raw!$A$2:$A$9876='2019-20_working'!$A$2)*(raw!$B$2:$B$9876='2019-20_working'!$A51)*(raw!$E$2:$E$9876='2019-20_working'!$K$6)*(raw!$F$2:$F$9876='2019-20_working'!R$7)*(raw!$G$2:$G$9876))</f>
        <v>3</v>
      </c>
      <c r="T51" s="8">
        <f>SUMPRODUCT((raw!$A$2:$A$9876='2019-20_working'!$A$2)*(raw!$B$2:$B$9876='2019-20_working'!$A51)*(raw!$E$2:$E$9876='2019-20_working'!$T$6)*(raw!$F$2:$F$9876='2019-20_working'!T$7)*(raw!$G$2:$G$9876))</f>
        <v>6</v>
      </c>
      <c r="U51" s="8">
        <f>SUMPRODUCT((raw!$A$2:$A$9876='2019-20_working'!$A$2)*(raw!$B$2:$B$9876='2019-20_working'!$A51)*(raw!$E$2:$E$9876='2019-20_working'!$T$6)*(raw!$F$2:$F$9876='2019-20_working'!U$7)*(raw!$G$2:$G$9876))</f>
        <v>0</v>
      </c>
      <c r="V51" s="8">
        <f>SUMPRODUCT((raw!$A$2:$A$9876='2019-20_working'!$A$2)*(raw!$B$2:$B$9876='2019-20_working'!$A51)*(raw!$E$2:$E$9876='2019-20_working'!$T$6)*(raw!$F$2:$F$9876='2019-20_working'!V$7)*(raw!$G$2:$G$9876))</f>
        <v>0</v>
      </c>
      <c r="W51" s="8">
        <f>SUMPRODUCT((raw!$A$2:$A$9876='2019-20_working'!$A$2)*(raw!$B$2:$B$9876='2019-20_working'!$A51)*(raw!$E$2:$E$9876='2019-20_working'!$T$6)*(raw!$F$2:$F$9876='2019-20_working'!W$7)*(raw!$G$2:$G$9876))</f>
        <v>0</v>
      </c>
      <c r="X51" s="8">
        <f>SUMPRODUCT((raw!$A$2:$A$9876='2019-20_working'!$A$2)*(raw!$B$2:$B$9876='2019-20_working'!$A51)*(raw!$E$2:$E$9876='2019-20_working'!$T$6)*(raw!$F$2:$F$9876='2019-20_working'!X$7)*(raw!$G$2:$G$9876))</f>
        <v>0</v>
      </c>
      <c r="Y51" s="8">
        <f>SUMPRODUCT((raw!$A$2:$A$9876='2019-20_working'!$A$2)*(raw!$B$2:$B$9876='2019-20_working'!$A51)*(raw!$E$2:$E$9876='2019-20_working'!$T$6)*(raw!$F$2:$F$9876='2019-20_working'!Y$7)*(raw!$G$2:$G$9876))</f>
        <v>0</v>
      </c>
      <c r="Z51" s="8">
        <f>SUMPRODUCT((raw!$A$2:$A$9876='2019-20_working'!$A$2)*(raw!$B$2:$B$9876='2019-20_working'!$A51)*(raw!$E$2:$E$9876='2019-20_working'!$T$6)*(raw!$F$2:$F$9876='2019-20_working'!Z$7)*(raw!$G$2:$G$9876))</f>
        <v>0</v>
      </c>
      <c r="AA51" s="8">
        <f>SUMPRODUCT((raw!$A$2:$A$9876='2019-20_working'!$A$2)*(raw!$B$2:$B$9876='2019-20_working'!$A51)*(raw!$E$2:$E$9876='2019-20_working'!$T$6)*(raw!$F$2:$F$9876='2019-20_working'!AA$7)*(raw!$G$2:$G$9876))</f>
        <v>0</v>
      </c>
      <c r="AC51" s="8">
        <f>SUMPRODUCT((raw!$A$2:$A$9876='2019-20_working'!$A$2)*(raw!$B$2:$B$9876='2019-20_working'!$A51)*(raw!$E$2:$E$9876='2019-20_working'!$AC$6)*(raw!$F$2:$F$9876='2019-20_working'!AC$7)*(raw!$G$2:$G$9876))</f>
        <v>10</v>
      </c>
      <c r="AD51" s="8">
        <f>SUMPRODUCT((raw!$A$2:$A$9876='2019-20_working'!$A$2)*(raw!$B$2:$B$9876='2019-20_working'!$A51)*(raw!$E$2:$E$9876='2019-20_working'!$AC$6)*(raw!$F$2:$F$9876='2019-20_working'!AD$7)*(raw!$G$2:$G$9876))</f>
        <v>0</v>
      </c>
      <c r="AE51" s="8">
        <f>SUMPRODUCT((raw!$A$2:$A$9876='2019-20_working'!$A$2)*(raw!$B$2:$B$9876='2019-20_working'!$A51)*(raw!$E$2:$E$9876='2019-20_working'!$AC$6)*(raw!$F$2:$F$9876='2019-20_working'!AE$7)*(raw!$G$2:$G$9876))</f>
        <v>0</v>
      </c>
      <c r="AF51" s="8">
        <f>SUMPRODUCT((raw!$A$2:$A$9876='2019-20_working'!$A$2)*(raw!$B$2:$B$9876='2019-20_working'!$A51)*(raw!$E$2:$E$9876='2019-20_working'!$AC$6)*(raw!$F$2:$F$9876='2019-20_working'!AF$7)*(raw!$G$2:$G$9876))</f>
        <v>0</v>
      </c>
      <c r="AG51" s="8">
        <f>SUMPRODUCT((raw!$A$2:$A$9876='2019-20_working'!$A$2)*(raw!$B$2:$B$9876='2019-20_working'!$A51)*(raw!$E$2:$E$9876='2019-20_working'!$AC$6)*(raw!$F$2:$F$9876='2019-20_working'!AG$7)*(raw!$G$2:$G$9876))</f>
        <v>1</v>
      </c>
      <c r="AH51" s="8">
        <f>SUMPRODUCT((raw!$A$2:$A$9876='2019-20_working'!$A$2)*(raw!$B$2:$B$9876='2019-20_working'!$A51)*(raw!$E$2:$E$9876='2019-20_working'!$AC$6)*(raw!$F$2:$F$9876='2019-20_working'!AH$7)*(raw!$G$2:$G$9876))</f>
        <v>0</v>
      </c>
      <c r="AI51" s="8">
        <f>SUMPRODUCT((raw!$A$2:$A$9876='2019-20_working'!$A$2)*(raw!$B$2:$B$9876='2019-20_working'!$A51)*(raw!$E$2:$E$9876='2019-20_working'!$AC$6)*(raw!$F$2:$F$9876='2019-20_working'!AI$7)*(raw!$G$2:$G$9876))</f>
        <v>0</v>
      </c>
      <c r="AJ51" s="8">
        <f>SUMPRODUCT((raw!$A$2:$A$9876='2019-20_working'!$A$2)*(raw!$B$2:$B$9876='2019-20_working'!$A51)*(raw!$E$2:$E$9876='2019-20_working'!$AC$6)*(raw!$F$2:$F$9876='2019-20_working'!AJ$7)*(raw!$G$2:$G$9876))</f>
        <v>0</v>
      </c>
    </row>
    <row r="52" spans="1:36" x14ac:dyDescent="0.3">
      <c r="A52" s="8" t="s">
        <v>59</v>
      </c>
      <c r="B52" s="8">
        <f>SUMPRODUCT((raw!$A$2:$A$9876='2019-20_working'!$A$2)*(raw!$B$2:$B$9876='2019-20_working'!$A52)*(raw!$E$2:$E$9876='2019-20_working'!$B$6:$I$6)*(raw!$F$2:$F$9876='2019-20_working'!B$7)*(raw!$G$2:$G$9876))</f>
        <v>0</v>
      </c>
      <c r="C52" s="8">
        <f>SUMPRODUCT((raw!$A$2:$A$9876='2019-20_working'!$A$2)*(raw!$B$2:$B$9876='2019-20_working'!$A52)*(raw!$E$2:$E$9876='2019-20_working'!$B$6:$I$6)*(raw!$F$2:$F$9876='2019-20_working'!C$7)*(raw!$G$2:$G$9876))</f>
        <v>0</v>
      </c>
      <c r="D52" s="8">
        <f>SUMPRODUCT((raw!$A$2:$A$9876='2019-20_working'!$A$2)*(raw!$B$2:$B$9876='2019-20_working'!$A52)*(raw!$E$2:$E$9876='2019-20_working'!$B$6:$I$6)*(raw!$F$2:$F$9876='2019-20_working'!D$7)*(raw!$G$2:$G$9876))</f>
        <v>0</v>
      </c>
      <c r="E52" s="8">
        <f>SUMPRODUCT((raw!$A$2:$A$9876='2019-20_working'!$A$2)*(raw!$B$2:$B$9876='2019-20_working'!$A52)*(raw!$E$2:$E$9876='2019-20_working'!$B$6:$I$6)*(raw!$F$2:$F$9876='2019-20_working'!E$7)*(raw!$G$2:$G$9876))</f>
        <v>0</v>
      </c>
      <c r="F52" s="8">
        <f>SUMPRODUCT((raw!$A$2:$A$9876='2019-20_working'!$A$2)*(raw!$B$2:$B$9876='2019-20_working'!$A52)*(raw!$E$2:$E$9876='2019-20_working'!$B$6:$I$6)*(raw!$F$2:$F$9876='2019-20_working'!F$7)*(raw!$G$2:$G$9876))</f>
        <v>0</v>
      </c>
      <c r="G52" s="8">
        <f>SUMPRODUCT((raw!$A$2:$A$9876='2019-20_working'!$A$2)*(raw!$B$2:$B$9876='2019-20_working'!$A52)*(raw!$E$2:$E$9876='2019-20_working'!$B$6:$I$6)*(raw!$F$2:$F$9876='2019-20_working'!G$7)*(raw!$G$2:$G$9876))</f>
        <v>0</v>
      </c>
      <c r="H52" s="8">
        <f>SUMPRODUCT((raw!$A$2:$A$9876='2019-20_working'!$A$2)*(raw!$B$2:$B$9876='2019-20_working'!$A52)*(raw!$E$2:$E$9876='2019-20_working'!$B$6:$I$6)*(raw!$F$2:$F$9876='2019-20_working'!H$7)*(raw!$G$2:$G$9876))</f>
        <v>0</v>
      </c>
      <c r="I52" s="8">
        <f>SUMPRODUCT((raw!$A$2:$A$9876='2019-20_working'!$A$2)*(raw!$B$2:$B$9876='2019-20_working'!$A52)*(raw!$E$2:$E$9876='2019-20_working'!$B$6:$I$6)*(raw!$F$2:$F$9876='2019-20_working'!I$7)*(raw!$G$2:$G$9876))</f>
        <v>0</v>
      </c>
      <c r="K52" s="8">
        <f>SUMPRODUCT((raw!$A$2:$A$9876='2019-20_working'!$A$2)*(raw!$B$2:$B$9876='2019-20_working'!$A52)*(raw!$E$2:$E$9876='2019-20_working'!$K$6)*(raw!$F$2:$F$9876='2019-20_working'!K$7)*(raw!$G$2:$G$9876))</f>
        <v>4</v>
      </c>
      <c r="L52" s="8">
        <f>SUMPRODUCT((raw!$A$2:$A$9876='2019-20_working'!$A$2)*(raw!$B$2:$B$9876='2019-20_working'!$A52)*(raw!$E$2:$E$9876='2019-20_working'!$K$6)*(raw!$F$2:$F$9876='2019-20_working'!L$7)*(raw!$G$2:$G$9876))</f>
        <v>0</v>
      </c>
      <c r="M52" s="8">
        <f>SUMPRODUCT((raw!$A$2:$A$9876='2019-20_working'!$A$2)*(raw!$B$2:$B$9876='2019-20_working'!$A52)*(raw!$E$2:$E$9876='2019-20_working'!$K$6)*(raw!$F$2:$F$9876='2019-20_working'!M$7)*(raw!$G$2:$G$9876))</f>
        <v>0</v>
      </c>
      <c r="N52" s="8">
        <f>SUMPRODUCT((raw!$A$2:$A$9876='2019-20_working'!$A$2)*(raw!$B$2:$B$9876='2019-20_working'!$A52)*(raw!$E$2:$E$9876='2019-20_working'!$K$6)*(raw!$F$2:$F$9876='2019-20_working'!N$7)*(raw!$G$2:$G$9876))</f>
        <v>0</v>
      </c>
      <c r="O52" s="8">
        <f>SUMPRODUCT((raw!$A$2:$A$9876='2019-20_working'!$A$2)*(raw!$B$2:$B$9876='2019-20_working'!$A52)*(raw!$E$2:$E$9876='2019-20_working'!$K$6)*(raw!$F$2:$F$9876='2019-20_working'!O$7)*(raw!$G$2:$G$9876))</f>
        <v>0</v>
      </c>
      <c r="P52" s="8">
        <f>SUMPRODUCT((raw!$A$2:$A$9876='2019-20_working'!$A$2)*(raw!$B$2:$B$9876='2019-20_working'!$A52)*(raw!$E$2:$E$9876='2019-20_working'!$K$6)*(raw!$F$2:$F$9876='2019-20_working'!P$7)*(raw!$G$2:$G$9876))</f>
        <v>0</v>
      </c>
      <c r="Q52" s="8">
        <f>SUMPRODUCT((raw!$A$2:$A$9876='2019-20_working'!$A$2)*(raw!$B$2:$B$9876='2019-20_working'!$A52)*(raw!$E$2:$E$9876='2019-20_working'!$K$6)*(raw!$F$2:$F$9876='2019-20_working'!Q$7)*(raw!$G$2:$G$9876))</f>
        <v>0</v>
      </c>
      <c r="R52" s="8">
        <f>SUMPRODUCT((raw!$A$2:$A$9876='2019-20_working'!$A$2)*(raw!$B$2:$B$9876='2019-20_working'!$A52)*(raw!$E$2:$E$9876='2019-20_working'!$K$6)*(raw!$F$2:$F$9876='2019-20_working'!R$7)*(raw!$G$2:$G$9876))</f>
        <v>0</v>
      </c>
      <c r="T52" s="8">
        <f>SUMPRODUCT((raw!$A$2:$A$9876='2019-20_working'!$A$2)*(raw!$B$2:$B$9876='2019-20_working'!$A52)*(raw!$E$2:$E$9876='2019-20_working'!$T$6)*(raw!$F$2:$F$9876='2019-20_working'!T$7)*(raw!$G$2:$G$9876))</f>
        <v>1</v>
      </c>
      <c r="U52" s="8">
        <f>SUMPRODUCT((raw!$A$2:$A$9876='2019-20_working'!$A$2)*(raw!$B$2:$B$9876='2019-20_working'!$A52)*(raw!$E$2:$E$9876='2019-20_working'!$T$6)*(raw!$F$2:$F$9876='2019-20_working'!U$7)*(raw!$G$2:$G$9876))</f>
        <v>0</v>
      </c>
      <c r="V52" s="8">
        <f>SUMPRODUCT((raw!$A$2:$A$9876='2019-20_working'!$A$2)*(raw!$B$2:$B$9876='2019-20_working'!$A52)*(raw!$E$2:$E$9876='2019-20_working'!$T$6)*(raw!$F$2:$F$9876='2019-20_working'!V$7)*(raw!$G$2:$G$9876))</f>
        <v>0</v>
      </c>
      <c r="W52" s="8">
        <f>SUMPRODUCT((raw!$A$2:$A$9876='2019-20_working'!$A$2)*(raw!$B$2:$B$9876='2019-20_working'!$A52)*(raw!$E$2:$E$9876='2019-20_working'!$T$6)*(raw!$F$2:$F$9876='2019-20_working'!W$7)*(raw!$G$2:$G$9876))</f>
        <v>0</v>
      </c>
      <c r="X52" s="8">
        <f>SUMPRODUCT((raw!$A$2:$A$9876='2019-20_working'!$A$2)*(raw!$B$2:$B$9876='2019-20_working'!$A52)*(raw!$E$2:$E$9876='2019-20_working'!$T$6)*(raw!$F$2:$F$9876='2019-20_working'!X$7)*(raw!$G$2:$G$9876))</f>
        <v>0</v>
      </c>
      <c r="Y52" s="8">
        <f>SUMPRODUCT((raw!$A$2:$A$9876='2019-20_working'!$A$2)*(raw!$B$2:$B$9876='2019-20_working'!$A52)*(raw!$E$2:$E$9876='2019-20_working'!$T$6)*(raw!$F$2:$F$9876='2019-20_working'!Y$7)*(raw!$G$2:$G$9876))</f>
        <v>0</v>
      </c>
      <c r="Z52" s="8">
        <f>SUMPRODUCT((raw!$A$2:$A$9876='2019-20_working'!$A$2)*(raw!$B$2:$B$9876='2019-20_working'!$A52)*(raw!$E$2:$E$9876='2019-20_working'!$T$6)*(raw!$F$2:$F$9876='2019-20_working'!Z$7)*(raw!$G$2:$G$9876))</f>
        <v>0</v>
      </c>
      <c r="AA52" s="8">
        <f>SUMPRODUCT((raw!$A$2:$A$9876='2019-20_working'!$A$2)*(raw!$B$2:$B$9876='2019-20_working'!$A52)*(raw!$E$2:$E$9876='2019-20_working'!$T$6)*(raw!$F$2:$F$9876='2019-20_working'!AA$7)*(raw!$G$2:$G$9876))</f>
        <v>0</v>
      </c>
      <c r="AC52" s="8">
        <f>SUMPRODUCT((raw!$A$2:$A$9876='2019-20_working'!$A$2)*(raw!$B$2:$B$9876='2019-20_working'!$A52)*(raw!$E$2:$E$9876='2019-20_working'!$AC$6)*(raw!$F$2:$F$9876='2019-20_working'!AC$7)*(raw!$G$2:$G$9876))</f>
        <v>15</v>
      </c>
      <c r="AD52" s="8">
        <f>SUMPRODUCT((raw!$A$2:$A$9876='2019-20_working'!$A$2)*(raw!$B$2:$B$9876='2019-20_working'!$A52)*(raw!$E$2:$E$9876='2019-20_working'!$AC$6)*(raw!$F$2:$F$9876='2019-20_working'!AD$7)*(raw!$G$2:$G$9876))</f>
        <v>0</v>
      </c>
      <c r="AE52" s="8">
        <f>SUMPRODUCT((raw!$A$2:$A$9876='2019-20_working'!$A$2)*(raw!$B$2:$B$9876='2019-20_working'!$A52)*(raw!$E$2:$E$9876='2019-20_working'!$AC$6)*(raw!$F$2:$F$9876='2019-20_working'!AE$7)*(raw!$G$2:$G$9876))</f>
        <v>0</v>
      </c>
      <c r="AF52" s="8">
        <f>SUMPRODUCT((raw!$A$2:$A$9876='2019-20_working'!$A$2)*(raw!$B$2:$B$9876='2019-20_working'!$A52)*(raw!$E$2:$E$9876='2019-20_working'!$AC$6)*(raw!$F$2:$F$9876='2019-20_working'!AF$7)*(raw!$G$2:$G$9876))</f>
        <v>0</v>
      </c>
      <c r="AG52" s="8">
        <f>SUMPRODUCT((raw!$A$2:$A$9876='2019-20_working'!$A$2)*(raw!$B$2:$B$9876='2019-20_working'!$A52)*(raw!$E$2:$E$9876='2019-20_working'!$AC$6)*(raw!$F$2:$F$9876='2019-20_working'!AG$7)*(raw!$G$2:$G$9876))</f>
        <v>1</v>
      </c>
      <c r="AH52" s="8">
        <f>SUMPRODUCT((raw!$A$2:$A$9876='2019-20_working'!$A$2)*(raw!$B$2:$B$9876='2019-20_working'!$A52)*(raw!$E$2:$E$9876='2019-20_working'!$AC$6)*(raw!$F$2:$F$9876='2019-20_working'!AH$7)*(raw!$G$2:$G$9876))</f>
        <v>0</v>
      </c>
      <c r="AI52" s="8">
        <f>SUMPRODUCT((raw!$A$2:$A$9876='2019-20_working'!$A$2)*(raw!$B$2:$B$9876='2019-20_working'!$A52)*(raw!$E$2:$E$9876='2019-20_working'!$AC$6)*(raw!$F$2:$F$9876='2019-20_working'!AI$7)*(raw!$G$2:$G$9876))</f>
        <v>0</v>
      </c>
      <c r="AJ52" s="8">
        <f>SUMPRODUCT((raw!$A$2:$A$9876='2019-20_working'!$A$2)*(raw!$B$2:$B$9876='2019-20_working'!$A52)*(raw!$E$2:$E$9876='2019-20_working'!$AC$6)*(raw!$F$2:$F$9876='2019-20_working'!AJ$7)*(raw!$G$2:$G$9876))</f>
        <v>0</v>
      </c>
    </row>
    <row r="53" spans="1:36" x14ac:dyDescent="0.3">
      <c r="A53" s="8" t="s">
        <v>60</v>
      </c>
      <c r="B53" s="8">
        <f>SUMPRODUCT((raw!$A$2:$A$9876='2019-20_working'!$A$2)*(raw!$B$2:$B$9876='2019-20_working'!$A53)*(raw!$E$2:$E$9876='2019-20_working'!$B$6:$I$6)*(raw!$F$2:$F$9876='2019-20_working'!B$7)*(raw!$G$2:$G$9876))</f>
        <v>15</v>
      </c>
      <c r="C53" s="8">
        <f>SUMPRODUCT((raw!$A$2:$A$9876='2019-20_working'!$A$2)*(raw!$B$2:$B$9876='2019-20_working'!$A53)*(raw!$E$2:$E$9876='2019-20_working'!$B$6:$I$6)*(raw!$F$2:$F$9876='2019-20_working'!C$7)*(raw!$G$2:$G$9876))</f>
        <v>0</v>
      </c>
      <c r="D53" s="8">
        <f>SUMPRODUCT((raw!$A$2:$A$9876='2019-20_working'!$A$2)*(raw!$B$2:$B$9876='2019-20_working'!$A53)*(raw!$E$2:$E$9876='2019-20_working'!$B$6:$I$6)*(raw!$F$2:$F$9876='2019-20_working'!D$7)*(raw!$G$2:$G$9876))</f>
        <v>1</v>
      </c>
      <c r="E53" s="8">
        <f>SUMPRODUCT((raw!$A$2:$A$9876='2019-20_working'!$A$2)*(raw!$B$2:$B$9876='2019-20_working'!$A53)*(raw!$E$2:$E$9876='2019-20_working'!$B$6:$I$6)*(raw!$F$2:$F$9876='2019-20_working'!E$7)*(raw!$G$2:$G$9876))</f>
        <v>0</v>
      </c>
      <c r="F53" s="8">
        <f>SUMPRODUCT((raw!$A$2:$A$9876='2019-20_working'!$A$2)*(raw!$B$2:$B$9876='2019-20_working'!$A53)*(raw!$E$2:$E$9876='2019-20_working'!$B$6:$I$6)*(raw!$F$2:$F$9876='2019-20_working'!F$7)*(raw!$G$2:$G$9876))</f>
        <v>0</v>
      </c>
      <c r="G53" s="8">
        <f>SUMPRODUCT((raw!$A$2:$A$9876='2019-20_working'!$A$2)*(raw!$B$2:$B$9876='2019-20_working'!$A53)*(raw!$E$2:$E$9876='2019-20_working'!$B$6:$I$6)*(raw!$F$2:$F$9876='2019-20_working'!G$7)*(raw!$G$2:$G$9876))</f>
        <v>0</v>
      </c>
      <c r="H53" s="8">
        <f>SUMPRODUCT((raw!$A$2:$A$9876='2019-20_working'!$A$2)*(raw!$B$2:$B$9876='2019-20_working'!$A53)*(raw!$E$2:$E$9876='2019-20_working'!$B$6:$I$6)*(raw!$F$2:$F$9876='2019-20_working'!H$7)*(raw!$G$2:$G$9876))</f>
        <v>0</v>
      </c>
      <c r="I53" s="8">
        <f>SUMPRODUCT((raw!$A$2:$A$9876='2019-20_working'!$A$2)*(raw!$B$2:$B$9876='2019-20_working'!$A53)*(raw!$E$2:$E$9876='2019-20_working'!$B$6:$I$6)*(raw!$F$2:$F$9876='2019-20_working'!I$7)*(raw!$G$2:$G$9876))</f>
        <v>0</v>
      </c>
      <c r="K53" s="8">
        <f>SUMPRODUCT((raw!$A$2:$A$9876='2019-20_working'!$A$2)*(raw!$B$2:$B$9876='2019-20_working'!$A53)*(raw!$E$2:$E$9876='2019-20_working'!$K$6)*(raw!$F$2:$F$9876='2019-20_working'!K$7)*(raw!$G$2:$G$9876))</f>
        <v>4</v>
      </c>
      <c r="L53" s="8">
        <f>SUMPRODUCT((raw!$A$2:$A$9876='2019-20_working'!$A$2)*(raw!$B$2:$B$9876='2019-20_working'!$A53)*(raw!$E$2:$E$9876='2019-20_working'!$K$6)*(raw!$F$2:$F$9876='2019-20_working'!L$7)*(raw!$G$2:$G$9876))</f>
        <v>0</v>
      </c>
      <c r="M53" s="8">
        <f>SUMPRODUCT((raw!$A$2:$A$9876='2019-20_working'!$A$2)*(raw!$B$2:$B$9876='2019-20_working'!$A53)*(raw!$E$2:$E$9876='2019-20_working'!$K$6)*(raw!$F$2:$F$9876='2019-20_working'!M$7)*(raw!$G$2:$G$9876))</f>
        <v>0</v>
      </c>
      <c r="N53" s="8">
        <f>SUMPRODUCT((raw!$A$2:$A$9876='2019-20_working'!$A$2)*(raw!$B$2:$B$9876='2019-20_working'!$A53)*(raw!$E$2:$E$9876='2019-20_working'!$K$6)*(raw!$F$2:$F$9876='2019-20_working'!N$7)*(raw!$G$2:$G$9876))</f>
        <v>0</v>
      </c>
      <c r="O53" s="8">
        <f>SUMPRODUCT((raw!$A$2:$A$9876='2019-20_working'!$A$2)*(raw!$B$2:$B$9876='2019-20_working'!$A53)*(raw!$E$2:$E$9876='2019-20_working'!$K$6)*(raw!$F$2:$F$9876='2019-20_working'!O$7)*(raw!$G$2:$G$9876))</f>
        <v>0</v>
      </c>
      <c r="P53" s="8">
        <f>SUMPRODUCT((raw!$A$2:$A$9876='2019-20_working'!$A$2)*(raw!$B$2:$B$9876='2019-20_working'!$A53)*(raw!$E$2:$E$9876='2019-20_working'!$K$6)*(raw!$F$2:$F$9876='2019-20_working'!P$7)*(raw!$G$2:$G$9876))</f>
        <v>0</v>
      </c>
      <c r="Q53" s="8">
        <f>SUMPRODUCT((raw!$A$2:$A$9876='2019-20_working'!$A$2)*(raw!$B$2:$B$9876='2019-20_working'!$A53)*(raw!$E$2:$E$9876='2019-20_working'!$K$6)*(raw!$F$2:$F$9876='2019-20_working'!Q$7)*(raw!$G$2:$G$9876))</f>
        <v>0</v>
      </c>
      <c r="R53" s="8">
        <f>SUMPRODUCT((raw!$A$2:$A$9876='2019-20_working'!$A$2)*(raw!$B$2:$B$9876='2019-20_working'!$A53)*(raw!$E$2:$E$9876='2019-20_working'!$K$6)*(raw!$F$2:$F$9876='2019-20_working'!R$7)*(raw!$G$2:$G$9876))</f>
        <v>0</v>
      </c>
      <c r="T53" s="8">
        <f>SUMPRODUCT((raw!$A$2:$A$9876='2019-20_working'!$A$2)*(raw!$B$2:$B$9876='2019-20_working'!$A53)*(raw!$E$2:$E$9876='2019-20_working'!$T$6)*(raw!$F$2:$F$9876='2019-20_working'!T$7)*(raw!$G$2:$G$9876))</f>
        <v>1</v>
      </c>
      <c r="U53" s="8">
        <f>SUMPRODUCT((raw!$A$2:$A$9876='2019-20_working'!$A$2)*(raw!$B$2:$B$9876='2019-20_working'!$A53)*(raw!$E$2:$E$9876='2019-20_working'!$T$6)*(raw!$F$2:$F$9876='2019-20_working'!U$7)*(raw!$G$2:$G$9876))</f>
        <v>0</v>
      </c>
      <c r="V53" s="8">
        <f>SUMPRODUCT((raw!$A$2:$A$9876='2019-20_working'!$A$2)*(raw!$B$2:$B$9876='2019-20_working'!$A53)*(raw!$E$2:$E$9876='2019-20_working'!$T$6)*(raw!$F$2:$F$9876='2019-20_working'!V$7)*(raw!$G$2:$G$9876))</f>
        <v>0</v>
      </c>
      <c r="W53" s="8">
        <f>SUMPRODUCT((raw!$A$2:$A$9876='2019-20_working'!$A$2)*(raw!$B$2:$B$9876='2019-20_working'!$A53)*(raw!$E$2:$E$9876='2019-20_working'!$T$6)*(raw!$F$2:$F$9876='2019-20_working'!W$7)*(raw!$G$2:$G$9876))</f>
        <v>0</v>
      </c>
      <c r="X53" s="8">
        <f>SUMPRODUCT((raw!$A$2:$A$9876='2019-20_working'!$A$2)*(raw!$B$2:$B$9876='2019-20_working'!$A53)*(raw!$E$2:$E$9876='2019-20_working'!$T$6)*(raw!$F$2:$F$9876='2019-20_working'!X$7)*(raw!$G$2:$G$9876))</f>
        <v>0</v>
      </c>
      <c r="Y53" s="8">
        <f>SUMPRODUCT((raw!$A$2:$A$9876='2019-20_working'!$A$2)*(raw!$B$2:$B$9876='2019-20_working'!$A53)*(raw!$E$2:$E$9876='2019-20_working'!$T$6)*(raw!$F$2:$F$9876='2019-20_working'!Y$7)*(raw!$G$2:$G$9876))</f>
        <v>0</v>
      </c>
      <c r="Z53" s="8">
        <f>SUMPRODUCT((raw!$A$2:$A$9876='2019-20_working'!$A$2)*(raw!$B$2:$B$9876='2019-20_working'!$A53)*(raw!$E$2:$E$9876='2019-20_working'!$T$6)*(raw!$F$2:$F$9876='2019-20_working'!Z$7)*(raw!$G$2:$G$9876))</f>
        <v>0</v>
      </c>
      <c r="AA53" s="8">
        <f>SUMPRODUCT((raw!$A$2:$A$9876='2019-20_working'!$A$2)*(raw!$B$2:$B$9876='2019-20_working'!$A53)*(raw!$E$2:$E$9876='2019-20_working'!$T$6)*(raw!$F$2:$F$9876='2019-20_working'!AA$7)*(raw!$G$2:$G$9876))</f>
        <v>0</v>
      </c>
      <c r="AC53" s="8">
        <f>SUMPRODUCT((raw!$A$2:$A$9876='2019-20_working'!$A$2)*(raw!$B$2:$B$9876='2019-20_working'!$A53)*(raw!$E$2:$E$9876='2019-20_working'!$AC$6)*(raw!$F$2:$F$9876='2019-20_working'!AC$7)*(raw!$G$2:$G$9876))</f>
        <v>26</v>
      </c>
      <c r="AD53" s="8">
        <f>SUMPRODUCT((raw!$A$2:$A$9876='2019-20_working'!$A$2)*(raw!$B$2:$B$9876='2019-20_working'!$A53)*(raw!$E$2:$E$9876='2019-20_working'!$AC$6)*(raw!$F$2:$F$9876='2019-20_working'!AD$7)*(raw!$G$2:$G$9876))</f>
        <v>0</v>
      </c>
      <c r="AE53" s="8">
        <f>SUMPRODUCT((raw!$A$2:$A$9876='2019-20_working'!$A$2)*(raw!$B$2:$B$9876='2019-20_working'!$A53)*(raw!$E$2:$E$9876='2019-20_working'!$AC$6)*(raw!$F$2:$F$9876='2019-20_working'!AE$7)*(raw!$G$2:$G$9876))</f>
        <v>0</v>
      </c>
      <c r="AF53" s="8">
        <f>SUMPRODUCT((raw!$A$2:$A$9876='2019-20_working'!$A$2)*(raw!$B$2:$B$9876='2019-20_working'!$A53)*(raw!$E$2:$E$9876='2019-20_working'!$AC$6)*(raw!$F$2:$F$9876='2019-20_working'!AF$7)*(raw!$G$2:$G$9876))</f>
        <v>0</v>
      </c>
      <c r="AG53" s="8">
        <f>SUMPRODUCT((raw!$A$2:$A$9876='2019-20_working'!$A$2)*(raw!$B$2:$B$9876='2019-20_working'!$A53)*(raw!$E$2:$E$9876='2019-20_working'!$AC$6)*(raw!$F$2:$F$9876='2019-20_working'!AG$7)*(raw!$G$2:$G$9876))</f>
        <v>0</v>
      </c>
      <c r="AH53" s="8">
        <f>SUMPRODUCT((raw!$A$2:$A$9876='2019-20_working'!$A$2)*(raw!$B$2:$B$9876='2019-20_working'!$A53)*(raw!$E$2:$E$9876='2019-20_working'!$AC$6)*(raw!$F$2:$F$9876='2019-20_working'!AH$7)*(raw!$G$2:$G$9876))</f>
        <v>0</v>
      </c>
      <c r="AI53" s="8">
        <f>SUMPRODUCT((raw!$A$2:$A$9876='2019-20_working'!$A$2)*(raw!$B$2:$B$9876='2019-20_working'!$A53)*(raw!$E$2:$E$9876='2019-20_working'!$AC$6)*(raw!$F$2:$F$9876='2019-20_working'!AI$7)*(raw!$G$2:$G$9876))</f>
        <v>0</v>
      </c>
      <c r="AJ53" s="8">
        <f>SUMPRODUCT((raw!$A$2:$A$9876='2019-20_working'!$A$2)*(raw!$B$2:$B$9876='2019-20_working'!$A53)*(raw!$E$2:$E$9876='2019-20_working'!$AC$6)*(raw!$F$2:$F$9876='2019-20_working'!AJ$7)*(raw!$G$2:$G$9876))</f>
        <v>0</v>
      </c>
    </row>
    <row r="54" spans="1:36" x14ac:dyDescent="0.3">
      <c r="A54" s="8" t="s">
        <v>61</v>
      </c>
      <c r="B54" s="8">
        <f>SUMPRODUCT((raw!$A$2:$A$9876='2019-20_working'!$A$2)*(raw!$B$2:$B$9876='2019-20_working'!$A54)*(raw!$E$2:$E$9876='2019-20_working'!$B$6:$I$6)*(raw!$F$2:$F$9876='2019-20_working'!B$7)*(raw!$G$2:$G$9876))</f>
        <v>52</v>
      </c>
      <c r="C54" s="8">
        <f>SUMPRODUCT((raw!$A$2:$A$9876='2019-20_working'!$A$2)*(raw!$B$2:$B$9876='2019-20_working'!$A54)*(raw!$E$2:$E$9876='2019-20_working'!$B$6:$I$6)*(raw!$F$2:$F$9876='2019-20_working'!C$7)*(raw!$G$2:$G$9876))</f>
        <v>0</v>
      </c>
      <c r="D54" s="8">
        <f>SUMPRODUCT((raw!$A$2:$A$9876='2019-20_working'!$A$2)*(raw!$B$2:$B$9876='2019-20_working'!$A54)*(raw!$E$2:$E$9876='2019-20_working'!$B$6:$I$6)*(raw!$F$2:$F$9876='2019-20_working'!D$7)*(raw!$G$2:$G$9876))</f>
        <v>12</v>
      </c>
      <c r="E54" s="8">
        <f>SUMPRODUCT((raw!$A$2:$A$9876='2019-20_working'!$A$2)*(raw!$B$2:$B$9876='2019-20_working'!$A54)*(raw!$E$2:$E$9876='2019-20_working'!$B$6:$I$6)*(raw!$F$2:$F$9876='2019-20_working'!E$7)*(raw!$G$2:$G$9876))</f>
        <v>2</v>
      </c>
      <c r="F54" s="8">
        <f>SUMPRODUCT((raw!$A$2:$A$9876='2019-20_working'!$A$2)*(raw!$B$2:$B$9876='2019-20_working'!$A54)*(raw!$E$2:$E$9876='2019-20_working'!$B$6:$I$6)*(raw!$F$2:$F$9876='2019-20_working'!F$7)*(raw!$G$2:$G$9876))</f>
        <v>7</v>
      </c>
      <c r="G54" s="8">
        <f>SUMPRODUCT((raw!$A$2:$A$9876='2019-20_working'!$A$2)*(raw!$B$2:$B$9876='2019-20_working'!$A54)*(raw!$E$2:$E$9876='2019-20_working'!$B$6:$I$6)*(raw!$F$2:$F$9876='2019-20_working'!G$7)*(raw!$G$2:$G$9876))</f>
        <v>0</v>
      </c>
      <c r="H54" s="8">
        <f>SUMPRODUCT((raw!$A$2:$A$9876='2019-20_working'!$A$2)*(raw!$B$2:$B$9876='2019-20_working'!$A54)*(raw!$E$2:$E$9876='2019-20_working'!$B$6:$I$6)*(raw!$F$2:$F$9876='2019-20_working'!H$7)*(raw!$G$2:$G$9876))</f>
        <v>1</v>
      </c>
      <c r="I54" s="8">
        <f>SUMPRODUCT((raw!$A$2:$A$9876='2019-20_working'!$A$2)*(raw!$B$2:$B$9876='2019-20_working'!$A54)*(raw!$E$2:$E$9876='2019-20_working'!$B$6:$I$6)*(raw!$F$2:$F$9876='2019-20_working'!I$7)*(raw!$G$2:$G$9876))</f>
        <v>0</v>
      </c>
      <c r="K54" s="8">
        <f>SUMPRODUCT((raw!$A$2:$A$9876='2019-20_working'!$A$2)*(raw!$B$2:$B$9876='2019-20_working'!$A54)*(raw!$E$2:$E$9876='2019-20_working'!$K$6)*(raw!$F$2:$F$9876='2019-20_working'!K$7)*(raw!$G$2:$G$9876))</f>
        <v>0</v>
      </c>
      <c r="L54" s="8">
        <f>SUMPRODUCT((raw!$A$2:$A$9876='2019-20_working'!$A$2)*(raw!$B$2:$B$9876='2019-20_working'!$A54)*(raw!$E$2:$E$9876='2019-20_working'!$K$6)*(raw!$F$2:$F$9876='2019-20_working'!L$7)*(raw!$G$2:$G$9876))</f>
        <v>0</v>
      </c>
      <c r="M54" s="8">
        <f>SUMPRODUCT((raw!$A$2:$A$9876='2019-20_working'!$A$2)*(raw!$B$2:$B$9876='2019-20_working'!$A54)*(raw!$E$2:$E$9876='2019-20_working'!$K$6)*(raw!$F$2:$F$9876='2019-20_working'!M$7)*(raw!$G$2:$G$9876))</f>
        <v>0</v>
      </c>
      <c r="N54" s="8">
        <f>SUMPRODUCT((raw!$A$2:$A$9876='2019-20_working'!$A$2)*(raw!$B$2:$B$9876='2019-20_working'!$A54)*(raw!$E$2:$E$9876='2019-20_working'!$K$6)*(raw!$F$2:$F$9876='2019-20_working'!N$7)*(raw!$G$2:$G$9876))</f>
        <v>0</v>
      </c>
      <c r="O54" s="8">
        <f>SUMPRODUCT((raw!$A$2:$A$9876='2019-20_working'!$A$2)*(raw!$B$2:$B$9876='2019-20_working'!$A54)*(raw!$E$2:$E$9876='2019-20_working'!$K$6)*(raw!$F$2:$F$9876='2019-20_working'!O$7)*(raw!$G$2:$G$9876))</f>
        <v>0</v>
      </c>
      <c r="P54" s="8">
        <f>SUMPRODUCT((raw!$A$2:$A$9876='2019-20_working'!$A$2)*(raw!$B$2:$B$9876='2019-20_working'!$A54)*(raw!$E$2:$E$9876='2019-20_working'!$K$6)*(raw!$F$2:$F$9876='2019-20_working'!P$7)*(raw!$G$2:$G$9876))</f>
        <v>0</v>
      </c>
      <c r="Q54" s="8">
        <f>SUMPRODUCT((raw!$A$2:$A$9876='2019-20_working'!$A$2)*(raw!$B$2:$B$9876='2019-20_working'!$A54)*(raw!$E$2:$E$9876='2019-20_working'!$K$6)*(raw!$F$2:$F$9876='2019-20_working'!Q$7)*(raw!$G$2:$G$9876))</f>
        <v>0</v>
      </c>
      <c r="R54" s="8">
        <f>SUMPRODUCT((raw!$A$2:$A$9876='2019-20_working'!$A$2)*(raw!$B$2:$B$9876='2019-20_working'!$A54)*(raw!$E$2:$E$9876='2019-20_working'!$K$6)*(raw!$F$2:$F$9876='2019-20_working'!R$7)*(raw!$G$2:$G$9876))</f>
        <v>0</v>
      </c>
      <c r="T54" s="8">
        <f>SUMPRODUCT((raw!$A$2:$A$9876='2019-20_working'!$A$2)*(raw!$B$2:$B$9876='2019-20_working'!$A54)*(raw!$E$2:$E$9876='2019-20_working'!$T$6)*(raw!$F$2:$F$9876='2019-20_working'!T$7)*(raw!$G$2:$G$9876))</f>
        <v>6</v>
      </c>
      <c r="U54" s="8">
        <f>SUMPRODUCT((raw!$A$2:$A$9876='2019-20_working'!$A$2)*(raw!$B$2:$B$9876='2019-20_working'!$A54)*(raw!$E$2:$E$9876='2019-20_working'!$T$6)*(raw!$F$2:$F$9876='2019-20_working'!U$7)*(raw!$G$2:$G$9876))</f>
        <v>0</v>
      </c>
      <c r="V54" s="8">
        <f>SUMPRODUCT((raw!$A$2:$A$9876='2019-20_working'!$A$2)*(raw!$B$2:$B$9876='2019-20_working'!$A54)*(raw!$E$2:$E$9876='2019-20_working'!$T$6)*(raw!$F$2:$F$9876='2019-20_working'!V$7)*(raw!$G$2:$G$9876))</f>
        <v>0</v>
      </c>
      <c r="W54" s="8">
        <f>SUMPRODUCT((raw!$A$2:$A$9876='2019-20_working'!$A$2)*(raw!$B$2:$B$9876='2019-20_working'!$A54)*(raw!$E$2:$E$9876='2019-20_working'!$T$6)*(raw!$F$2:$F$9876='2019-20_working'!W$7)*(raw!$G$2:$G$9876))</f>
        <v>0</v>
      </c>
      <c r="X54" s="8">
        <f>SUMPRODUCT((raw!$A$2:$A$9876='2019-20_working'!$A$2)*(raw!$B$2:$B$9876='2019-20_working'!$A54)*(raw!$E$2:$E$9876='2019-20_working'!$T$6)*(raw!$F$2:$F$9876='2019-20_working'!X$7)*(raw!$G$2:$G$9876))</f>
        <v>0</v>
      </c>
      <c r="Y54" s="8">
        <f>SUMPRODUCT((raw!$A$2:$A$9876='2019-20_working'!$A$2)*(raw!$B$2:$B$9876='2019-20_working'!$A54)*(raw!$E$2:$E$9876='2019-20_working'!$T$6)*(raw!$F$2:$F$9876='2019-20_working'!Y$7)*(raw!$G$2:$G$9876))</f>
        <v>0</v>
      </c>
      <c r="Z54" s="8">
        <f>SUMPRODUCT((raw!$A$2:$A$9876='2019-20_working'!$A$2)*(raw!$B$2:$B$9876='2019-20_working'!$A54)*(raw!$E$2:$E$9876='2019-20_working'!$T$6)*(raw!$F$2:$F$9876='2019-20_working'!Z$7)*(raw!$G$2:$G$9876))</f>
        <v>0</v>
      </c>
      <c r="AA54" s="8">
        <f>SUMPRODUCT((raw!$A$2:$A$9876='2019-20_working'!$A$2)*(raw!$B$2:$B$9876='2019-20_working'!$A54)*(raw!$E$2:$E$9876='2019-20_working'!$T$6)*(raw!$F$2:$F$9876='2019-20_working'!AA$7)*(raw!$G$2:$G$9876))</f>
        <v>3</v>
      </c>
      <c r="AC54" s="8">
        <f>SUMPRODUCT((raw!$A$2:$A$9876='2019-20_working'!$A$2)*(raw!$B$2:$B$9876='2019-20_working'!$A54)*(raw!$E$2:$E$9876='2019-20_working'!$AC$6)*(raw!$F$2:$F$9876='2019-20_working'!AC$7)*(raw!$G$2:$G$9876))</f>
        <v>17</v>
      </c>
      <c r="AD54" s="8">
        <f>SUMPRODUCT((raw!$A$2:$A$9876='2019-20_working'!$A$2)*(raw!$B$2:$B$9876='2019-20_working'!$A54)*(raw!$E$2:$E$9876='2019-20_working'!$AC$6)*(raw!$F$2:$F$9876='2019-20_working'!AD$7)*(raw!$G$2:$G$9876))</f>
        <v>1</v>
      </c>
      <c r="AE54" s="8">
        <f>SUMPRODUCT((raw!$A$2:$A$9876='2019-20_working'!$A$2)*(raw!$B$2:$B$9876='2019-20_working'!$A54)*(raw!$E$2:$E$9876='2019-20_working'!$AC$6)*(raw!$F$2:$F$9876='2019-20_working'!AE$7)*(raw!$G$2:$G$9876))</f>
        <v>0</v>
      </c>
      <c r="AF54" s="8">
        <f>SUMPRODUCT((raw!$A$2:$A$9876='2019-20_working'!$A$2)*(raw!$B$2:$B$9876='2019-20_working'!$A54)*(raw!$E$2:$E$9876='2019-20_working'!$AC$6)*(raw!$F$2:$F$9876='2019-20_working'!AF$7)*(raw!$G$2:$G$9876))</f>
        <v>6</v>
      </c>
      <c r="AG54" s="8">
        <f>SUMPRODUCT((raw!$A$2:$A$9876='2019-20_working'!$A$2)*(raw!$B$2:$B$9876='2019-20_working'!$A54)*(raw!$E$2:$E$9876='2019-20_working'!$AC$6)*(raw!$F$2:$F$9876='2019-20_working'!AG$7)*(raw!$G$2:$G$9876))</f>
        <v>4</v>
      </c>
      <c r="AH54" s="8">
        <f>SUMPRODUCT((raw!$A$2:$A$9876='2019-20_working'!$A$2)*(raw!$B$2:$B$9876='2019-20_working'!$A54)*(raw!$E$2:$E$9876='2019-20_working'!$AC$6)*(raw!$F$2:$F$9876='2019-20_working'!AH$7)*(raw!$G$2:$G$9876))</f>
        <v>0</v>
      </c>
      <c r="AI54" s="8">
        <f>SUMPRODUCT((raw!$A$2:$A$9876='2019-20_working'!$A$2)*(raw!$B$2:$B$9876='2019-20_working'!$A54)*(raw!$E$2:$E$9876='2019-20_working'!$AC$6)*(raw!$F$2:$F$9876='2019-20_working'!AI$7)*(raw!$G$2:$G$9876))</f>
        <v>0</v>
      </c>
      <c r="AJ54" s="8">
        <f>SUMPRODUCT((raw!$A$2:$A$9876='2019-20_working'!$A$2)*(raw!$B$2:$B$9876='2019-20_working'!$A54)*(raw!$E$2:$E$9876='2019-20_working'!$AC$6)*(raw!$F$2:$F$9876='2019-20_working'!AJ$7)*(raw!$G$2:$G$9876))</f>
        <v>12</v>
      </c>
    </row>
    <row r="55" spans="1:36" x14ac:dyDescent="0.3">
      <c r="A55" s="8" t="s">
        <v>62</v>
      </c>
      <c r="B55" s="8">
        <f>SUMPRODUCT((raw!$A$2:$A$9876='2019-20_working'!$A$2)*(raw!$B$2:$B$9876='2019-20_working'!$A55)*(raw!$E$2:$E$9876='2019-20_working'!$B$6:$I$6)*(raw!$F$2:$F$9876='2019-20_working'!B$7)*(raw!$G$2:$G$9876))</f>
        <v>24</v>
      </c>
      <c r="C55" s="8">
        <f>SUMPRODUCT((raw!$A$2:$A$9876='2019-20_working'!$A$2)*(raw!$B$2:$B$9876='2019-20_working'!$A55)*(raw!$E$2:$E$9876='2019-20_working'!$B$6:$I$6)*(raw!$F$2:$F$9876='2019-20_working'!C$7)*(raw!$G$2:$G$9876))</f>
        <v>0</v>
      </c>
      <c r="D55" s="8">
        <f>SUMPRODUCT((raw!$A$2:$A$9876='2019-20_working'!$A$2)*(raw!$B$2:$B$9876='2019-20_working'!$A55)*(raw!$E$2:$E$9876='2019-20_working'!$B$6:$I$6)*(raw!$F$2:$F$9876='2019-20_working'!D$7)*(raw!$G$2:$G$9876))</f>
        <v>1</v>
      </c>
      <c r="E55" s="8">
        <f>SUMPRODUCT((raw!$A$2:$A$9876='2019-20_working'!$A$2)*(raw!$B$2:$B$9876='2019-20_working'!$A55)*(raw!$E$2:$E$9876='2019-20_working'!$B$6:$I$6)*(raw!$F$2:$F$9876='2019-20_working'!E$7)*(raw!$G$2:$G$9876))</f>
        <v>0</v>
      </c>
      <c r="F55" s="8">
        <f>SUMPRODUCT((raw!$A$2:$A$9876='2019-20_working'!$A$2)*(raw!$B$2:$B$9876='2019-20_working'!$A55)*(raw!$E$2:$E$9876='2019-20_working'!$B$6:$I$6)*(raw!$F$2:$F$9876='2019-20_working'!F$7)*(raw!$G$2:$G$9876))</f>
        <v>0</v>
      </c>
      <c r="G55" s="8">
        <f>SUMPRODUCT((raw!$A$2:$A$9876='2019-20_working'!$A$2)*(raw!$B$2:$B$9876='2019-20_working'!$A55)*(raw!$E$2:$E$9876='2019-20_working'!$B$6:$I$6)*(raw!$F$2:$F$9876='2019-20_working'!G$7)*(raw!$G$2:$G$9876))</f>
        <v>0</v>
      </c>
      <c r="H55" s="8">
        <f>SUMPRODUCT((raw!$A$2:$A$9876='2019-20_working'!$A$2)*(raw!$B$2:$B$9876='2019-20_working'!$A55)*(raw!$E$2:$E$9876='2019-20_working'!$B$6:$I$6)*(raw!$F$2:$F$9876='2019-20_working'!H$7)*(raw!$G$2:$G$9876))</f>
        <v>2</v>
      </c>
      <c r="I55" s="8">
        <f>SUMPRODUCT((raw!$A$2:$A$9876='2019-20_working'!$A$2)*(raw!$B$2:$B$9876='2019-20_working'!$A55)*(raw!$E$2:$E$9876='2019-20_working'!$B$6:$I$6)*(raw!$F$2:$F$9876='2019-20_working'!I$7)*(raw!$G$2:$G$9876))</f>
        <v>14</v>
      </c>
      <c r="K55" s="8">
        <f>SUMPRODUCT((raw!$A$2:$A$9876='2019-20_working'!$A$2)*(raw!$B$2:$B$9876='2019-20_working'!$A55)*(raw!$E$2:$E$9876='2019-20_working'!$K$6)*(raw!$F$2:$F$9876='2019-20_working'!K$7)*(raw!$G$2:$G$9876))</f>
        <v>25</v>
      </c>
      <c r="L55" s="8">
        <f>SUMPRODUCT((raw!$A$2:$A$9876='2019-20_working'!$A$2)*(raw!$B$2:$B$9876='2019-20_working'!$A55)*(raw!$E$2:$E$9876='2019-20_working'!$K$6)*(raw!$F$2:$F$9876='2019-20_working'!L$7)*(raw!$G$2:$G$9876))</f>
        <v>0</v>
      </c>
      <c r="M55" s="8">
        <f>SUMPRODUCT((raw!$A$2:$A$9876='2019-20_working'!$A$2)*(raw!$B$2:$B$9876='2019-20_working'!$A55)*(raw!$E$2:$E$9876='2019-20_working'!$K$6)*(raw!$F$2:$F$9876='2019-20_working'!M$7)*(raw!$G$2:$G$9876))</f>
        <v>0</v>
      </c>
      <c r="N55" s="8">
        <f>SUMPRODUCT((raw!$A$2:$A$9876='2019-20_working'!$A$2)*(raw!$B$2:$B$9876='2019-20_working'!$A55)*(raw!$E$2:$E$9876='2019-20_working'!$K$6)*(raw!$F$2:$F$9876='2019-20_working'!N$7)*(raw!$G$2:$G$9876))</f>
        <v>0</v>
      </c>
      <c r="O55" s="8">
        <f>SUMPRODUCT((raw!$A$2:$A$9876='2019-20_working'!$A$2)*(raw!$B$2:$B$9876='2019-20_working'!$A55)*(raw!$E$2:$E$9876='2019-20_working'!$K$6)*(raw!$F$2:$F$9876='2019-20_working'!O$7)*(raw!$G$2:$G$9876))</f>
        <v>0</v>
      </c>
      <c r="P55" s="8">
        <f>SUMPRODUCT((raw!$A$2:$A$9876='2019-20_working'!$A$2)*(raw!$B$2:$B$9876='2019-20_working'!$A55)*(raw!$E$2:$E$9876='2019-20_working'!$K$6)*(raw!$F$2:$F$9876='2019-20_working'!P$7)*(raw!$G$2:$G$9876))</f>
        <v>0</v>
      </c>
      <c r="Q55" s="8">
        <f>SUMPRODUCT((raw!$A$2:$A$9876='2019-20_working'!$A$2)*(raw!$B$2:$B$9876='2019-20_working'!$A55)*(raw!$E$2:$E$9876='2019-20_working'!$K$6)*(raw!$F$2:$F$9876='2019-20_working'!Q$7)*(raw!$G$2:$G$9876))</f>
        <v>0</v>
      </c>
      <c r="R55" s="8">
        <f>SUMPRODUCT((raw!$A$2:$A$9876='2019-20_working'!$A$2)*(raw!$B$2:$B$9876='2019-20_working'!$A55)*(raw!$E$2:$E$9876='2019-20_working'!$K$6)*(raw!$F$2:$F$9876='2019-20_working'!R$7)*(raw!$G$2:$G$9876))</f>
        <v>1</v>
      </c>
      <c r="T55" s="8">
        <f>SUMPRODUCT((raw!$A$2:$A$9876='2019-20_working'!$A$2)*(raw!$B$2:$B$9876='2019-20_working'!$A55)*(raw!$E$2:$E$9876='2019-20_working'!$T$6)*(raw!$F$2:$F$9876='2019-20_working'!T$7)*(raw!$G$2:$G$9876))</f>
        <v>1</v>
      </c>
      <c r="U55" s="8">
        <f>SUMPRODUCT((raw!$A$2:$A$9876='2019-20_working'!$A$2)*(raw!$B$2:$B$9876='2019-20_working'!$A55)*(raw!$E$2:$E$9876='2019-20_working'!$T$6)*(raw!$F$2:$F$9876='2019-20_working'!U$7)*(raw!$G$2:$G$9876))</f>
        <v>0</v>
      </c>
      <c r="V55" s="8">
        <f>SUMPRODUCT((raw!$A$2:$A$9876='2019-20_working'!$A$2)*(raw!$B$2:$B$9876='2019-20_working'!$A55)*(raw!$E$2:$E$9876='2019-20_working'!$T$6)*(raw!$F$2:$F$9876='2019-20_working'!V$7)*(raw!$G$2:$G$9876))</f>
        <v>0</v>
      </c>
      <c r="W55" s="8">
        <f>SUMPRODUCT((raw!$A$2:$A$9876='2019-20_working'!$A$2)*(raw!$B$2:$B$9876='2019-20_working'!$A55)*(raw!$E$2:$E$9876='2019-20_working'!$T$6)*(raw!$F$2:$F$9876='2019-20_working'!W$7)*(raw!$G$2:$G$9876))</f>
        <v>0</v>
      </c>
      <c r="X55" s="8">
        <f>SUMPRODUCT((raw!$A$2:$A$9876='2019-20_working'!$A$2)*(raw!$B$2:$B$9876='2019-20_working'!$A55)*(raw!$E$2:$E$9876='2019-20_working'!$T$6)*(raw!$F$2:$F$9876='2019-20_working'!X$7)*(raw!$G$2:$G$9876))</f>
        <v>0</v>
      </c>
      <c r="Y55" s="8">
        <f>SUMPRODUCT((raw!$A$2:$A$9876='2019-20_working'!$A$2)*(raw!$B$2:$B$9876='2019-20_working'!$A55)*(raw!$E$2:$E$9876='2019-20_working'!$T$6)*(raw!$F$2:$F$9876='2019-20_working'!Y$7)*(raw!$G$2:$G$9876))</f>
        <v>0</v>
      </c>
      <c r="Z55" s="8">
        <f>SUMPRODUCT((raw!$A$2:$A$9876='2019-20_working'!$A$2)*(raw!$B$2:$B$9876='2019-20_working'!$A55)*(raw!$E$2:$E$9876='2019-20_working'!$T$6)*(raw!$F$2:$F$9876='2019-20_working'!Z$7)*(raw!$G$2:$G$9876))</f>
        <v>0</v>
      </c>
      <c r="AA55" s="8">
        <f>SUMPRODUCT((raw!$A$2:$A$9876='2019-20_working'!$A$2)*(raw!$B$2:$B$9876='2019-20_working'!$A55)*(raw!$E$2:$E$9876='2019-20_working'!$T$6)*(raw!$F$2:$F$9876='2019-20_working'!AA$7)*(raw!$G$2:$G$9876))</f>
        <v>0</v>
      </c>
      <c r="AC55" s="8">
        <f>SUMPRODUCT((raw!$A$2:$A$9876='2019-20_working'!$A$2)*(raw!$B$2:$B$9876='2019-20_working'!$A55)*(raw!$E$2:$E$9876='2019-20_working'!$AC$6)*(raw!$F$2:$F$9876='2019-20_working'!AC$7)*(raw!$G$2:$G$9876))</f>
        <v>11</v>
      </c>
      <c r="AD55" s="8">
        <f>SUMPRODUCT((raw!$A$2:$A$9876='2019-20_working'!$A$2)*(raw!$B$2:$B$9876='2019-20_working'!$A55)*(raw!$E$2:$E$9876='2019-20_working'!$AC$6)*(raw!$F$2:$F$9876='2019-20_working'!AD$7)*(raw!$G$2:$G$9876))</f>
        <v>0</v>
      </c>
      <c r="AE55" s="8">
        <f>SUMPRODUCT((raw!$A$2:$A$9876='2019-20_working'!$A$2)*(raw!$B$2:$B$9876='2019-20_working'!$A55)*(raw!$E$2:$E$9876='2019-20_working'!$AC$6)*(raw!$F$2:$F$9876='2019-20_working'!AE$7)*(raw!$G$2:$G$9876))</f>
        <v>0</v>
      </c>
      <c r="AF55" s="8">
        <f>SUMPRODUCT((raw!$A$2:$A$9876='2019-20_working'!$A$2)*(raw!$B$2:$B$9876='2019-20_working'!$A55)*(raw!$E$2:$E$9876='2019-20_working'!$AC$6)*(raw!$F$2:$F$9876='2019-20_working'!AF$7)*(raw!$G$2:$G$9876))</f>
        <v>1</v>
      </c>
      <c r="AG55" s="8">
        <f>SUMPRODUCT((raw!$A$2:$A$9876='2019-20_working'!$A$2)*(raw!$B$2:$B$9876='2019-20_working'!$A55)*(raw!$E$2:$E$9876='2019-20_working'!$AC$6)*(raw!$F$2:$F$9876='2019-20_working'!AG$7)*(raw!$G$2:$G$9876))</f>
        <v>0</v>
      </c>
      <c r="AH55" s="8">
        <f>SUMPRODUCT((raw!$A$2:$A$9876='2019-20_working'!$A$2)*(raw!$B$2:$B$9876='2019-20_working'!$A55)*(raw!$E$2:$E$9876='2019-20_working'!$AC$6)*(raw!$F$2:$F$9876='2019-20_working'!AH$7)*(raw!$G$2:$G$9876))</f>
        <v>0</v>
      </c>
      <c r="AI55" s="8">
        <f>SUMPRODUCT((raw!$A$2:$A$9876='2019-20_working'!$A$2)*(raw!$B$2:$B$9876='2019-20_working'!$A55)*(raw!$E$2:$E$9876='2019-20_working'!$AC$6)*(raw!$F$2:$F$9876='2019-20_working'!AI$7)*(raw!$G$2:$G$9876))</f>
        <v>0</v>
      </c>
      <c r="AJ55" s="8">
        <f>SUMPRODUCT((raw!$A$2:$A$9876='2019-20_working'!$A$2)*(raw!$B$2:$B$9876='2019-20_working'!$A55)*(raw!$E$2:$E$9876='2019-20_working'!$AC$6)*(raw!$F$2:$F$9876='2019-20_working'!AJ$7)*(raw!$G$2:$G$9876))</f>
        <v>5</v>
      </c>
    </row>
    <row r="56" spans="1:36" x14ac:dyDescent="0.3">
      <c r="A56" s="8" t="s">
        <v>63</v>
      </c>
      <c r="B56" s="8">
        <f>SUMPRODUCT((raw!$A$2:$A$9876='2019-20_working'!$A$2)*(raw!$B$2:$B$9876='2019-20_working'!$A56)*(raw!$E$2:$E$9876='2019-20_working'!$B$6:$I$6)*(raw!$F$2:$F$9876='2019-20_working'!B$7)*(raw!$G$2:$G$9876))</f>
        <v>236</v>
      </c>
      <c r="C56" s="8">
        <f>SUMPRODUCT((raw!$A$2:$A$9876='2019-20_working'!$A$2)*(raw!$B$2:$B$9876='2019-20_working'!$A56)*(raw!$E$2:$E$9876='2019-20_working'!$B$6:$I$6)*(raw!$F$2:$F$9876='2019-20_working'!C$7)*(raw!$G$2:$G$9876))</f>
        <v>10</v>
      </c>
      <c r="D56" s="8">
        <f>SUMPRODUCT((raw!$A$2:$A$9876='2019-20_working'!$A$2)*(raw!$B$2:$B$9876='2019-20_working'!$A56)*(raw!$E$2:$E$9876='2019-20_working'!$B$6:$I$6)*(raw!$F$2:$F$9876='2019-20_working'!D$7)*(raw!$G$2:$G$9876))</f>
        <v>12</v>
      </c>
      <c r="E56" s="8">
        <f>SUMPRODUCT((raw!$A$2:$A$9876='2019-20_working'!$A$2)*(raw!$B$2:$B$9876='2019-20_working'!$A56)*(raw!$E$2:$E$9876='2019-20_working'!$B$6:$I$6)*(raw!$F$2:$F$9876='2019-20_working'!E$7)*(raw!$G$2:$G$9876))</f>
        <v>5</v>
      </c>
      <c r="F56" s="8">
        <f>SUMPRODUCT((raw!$A$2:$A$9876='2019-20_working'!$A$2)*(raw!$B$2:$B$9876='2019-20_working'!$A56)*(raw!$E$2:$E$9876='2019-20_working'!$B$6:$I$6)*(raw!$F$2:$F$9876='2019-20_working'!F$7)*(raw!$G$2:$G$9876))</f>
        <v>13</v>
      </c>
      <c r="G56" s="8">
        <f>SUMPRODUCT((raw!$A$2:$A$9876='2019-20_working'!$A$2)*(raw!$B$2:$B$9876='2019-20_working'!$A56)*(raw!$E$2:$E$9876='2019-20_working'!$B$6:$I$6)*(raw!$F$2:$F$9876='2019-20_working'!G$7)*(raw!$G$2:$G$9876))</f>
        <v>2</v>
      </c>
      <c r="H56" s="8">
        <f>SUMPRODUCT((raw!$A$2:$A$9876='2019-20_working'!$A$2)*(raw!$B$2:$B$9876='2019-20_working'!$A56)*(raw!$E$2:$E$9876='2019-20_working'!$B$6:$I$6)*(raw!$F$2:$F$9876='2019-20_working'!H$7)*(raw!$G$2:$G$9876))</f>
        <v>6</v>
      </c>
      <c r="I56" s="8">
        <f>SUMPRODUCT((raw!$A$2:$A$9876='2019-20_working'!$A$2)*(raw!$B$2:$B$9876='2019-20_working'!$A56)*(raw!$E$2:$E$9876='2019-20_working'!$B$6:$I$6)*(raw!$F$2:$F$9876='2019-20_working'!I$7)*(raw!$G$2:$G$9876))</f>
        <v>7</v>
      </c>
      <c r="K56" s="8">
        <f>SUMPRODUCT((raw!$A$2:$A$9876='2019-20_working'!$A$2)*(raw!$B$2:$B$9876='2019-20_working'!$A56)*(raw!$E$2:$E$9876='2019-20_working'!$K$6)*(raw!$F$2:$F$9876='2019-20_working'!K$7)*(raw!$G$2:$G$9876))</f>
        <v>0</v>
      </c>
      <c r="L56" s="8">
        <f>SUMPRODUCT((raw!$A$2:$A$9876='2019-20_working'!$A$2)*(raw!$B$2:$B$9876='2019-20_working'!$A56)*(raw!$E$2:$E$9876='2019-20_working'!$K$6)*(raw!$F$2:$F$9876='2019-20_working'!L$7)*(raw!$G$2:$G$9876))</f>
        <v>0</v>
      </c>
      <c r="M56" s="8">
        <f>SUMPRODUCT((raw!$A$2:$A$9876='2019-20_working'!$A$2)*(raw!$B$2:$B$9876='2019-20_working'!$A56)*(raw!$E$2:$E$9876='2019-20_working'!$K$6)*(raw!$F$2:$F$9876='2019-20_working'!M$7)*(raw!$G$2:$G$9876))</f>
        <v>0</v>
      </c>
      <c r="N56" s="8">
        <f>SUMPRODUCT((raw!$A$2:$A$9876='2019-20_working'!$A$2)*(raw!$B$2:$B$9876='2019-20_working'!$A56)*(raw!$E$2:$E$9876='2019-20_working'!$K$6)*(raw!$F$2:$F$9876='2019-20_working'!N$7)*(raw!$G$2:$G$9876))</f>
        <v>0</v>
      </c>
      <c r="O56" s="8">
        <f>SUMPRODUCT((raw!$A$2:$A$9876='2019-20_working'!$A$2)*(raw!$B$2:$B$9876='2019-20_working'!$A56)*(raw!$E$2:$E$9876='2019-20_working'!$K$6)*(raw!$F$2:$F$9876='2019-20_working'!O$7)*(raw!$G$2:$G$9876))</f>
        <v>0</v>
      </c>
      <c r="P56" s="8">
        <f>SUMPRODUCT((raw!$A$2:$A$9876='2019-20_working'!$A$2)*(raw!$B$2:$B$9876='2019-20_working'!$A56)*(raw!$E$2:$E$9876='2019-20_working'!$K$6)*(raw!$F$2:$F$9876='2019-20_working'!P$7)*(raw!$G$2:$G$9876))</f>
        <v>0</v>
      </c>
      <c r="Q56" s="8">
        <f>SUMPRODUCT((raw!$A$2:$A$9876='2019-20_working'!$A$2)*(raw!$B$2:$B$9876='2019-20_working'!$A56)*(raw!$E$2:$E$9876='2019-20_working'!$K$6)*(raw!$F$2:$F$9876='2019-20_working'!Q$7)*(raw!$G$2:$G$9876))</f>
        <v>0</v>
      </c>
      <c r="R56" s="8">
        <f>SUMPRODUCT((raw!$A$2:$A$9876='2019-20_working'!$A$2)*(raw!$B$2:$B$9876='2019-20_working'!$A56)*(raw!$E$2:$E$9876='2019-20_working'!$K$6)*(raw!$F$2:$F$9876='2019-20_working'!R$7)*(raw!$G$2:$G$9876))</f>
        <v>0</v>
      </c>
      <c r="T56" s="8">
        <f>SUMPRODUCT((raw!$A$2:$A$9876='2019-20_working'!$A$2)*(raw!$B$2:$B$9876='2019-20_working'!$A56)*(raw!$E$2:$E$9876='2019-20_working'!$T$6)*(raw!$F$2:$F$9876='2019-20_working'!T$7)*(raw!$G$2:$G$9876))</f>
        <v>10</v>
      </c>
      <c r="U56" s="8">
        <f>SUMPRODUCT((raw!$A$2:$A$9876='2019-20_working'!$A$2)*(raw!$B$2:$B$9876='2019-20_working'!$A56)*(raw!$E$2:$E$9876='2019-20_working'!$T$6)*(raw!$F$2:$F$9876='2019-20_working'!U$7)*(raw!$G$2:$G$9876))</f>
        <v>0</v>
      </c>
      <c r="V56" s="8">
        <f>SUMPRODUCT((raw!$A$2:$A$9876='2019-20_working'!$A$2)*(raw!$B$2:$B$9876='2019-20_working'!$A56)*(raw!$E$2:$E$9876='2019-20_working'!$T$6)*(raw!$F$2:$F$9876='2019-20_working'!V$7)*(raw!$G$2:$G$9876))</f>
        <v>1</v>
      </c>
      <c r="W56" s="8">
        <f>SUMPRODUCT((raw!$A$2:$A$9876='2019-20_working'!$A$2)*(raw!$B$2:$B$9876='2019-20_working'!$A56)*(raw!$E$2:$E$9876='2019-20_working'!$T$6)*(raw!$F$2:$F$9876='2019-20_working'!W$7)*(raw!$G$2:$G$9876))</f>
        <v>0</v>
      </c>
      <c r="X56" s="8">
        <f>SUMPRODUCT((raw!$A$2:$A$9876='2019-20_working'!$A$2)*(raw!$B$2:$B$9876='2019-20_working'!$A56)*(raw!$E$2:$E$9876='2019-20_working'!$T$6)*(raw!$F$2:$F$9876='2019-20_working'!X$7)*(raw!$G$2:$G$9876))</f>
        <v>1</v>
      </c>
      <c r="Y56" s="8">
        <f>SUMPRODUCT((raw!$A$2:$A$9876='2019-20_working'!$A$2)*(raw!$B$2:$B$9876='2019-20_working'!$A56)*(raw!$E$2:$E$9876='2019-20_working'!$T$6)*(raw!$F$2:$F$9876='2019-20_working'!Y$7)*(raw!$G$2:$G$9876))</f>
        <v>0</v>
      </c>
      <c r="Z56" s="8">
        <f>SUMPRODUCT((raw!$A$2:$A$9876='2019-20_working'!$A$2)*(raw!$B$2:$B$9876='2019-20_working'!$A56)*(raw!$E$2:$E$9876='2019-20_working'!$T$6)*(raw!$F$2:$F$9876='2019-20_working'!Z$7)*(raw!$G$2:$G$9876))</f>
        <v>1</v>
      </c>
      <c r="AA56" s="8">
        <f>SUMPRODUCT((raw!$A$2:$A$9876='2019-20_working'!$A$2)*(raw!$B$2:$B$9876='2019-20_working'!$A56)*(raw!$E$2:$E$9876='2019-20_working'!$T$6)*(raw!$F$2:$F$9876='2019-20_working'!AA$7)*(raw!$G$2:$G$9876))</f>
        <v>0</v>
      </c>
      <c r="AC56" s="8">
        <f>SUMPRODUCT((raw!$A$2:$A$9876='2019-20_working'!$A$2)*(raw!$B$2:$B$9876='2019-20_working'!$A56)*(raw!$E$2:$E$9876='2019-20_working'!$AC$6)*(raw!$F$2:$F$9876='2019-20_working'!AC$7)*(raw!$G$2:$G$9876))</f>
        <v>92</v>
      </c>
      <c r="AD56" s="8">
        <f>SUMPRODUCT((raw!$A$2:$A$9876='2019-20_working'!$A$2)*(raw!$B$2:$B$9876='2019-20_working'!$A56)*(raw!$E$2:$E$9876='2019-20_working'!$AC$6)*(raw!$F$2:$F$9876='2019-20_working'!AD$7)*(raw!$G$2:$G$9876))</f>
        <v>6</v>
      </c>
      <c r="AE56" s="8">
        <f>SUMPRODUCT((raw!$A$2:$A$9876='2019-20_working'!$A$2)*(raw!$B$2:$B$9876='2019-20_working'!$A56)*(raw!$E$2:$E$9876='2019-20_working'!$AC$6)*(raw!$F$2:$F$9876='2019-20_working'!AE$7)*(raw!$G$2:$G$9876))</f>
        <v>5</v>
      </c>
      <c r="AF56" s="8">
        <f>SUMPRODUCT((raw!$A$2:$A$9876='2019-20_working'!$A$2)*(raw!$B$2:$B$9876='2019-20_working'!$A56)*(raw!$E$2:$E$9876='2019-20_working'!$AC$6)*(raw!$F$2:$F$9876='2019-20_working'!AF$7)*(raw!$G$2:$G$9876))</f>
        <v>7</v>
      </c>
      <c r="AG56" s="8">
        <f>SUMPRODUCT((raw!$A$2:$A$9876='2019-20_working'!$A$2)*(raw!$B$2:$B$9876='2019-20_working'!$A56)*(raw!$E$2:$E$9876='2019-20_working'!$AC$6)*(raw!$F$2:$F$9876='2019-20_working'!AG$7)*(raw!$G$2:$G$9876))</f>
        <v>13</v>
      </c>
      <c r="AH56" s="8">
        <f>SUMPRODUCT((raw!$A$2:$A$9876='2019-20_working'!$A$2)*(raw!$B$2:$B$9876='2019-20_working'!$A56)*(raw!$E$2:$E$9876='2019-20_working'!$AC$6)*(raw!$F$2:$F$9876='2019-20_working'!AH$7)*(raw!$G$2:$G$9876))</f>
        <v>0</v>
      </c>
      <c r="AI56" s="8">
        <f>SUMPRODUCT((raw!$A$2:$A$9876='2019-20_working'!$A$2)*(raw!$B$2:$B$9876='2019-20_working'!$A56)*(raw!$E$2:$E$9876='2019-20_working'!$AC$6)*(raw!$F$2:$F$9876='2019-20_working'!AI$7)*(raw!$G$2:$G$9876))</f>
        <v>4</v>
      </c>
      <c r="AJ56" s="8">
        <f>SUMPRODUCT((raw!$A$2:$A$9876='2019-20_working'!$A$2)*(raw!$B$2:$B$9876='2019-20_working'!$A56)*(raw!$E$2:$E$9876='2019-20_working'!$AC$6)*(raw!$F$2:$F$9876='2019-20_working'!AJ$7)*(raw!$G$2:$G$9876))</f>
        <v>5</v>
      </c>
    </row>
  </sheetData>
  <mergeCells count="5">
    <mergeCell ref="A1:O1"/>
    <mergeCell ref="B6:I6"/>
    <mergeCell ref="K6:R6"/>
    <mergeCell ref="T6:AA6"/>
    <mergeCell ref="AC6:AJ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L70"/>
  <sheetViews>
    <sheetView workbookViewId="0">
      <selection activeCell="H8" sqref="H8"/>
    </sheetView>
  </sheetViews>
  <sheetFormatPr defaultColWidth="9.21875" defaultRowHeight="14.4" x14ac:dyDescent="0.3"/>
  <cols>
    <col min="1" max="1" width="50.77734375" style="4" customWidth="1"/>
    <col min="2" max="9" width="8.77734375" style="4" customWidth="1"/>
    <col min="10" max="10" width="2.77734375" style="4" customWidth="1"/>
    <col min="11" max="18" width="8.77734375" style="4" customWidth="1"/>
    <col min="19" max="19" width="2.77734375" style="4" customWidth="1"/>
    <col min="20" max="27" width="8.77734375" style="4" customWidth="1"/>
    <col min="28" max="28" width="2.77734375" style="4" customWidth="1"/>
    <col min="29" max="36" width="8.77734375" style="4" customWidth="1"/>
    <col min="37" max="37" width="2.77734375" style="4" customWidth="1"/>
    <col min="38" max="45" width="8.77734375" style="4" customWidth="1"/>
    <col min="46" max="46" width="2.77734375" style="4" customWidth="1"/>
    <col min="47" max="54" width="8.77734375" style="4" customWidth="1"/>
    <col min="55" max="16384" width="9.21875" style="4"/>
  </cols>
  <sheetData>
    <row r="1" spans="1:64" s="1" customFormat="1" ht="23.25" customHeight="1" x14ac:dyDescent="0.45">
      <c r="A1" s="149" t="s">
        <v>85</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row>
    <row r="2" spans="1:64" s="3" customFormat="1" x14ac:dyDescent="0.3">
      <c r="A2" s="2"/>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row>
    <row r="3" spans="1:64" s="3" customFormat="1" x14ac:dyDescent="0.3">
      <c r="A3" s="2"/>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row>
    <row r="4" spans="1:64" s="3" customFormat="1" x14ac:dyDescent="0.3">
      <c r="A4" s="2"/>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64" s="3" customFormat="1" x14ac:dyDescent="0.3">
      <c r="A5" s="2"/>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row>
    <row r="6" spans="1:64" s="8" customFormat="1" ht="15.75" customHeight="1" thickBot="1" x14ac:dyDescent="0.35">
      <c r="A6" s="4"/>
      <c r="B6" s="151" t="s">
        <v>1</v>
      </c>
      <c r="C6" s="151"/>
      <c r="D6" s="151"/>
      <c r="E6" s="151"/>
      <c r="F6" s="151"/>
      <c r="G6" s="151"/>
      <c r="H6" s="151"/>
      <c r="I6" s="40"/>
      <c r="J6" s="39"/>
      <c r="K6" s="153" t="s">
        <v>84</v>
      </c>
      <c r="L6" s="153"/>
      <c r="M6" s="153"/>
      <c r="N6" s="153"/>
      <c r="O6" s="153"/>
      <c r="P6" s="153"/>
      <c r="Q6" s="153"/>
      <c r="R6" s="153"/>
      <c r="S6" s="39"/>
      <c r="T6" s="152" t="s">
        <v>2</v>
      </c>
      <c r="U6" s="152"/>
      <c r="V6" s="152"/>
      <c r="W6" s="152"/>
      <c r="X6" s="152"/>
      <c r="Y6" s="152"/>
      <c r="Z6" s="152"/>
      <c r="AA6" s="7"/>
      <c r="AB6" s="39"/>
      <c r="AC6" s="153" t="s">
        <v>3</v>
      </c>
      <c r="AD6" s="153"/>
      <c r="AE6" s="153"/>
      <c r="AF6" s="153"/>
      <c r="AG6" s="153"/>
      <c r="AH6" s="153"/>
      <c r="AI6" s="153"/>
      <c r="AJ6" s="40"/>
      <c r="AK6" s="39"/>
      <c r="AL6" s="153" t="s">
        <v>4</v>
      </c>
      <c r="AM6" s="153"/>
      <c r="AN6" s="153"/>
      <c r="AO6" s="153"/>
      <c r="AP6" s="153"/>
      <c r="AQ6" s="153"/>
      <c r="AR6" s="153"/>
      <c r="AS6" s="40"/>
      <c r="AT6" s="39"/>
      <c r="AU6" s="152" t="s">
        <v>5</v>
      </c>
      <c r="AV6" s="152"/>
      <c r="AW6" s="152"/>
      <c r="AX6" s="152"/>
      <c r="AY6" s="152"/>
      <c r="AZ6" s="152"/>
      <c r="BA6" s="152"/>
      <c r="BB6" s="152"/>
    </row>
    <row r="7" spans="1:64" s="15" customFormat="1" ht="58.2" thickBot="1" x14ac:dyDescent="0.35">
      <c r="A7" s="9" t="s">
        <v>6</v>
      </c>
      <c r="B7" s="10" t="s">
        <v>7</v>
      </c>
      <c r="C7" s="10" t="s">
        <v>8</v>
      </c>
      <c r="D7" s="10" t="s">
        <v>9</v>
      </c>
      <c r="E7" s="10" t="s">
        <v>10</v>
      </c>
      <c r="F7" s="10" t="s">
        <v>11</v>
      </c>
      <c r="G7" s="10" t="s">
        <v>12</v>
      </c>
      <c r="H7" s="45" t="s">
        <v>13</v>
      </c>
      <c r="I7" s="45" t="s">
        <v>14</v>
      </c>
      <c r="J7" s="41"/>
      <c r="K7" s="10" t="s">
        <v>7</v>
      </c>
      <c r="L7" s="10" t="s">
        <v>8</v>
      </c>
      <c r="M7" s="10" t="s">
        <v>9</v>
      </c>
      <c r="N7" s="10" t="s">
        <v>10</v>
      </c>
      <c r="O7" s="10" t="s">
        <v>11</v>
      </c>
      <c r="P7" s="10" t="s">
        <v>12</v>
      </c>
      <c r="Q7" s="45" t="s">
        <v>13</v>
      </c>
      <c r="R7" s="45" t="s">
        <v>14</v>
      </c>
      <c r="S7" s="41"/>
      <c r="T7" s="13" t="s">
        <v>7</v>
      </c>
      <c r="U7" s="13" t="s">
        <v>8</v>
      </c>
      <c r="V7" s="13" t="s">
        <v>9</v>
      </c>
      <c r="W7" s="13" t="s">
        <v>10</v>
      </c>
      <c r="X7" s="13" t="s">
        <v>11</v>
      </c>
      <c r="Y7" s="13" t="s">
        <v>12</v>
      </c>
      <c r="Z7" s="45" t="s">
        <v>13</v>
      </c>
      <c r="AA7" s="45" t="s">
        <v>14</v>
      </c>
      <c r="AB7" s="41"/>
      <c r="AC7" s="10" t="s">
        <v>7</v>
      </c>
      <c r="AD7" s="10" t="s">
        <v>8</v>
      </c>
      <c r="AE7" s="10" t="s">
        <v>9</v>
      </c>
      <c r="AF7" s="10" t="s">
        <v>10</v>
      </c>
      <c r="AG7" s="10" t="s">
        <v>11</v>
      </c>
      <c r="AH7" s="10" t="s">
        <v>12</v>
      </c>
      <c r="AI7" s="45" t="s">
        <v>13</v>
      </c>
      <c r="AJ7" s="45" t="s">
        <v>14</v>
      </c>
      <c r="AK7" s="41"/>
      <c r="AL7" s="10" t="s">
        <v>7</v>
      </c>
      <c r="AM7" s="10" t="s">
        <v>8</v>
      </c>
      <c r="AN7" s="10" t="s">
        <v>9</v>
      </c>
      <c r="AO7" s="10" t="s">
        <v>10</v>
      </c>
      <c r="AP7" s="10" t="s">
        <v>11</v>
      </c>
      <c r="AQ7" s="10" t="s">
        <v>12</v>
      </c>
      <c r="AR7" s="45" t="s">
        <v>13</v>
      </c>
      <c r="AS7" s="45" t="s">
        <v>14</v>
      </c>
      <c r="AT7" s="41"/>
      <c r="AU7" s="13" t="s">
        <v>7</v>
      </c>
      <c r="AV7" s="13" t="s">
        <v>8</v>
      </c>
      <c r="AW7" s="13" t="s">
        <v>9</v>
      </c>
      <c r="AX7" s="13" t="s">
        <v>10</v>
      </c>
      <c r="AY7" s="13" t="s">
        <v>11</v>
      </c>
      <c r="AZ7" s="13" t="s">
        <v>12</v>
      </c>
      <c r="BA7" s="45" t="s">
        <v>13</v>
      </c>
      <c r="BB7" s="45" t="s">
        <v>14</v>
      </c>
    </row>
    <row r="8" spans="1:64" s="8" customFormat="1" ht="15" customHeight="1" x14ac:dyDescent="0.3">
      <c r="A8" s="16" t="s">
        <v>15</v>
      </c>
      <c r="B8" s="22">
        <f t="shared" ref="B8:G8" si="0">B9+B49</f>
        <v>824</v>
      </c>
      <c r="C8" s="22">
        <f t="shared" si="0"/>
        <v>48</v>
      </c>
      <c r="D8" s="22">
        <f t="shared" si="0"/>
        <v>17</v>
      </c>
      <c r="E8" s="22">
        <f t="shared" si="0"/>
        <v>18</v>
      </c>
      <c r="F8" s="22">
        <f t="shared" si="0"/>
        <v>5</v>
      </c>
      <c r="G8" s="22">
        <f t="shared" si="0"/>
        <v>194</v>
      </c>
      <c r="H8" s="46">
        <f>IF(SUM(B8:F8)=0,"-",(SUM(C8:F8)/SUM(B8:F8)))</f>
        <v>9.6491228070175433E-2</v>
      </c>
      <c r="I8" s="46">
        <f>IF(SUM(B8:G8)=0,"-",(G8/SUM(B8:G8)))</f>
        <v>0.17540687160940324</v>
      </c>
      <c r="J8" s="17"/>
      <c r="K8" s="22">
        <f t="shared" ref="K8:P8" si="1">K9+K49</f>
        <v>1063</v>
      </c>
      <c r="L8" s="22">
        <f t="shared" si="1"/>
        <v>10</v>
      </c>
      <c r="M8" s="22">
        <f t="shared" si="1"/>
        <v>1</v>
      </c>
      <c r="N8" s="22">
        <f t="shared" si="1"/>
        <v>0</v>
      </c>
      <c r="O8" s="22">
        <f t="shared" si="1"/>
        <v>4</v>
      </c>
      <c r="P8" s="22">
        <f t="shared" si="1"/>
        <v>430</v>
      </c>
      <c r="Q8" s="46">
        <f>IF(SUM(K8:O8)=0,"-",(SUM(L8:O8)/SUM(K8:O8)))</f>
        <v>1.3914656771799629E-2</v>
      </c>
      <c r="R8" s="46">
        <f>IF(SUM(K8:P8)=0,"-",(P8/SUM(K8:P8)))</f>
        <v>0.28514588859416445</v>
      </c>
      <c r="S8" s="17"/>
      <c r="T8" s="17">
        <f t="shared" ref="T8:Y8" si="2">B8+K8</f>
        <v>1887</v>
      </c>
      <c r="U8" s="17">
        <f t="shared" si="2"/>
        <v>58</v>
      </c>
      <c r="V8" s="17">
        <f t="shared" si="2"/>
        <v>18</v>
      </c>
      <c r="W8" s="17">
        <f t="shared" si="2"/>
        <v>18</v>
      </c>
      <c r="X8" s="17">
        <f t="shared" si="2"/>
        <v>9</v>
      </c>
      <c r="Y8" s="17">
        <f t="shared" si="2"/>
        <v>624</v>
      </c>
      <c r="Z8" s="46">
        <f>IF(SUM(T8:X8)=0,"-",(SUM(U8:X8)/SUM(T8:X8)))</f>
        <v>5.1758793969849247E-2</v>
      </c>
      <c r="AA8" s="46">
        <f>IF(SUM(T8:Y8)=0,"-",(Y8/SUM(T8:Y8)))</f>
        <v>0.23871461361897475</v>
      </c>
      <c r="AB8" s="17"/>
      <c r="AC8" s="22">
        <f t="shared" ref="AC8:AH8" si="3">AC9+AC49</f>
        <v>91</v>
      </c>
      <c r="AD8" s="22">
        <f t="shared" si="3"/>
        <v>2</v>
      </c>
      <c r="AE8" s="22">
        <f t="shared" si="3"/>
        <v>1</v>
      </c>
      <c r="AF8" s="22">
        <f t="shared" si="3"/>
        <v>1</v>
      </c>
      <c r="AG8" s="22">
        <f t="shared" si="3"/>
        <v>0</v>
      </c>
      <c r="AH8" s="22">
        <f t="shared" si="3"/>
        <v>29</v>
      </c>
      <c r="AI8" s="46">
        <f>IF(SUM(AC8:AG8)=0,"-",(SUM(AD8:AG8)/SUM(AC8:AG8)))</f>
        <v>4.2105263157894736E-2</v>
      </c>
      <c r="AJ8" s="46">
        <f>IF(SUM(AC8:AH8)=0,"-",(AH8/SUM(AC8:AH8)))</f>
        <v>0.23387096774193547</v>
      </c>
      <c r="AK8" s="17"/>
      <c r="AL8" s="22">
        <f t="shared" ref="AL8:AQ8" si="4">AL9+AL49</f>
        <v>701</v>
      </c>
      <c r="AM8" s="22">
        <f t="shared" si="4"/>
        <v>18</v>
      </c>
      <c r="AN8" s="22">
        <f t="shared" si="4"/>
        <v>28</v>
      </c>
      <c r="AO8" s="22">
        <f t="shared" si="4"/>
        <v>30</v>
      </c>
      <c r="AP8" s="22">
        <f t="shared" si="4"/>
        <v>15</v>
      </c>
      <c r="AQ8" s="22">
        <f t="shared" si="4"/>
        <v>236</v>
      </c>
      <c r="AR8" s="46">
        <f>IF(SUM(AL8:AP8)=0,"-",(SUM(AM8:AP8)/SUM(AL8:AP8)))</f>
        <v>0.1148989898989899</v>
      </c>
      <c r="AS8" s="46">
        <f>IF(SUM(AL8:AQ8)=0,"-",(AQ8/SUM(AL8:AQ8)))</f>
        <v>0.22957198443579765</v>
      </c>
      <c r="AT8" s="17"/>
      <c r="AU8" s="17">
        <f t="shared" ref="AU8:AZ8" si="5">AL8+AC8+T8</f>
        <v>2679</v>
      </c>
      <c r="AV8" s="17">
        <f t="shared" si="5"/>
        <v>78</v>
      </c>
      <c r="AW8" s="17">
        <f t="shared" si="5"/>
        <v>47</v>
      </c>
      <c r="AX8" s="17">
        <f t="shared" si="5"/>
        <v>49</v>
      </c>
      <c r="AY8" s="17">
        <f t="shared" si="5"/>
        <v>24</v>
      </c>
      <c r="AZ8" s="17">
        <f t="shared" si="5"/>
        <v>889</v>
      </c>
      <c r="BA8" s="46">
        <f>IF(SUM(AU8:AY8)=0,"-",(SUM(AV8:AY8)/SUM(AU8:AY8)))</f>
        <v>6.8821689259645463E-2</v>
      </c>
      <c r="BB8" s="46">
        <f>IF(SUM(AU8:AZ8)=0,"-",(AZ8/SUM(AU8:AZ8)))</f>
        <v>0.23605947955390336</v>
      </c>
      <c r="BC8" s="19"/>
      <c r="BD8" s="20">
        <f>SUM(AU8:AZ8)</f>
        <v>3766</v>
      </c>
      <c r="BE8" s="20">
        <v>3767</v>
      </c>
      <c r="BF8" s="53">
        <f>BD8-BE8</f>
        <v>-1</v>
      </c>
      <c r="BG8" s="19"/>
      <c r="BH8" s="19"/>
      <c r="BI8" s="19"/>
      <c r="BJ8" s="19"/>
      <c r="BK8" s="19"/>
      <c r="BL8" s="20"/>
    </row>
    <row r="9" spans="1:64" s="8" customFormat="1" ht="15" customHeight="1" x14ac:dyDescent="0.3">
      <c r="A9" s="21" t="s">
        <v>16</v>
      </c>
      <c r="B9" s="22">
        <f t="shared" ref="B9:G9" si="6">SUM(B10:B48)</f>
        <v>496</v>
      </c>
      <c r="C9" s="22">
        <f t="shared" si="6"/>
        <v>11</v>
      </c>
      <c r="D9" s="22">
        <f t="shared" si="6"/>
        <v>5</v>
      </c>
      <c r="E9" s="22">
        <f t="shared" si="6"/>
        <v>1</v>
      </c>
      <c r="F9" s="22">
        <f t="shared" si="6"/>
        <v>0</v>
      </c>
      <c r="G9" s="22">
        <f t="shared" si="6"/>
        <v>153</v>
      </c>
      <c r="H9" s="46">
        <f t="shared" ref="H9:H56" si="7">IF(SUM(B9:F9)=0,"-",(SUM(C9:F9)/SUM(B9:F9)))</f>
        <v>3.3138401559454189E-2</v>
      </c>
      <c r="I9" s="46">
        <f t="shared" ref="I9:I56" si="8">IF(SUM(B9:G9)=0,"-",(G9/SUM(B9:G9)))</f>
        <v>0.22972972972972974</v>
      </c>
      <c r="J9" s="22"/>
      <c r="K9" s="22">
        <f t="shared" ref="K9:P9" si="9">SUM(K10:K48)</f>
        <v>1010</v>
      </c>
      <c r="L9" s="22">
        <f t="shared" si="9"/>
        <v>9</v>
      </c>
      <c r="M9" s="22">
        <f t="shared" si="9"/>
        <v>1</v>
      </c>
      <c r="N9" s="22">
        <f t="shared" si="9"/>
        <v>0</v>
      </c>
      <c r="O9" s="22">
        <f t="shared" si="9"/>
        <v>4</v>
      </c>
      <c r="P9" s="22">
        <f t="shared" si="9"/>
        <v>429</v>
      </c>
      <c r="Q9" s="46">
        <f t="shared" ref="Q9:Q56" si="10">IF(SUM(K9:O9)=0,"-",(SUM(L9:O9)/SUM(K9:O9)))</f>
        <v>1.3671875E-2</v>
      </c>
      <c r="R9" s="46">
        <f t="shared" ref="R9:R56" si="11">IF(SUM(K9:P9)=0,"-",(P9/SUM(K9:P9)))</f>
        <v>0.29525120440467995</v>
      </c>
      <c r="S9" s="22"/>
      <c r="T9" s="22">
        <f t="shared" ref="T9:T56" si="12">B9+K9</f>
        <v>1506</v>
      </c>
      <c r="U9" s="22">
        <f t="shared" ref="U9:U56" si="13">C9+L9</f>
        <v>20</v>
      </c>
      <c r="V9" s="22">
        <f t="shared" ref="V9:V56" si="14">D9+M9</f>
        <v>6</v>
      </c>
      <c r="W9" s="22">
        <f t="shared" ref="W9:W56" si="15">E9+N9</f>
        <v>1</v>
      </c>
      <c r="X9" s="22">
        <f t="shared" ref="X9:X56" si="16">F9+O9</f>
        <v>4</v>
      </c>
      <c r="Y9" s="22">
        <f t="shared" ref="Y9:Y56" si="17">G9+P9</f>
        <v>582</v>
      </c>
      <c r="Z9" s="46">
        <f t="shared" ref="Z9:Z56" si="18">IF(SUM(T9:X9)=0,"-",(SUM(U9:X9)/SUM(T9:X9)))</f>
        <v>2.0169160702667534E-2</v>
      </c>
      <c r="AA9" s="46">
        <f t="shared" ref="AA9:AA56" si="19">IF(SUM(T9:Y9)=0,"-",(Y9/SUM(T9:Y9)))</f>
        <v>0.27465785747994337</v>
      </c>
      <c r="AB9" s="22"/>
      <c r="AC9" s="22">
        <f t="shared" ref="AC9:AH9" si="20">SUM(AC10:AC48)</f>
        <v>62</v>
      </c>
      <c r="AD9" s="22">
        <f t="shared" si="20"/>
        <v>0</v>
      </c>
      <c r="AE9" s="22">
        <f t="shared" si="20"/>
        <v>0</v>
      </c>
      <c r="AF9" s="22">
        <f t="shared" si="20"/>
        <v>0</v>
      </c>
      <c r="AG9" s="22">
        <f t="shared" si="20"/>
        <v>0</v>
      </c>
      <c r="AH9" s="22">
        <f t="shared" si="20"/>
        <v>29</v>
      </c>
      <c r="AI9" s="46">
        <f t="shared" ref="AI9:AI56" si="21">IF(SUM(AC9:AG9)=0,"-",(SUM(AD9:AG9)/SUM(AC9:AG9)))</f>
        <v>0</v>
      </c>
      <c r="AJ9" s="46">
        <f t="shared" ref="AJ9:AJ56" si="22">IF(SUM(AC9:AH9)=0,"-",(AH9/SUM(AC9:AH9)))</f>
        <v>0.31868131868131866</v>
      </c>
      <c r="AK9" s="22"/>
      <c r="AL9" s="22">
        <f t="shared" ref="AL9:AQ9" si="23">SUM(AL10:AL48)</f>
        <v>491</v>
      </c>
      <c r="AM9" s="22">
        <f t="shared" si="23"/>
        <v>14</v>
      </c>
      <c r="AN9" s="22">
        <f t="shared" si="23"/>
        <v>12</v>
      </c>
      <c r="AO9" s="22">
        <f t="shared" si="23"/>
        <v>10</v>
      </c>
      <c r="AP9" s="22">
        <f t="shared" si="23"/>
        <v>5</v>
      </c>
      <c r="AQ9" s="22">
        <f t="shared" si="23"/>
        <v>194</v>
      </c>
      <c r="AR9" s="46">
        <f t="shared" ref="AR9:AR56" si="24">IF(SUM(AL9:AP9)=0,"-",(SUM(AM9:AP9)/SUM(AL9:AP9)))</f>
        <v>7.7067669172932327E-2</v>
      </c>
      <c r="AS9" s="46">
        <f t="shared" ref="AS9:AS56" si="25">IF(SUM(AL9:AQ9)=0,"-",(AQ9/SUM(AL9:AQ9)))</f>
        <v>0.26721763085399447</v>
      </c>
      <c r="AT9" s="22"/>
      <c r="AU9" s="22">
        <f t="shared" ref="AU9:AU56" si="26">AL9+AC9+T9</f>
        <v>2059</v>
      </c>
      <c r="AV9" s="22">
        <f t="shared" ref="AV9:AV56" si="27">AM9+AD9+U9</f>
        <v>34</v>
      </c>
      <c r="AW9" s="22">
        <f t="shared" ref="AW9:AW56" si="28">AN9+AE9+V9</f>
        <v>18</v>
      </c>
      <c r="AX9" s="22">
        <f t="shared" ref="AX9:AX56" si="29">AO9+AF9+W9</f>
        <v>11</v>
      </c>
      <c r="AY9" s="22">
        <f t="shared" ref="AY9:AY56" si="30">AP9+AG9+X9</f>
        <v>9</v>
      </c>
      <c r="AZ9" s="22">
        <f t="shared" ref="AZ9:AZ56" si="31">AQ9+AH9+Y9</f>
        <v>805</v>
      </c>
      <c r="BA9" s="46">
        <f t="shared" ref="BA9:BA56" si="32">IF(SUM(AU9:AY9)=0,"-",(SUM(AV9:AY9)/SUM(AU9:AY9)))</f>
        <v>3.3786954481464099E-2</v>
      </c>
      <c r="BB9" s="46">
        <f t="shared" ref="BB9:BB56" si="33">IF(SUM(AU9:AZ9)=0,"-",(AZ9/SUM(AU9:AZ9)))</f>
        <v>0.27418256130790192</v>
      </c>
      <c r="BC9" s="19"/>
      <c r="BD9" s="20">
        <f t="shared" ref="BD9:BD56" si="34">SUM(AU9:AZ9)</f>
        <v>2936</v>
      </c>
      <c r="BE9" s="20">
        <v>2937</v>
      </c>
      <c r="BF9" s="53">
        <f t="shared" ref="BF9:BF56" si="35">BD9-BE9</f>
        <v>-1</v>
      </c>
      <c r="BG9" s="19"/>
      <c r="BH9" s="19"/>
      <c r="BI9" s="19"/>
      <c r="BJ9" s="19"/>
      <c r="BK9" s="19"/>
    </row>
    <row r="10" spans="1:64" s="8" customFormat="1" ht="15" customHeight="1" x14ac:dyDescent="0.3">
      <c r="A10" s="2" t="s">
        <v>17</v>
      </c>
      <c r="B10" s="24">
        <f>'2017-18_working'!B10+'2017-18_working'!C10</f>
        <v>21</v>
      </c>
      <c r="C10" s="24">
        <f>'2017-18_working'!D10</f>
        <v>1</v>
      </c>
      <c r="D10" s="24">
        <f>'2017-18_working'!E10</f>
        <v>0</v>
      </c>
      <c r="E10" s="24">
        <f>'2017-18_working'!F10</f>
        <v>0</v>
      </c>
      <c r="F10" s="24">
        <f>'2017-18_working'!G10+'2017-18_working'!H10</f>
        <v>0</v>
      </c>
      <c r="G10" s="24">
        <f>'2017-18_working'!I10</f>
        <v>3</v>
      </c>
      <c r="H10" s="46">
        <f t="shared" si="7"/>
        <v>4.5454545454545456E-2</v>
      </c>
      <c r="I10" s="46">
        <f t="shared" si="8"/>
        <v>0.12</v>
      </c>
      <c r="J10" s="24"/>
      <c r="K10" s="24">
        <f>'2017-18_working'!K10+'2017-18_working'!L10</f>
        <v>22</v>
      </c>
      <c r="L10" s="24">
        <f>'2017-18_working'!M10</f>
        <v>0</v>
      </c>
      <c r="M10" s="24">
        <f>'2017-18_working'!N10</f>
        <v>0</v>
      </c>
      <c r="N10" s="24">
        <f>'2017-18_working'!O10</f>
        <v>0</v>
      </c>
      <c r="O10" s="24">
        <f>'2017-18_working'!P10+'2017-18_working'!Q10</f>
        <v>1</v>
      </c>
      <c r="P10" s="24">
        <f>'2017-18_working'!R10</f>
        <v>7</v>
      </c>
      <c r="Q10" s="46">
        <f t="shared" si="10"/>
        <v>4.3478260869565216E-2</v>
      </c>
      <c r="R10" s="46">
        <f t="shared" si="11"/>
        <v>0.23333333333333334</v>
      </c>
      <c r="S10" s="24"/>
      <c r="T10" s="22">
        <f t="shared" si="12"/>
        <v>43</v>
      </c>
      <c r="U10" s="22">
        <f t="shared" si="13"/>
        <v>1</v>
      </c>
      <c r="V10" s="22">
        <f t="shared" si="14"/>
        <v>0</v>
      </c>
      <c r="W10" s="22">
        <f t="shared" si="15"/>
        <v>0</v>
      </c>
      <c r="X10" s="22">
        <f t="shared" si="16"/>
        <v>1</v>
      </c>
      <c r="Y10" s="22">
        <f t="shared" si="17"/>
        <v>10</v>
      </c>
      <c r="Z10" s="46">
        <f t="shared" si="18"/>
        <v>4.4444444444444446E-2</v>
      </c>
      <c r="AA10" s="46">
        <f t="shared" si="19"/>
        <v>0.18181818181818182</v>
      </c>
      <c r="AB10" s="24"/>
      <c r="AC10" s="24">
        <f>'2017-18_working'!T10+'2017-18_working'!U10</f>
        <v>2</v>
      </c>
      <c r="AD10" s="24">
        <f>'2017-18_working'!V10</f>
        <v>0</v>
      </c>
      <c r="AE10" s="24">
        <f>'2017-18_working'!W10</f>
        <v>0</v>
      </c>
      <c r="AF10" s="24">
        <f>'2017-18_working'!X10</f>
        <v>0</v>
      </c>
      <c r="AG10" s="24">
        <f>'2017-18_working'!Y10+'2017-18_working'!Z10</f>
        <v>0</v>
      </c>
      <c r="AH10" s="24">
        <f>'2017-18_working'!AA10</f>
        <v>0</v>
      </c>
      <c r="AI10" s="46">
        <f t="shared" si="21"/>
        <v>0</v>
      </c>
      <c r="AJ10" s="46">
        <f t="shared" si="22"/>
        <v>0</v>
      </c>
      <c r="AK10" s="24"/>
      <c r="AL10" s="24">
        <f>'2017-18_working'!AC10+'2017-18_working'!AD10</f>
        <v>19</v>
      </c>
      <c r="AM10" s="24">
        <f>'2017-18_working'!AE10</f>
        <v>0</v>
      </c>
      <c r="AN10" s="24">
        <f>'2017-18_working'!AF10</f>
        <v>0</v>
      </c>
      <c r="AO10" s="24">
        <f>'2017-18_working'!AG10</f>
        <v>0</v>
      </c>
      <c r="AP10" s="24">
        <f>'2017-18_working'!AH10+'2017-18_working'!AI10</f>
        <v>1</v>
      </c>
      <c r="AQ10" s="24">
        <f>'2017-18_working'!AJ10</f>
        <v>4</v>
      </c>
      <c r="AR10" s="46">
        <f t="shared" si="24"/>
        <v>0.05</v>
      </c>
      <c r="AS10" s="46">
        <f t="shared" si="25"/>
        <v>0.16666666666666666</v>
      </c>
      <c r="AT10" s="24"/>
      <c r="AU10" s="22">
        <f t="shared" si="26"/>
        <v>64</v>
      </c>
      <c r="AV10" s="22">
        <f t="shared" si="27"/>
        <v>1</v>
      </c>
      <c r="AW10" s="22">
        <f t="shared" si="28"/>
        <v>0</v>
      </c>
      <c r="AX10" s="22">
        <f t="shared" si="29"/>
        <v>0</v>
      </c>
      <c r="AY10" s="22">
        <f t="shared" si="30"/>
        <v>2</v>
      </c>
      <c r="AZ10" s="22">
        <f t="shared" si="31"/>
        <v>14</v>
      </c>
      <c r="BA10" s="46">
        <f t="shared" si="32"/>
        <v>4.4776119402985072E-2</v>
      </c>
      <c r="BB10" s="46">
        <f t="shared" si="33"/>
        <v>0.1728395061728395</v>
      </c>
      <c r="BC10" s="19"/>
      <c r="BD10" s="20">
        <f t="shared" si="34"/>
        <v>81</v>
      </c>
      <c r="BE10" s="20">
        <v>81</v>
      </c>
      <c r="BF10" s="53">
        <f t="shared" si="35"/>
        <v>0</v>
      </c>
      <c r="BG10" s="19"/>
      <c r="BH10" s="19"/>
      <c r="BI10" s="19"/>
      <c r="BJ10" s="19"/>
      <c r="BK10" s="19"/>
    </row>
    <row r="11" spans="1:64" s="8" customFormat="1" ht="15" customHeight="1" x14ac:dyDescent="0.3">
      <c r="A11" s="2" t="s">
        <v>18</v>
      </c>
      <c r="B11" s="24">
        <f>'2017-18_working'!B11+'2017-18_working'!C11</f>
        <v>18</v>
      </c>
      <c r="C11" s="24">
        <f>'2017-18_working'!D11</f>
        <v>1</v>
      </c>
      <c r="D11" s="24">
        <f>'2017-18_working'!E11</f>
        <v>0</v>
      </c>
      <c r="E11" s="24">
        <f>'2017-18_working'!F11</f>
        <v>1</v>
      </c>
      <c r="F11" s="24">
        <f>'2017-18_working'!G11+'2017-18_working'!H11</f>
        <v>0</v>
      </c>
      <c r="G11" s="24">
        <f>'2017-18_working'!I11</f>
        <v>5</v>
      </c>
      <c r="H11" s="46">
        <f t="shared" si="7"/>
        <v>0.1</v>
      </c>
      <c r="I11" s="46">
        <f t="shared" si="8"/>
        <v>0.2</v>
      </c>
      <c r="J11" s="24"/>
      <c r="K11" s="24">
        <f>'2017-18_working'!K11+'2017-18_working'!L11</f>
        <v>19</v>
      </c>
      <c r="L11" s="24">
        <f>'2017-18_working'!M11</f>
        <v>1</v>
      </c>
      <c r="M11" s="24">
        <f>'2017-18_working'!N11</f>
        <v>0</v>
      </c>
      <c r="N11" s="24">
        <f>'2017-18_working'!O11</f>
        <v>0</v>
      </c>
      <c r="O11" s="24">
        <f>'2017-18_working'!P11+'2017-18_working'!Q11</f>
        <v>0</v>
      </c>
      <c r="P11" s="24">
        <f>'2017-18_working'!R11</f>
        <v>13</v>
      </c>
      <c r="Q11" s="46">
        <f t="shared" si="10"/>
        <v>0.05</v>
      </c>
      <c r="R11" s="46">
        <f t="shared" si="11"/>
        <v>0.39393939393939392</v>
      </c>
      <c r="S11" s="24"/>
      <c r="T11" s="22">
        <f t="shared" si="12"/>
        <v>37</v>
      </c>
      <c r="U11" s="22">
        <f t="shared" si="13"/>
        <v>2</v>
      </c>
      <c r="V11" s="22">
        <f t="shared" si="14"/>
        <v>0</v>
      </c>
      <c r="W11" s="22">
        <f t="shared" si="15"/>
        <v>1</v>
      </c>
      <c r="X11" s="22">
        <f t="shared" si="16"/>
        <v>0</v>
      </c>
      <c r="Y11" s="22">
        <f t="shared" si="17"/>
        <v>18</v>
      </c>
      <c r="Z11" s="46">
        <f t="shared" si="18"/>
        <v>7.4999999999999997E-2</v>
      </c>
      <c r="AA11" s="46">
        <f t="shared" si="19"/>
        <v>0.31034482758620691</v>
      </c>
      <c r="AB11" s="24"/>
      <c r="AC11" s="24">
        <f>'2017-18_working'!T11+'2017-18_working'!U11</f>
        <v>0</v>
      </c>
      <c r="AD11" s="24">
        <f>'2017-18_working'!V11</f>
        <v>0</v>
      </c>
      <c r="AE11" s="24">
        <f>'2017-18_working'!W11</f>
        <v>0</v>
      </c>
      <c r="AF11" s="24">
        <f>'2017-18_working'!X11</f>
        <v>0</v>
      </c>
      <c r="AG11" s="24">
        <f>'2017-18_working'!Y11+'2017-18_working'!Z11</f>
        <v>0</v>
      </c>
      <c r="AH11" s="24">
        <f>'2017-18_working'!AA11</f>
        <v>0</v>
      </c>
      <c r="AI11" s="46" t="str">
        <f t="shared" si="21"/>
        <v>-</v>
      </c>
      <c r="AJ11" s="46" t="str">
        <f t="shared" si="22"/>
        <v>-</v>
      </c>
      <c r="AK11" s="24"/>
      <c r="AL11" s="24">
        <f>'2017-18_working'!AC11+'2017-18_working'!AD11</f>
        <v>16</v>
      </c>
      <c r="AM11" s="24">
        <f>'2017-18_working'!AE11</f>
        <v>0</v>
      </c>
      <c r="AN11" s="24">
        <f>'2017-18_working'!AF11</f>
        <v>0</v>
      </c>
      <c r="AO11" s="24">
        <f>'2017-18_working'!AG11</f>
        <v>0</v>
      </c>
      <c r="AP11" s="24">
        <f>'2017-18_working'!AH11+'2017-18_working'!AI11</f>
        <v>0</v>
      </c>
      <c r="AQ11" s="24">
        <f>'2017-18_working'!AJ11</f>
        <v>10</v>
      </c>
      <c r="AR11" s="46">
        <f t="shared" si="24"/>
        <v>0</v>
      </c>
      <c r="AS11" s="46">
        <f t="shared" si="25"/>
        <v>0.38461538461538464</v>
      </c>
      <c r="AT11" s="24"/>
      <c r="AU11" s="22">
        <f t="shared" si="26"/>
        <v>53</v>
      </c>
      <c r="AV11" s="22">
        <f t="shared" si="27"/>
        <v>2</v>
      </c>
      <c r="AW11" s="22">
        <f t="shared" si="28"/>
        <v>0</v>
      </c>
      <c r="AX11" s="22">
        <f t="shared" si="29"/>
        <v>1</v>
      </c>
      <c r="AY11" s="22">
        <f t="shared" si="30"/>
        <v>0</v>
      </c>
      <c r="AZ11" s="22">
        <f t="shared" si="31"/>
        <v>28</v>
      </c>
      <c r="BA11" s="46">
        <f t="shared" si="32"/>
        <v>5.3571428571428568E-2</v>
      </c>
      <c r="BB11" s="46">
        <f t="shared" si="33"/>
        <v>0.33333333333333331</v>
      </c>
      <c r="BC11" s="19"/>
      <c r="BD11" s="20">
        <f t="shared" si="34"/>
        <v>84</v>
      </c>
      <c r="BE11" s="20">
        <v>84</v>
      </c>
      <c r="BF11" s="53">
        <f t="shared" si="35"/>
        <v>0</v>
      </c>
      <c r="BG11" s="19"/>
      <c r="BH11" s="19"/>
      <c r="BI11" s="19"/>
      <c r="BJ11" s="19"/>
      <c r="BK11" s="19"/>
    </row>
    <row r="12" spans="1:64" s="8" customFormat="1" ht="15" customHeight="1" x14ac:dyDescent="0.3">
      <c r="A12" s="2" t="s">
        <v>19</v>
      </c>
      <c r="B12" s="24">
        <f>'2017-18_working'!B12+'2017-18_working'!C12</f>
        <v>20</v>
      </c>
      <c r="C12" s="24">
        <f>'2017-18_working'!D12</f>
        <v>0</v>
      </c>
      <c r="D12" s="24">
        <f>'2017-18_working'!E12</f>
        <v>0</v>
      </c>
      <c r="E12" s="24">
        <f>'2017-18_working'!F12</f>
        <v>0</v>
      </c>
      <c r="F12" s="24">
        <f>'2017-18_working'!G12+'2017-18_working'!H12</f>
        <v>0</v>
      </c>
      <c r="G12" s="24">
        <f>'2017-18_working'!I12</f>
        <v>1</v>
      </c>
      <c r="H12" s="46">
        <f t="shared" si="7"/>
        <v>0</v>
      </c>
      <c r="I12" s="46">
        <f t="shared" si="8"/>
        <v>4.7619047619047616E-2</v>
      </c>
      <c r="J12" s="24"/>
      <c r="K12" s="24">
        <f>'2017-18_working'!K12+'2017-18_working'!L12</f>
        <v>19</v>
      </c>
      <c r="L12" s="24">
        <f>'2017-18_working'!M12</f>
        <v>1</v>
      </c>
      <c r="M12" s="24">
        <f>'2017-18_working'!N12</f>
        <v>0</v>
      </c>
      <c r="N12" s="24">
        <f>'2017-18_working'!O12</f>
        <v>0</v>
      </c>
      <c r="O12" s="24">
        <f>'2017-18_working'!P12+'2017-18_working'!Q12</f>
        <v>0</v>
      </c>
      <c r="P12" s="24">
        <f>'2017-18_working'!R12</f>
        <v>0</v>
      </c>
      <c r="Q12" s="46">
        <f t="shared" si="10"/>
        <v>0.05</v>
      </c>
      <c r="R12" s="46">
        <f t="shared" si="11"/>
        <v>0</v>
      </c>
      <c r="S12" s="24"/>
      <c r="T12" s="22">
        <f t="shared" si="12"/>
        <v>39</v>
      </c>
      <c r="U12" s="22">
        <f t="shared" si="13"/>
        <v>1</v>
      </c>
      <c r="V12" s="22">
        <f t="shared" si="14"/>
        <v>0</v>
      </c>
      <c r="W12" s="22">
        <f t="shared" si="15"/>
        <v>0</v>
      </c>
      <c r="X12" s="22">
        <f t="shared" si="16"/>
        <v>0</v>
      </c>
      <c r="Y12" s="22">
        <f t="shared" si="17"/>
        <v>1</v>
      </c>
      <c r="Z12" s="46">
        <f t="shared" si="18"/>
        <v>2.5000000000000001E-2</v>
      </c>
      <c r="AA12" s="46">
        <f t="shared" si="19"/>
        <v>2.4390243902439025E-2</v>
      </c>
      <c r="AB12" s="24"/>
      <c r="AC12" s="24">
        <f>'2017-18_working'!T12+'2017-18_working'!U12</f>
        <v>9</v>
      </c>
      <c r="AD12" s="24">
        <f>'2017-18_working'!V12</f>
        <v>0</v>
      </c>
      <c r="AE12" s="24">
        <f>'2017-18_working'!W12</f>
        <v>0</v>
      </c>
      <c r="AF12" s="24">
        <f>'2017-18_working'!X12</f>
        <v>0</v>
      </c>
      <c r="AG12" s="24">
        <f>'2017-18_working'!Y12+'2017-18_working'!Z12</f>
        <v>0</v>
      </c>
      <c r="AH12" s="24">
        <f>'2017-18_working'!AA12</f>
        <v>0</v>
      </c>
      <c r="AI12" s="46">
        <f t="shared" si="21"/>
        <v>0</v>
      </c>
      <c r="AJ12" s="46">
        <f t="shared" si="22"/>
        <v>0</v>
      </c>
      <c r="AK12" s="24"/>
      <c r="AL12" s="24">
        <f>'2017-18_working'!AC12+'2017-18_working'!AD12</f>
        <v>32</v>
      </c>
      <c r="AM12" s="24">
        <f>'2017-18_working'!AE12</f>
        <v>3</v>
      </c>
      <c r="AN12" s="24">
        <f>'2017-18_working'!AF12</f>
        <v>2</v>
      </c>
      <c r="AO12" s="24">
        <f>'2017-18_working'!AG12</f>
        <v>2</v>
      </c>
      <c r="AP12" s="24">
        <f>'2017-18_working'!AH12+'2017-18_working'!AI12</f>
        <v>1</v>
      </c>
      <c r="AQ12" s="24">
        <f>'2017-18_working'!AJ12</f>
        <v>2</v>
      </c>
      <c r="AR12" s="46">
        <f t="shared" si="24"/>
        <v>0.2</v>
      </c>
      <c r="AS12" s="46">
        <f t="shared" si="25"/>
        <v>4.7619047619047616E-2</v>
      </c>
      <c r="AT12" s="24"/>
      <c r="AU12" s="22">
        <f t="shared" si="26"/>
        <v>80</v>
      </c>
      <c r="AV12" s="22">
        <f t="shared" si="27"/>
        <v>4</v>
      </c>
      <c r="AW12" s="22">
        <f t="shared" si="28"/>
        <v>2</v>
      </c>
      <c r="AX12" s="22">
        <f t="shared" si="29"/>
        <v>2</v>
      </c>
      <c r="AY12" s="22">
        <f t="shared" si="30"/>
        <v>1</v>
      </c>
      <c r="AZ12" s="22">
        <f t="shared" si="31"/>
        <v>3</v>
      </c>
      <c r="BA12" s="46">
        <f t="shared" si="32"/>
        <v>0.10112359550561797</v>
      </c>
      <c r="BB12" s="46">
        <f t="shared" si="33"/>
        <v>3.2608695652173912E-2</v>
      </c>
      <c r="BC12" s="19"/>
      <c r="BD12" s="20">
        <f t="shared" si="34"/>
        <v>92</v>
      </c>
      <c r="BE12" s="20">
        <v>92</v>
      </c>
      <c r="BF12" s="53">
        <f t="shared" si="35"/>
        <v>0</v>
      </c>
      <c r="BG12" s="19"/>
      <c r="BH12" s="19"/>
      <c r="BI12" s="19"/>
      <c r="BJ12" s="19"/>
      <c r="BK12" s="19"/>
    </row>
    <row r="13" spans="1:64" s="8" customFormat="1" ht="15" customHeight="1" x14ac:dyDescent="0.3">
      <c r="A13" s="2" t="s">
        <v>20</v>
      </c>
      <c r="B13" s="24">
        <f>'2017-18_working'!B13+'2017-18_working'!C13</f>
        <v>11</v>
      </c>
      <c r="C13" s="24">
        <f>'2017-18_working'!D13</f>
        <v>0</v>
      </c>
      <c r="D13" s="24">
        <f>'2017-18_working'!E13</f>
        <v>0</v>
      </c>
      <c r="E13" s="24">
        <f>'2017-18_working'!F13</f>
        <v>0</v>
      </c>
      <c r="F13" s="24">
        <f>'2017-18_working'!G13+'2017-18_working'!H13</f>
        <v>0</v>
      </c>
      <c r="G13" s="24">
        <f>'2017-18_working'!I13</f>
        <v>0</v>
      </c>
      <c r="H13" s="46">
        <f t="shared" si="7"/>
        <v>0</v>
      </c>
      <c r="I13" s="46">
        <f t="shared" si="8"/>
        <v>0</v>
      </c>
      <c r="J13" s="24"/>
      <c r="K13" s="24">
        <f>'2017-18_working'!K13+'2017-18_working'!L13</f>
        <v>20</v>
      </c>
      <c r="L13" s="24">
        <f>'2017-18_working'!M13</f>
        <v>0</v>
      </c>
      <c r="M13" s="24">
        <f>'2017-18_working'!N13</f>
        <v>0</v>
      </c>
      <c r="N13" s="24">
        <f>'2017-18_working'!O13</f>
        <v>0</v>
      </c>
      <c r="O13" s="24">
        <f>'2017-18_working'!P13+'2017-18_working'!Q13</f>
        <v>0</v>
      </c>
      <c r="P13" s="24">
        <f>'2017-18_working'!R13</f>
        <v>0</v>
      </c>
      <c r="Q13" s="46">
        <f t="shared" si="10"/>
        <v>0</v>
      </c>
      <c r="R13" s="46">
        <f t="shared" si="11"/>
        <v>0</v>
      </c>
      <c r="S13" s="24"/>
      <c r="T13" s="22">
        <f t="shared" si="12"/>
        <v>31</v>
      </c>
      <c r="U13" s="22">
        <f t="shared" si="13"/>
        <v>0</v>
      </c>
      <c r="V13" s="22">
        <f t="shared" si="14"/>
        <v>0</v>
      </c>
      <c r="W13" s="22">
        <f t="shared" si="15"/>
        <v>0</v>
      </c>
      <c r="X13" s="22">
        <f t="shared" si="16"/>
        <v>0</v>
      </c>
      <c r="Y13" s="22">
        <f t="shared" si="17"/>
        <v>0</v>
      </c>
      <c r="Z13" s="46">
        <f t="shared" si="18"/>
        <v>0</v>
      </c>
      <c r="AA13" s="46">
        <f t="shared" si="19"/>
        <v>0</v>
      </c>
      <c r="AB13" s="24"/>
      <c r="AC13" s="24">
        <f>'2017-18_working'!T13+'2017-18_working'!U13</f>
        <v>0</v>
      </c>
      <c r="AD13" s="24">
        <f>'2017-18_working'!V13</f>
        <v>0</v>
      </c>
      <c r="AE13" s="24">
        <f>'2017-18_working'!W13</f>
        <v>0</v>
      </c>
      <c r="AF13" s="24">
        <f>'2017-18_working'!X13</f>
        <v>0</v>
      </c>
      <c r="AG13" s="24">
        <f>'2017-18_working'!Y13+'2017-18_working'!Z13</f>
        <v>0</v>
      </c>
      <c r="AH13" s="24">
        <f>'2017-18_working'!AA13</f>
        <v>0</v>
      </c>
      <c r="AI13" s="46" t="str">
        <f t="shared" si="21"/>
        <v>-</v>
      </c>
      <c r="AJ13" s="46" t="str">
        <f t="shared" si="22"/>
        <v>-</v>
      </c>
      <c r="AK13" s="24"/>
      <c r="AL13" s="24">
        <f>'2017-18_working'!AC13+'2017-18_working'!AD13</f>
        <v>13</v>
      </c>
      <c r="AM13" s="24">
        <f>'2017-18_working'!AE13</f>
        <v>0</v>
      </c>
      <c r="AN13" s="24">
        <f>'2017-18_working'!AF13</f>
        <v>0</v>
      </c>
      <c r="AO13" s="24">
        <f>'2017-18_working'!AG13</f>
        <v>0</v>
      </c>
      <c r="AP13" s="24">
        <f>'2017-18_working'!AH13+'2017-18_working'!AI13</f>
        <v>0</v>
      </c>
      <c r="AQ13" s="24">
        <f>'2017-18_working'!AJ13</f>
        <v>0</v>
      </c>
      <c r="AR13" s="46">
        <f t="shared" si="24"/>
        <v>0</v>
      </c>
      <c r="AS13" s="46">
        <f t="shared" si="25"/>
        <v>0</v>
      </c>
      <c r="AT13" s="24"/>
      <c r="AU13" s="22">
        <f t="shared" si="26"/>
        <v>44</v>
      </c>
      <c r="AV13" s="22">
        <f t="shared" si="27"/>
        <v>0</v>
      </c>
      <c r="AW13" s="22">
        <f t="shared" si="28"/>
        <v>0</v>
      </c>
      <c r="AX13" s="22">
        <f t="shared" si="29"/>
        <v>0</v>
      </c>
      <c r="AY13" s="22">
        <f t="shared" si="30"/>
        <v>0</v>
      </c>
      <c r="AZ13" s="22">
        <f t="shared" si="31"/>
        <v>0</v>
      </c>
      <c r="BA13" s="46">
        <f t="shared" si="32"/>
        <v>0</v>
      </c>
      <c r="BB13" s="46">
        <f t="shared" si="33"/>
        <v>0</v>
      </c>
      <c r="BC13" s="19"/>
      <c r="BD13" s="20">
        <f t="shared" si="34"/>
        <v>44</v>
      </c>
      <c r="BE13" s="20">
        <v>44</v>
      </c>
      <c r="BF13" s="53">
        <f t="shared" si="35"/>
        <v>0</v>
      </c>
      <c r="BG13" s="19"/>
      <c r="BH13" s="19"/>
      <c r="BI13" s="19"/>
      <c r="BJ13" s="19"/>
      <c r="BK13" s="19"/>
    </row>
    <row r="14" spans="1:64" s="8" customFormat="1" ht="15" customHeight="1" x14ac:dyDescent="0.3">
      <c r="A14" s="2" t="s">
        <v>21</v>
      </c>
      <c r="B14" s="24">
        <f>'2017-18_working'!B14+'2017-18_working'!C14</f>
        <v>7</v>
      </c>
      <c r="C14" s="24">
        <f>'2017-18_working'!D14</f>
        <v>0</v>
      </c>
      <c r="D14" s="24">
        <f>'2017-18_working'!E14</f>
        <v>0</v>
      </c>
      <c r="E14" s="24">
        <f>'2017-18_working'!F14</f>
        <v>0</v>
      </c>
      <c r="F14" s="24">
        <f>'2017-18_working'!G14+'2017-18_working'!H14</f>
        <v>0</v>
      </c>
      <c r="G14" s="24">
        <f>'2017-18_working'!I14</f>
        <v>0</v>
      </c>
      <c r="H14" s="46">
        <f t="shared" si="7"/>
        <v>0</v>
      </c>
      <c r="I14" s="46">
        <f t="shared" si="8"/>
        <v>0</v>
      </c>
      <c r="J14" s="24"/>
      <c r="K14" s="24">
        <f>'2017-18_working'!K14+'2017-18_working'!L14</f>
        <v>30</v>
      </c>
      <c r="L14" s="24">
        <f>'2017-18_working'!M14</f>
        <v>0</v>
      </c>
      <c r="M14" s="24">
        <f>'2017-18_working'!N14</f>
        <v>0</v>
      </c>
      <c r="N14" s="24">
        <f>'2017-18_working'!O14</f>
        <v>0</v>
      </c>
      <c r="O14" s="24">
        <f>'2017-18_working'!P14+'2017-18_working'!Q14</f>
        <v>0</v>
      </c>
      <c r="P14" s="24">
        <f>'2017-18_working'!R14</f>
        <v>0</v>
      </c>
      <c r="Q14" s="46">
        <f t="shared" si="10"/>
        <v>0</v>
      </c>
      <c r="R14" s="46">
        <f t="shared" si="11"/>
        <v>0</v>
      </c>
      <c r="S14" s="24"/>
      <c r="T14" s="22">
        <f t="shared" si="12"/>
        <v>37</v>
      </c>
      <c r="U14" s="22">
        <f t="shared" si="13"/>
        <v>0</v>
      </c>
      <c r="V14" s="22">
        <f t="shared" si="14"/>
        <v>0</v>
      </c>
      <c r="W14" s="22">
        <f t="shared" si="15"/>
        <v>0</v>
      </c>
      <c r="X14" s="22">
        <f t="shared" si="16"/>
        <v>0</v>
      </c>
      <c r="Y14" s="22">
        <f t="shared" si="17"/>
        <v>0</v>
      </c>
      <c r="Z14" s="46">
        <f t="shared" si="18"/>
        <v>0</v>
      </c>
      <c r="AA14" s="46">
        <f t="shared" si="19"/>
        <v>0</v>
      </c>
      <c r="AB14" s="24"/>
      <c r="AC14" s="24">
        <f>'2017-18_working'!T14+'2017-18_working'!U14</f>
        <v>4</v>
      </c>
      <c r="AD14" s="24">
        <f>'2017-18_working'!V14</f>
        <v>0</v>
      </c>
      <c r="AE14" s="24">
        <f>'2017-18_working'!W14</f>
        <v>0</v>
      </c>
      <c r="AF14" s="24">
        <f>'2017-18_working'!X14</f>
        <v>0</v>
      </c>
      <c r="AG14" s="24">
        <f>'2017-18_working'!Y14+'2017-18_working'!Z14</f>
        <v>0</v>
      </c>
      <c r="AH14" s="24">
        <f>'2017-18_working'!AA14</f>
        <v>5</v>
      </c>
      <c r="AI14" s="46">
        <f t="shared" si="21"/>
        <v>0</v>
      </c>
      <c r="AJ14" s="46">
        <f t="shared" si="22"/>
        <v>0.55555555555555558</v>
      </c>
      <c r="AK14" s="24"/>
      <c r="AL14" s="24">
        <f>'2017-18_working'!AC14+'2017-18_working'!AD14</f>
        <v>19</v>
      </c>
      <c r="AM14" s="24">
        <f>'2017-18_working'!AE14</f>
        <v>0</v>
      </c>
      <c r="AN14" s="24">
        <f>'2017-18_working'!AF14</f>
        <v>1</v>
      </c>
      <c r="AO14" s="24">
        <f>'2017-18_working'!AG14</f>
        <v>1</v>
      </c>
      <c r="AP14" s="24">
        <f>'2017-18_working'!AH14+'2017-18_working'!AI14</f>
        <v>1</v>
      </c>
      <c r="AQ14" s="24">
        <f>'2017-18_working'!AJ14</f>
        <v>2</v>
      </c>
      <c r="AR14" s="46">
        <f t="shared" si="24"/>
        <v>0.13636363636363635</v>
      </c>
      <c r="AS14" s="46">
        <f t="shared" si="25"/>
        <v>8.3333333333333329E-2</v>
      </c>
      <c r="AT14" s="24"/>
      <c r="AU14" s="22">
        <f t="shared" si="26"/>
        <v>60</v>
      </c>
      <c r="AV14" s="22">
        <f t="shared" si="27"/>
        <v>0</v>
      </c>
      <c r="AW14" s="22">
        <f t="shared" si="28"/>
        <v>1</v>
      </c>
      <c r="AX14" s="22">
        <f t="shared" si="29"/>
        <v>1</v>
      </c>
      <c r="AY14" s="22">
        <f t="shared" si="30"/>
        <v>1</v>
      </c>
      <c r="AZ14" s="22">
        <f t="shared" si="31"/>
        <v>7</v>
      </c>
      <c r="BA14" s="46">
        <f t="shared" si="32"/>
        <v>4.7619047619047616E-2</v>
      </c>
      <c r="BB14" s="46">
        <f t="shared" si="33"/>
        <v>0.1</v>
      </c>
      <c r="BC14" s="19"/>
      <c r="BD14" s="20">
        <f t="shared" si="34"/>
        <v>70</v>
      </c>
      <c r="BE14" s="20">
        <v>70</v>
      </c>
      <c r="BF14" s="53">
        <f t="shared" si="35"/>
        <v>0</v>
      </c>
      <c r="BG14" s="19"/>
      <c r="BH14" s="19"/>
      <c r="BI14" s="19"/>
      <c r="BJ14" s="19"/>
      <c r="BK14" s="19"/>
    </row>
    <row r="15" spans="1:64" s="8" customFormat="1" ht="15" customHeight="1" x14ac:dyDescent="0.3">
      <c r="A15" s="2" t="s">
        <v>22</v>
      </c>
      <c r="B15" s="24">
        <f>'2017-18_working'!B15+'2017-18_working'!C15</f>
        <v>18</v>
      </c>
      <c r="C15" s="24">
        <f>'2017-18_working'!D15</f>
        <v>0</v>
      </c>
      <c r="D15" s="24">
        <f>'2017-18_working'!E15</f>
        <v>1</v>
      </c>
      <c r="E15" s="24">
        <f>'2017-18_working'!F15</f>
        <v>0</v>
      </c>
      <c r="F15" s="24">
        <f>'2017-18_working'!G15+'2017-18_working'!H15</f>
        <v>0</v>
      </c>
      <c r="G15" s="24">
        <f>'2017-18_working'!I15</f>
        <v>0</v>
      </c>
      <c r="H15" s="46">
        <f t="shared" si="7"/>
        <v>5.2631578947368418E-2</v>
      </c>
      <c r="I15" s="46">
        <f t="shared" si="8"/>
        <v>0</v>
      </c>
      <c r="J15" s="24"/>
      <c r="K15" s="24">
        <f>'2017-18_working'!K15+'2017-18_working'!L15</f>
        <v>21</v>
      </c>
      <c r="L15" s="24">
        <f>'2017-18_working'!M15</f>
        <v>0</v>
      </c>
      <c r="M15" s="24">
        <f>'2017-18_working'!N15</f>
        <v>0</v>
      </c>
      <c r="N15" s="24">
        <f>'2017-18_working'!O15</f>
        <v>0</v>
      </c>
      <c r="O15" s="24">
        <f>'2017-18_working'!P15+'2017-18_working'!Q15</f>
        <v>0</v>
      </c>
      <c r="P15" s="24">
        <f>'2017-18_working'!R15</f>
        <v>0</v>
      </c>
      <c r="Q15" s="46">
        <f t="shared" si="10"/>
        <v>0</v>
      </c>
      <c r="R15" s="46">
        <f t="shared" si="11"/>
        <v>0</v>
      </c>
      <c r="S15" s="24"/>
      <c r="T15" s="22">
        <f t="shared" si="12"/>
        <v>39</v>
      </c>
      <c r="U15" s="22">
        <f t="shared" si="13"/>
        <v>0</v>
      </c>
      <c r="V15" s="22">
        <f t="shared" si="14"/>
        <v>1</v>
      </c>
      <c r="W15" s="22">
        <f t="shared" si="15"/>
        <v>0</v>
      </c>
      <c r="X15" s="22">
        <f t="shared" si="16"/>
        <v>0</v>
      </c>
      <c r="Y15" s="22">
        <f t="shared" si="17"/>
        <v>0</v>
      </c>
      <c r="Z15" s="46">
        <f t="shared" si="18"/>
        <v>2.5000000000000001E-2</v>
      </c>
      <c r="AA15" s="46">
        <f t="shared" si="19"/>
        <v>0</v>
      </c>
      <c r="AB15" s="24"/>
      <c r="AC15" s="24">
        <f>'2017-18_working'!T15+'2017-18_working'!U15</f>
        <v>0</v>
      </c>
      <c r="AD15" s="24">
        <f>'2017-18_working'!V15</f>
        <v>0</v>
      </c>
      <c r="AE15" s="24">
        <f>'2017-18_working'!W15</f>
        <v>0</v>
      </c>
      <c r="AF15" s="24">
        <f>'2017-18_working'!X15</f>
        <v>0</v>
      </c>
      <c r="AG15" s="24">
        <f>'2017-18_working'!Y15+'2017-18_working'!Z15</f>
        <v>0</v>
      </c>
      <c r="AH15" s="24">
        <f>'2017-18_working'!AA15</f>
        <v>0</v>
      </c>
      <c r="AI15" s="46" t="str">
        <f t="shared" si="21"/>
        <v>-</v>
      </c>
      <c r="AJ15" s="46" t="str">
        <f t="shared" si="22"/>
        <v>-</v>
      </c>
      <c r="AK15" s="24"/>
      <c r="AL15" s="24">
        <f>'2017-18_working'!AC15+'2017-18_working'!AD15</f>
        <v>37</v>
      </c>
      <c r="AM15" s="24">
        <f>'2017-18_working'!AE15</f>
        <v>0</v>
      </c>
      <c r="AN15" s="24">
        <f>'2017-18_working'!AF15</f>
        <v>0</v>
      </c>
      <c r="AO15" s="24">
        <f>'2017-18_working'!AG15</f>
        <v>0</v>
      </c>
      <c r="AP15" s="24">
        <f>'2017-18_working'!AH15+'2017-18_working'!AI15</f>
        <v>0</v>
      </c>
      <c r="AQ15" s="24">
        <f>'2017-18_working'!AJ15</f>
        <v>1</v>
      </c>
      <c r="AR15" s="46">
        <f t="shared" si="24"/>
        <v>0</v>
      </c>
      <c r="AS15" s="46">
        <f t="shared" si="25"/>
        <v>2.6315789473684209E-2</v>
      </c>
      <c r="AT15" s="24"/>
      <c r="AU15" s="22">
        <f t="shared" si="26"/>
        <v>76</v>
      </c>
      <c r="AV15" s="22">
        <f t="shared" si="27"/>
        <v>0</v>
      </c>
      <c r="AW15" s="22">
        <f t="shared" si="28"/>
        <v>1</v>
      </c>
      <c r="AX15" s="22">
        <f t="shared" si="29"/>
        <v>0</v>
      </c>
      <c r="AY15" s="22">
        <f t="shared" si="30"/>
        <v>0</v>
      </c>
      <c r="AZ15" s="22">
        <f t="shared" si="31"/>
        <v>1</v>
      </c>
      <c r="BA15" s="46">
        <f t="shared" si="32"/>
        <v>1.2987012987012988E-2</v>
      </c>
      <c r="BB15" s="46">
        <f t="shared" si="33"/>
        <v>1.282051282051282E-2</v>
      </c>
      <c r="BC15" s="19"/>
      <c r="BD15" s="20">
        <f t="shared" si="34"/>
        <v>78</v>
      </c>
      <c r="BE15" s="20">
        <v>78</v>
      </c>
      <c r="BF15" s="53">
        <f t="shared" si="35"/>
        <v>0</v>
      </c>
      <c r="BG15" s="19"/>
      <c r="BH15" s="19"/>
      <c r="BI15" s="19"/>
      <c r="BJ15" s="19"/>
      <c r="BK15" s="19"/>
    </row>
    <row r="16" spans="1:64" s="8" customFormat="1" ht="15" customHeight="1" x14ac:dyDescent="0.3">
      <c r="A16" s="2" t="s">
        <v>23</v>
      </c>
      <c r="B16" s="24">
        <f>'2017-18_working'!B16+'2017-18_working'!C16</f>
        <v>22</v>
      </c>
      <c r="C16" s="24">
        <f>'2017-18_working'!D16</f>
        <v>0</v>
      </c>
      <c r="D16" s="24">
        <f>'2017-18_working'!E16</f>
        <v>0</v>
      </c>
      <c r="E16" s="24">
        <f>'2017-18_working'!F16</f>
        <v>0</v>
      </c>
      <c r="F16" s="24">
        <f>'2017-18_working'!G16+'2017-18_working'!H16</f>
        <v>0</v>
      </c>
      <c r="G16" s="24">
        <f>'2017-18_working'!I16</f>
        <v>0</v>
      </c>
      <c r="H16" s="46">
        <f t="shared" si="7"/>
        <v>0</v>
      </c>
      <c r="I16" s="46">
        <f t="shared" si="8"/>
        <v>0</v>
      </c>
      <c r="J16" s="24"/>
      <c r="K16" s="24">
        <f>'2017-18_working'!K16+'2017-18_working'!L16</f>
        <v>11</v>
      </c>
      <c r="L16" s="24">
        <f>'2017-18_working'!M16</f>
        <v>0</v>
      </c>
      <c r="M16" s="24">
        <f>'2017-18_working'!N16</f>
        <v>0</v>
      </c>
      <c r="N16" s="24">
        <f>'2017-18_working'!O16</f>
        <v>0</v>
      </c>
      <c r="O16" s="24">
        <f>'2017-18_working'!P16+'2017-18_working'!Q16</f>
        <v>0</v>
      </c>
      <c r="P16" s="24">
        <f>'2017-18_working'!R16</f>
        <v>0</v>
      </c>
      <c r="Q16" s="46">
        <f t="shared" si="10"/>
        <v>0</v>
      </c>
      <c r="R16" s="46">
        <f t="shared" si="11"/>
        <v>0</v>
      </c>
      <c r="S16" s="24"/>
      <c r="T16" s="22">
        <f t="shared" si="12"/>
        <v>33</v>
      </c>
      <c r="U16" s="22">
        <f t="shared" si="13"/>
        <v>0</v>
      </c>
      <c r="V16" s="22">
        <f t="shared" si="14"/>
        <v>0</v>
      </c>
      <c r="W16" s="22">
        <f t="shared" si="15"/>
        <v>0</v>
      </c>
      <c r="X16" s="22">
        <f t="shared" si="16"/>
        <v>0</v>
      </c>
      <c r="Y16" s="22">
        <f t="shared" si="17"/>
        <v>0</v>
      </c>
      <c r="Z16" s="46">
        <f t="shared" si="18"/>
        <v>0</v>
      </c>
      <c r="AA16" s="46">
        <f t="shared" si="19"/>
        <v>0</v>
      </c>
      <c r="AB16" s="24"/>
      <c r="AC16" s="24">
        <f>'2017-18_working'!T16+'2017-18_working'!U16</f>
        <v>1</v>
      </c>
      <c r="AD16" s="24">
        <f>'2017-18_working'!V16</f>
        <v>0</v>
      </c>
      <c r="AE16" s="24">
        <f>'2017-18_working'!W16</f>
        <v>0</v>
      </c>
      <c r="AF16" s="24">
        <f>'2017-18_working'!X16</f>
        <v>0</v>
      </c>
      <c r="AG16" s="24">
        <f>'2017-18_working'!Y16+'2017-18_working'!Z16</f>
        <v>0</v>
      </c>
      <c r="AH16" s="24">
        <f>'2017-18_working'!AA16</f>
        <v>0</v>
      </c>
      <c r="AI16" s="46">
        <f t="shared" si="21"/>
        <v>0</v>
      </c>
      <c r="AJ16" s="46">
        <f t="shared" si="22"/>
        <v>0</v>
      </c>
      <c r="AK16" s="24"/>
      <c r="AL16" s="24">
        <f>'2017-18_working'!AC16+'2017-18_working'!AD16</f>
        <v>13</v>
      </c>
      <c r="AM16" s="24">
        <f>'2017-18_working'!AE16</f>
        <v>0</v>
      </c>
      <c r="AN16" s="24">
        <f>'2017-18_working'!AF16</f>
        <v>0</v>
      </c>
      <c r="AO16" s="24">
        <f>'2017-18_working'!AG16</f>
        <v>0</v>
      </c>
      <c r="AP16" s="24">
        <f>'2017-18_working'!AH16+'2017-18_working'!AI16</f>
        <v>0</v>
      </c>
      <c r="AQ16" s="24">
        <f>'2017-18_working'!AJ16</f>
        <v>0</v>
      </c>
      <c r="AR16" s="46">
        <f t="shared" si="24"/>
        <v>0</v>
      </c>
      <c r="AS16" s="46">
        <f t="shared" si="25"/>
        <v>0</v>
      </c>
      <c r="AT16" s="24"/>
      <c r="AU16" s="22">
        <f t="shared" si="26"/>
        <v>47</v>
      </c>
      <c r="AV16" s="22">
        <f t="shared" si="27"/>
        <v>0</v>
      </c>
      <c r="AW16" s="22">
        <f t="shared" si="28"/>
        <v>0</v>
      </c>
      <c r="AX16" s="22">
        <f t="shared" si="29"/>
        <v>0</v>
      </c>
      <c r="AY16" s="22">
        <f t="shared" si="30"/>
        <v>0</v>
      </c>
      <c r="AZ16" s="22">
        <f t="shared" si="31"/>
        <v>0</v>
      </c>
      <c r="BA16" s="46">
        <f t="shared" si="32"/>
        <v>0</v>
      </c>
      <c r="BB16" s="46">
        <f t="shared" si="33"/>
        <v>0</v>
      </c>
      <c r="BC16" s="19"/>
      <c r="BD16" s="20">
        <f t="shared" si="34"/>
        <v>47</v>
      </c>
      <c r="BE16" s="20">
        <v>47</v>
      </c>
      <c r="BF16" s="53">
        <f t="shared" si="35"/>
        <v>0</v>
      </c>
      <c r="BG16" s="19"/>
      <c r="BH16" s="19"/>
      <c r="BI16" s="19"/>
      <c r="BJ16" s="19"/>
      <c r="BK16" s="19"/>
    </row>
    <row r="17" spans="1:63" s="8" customFormat="1" ht="15" customHeight="1" x14ac:dyDescent="0.3">
      <c r="A17" s="2" t="s">
        <v>24</v>
      </c>
      <c r="B17" s="24">
        <f>'2017-18_working'!B17+'2017-18_working'!C17</f>
        <v>0</v>
      </c>
      <c r="C17" s="24">
        <f>'2017-18_working'!D17</f>
        <v>0</v>
      </c>
      <c r="D17" s="24">
        <f>'2017-18_working'!E17</f>
        <v>0</v>
      </c>
      <c r="E17" s="24">
        <f>'2017-18_working'!F17</f>
        <v>0</v>
      </c>
      <c r="F17" s="24">
        <f>'2017-18_working'!G17+'2017-18_working'!H17</f>
        <v>0</v>
      </c>
      <c r="G17" s="24">
        <f>'2017-18_working'!I17</f>
        <v>5</v>
      </c>
      <c r="H17" s="46" t="str">
        <f t="shared" si="7"/>
        <v>-</v>
      </c>
      <c r="I17" s="46">
        <f t="shared" si="8"/>
        <v>1</v>
      </c>
      <c r="J17" s="24"/>
      <c r="K17" s="24">
        <f>'2017-18_working'!K17+'2017-18_working'!L17</f>
        <v>8</v>
      </c>
      <c r="L17" s="24">
        <f>'2017-18_working'!M17</f>
        <v>0</v>
      </c>
      <c r="M17" s="24">
        <f>'2017-18_working'!N17</f>
        <v>0</v>
      </c>
      <c r="N17" s="24">
        <f>'2017-18_working'!O17</f>
        <v>0</v>
      </c>
      <c r="O17" s="24">
        <f>'2017-18_working'!P17+'2017-18_working'!Q17</f>
        <v>0</v>
      </c>
      <c r="P17" s="24">
        <f>'2017-18_working'!R17</f>
        <v>15</v>
      </c>
      <c r="Q17" s="46">
        <f t="shared" si="10"/>
        <v>0</v>
      </c>
      <c r="R17" s="46">
        <f t="shared" si="11"/>
        <v>0.65217391304347827</v>
      </c>
      <c r="S17" s="24"/>
      <c r="T17" s="22">
        <f t="shared" si="12"/>
        <v>8</v>
      </c>
      <c r="U17" s="22">
        <f t="shared" si="13"/>
        <v>0</v>
      </c>
      <c r="V17" s="22">
        <f t="shared" si="14"/>
        <v>0</v>
      </c>
      <c r="W17" s="22">
        <f t="shared" si="15"/>
        <v>0</v>
      </c>
      <c r="X17" s="22">
        <f t="shared" si="16"/>
        <v>0</v>
      </c>
      <c r="Y17" s="22">
        <f t="shared" si="17"/>
        <v>20</v>
      </c>
      <c r="Z17" s="46">
        <f t="shared" si="18"/>
        <v>0</v>
      </c>
      <c r="AA17" s="46">
        <f t="shared" si="19"/>
        <v>0.7142857142857143</v>
      </c>
      <c r="AB17" s="24"/>
      <c r="AC17" s="24">
        <f>'2017-18_working'!T17+'2017-18_working'!U17</f>
        <v>0</v>
      </c>
      <c r="AD17" s="24">
        <f>'2017-18_working'!V17</f>
        <v>0</v>
      </c>
      <c r="AE17" s="24">
        <f>'2017-18_working'!W17</f>
        <v>0</v>
      </c>
      <c r="AF17" s="24">
        <f>'2017-18_working'!X17</f>
        <v>0</v>
      </c>
      <c r="AG17" s="24">
        <f>'2017-18_working'!Y17+'2017-18_working'!Z17</f>
        <v>0</v>
      </c>
      <c r="AH17" s="24">
        <f>'2017-18_working'!AA17</f>
        <v>3</v>
      </c>
      <c r="AI17" s="46" t="str">
        <f t="shared" si="21"/>
        <v>-</v>
      </c>
      <c r="AJ17" s="46">
        <f t="shared" si="22"/>
        <v>1</v>
      </c>
      <c r="AK17" s="24"/>
      <c r="AL17" s="24">
        <f>'2017-18_working'!AC17+'2017-18_working'!AD17</f>
        <v>1</v>
      </c>
      <c r="AM17" s="24">
        <f>'2017-18_working'!AE17</f>
        <v>0</v>
      </c>
      <c r="AN17" s="24">
        <f>'2017-18_working'!AF17</f>
        <v>0</v>
      </c>
      <c r="AO17" s="24">
        <f>'2017-18_working'!AG17</f>
        <v>0</v>
      </c>
      <c r="AP17" s="24">
        <f>'2017-18_working'!AH17+'2017-18_working'!AI17</f>
        <v>0</v>
      </c>
      <c r="AQ17" s="24">
        <f>'2017-18_working'!AJ17</f>
        <v>6</v>
      </c>
      <c r="AR17" s="46">
        <f t="shared" si="24"/>
        <v>0</v>
      </c>
      <c r="AS17" s="46">
        <f t="shared" si="25"/>
        <v>0.8571428571428571</v>
      </c>
      <c r="AT17" s="24"/>
      <c r="AU17" s="22">
        <f t="shared" si="26"/>
        <v>9</v>
      </c>
      <c r="AV17" s="22">
        <f t="shared" si="27"/>
        <v>0</v>
      </c>
      <c r="AW17" s="22">
        <f t="shared" si="28"/>
        <v>0</v>
      </c>
      <c r="AX17" s="22">
        <f t="shared" si="29"/>
        <v>0</v>
      </c>
      <c r="AY17" s="22">
        <f t="shared" si="30"/>
        <v>0</v>
      </c>
      <c r="AZ17" s="22">
        <f t="shared" si="31"/>
        <v>29</v>
      </c>
      <c r="BA17" s="46">
        <f t="shared" si="32"/>
        <v>0</v>
      </c>
      <c r="BB17" s="46">
        <f t="shared" si="33"/>
        <v>0.76315789473684215</v>
      </c>
      <c r="BC17" s="19"/>
      <c r="BD17" s="20">
        <f t="shared" si="34"/>
        <v>38</v>
      </c>
      <c r="BE17" s="20">
        <v>38</v>
      </c>
      <c r="BF17" s="53">
        <f t="shared" si="35"/>
        <v>0</v>
      </c>
      <c r="BG17" s="19"/>
      <c r="BH17" s="19"/>
      <c r="BI17" s="19"/>
      <c r="BJ17" s="19"/>
      <c r="BK17" s="19"/>
    </row>
    <row r="18" spans="1:63" s="8" customFormat="1" ht="15" customHeight="1" x14ac:dyDescent="0.3">
      <c r="A18" s="2" t="s">
        <v>25</v>
      </c>
      <c r="B18" s="24">
        <f>'2017-18_working'!B18+'2017-18_working'!C18</f>
        <v>1</v>
      </c>
      <c r="C18" s="24">
        <f>'2017-18_working'!D18</f>
        <v>0</v>
      </c>
      <c r="D18" s="24">
        <f>'2017-18_working'!E18</f>
        <v>0</v>
      </c>
      <c r="E18" s="24">
        <f>'2017-18_working'!F18</f>
        <v>0</v>
      </c>
      <c r="F18" s="24">
        <f>'2017-18_working'!G18+'2017-18_working'!H18</f>
        <v>0</v>
      </c>
      <c r="G18" s="24">
        <f>'2017-18_working'!I18</f>
        <v>0</v>
      </c>
      <c r="H18" s="46">
        <f t="shared" si="7"/>
        <v>0</v>
      </c>
      <c r="I18" s="46">
        <f t="shared" si="8"/>
        <v>0</v>
      </c>
      <c r="J18" s="24"/>
      <c r="K18" s="24">
        <f>'2017-18_working'!K18+'2017-18_working'!L18</f>
        <v>6</v>
      </c>
      <c r="L18" s="24">
        <f>'2017-18_working'!M18</f>
        <v>0</v>
      </c>
      <c r="M18" s="24">
        <f>'2017-18_working'!N18</f>
        <v>1</v>
      </c>
      <c r="N18" s="24">
        <f>'2017-18_working'!O18</f>
        <v>0</v>
      </c>
      <c r="O18" s="24">
        <f>'2017-18_working'!P18+'2017-18_working'!Q18</f>
        <v>0</v>
      </c>
      <c r="P18" s="24">
        <f>'2017-18_working'!R18</f>
        <v>27</v>
      </c>
      <c r="Q18" s="46">
        <f t="shared" si="10"/>
        <v>0.14285714285714285</v>
      </c>
      <c r="R18" s="46">
        <f t="shared" si="11"/>
        <v>0.79411764705882348</v>
      </c>
      <c r="S18" s="24"/>
      <c r="T18" s="22">
        <f t="shared" si="12"/>
        <v>7</v>
      </c>
      <c r="U18" s="22">
        <f t="shared" si="13"/>
        <v>0</v>
      </c>
      <c r="V18" s="22">
        <f t="shared" si="14"/>
        <v>1</v>
      </c>
      <c r="W18" s="22">
        <f t="shared" si="15"/>
        <v>0</v>
      </c>
      <c r="X18" s="22">
        <f t="shared" si="16"/>
        <v>0</v>
      </c>
      <c r="Y18" s="22">
        <f t="shared" si="17"/>
        <v>27</v>
      </c>
      <c r="Z18" s="46">
        <f t="shared" si="18"/>
        <v>0.125</v>
      </c>
      <c r="AA18" s="46">
        <f t="shared" si="19"/>
        <v>0.77142857142857146</v>
      </c>
      <c r="AB18" s="24"/>
      <c r="AC18" s="24">
        <f>'2017-18_working'!T18+'2017-18_working'!U18</f>
        <v>0</v>
      </c>
      <c r="AD18" s="24">
        <f>'2017-18_working'!V18</f>
        <v>0</v>
      </c>
      <c r="AE18" s="24">
        <f>'2017-18_working'!W18</f>
        <v>0</v>
      </c>
      <c r="AF18" s="24">
        <f>'2017-18_working'!X18</f>
        <v>0</v>
      </c>
      <c r="AG18" s="24">
        <f>'2017-18_working'!Y18+'2017-18_working'!Z18</f>
        <v>0</v>
      </c>
      <c r="AH18" s="24">
        <f>'2017-18_working'!AA18</f>
        <v>0</v>
      </c>
      <c r="AI18" s="46" t="str">
        <f t="shared" si="21"/>
        <v>-</v>
      </c>
      <c r="AJ18" s="46" t="str">
        <f t="shared" si="22"/>
        <v>-</v>
      </c>
      <c r="AK18" s="24"/>
      <c r="AL18" s="24">
        <f>'2017-18_working'!AC18+'2017-18_working'!AD18</f>
        <v>1</v>
      </c>
      <c r="AM18" s="24">
        <f>'2017-18_working'!AE18</f>
        <v>0</v>
      </c>
      <c r="AN18" s="24">
        <f>'2017-18_working'!AF18</f>
        <v>0</v>
      </c>
      <c r="AO18" s="24">
        <f>'2017-18_working'!AG18</f>
        <v>0</v>
      </c>
      <c r="AP18" s="24">
        <f>'2017-18_working'!AH18+'2017-18_working'!AI18</f>
        <v>0</v>
      </c>
      <c r="AQ18" s="24">
        <f>'2017-18_working'!AJ18</f>
        <v>0</v>
      </c>
      <c r="AR18" s="46">
        <f t="shared" si="24"/>
        <v>0</v>
      </c>
      <c r="AS18" s="46">
        <f t="shared" si="25"/>
        <v>0</v>
      </c>
      <c r="AT18" s="24"/>
      <c r="AU18" s="22">
        <f t="shared" si="26"/>
        <v>8</v>
      </c>
      <c r="AV18" s="22">
        <f t="shared" si="27"/>
        <v>0</v>
      </c>
      <c r="AW18" s="22">
        <f t="shared" si="28"/>
        <v>1</v>
      </c>
      <c r="AX18" s="22">
        <f t="shared" si="29"/>
        <v>0</v>
      </c>
      <c r="AY18" s="22">
        <f t="shared" si="30"/>
        <v>0</v>
      </c>
      <c r="AZ18" s="22">
        <f t="shared" si="31"/>
        <v>27</v>
      </c>
      <c r="BA18" s="46">
        <f t="shared" si="32"/>
        <v>0.1111111111111111</v>
      </c>
      <c r="BB18" s="46">
        <f t="shared" si="33"/>
        <v>0.75</v>
      </c>
      <c r="BC18" s="19"/>
      <c r="BD18" s="20">
        <f t="shared" si="34"/>
        <v>36</v>
      </c>
      <c r="BE18" s="20">
        <v>36</v>
      </c>
      <c r="BF18" s="53">
        <f t="shared" si="35"/>
        <v>0</v>
      </c>
      <c r="BG18" s="19"/>
      <c r="BH18" s="19"/>
      <c r="BI18" s="19"/>
      <c r="BJ18" s="19"/>
      <c r="BK18" s="19"/>
    </row>
    <row r="19" spans="1:63" s="8" customFormat="1" ht="15" customHeight="1" x14ac:dyDescent="0.3">
      <c r="A19" s="26" t="s">
        <v>26</v>
      </c>
      <c r="B19" s="24">
        <f>'2017-18_working'!B19+'2017-18_working'!C19</f>
        <v>2</v>
      </c>
      <c r="C19" s="24">
        <f>'2017-18_working'!D19</f>
        <v>0</v>
      </c>
      <c r="D19" s="24">
        <f>'2017-18_working'!E19</f>
        <v>0</v>
      </c>
      <c r="E19" s="24">
        <f>'2017-18_working'!F19</f>
        <v>0</v>
      </c>
      <c r="F19" s="24">
        <f>'2017-18_working'!G19+'2017-18_working'!H19</f>
        <v>0</v>
      </c>
      <c r="G19" s="24">
        <f>'2017-18_working'!I19</f>
        <v>1</v>
      </c>
      <c r="H19" s="46">
        <f t="shared" si="7"/>
        <v>0</v>
      </c>
      <c r="I19" s="46">
        <f t="shared" si="8"/>
        <v>0.33333333333333331</v>
      </c>
      <c r="J19" s="24"/>
      <c r="K19" s="24">
        <f>'2017-18_working'!K19+'2017-18_working'!L19</f>
        <v>17</v>
      </c>
      <c r="L19" s="24">
        <f>'2017-18_working'!M19</f>
        <v>0</v>
      </c>
      <c r="M19" s="24">
        <f>'2017-18_working'!N19</f>
        <v>0</v>
      </c>
      <c r="N19" s="24">
        <f>'2017-18_working'!O19</f>
        <v>0</v>
      </c>
      <c r="O19" s="24">
        <f>'2017-18_working'!P19+'2017-18_working'!Q19</f>
        <v>0</v>
      </c>
      <c r="P19" s="24">
        <f>'2017-18_working'!R19</f>
        <v>11</v>
      </c>
      <c r="Q19" s="46">
        <f t="shared" si="10"/>
        <v>0</v>
      </c>
      <c r="R19" s="46">
        <f t="shared" si="11"/>
        <v>0.39285714285714285</v>
      </c>
      <c r="S19" s="24"/>
      <c r="T19" s="22">
        <f t="shared" si="12"/>
        <v>19</v>
      </c>
      <c r="U19" s="22">
        <f t="shared" si="13"/>
        <v>0</v>
      </c>
      <c r="V19" s="22">
        <f t="shared" si="14"/>
        <v>0</v>
      </c>
      <c r="W19" s="22">
        <f t="shared" si="15"/>
        <v>0</v>
      </c>
      <c r="X19" s="22">
        <f t="shared" si="16"/>
        <v>0</v>
      </c>
      <c r="Y19" s="22">
        <f t="shared" si="17"/>
        <v>12</v>
      </c>
      <c r="Z19" s="46">
        <f t="shared" si="18"/>
        <v>0</v>
      </c>
      <c r="AA19" s="46">
        <f t="shared" si="19"/>
        <v>0.38709677419354838</v>
      </c>
      <c r="AB19" s="24"/>
      <c r="AC19" s="24">
        <f>'2017-18_working'!T19+'2017-18_working'!U19</f>
        <v>2</v>
      </c>
      <c r="AD19" s="24">
        <f>'2017-18_working'!V19</f>
        <v>0</v>
      </c>
      <c r="AE19" s="24">
        <f>'2017-18_working'!W19</f>
        <v>0</v>
      </c>
      <c r="AF19" s="24">
        <f>'2017-18_working'!X19</f>
        <v>0</v>
      </c>
      <c r="AG19" s="24">
        <f>'2017-18_working'!Y19+'2017-18_working'!Z19</f>
        <v>0</v>
      </c>
      <c r="AH19" s="24">
        <f>'2017-18_working'!AA19</f>
        <v>2</v>
      </c>
      <c r="AI19" s="46">
        <f t="shared" si="21"/>
        <v>0</v>
      </c>
      <c r="AJ19" s="46">
        <f t="shared" si="22"/>
        <v>0.5</v>
      </c>
      <c r="AK19" s="24"/>
      <c r="AL19" s="24">
        <f>'2017-18_working'!AC19+'2017-18_working'!AD19</f>
        <v>8</v>
      </c>
      <c r="AM19" s="24">
        <f>'2017-18_working'!AE19</f>
        <v>0</v>
      </c>
      <c r="AN19" s="24">
        <f>'2017-18_working'!AF19</f>
        <v>1</v>
      </c>
      <c r="AO19" s="24">
        <f>'2017-18_working'!AG19</f>
        <v>0</v>
      </c>
      <c r="AP19" s="24">
        <f>'2017-18_working'!AH19+'2017-18_working'!AI19</f>
        <v>0</v>
      </c>
      <c r="AQ19" s="24">
        <f>'2017-18_working'!AJ19</f>
        <v>5</v>
      </c>
      <c r="AR19" s="46">
        <f t="shared" si="24"/>
        <v>0.1111111111111111</v>
      </c>
      <c r="AS19" s="46">
        <f t="shared" si="25"/>
        <v>0.35714285714285715</v>
      </c>
      <c r="AT19" s="24"/>
      <c r="AU19" s="22">
        <f t="shared" si="26"/>
        <v>29</v>
      </c>
      <c r="AV19" s="22">
        <f t="shared" si="27"/>
        <v>0</v>
      </c>
      <c r="AW19" s="22">
        <f t="shared" si="28"/>
        <v>1</v>
      </c>
      <c r="AX19" s="22">
        <f t="shared" si="29"/>
        <v>0</v>
      </c>
      <c r="AY19" s="22">
        <f t="shared" si="30"/>
        <v>0</v>
      </c>
      <c r="AZ19" s="22">
        <f t="shared" si="31"/>
        <v>19</v>
      </c>
      <c r="BA19" s="46">
        <f t="shared" si="32"/>
        <v>3.3333333333333333E-2</v>
      </c>
      <c r="BB19" s="46">
        <f t="shared" si="33"/>
        <v>0.38775510204081631</v>
      </c>
      <c r="BC19" s="19"/>
      <c r="BD19" s="20">
        <f t="shared" si="34"/>
        <v>49</v>
      </c>
      <c r="BE19" s="20">
        <v>49</v>
      </c>
      <c r="BF19" s="53">
        <f t="shared" si="35"/>
        <v>0</v>
      </c>
      <c r="BG19" s="19"/>
      <c r="BH19" s="19"/>
      <c r="BI19" s="19"/>
      <c r="BJ19" s="19"/>
      <c r="BK19" s="19"/>
    </row>
    <row r="20" spans="1:63" s="8" customFormat="1" ht="15" customHeight="1" x14ac:dyDescent="0.3">
      <c r="A20" s="26" t="s">
        <v>27</v>
      </c>
      <c r="B20" s="24">
        <f>'2017-18_working'!B20+'2017-18_working'!C20</f>
        <v>34</v>
      </c>
      <c r="C20" s="24">
        <f>'2017-18_working'!D20</f>
        <v>0</v>
      </c>
      <c r="D20" s="24">
        <f>'2017-18_working'!E20</f>
        <v>0</v>
      </c>
      <c r="E20" s="24">
        <f>'2017-18_working'!F20</f>
        <v>0</v>
      </c>
      <c r="F20" s="24">
        <f>'2017-18_working'!G20+'2017-18_working'!H20</f>
        <v>0</v>
      </c>
      <c r="G20" s="24">
        <f>'2017-18_working'!I20</f>
        <v>1</v>
      </c>
      <c r="H20" s="46">
        <f t="shared" si="7"/>
        <v>0</v>
      </c>
      <c r="I20" s="46">
        <f t="shared" si="8"/>
        <v>2.8571428571428571E-2</v>
      </c>
      <c r="J20" s="24"/>
      <c r="K20" s="24">
        <f>'2017-18_working'!K20+'2017-18_working'!L20</f>
        <v>73</v>
      </c>
      <c r="L20" s="24">
        <f>'2017-18_working'!M20</f>
        <v>1</v>
      </c>
      <c r="M20" s="24">
        <f>'2017-18_working'!N20</f>
        <v>0</v>
      </c>
      <c r="N20" s="24">
        <f>'2017-18_working'!O20</f>
        <v>0</v>
      </c>
      <c r="O20" s="24">
        <f>'2017-18_working'!P20+'2017-18_working'!Q20</f>
        <v>0</v>
      </c>
      <c r="P20" s="24">
        <f>'2017-18_working'!R20</f>
        <v>34</v>
      </c>
      <c r="Q20" s="46">
        <f t="shared" si="10"/>
        <v>1.3513513513513514E-2</v>
      </c>
      <c r="R20" s="46">
        <f t="shared" si="11"/>
        <v>0.31481481481481483</v>
      </c>
      <c r="S20" s="24"/>
      <c r="T20" s="22">
        <f t="shared" si="12"/>
        <v>107</v>
      </c>
      <c r="U20" s="22">
        <f t="shared" si="13"/>
        <v>1</v>
      </c>
      <c r="V20" s="22">
        <f t="shared" si="14"/>
        <v>0</v>
      </c>
      <c r="W20" s="22">
        <f t="shared" si="15"/>
        <v>0</v>
      </c>
      <c r="X20" s="22">
        <f t="shared" si="16"/>
        <v>0</v>
      </c>
      <c r="Y20" s="22">
        <f t="shared" si="17"/>
        <v>35</v>
      </c>
      <c r="Z20" s="46">
        <f t="shared" si="18"/>
        <v>9.2592592592592587E-3</v>
      </c>
      <c r="AA20" s="46">
        <f t="shared" si="19"/>
        <v>0.24475524475524477</v>
      </c>
      <c r="AB20" s="24"/>
      <c r="AC20" s="24">
        <f>'2017-18_working'!T20+'2017-18_working'!U20</f>
        <v>2</v>
      </c>
      <c r="AD20" s="24">
        <f>'2017-18_working'!V20</f>
        <v>0</v>
      </c>
      <c r="AE20" s="24">
        <f>'2017-18_working'!W20</f>
        <v>0</v>
      </c>
      <c r="AF20" s="24">
        <f>'2017-18_working'!X20</f>
        <v>0</v>
      </c>
      <c r="AG20" s="24">
        <f>'2017-18_working'!Y20+'2017-18_working'!Z20</f>
        <v>0</v>
      </c>
      <c r="AH20" s="24">
        <f>'2017-18_working'!AA20</f>
        <v>0</v>
      </c>
      <c r="AI20" s="46">
        <f t="shared" si="21"/>
        <v>0</v>
      </c>
      <c r="AJ20" s="46">
        <f t="shared" si="22"/>
        <v>0</v>
      </c>
      <c r="AK20" s="24"/>
      <c r="AL20" s="24">
        <f>'2017-18_working'!AC20+'2017-18_working'!AD20</f>
        <v>19</v>
      </c>
      <c r="AM20" s="24">
        <f>'2017-18_working'!AE20</f>
        <v>0</v>
      </c>
      <c r="AN20" s="24">
        <f>'2017-18_working'!AF20</f>
        <v>0</v>
      </c>
      <c r="AO20" s="24">
        <f>'2017-18_working'!AG20</f>
        <v>0</v>
      </c>
      <c r="AP20" s="24">
        <f>'2017-18_working'!AH20+'2017-18_working'!AI20</f>
        <v>0</v>
      </c>
      <c r="AQ20" s="24">
        <f>'2017-18_working'!AJ20</f>
        <v>7</v>
      </c>
      <c r="AR20" s="46">
        <f t="shared" si="24"/>
        <v>0</v>
      </c>
      <c r="AS20" s="46">
        <f t="shared" si="25"/>
        <v>0.26923076923076922</v>
      </c>
      <c r="AT20" s="24"/>
      <c r="AU20" s="22">
        <f t="shared" si="26"/>
        <v>128</v>
      </c>
      <c r="AV20" s="22">
        <f t="shared" si="27"/>
        <v>1</v>
      </c>
      <c r="AW20" s="22">
        <f t="shared" si="28"/>
        <v>0</v>
      </c>
      <c r="AX20" s="22">
        <f t="shared" si="29"/>
        <v>0</v>
      </c>
      <c r="AY20" s="22">
        <f t="shared" si="30"/>
        <v>0</v>
      </c>
      <c r="AZ20" s="22">
        <f t="shared" si="31"/>
        <v>42</v>
      </c>
      <c r="BA20" s="46">
        <f t="shared" si="32"/>
        <v>7.7519379844961239E-3</v>
      </c>
      <c r="BB20" s="46">
        <f t="shared" si="33"/>
        <v>0.24561403508771928</v>
      </c>
      <c r="BC20" s="19"/>
      <c r="BD20" s="20">
        <f t="shared" si="34"/>
        <v>171</v>
      </c>
      <c r="BE20" s="20">
        <v>171</v>
      </c>
      <c r="BF20" s="53">
        <f t="shared" si="35"/>
        <v>0</v>
      </c>
      <c r="BG20" s="19"/>
      <c r="BH20" s="19"/>
      <c r="BI20" s="19"/>
      <c r="BJ20" s="19"/>
      <c r="BK20" s="19"/>
    </row>
    <row r="21" spans="1:63" s="8" customFormat="1" ht="15" customHeight="1" x14ac:dyDescent="0.3">
      <c r="A21" s="2" t="s">
        <v>28</v>
      </c>
      <c r="B21" s="24">
        <f>'2017-18_working'!B21+'2017-18_working'!C21</f>
        <v>11</v>
      </c>
      <c r="C21" s="24">
        <f>'2017-18_working'!D21</f>
        <v>0</v>
      </c>
      <c r="D21" s="24">
        <f>'2017-18_working'!E21</f>
        <v>0</v>
      </c>
      <c r="E21" s="24">
        <f>'2017-18_working'!F21</f>
        <v>0</v>
      </c>
      <c r="F21" s="24">
        <f>'2017-18_working'!G21+'2017-18_working'!H21</f>
        <v>0</v>
      </c>
      <c r="G21" s="24">
        <f>'2017-18_working'!I21</f>
        <v>10</v>
      </c>
      <c r="H21" s="46">
        <f t="shared" si="7"/>
        <v>0</v>
      </c>
      <c r="I21" s="46">
        <f t="shared" si="8"/>
        <v>0.47619047619047616</v>
      </c>
      <c r="J21" s="24"/>
      <c r="K21" s="24">
        <f>'2017-18_working'!K21+'2017-18_working'!L21</f>
        <v>46</v>
      </c>
      <c r="L21" s="24">
        <f>'2017-18_working'!M21</f>
        <v>0</v>
      </c>
      <c r="M21" s="24">
        <f>'2017-18_working'!N21</f>
        <v>0</v>
      </c>
      <c r="N21" s="24">
        <f>'2017-18_working'!O21</f>
        <v>0</v>
      </c>
      <c r="O21" s="24">
        <f>'2017-18_working'!P21+'2017-18_working'!Q21</f>
        <v>1</v>
      </c>
      <c r="P21" s="24">
        <f>'2017-18_working'!R21</f>
        <v>31</v>
      </c>
      <c r="Q21" s="46">
        <f t="shared" si="10"/>
        <v>2.1276595744680851E-2</v>
      </c>
      <c r="R21" s="46">
        <f t="shared" si="11"/>
        <v>0.39743589743589741</v>
      </c>
      <c r="S21" s="24"/>
      <c r="T21" s="22">
        <f t="shared" si="12"/>
        <v>57</v>
      </c>
      <c r="U21" s="22">
        <f t="shared" si="13"/>
        <v>0</v>
      </c>
      <c r="V21" s="22">
        <f t="shared" si="14"/>
        <v>0</v>
      </c>
      <c r="W21" s="22">
        <f t="shared" si="15"/>
        <v>0</v>
      </c>
      <c r="X21" s="22">
        <f t="shared" si="16"/>
        <v>1</v>
      </c>
      <c r="Y21" s="22">
        <f t="shared" si="17"/>
        <v>41</v>
      </c>
      <c r="Z21" s="46">
        <f t="shared" si="18"/>
        <v>1.7241379310344827E-2</v>
      </c>
      <c r="AA21" s="46">
        <f t="shared" si="19"/>
        <v>0.41414141414141414</v>
      </c>
      <c r="AB21" s="24"/>
      <c r="AC21" s="24">
        <f>'2017-18_working'!T21+'2017-18_working'!U21</f>
        <v>0</v>
      </c>
      <c r="AD21" s="24">
        <f>'2017-18_working'!V21</f>
        <v>0</v>
      </c>
      <c r="AE21" s="24">
        <f>'2017-18_working'!W21</f>
        <v>0</v>
      </c>
      <c r="AF21" s="24">
        <f>'2017-18_working'!X21</f>
        <v>0</v>
      </c>
      <c r="AG21" s="24">
        <f>'2017-18_working'!Y21+'2017-18_working'!Z21</f>
        <v>0</v>
      </c>
      <c r="AH21" s="24">
        <f>'2017-18_working'!AA21</f>
        <v>4</v>
      </c>
      <c r="AI21" s="46" t="str">
        <f t="shared" si="21"/>
        <v>-</v>
      </c>
      <c r="AJ21" s="46">
        <f t="shared" si="22"/>
        <v>1</v>
      </c>
      <c r="AK21" s="24"/>
      <c r="AL21" s="24">
        <f>'2017-18_working'!AC21+'2017-18_working'!AD21</f>
        <v>11</v>
      </c>
      <c r="AM21" s="24">
        <f>'2017-18_working'!AE21</f>
        <v>0</v>
      </c>
      <c r="AN21" s="24">
        <f>'2017-18_working'!AF21</f>
        <v>0</v>
      </c>
      <c r="AO21" s="24">
        <f>'2017-18_working'!AG21</f>
        <v>0</v>
      </c>
      <c r="AP21" s="24">
        <f>'2017-18_working'!AH21+'2017-18_working'!AI21</f>
        <v>0</v>
      </c>
      <c r="AQ21" s="24">
        <f>'2017-18_working'!AJ21</f>
        <v>14</v>
      </c>
      <c r="AR21" s="46">
        <f t="shared" si="24"/>
        <v>0</v>
      </c>
      <c r="AS21" s="46">
        <f t="shared" si="25"/>
        <v>0.56000000000000005</v>
      </c>
      <c r="AT21" s="24"/>
      <c r="AU21" s="22">
        <f t="shared" si="26"/>
        <v>68</v>
      </c>
      <c r="AV21" s="22">
        <f t="shared" si="27"/>
        <v>0</v>
      </c>
      <c r="AW21" s="22">
        <f t="shared" si="28"/>
        <v>0</v>
      </c>
      <c r="AX21" s="22">
        <f t="shared" si="29"/>
        <v>0</v>
      </c>
      <c r="AY21" s="22">
        <f t="shared" si="30"/>
        <v>1</v>
      </c>
      <c r="AZ21" s="22">
        <f t="shared" si="31"/>
        <v>59</v>
      </c>
      <c r="BA21" s="46">
        <f t="shared" si="32"/>
        <v>1.4492753623188406E-2</v>
      </c>
      <c r="BB21" s="46">
        <f t="shared" si="33"/>
        <v>0.4609375</v>
      </c>
      <c r="BC21" s="19"/>
      <c r="BD21" s="20">
        <f t="shared" si="34"/>
        <v>128</v>
      </c>
      <c r="BE21" s="20">
        <v>128</v>
      </c>
      <c r="BF21" s="53">
        <f t="shared" si="35"/>
        <v>0</v>
      </c>
      <c r="BG21" s="19"/>
      <c r="BH21" s="19"/>
      <c r="BI21" s="19"/>
      <c r="BJ21" s="19"/>
      <c r="BK21" s="19"/>
    </row>
    <row r="22" spans="1:63" s="8" customFormat="1" ht="15" customHeight="1" x14ac:dyDescent="0.3">
      <c r="A22" s="2" t="s">
        <v>29</v>
      </c>
      <c r="B22" s="24">
        <f>'2017-18_working'!B22+'2017-18_working'!C22</f>
        <v>14</v>
      </c>
      <c r="C22" s="24">
        <f>'2017-18_working'!D22</f>
        <v>0</v>
      </c>
      <c r="D22" s="24">
        <f>'2017-18_working'!E22</f>
        <v>0</v>
      </c>
      <c r="E22" s="24">
        <f>'2017-18_working'!F22</f>
        <v>0</v>
      </c>
      <c r="F22" s="24">
        <f>'2017-18_working'!G22+'2017-18_working'!H22</f>
        <v>0</v>
      </c>
      <c r="G22" s="24">
        <f>'2017-18_working'!I22</f>
        <v>8</v>
      </c>
      <c r="H22" s="46">
        <f t="shared" si="7"/>
        <v>0</v>
      </c>
      <c r="I22" s="46">
        <f t="shared" si="8"/>
        <v>0.36363636363636365</v>
      </c>
      <c r="J22" s="24"/>
      <c r="K22" s="24">
        <f>'2017-18_working'!K22+'2017-18_working'!L22</f>
        <v>7</v>
      </c>
      <c r="L22" s="24">
        <f>'2017-18_working'!M22</f>
        <v>0</v>
      </c>
      <c r="M22" s="24">
        <f>'2017-18_working'!N22</f>
        <v>0</v>
      </c>
      <c r="N22" s="24">
        <f>'2017-18_working'!O22</f>
        <v>0</v>
      </c>
      <c r="O22" s="24">
        <f>'2017-18_working'!P22+'2017-18_working'!Q22</f>
        <v>0</v>
      </c>
      <c r="P22" s="24">
        <f>'2017-18_working'!R22</f>
        <v>20</v>
      </c>
      <c r="Q22" s="46">
        <f t="shared" si="10"/>
        <v>0</v>
      </c>
      <c r="R22" s="46">
        <f t="shared" si="11"/>
        <v>0.7407407407407407</v>
      </c>
      <c r="S22" s="24"/>
      <c r="T22" s="22">
        <f t="shared" si="12"/>
        <v>21</v>
      </c>
      <c r="U22" s="22">
        <f t="shared" si="13"/>
        <v>0</v>
      </c>
      <c r="V22" s="22">
        <f t="shared" si="14"/>
        <v>0</v>
      </c>
      <c r="W22" s="22">
        <f t="shared" si="15"/>
        <v>0</v>
      </c>
      <c r="X22" s="22">
        <f t="shared" si="16"/>
        <v>0</v>
      </c>
      <c r="Y22" s="22">
        <f t="shared" si="17"/>
        <v>28</v>
      </c>
      <c r="Z22" s="46">
        <f t="shared" si="18"/>
        <v>0</v>
      </c>
      <c r="AA22" s="46">
        <f t="shared" si="19"/>
        <v>0.5714285714285714</v>
      </c>
      <c r="AB22" s="24"/>
      <c r="AC22" s="24">
        <f>'2017-18_working'!T22+'2017-18_working'!U22</f>
        <v>0</v>
      </c>
      <c r="AD22" s="24">
        <f>'2017-18_working'!V22</f>
        <v>0</v>
      </c>
      <c r="AE22" s="24">
        <f>'2017-18_working'!W22</f>
        <v>0</v>
      </c>
      <c r="AF22" s="24">
        <f>'2017-18_working'!X22</f>
        <v>0</v>
      </c>
      <c r="AG22" s="24">
        <f>'2017-18_working'!Y22+'2017-18_working'!Z22</f>
        <v>0</v>
      </c>
      <c r="AH22" s="24">
        <f>'2017-18_working'!AA22</f>
        <v>0</v>
      </c>
      <c r="AI22" s="46" t="str">
        <f t="shared" si="21"/>
        <v>-</v>
      </c>
      <c r="AJ22" s="46" t="str">
        <f t="shared" si="22"/>
        <v>-</v>
      </c>
      <c r="AK22" s="24"/>
      <c r="AL22" s="24">
        <f>'2017-18_working'!AC22+'2017-18_working'!AD22</f>
        <v>6</v>
      </c>
      <c r="AM22" s="24">
        <f>'2017-18_working'!AE22</f>
        <v>0</v>
      </c>
      <c r="AN22" s="24">
        <f>'2017-18_working'!AF22</f>
        <v>0</v>
      </c>
      <c r="AO22" s="24">
        <f>'2017-18_working'!AG22</f>
        <v>0</v>
      </c>
      <c r="AP22" s="24">
        <f>'2017-18_working'!AH22+'2017-18_working'!AI22</f>
        <v>0</v>
      </c>
      <c r="AQ22" s="24">
        <f>'2017-18_working'!AJ22</f>
        <v>12</v>
      </c>
      <c r="AR22" s="46">
        <f t="shared" si="24"/>
        <v>0</v>
      </c>
      <c r="AS22" s="46">
        <f t="shared" si="25"/>
        <v>0.66666666666666663</v>
      </c>
      <c r="AT22" s="24"/>
      <c r="AU22" s="22">
        <f t="shared" si="26"/>
        <v>27</v>
      </c>
      <c r="AV22" s="22">
        <f t="shared" si="27"/>
        <v>0</v>
      </c>
      <c r="AW22" s="22">
        <f t="shared" si="28"/>
        <v>0</v>
      </c>
      <c r="AX22" s="22">
        <f t="shared" si="29"/>
        <v>0</v>
      </c>
      <c r="AY22" s="22">
        <f t="shared" si="30"/>
        <v>0</v>
      </c>
      <c r="AZ22" s="22">
        <f t="shared" si="31"/>
        <v>40</v>
      </c>
      <c r="BA22" s="46">
        <f t="shared" si="32"/>
        <v>0</v>
      </c>
      <c r="BB22" s="46">
        <f t="shared" si="33"/>
        <v>0.59701492537313428</v>
      </c>
      <c r="BC22" s="19"/>
      <c r="BD22" s="20">
        <f t="shared" si="34"/>
        <v>67</v>
      </c>
      <c r="BE22" s="20">
        <v>67</v>
      </c>
      <c r="BF22" s="53">
        <f t="shared" si="35"/>
        <v>0</v>
      </c>
      <c r="BG22" s="19"/>
      <c r="BH22" s="19"/>
      <c r="BI22" s="19"/>
      <c r="BJ22" s="19"/>
      <c r="BK22" s="19"/>
    </row>
    <row r="23" spans="1:63" s="8" customFormat="1" ht="15" customHeight="1" x14ac:dyDescent="0.3">
      <c r="A23" s="2" t="s">
        <v>30</v>
      </c>
      <c r="B23" s="24">
        <f>'2017-18_working'!B23+'2017-18_working'!C23</f>
        <v>8</v>
      </c>
      <c r="C23" s="24">
        <f>'2017-18_working'!D23</f>
        <v>0</v>
      </c>
      <c r="D23" s="24">
        <f>'2017-18_working'!E23</f>
        <v>0</v>
      </c>
      <c r="E23" s="24">
        <f>'2017-18_working'!F23</f>
        <v>0</v>
      </c>
      <c r="F23" s="24">
        <f>'2017-18_working'!G23+'2017-18_working'!H23</f>
        <v>0</v>
      </c>
      <c r="G23" s="24">
        <f>'2017-18_working'!I23</f>
        <v>0</v>
      </c>
      <c r="H23" s="46">
        <f t="shared" si="7"/>
        <v>0</v>
      </c>
      <c r="I23" s="46">
        <f t="shared" si="8"/>
        <v>0</v>
      </c>
      <c r="J23" s="24"/>
      <c r="K23" s="24">
        <f>'2017-18_working'!K23+'2017-18_working'!L23</f>
        <v>19</v>
      </c>
      <c r="L23" s="24">
        <f>'2017-18_working'!M23</f>
        <v>0</v>
      </c>
      <c r="M23" s="24">
        <f>'2017-18_working'!N23</f>
        <v>0</v>
      </c>
      <c r="N23" s="24">
        <f>'2017-18_working'!O23</f>
        <v>0</v>
      </c>
      <c r="O23" s="24">
        <f>'2017-18_working'!P23+'2017-18_working'!Q23</f>
        <v>0</v>
      </c>
      <c r="P23" s="24">
        <f>'2017-18_working'!R23</f>
        <v>3</v>
      </c>
      <c r="Q23" s="46">
        <f t="shared" si="10"/>
        <v>0</v>
      </c>
      <c r="R23" s="46">
        <f t="shared" si="11"/>
        <v>0.13636363636363635</v>
      </c>
      <c r="S23" s="24"/>
      <c r="T23" s="22">
        <f t="shared" si="12"/>
        <v>27</v>
      </c>
      <c r="U23" s="22">
        <f t="shared" si="13"/>
        <v>0</v>
      </c>
      <c r="V23" s="22">
        <f t="shared" si="14"/>
        <v>0</v>
      </c>
      <c r="W23" s="22">
        <f t="shared" si="15"/>
        <v>0</v>
      </c>
      <c r="X23" s="22">
        <f t="shared" si="16"/>
        <v>0</v>
      </c>
      <c r="Y23" s="22">
        <f t="shared" si="17"/>
        <v>3</v>
      </c>
      <c r="Z23" s="46">
        <f t="shared" si="18"/>
        <v>0</v>
      </c>
      <c r="AA23" s="46">
        <f t="shared" si="19"/>
        <v>0.1</v>
      </c>
      <c r="AB23" s="24"/>
      <c r="AC23" s="24">
        <f>'2017-18_working'!T23+'2017-18_working'!U23</f>
        <v>3</v>
      </c>
      <c r="AD23" s="24">
        <f>'2017-18_working'!V23</f>
        <v>0</v>
      </c>
      <c r="AE23" s="24">
        <f>'2017-18_working'!W23</f>
        <v>0</v>
      </c>
      <c r="AF23" s="24">
        <f>'2017-18_working'!X23</f>
        <v>0</v>
      </c>
      <c r="AG23" s="24">
        <f>'2017-18_working'!Y23+'2017-18_working'!Z23</f>
        <v>0</v>
      </c>
      <c r="AH23" s="24">
        <f>'2017-18_working'!AA23</f>
        <v>1</v>
      </c>
      <c r="AI23" s="46">
        <f t="shared" si="21"/>
        <v>0</v>
      </c>
      <c r="AJ23" s="46">
        <f t="shared" si="22"/>
        <v>0.25</v>
      </c>
      <c r="AK23" s="24"/>
      <c r="AL23" s="24">
        <f>'2017-18_working'!AC23+'2017-18_working'!AD23</f>
        <v>13</v>
      </c>
      <c r="AM23" s="24">
        <f>'2017-18_working'!AE23</f>
        <v>0</v>
      </c>
      <c r="AN23" s="24">
        <f>'2017-18_working'!AF23</f>
        <v>0</v>
      </c>
      <c r="AO23" s="24">
        <f>'2017-18_working'!AG23</f>
        <v>0</v>
      </c>
      <c r="AP23" s="24">
        <f>'2017-18_working'!AH23+'2017-18_working'!AI23</f>
        <v>0</v>
      </c>
      <c r="AQ23" s="24">
        <f>'2017-18_working'!AJ23</f>
        <v>10</v>
      </c>
      <c r="AR23" s="46">
        <f t="shared" si="24"/>
        <v>0</v>
      </c>
      <c r="AS23" s="46">
        <f t="shared" si="25"/>
        <v>0.43478260869565216</v>
      </c>
      <c r="AT23" s="24"/>
      <c r="AU23" s="22">
        <f t="shared" si="26"/>
        <v>43</v>
      </c>
      <c r="AV23" s="22">
        <f t="shared" si="27"/>
        <v>0</v>
      </c>
      <c r="AW23" s="22">
        <f t="shared" si="28"/>
        <v>0</v>
      </c>
      <c r="AX23" s="22">
        <f t="shared" si="29"/>
        <v>0</v>
      </c>
      <c r="AY23" s="22">
        <f t="shared" si="30"/>
        <v>0</v>
      </c>
      <c r="AZ23" s="22">
        <f t="shared" si="31"/>
        <v>14</v>
      </c>
      <c r="BA23" s="46">
        <f t="shared" si="32"/>
        <v>0</v>
      </c>
      <c r="BB23" s="46">
        <f t="shared" si="33"/>
        <v>0.24561403508771928</v>
      </c>
      <c r="BC23" s="19"/>
      <c r="BD23" s="20">
        <f t="shared" si="34"/>
        <v>57</v>
      </c>
      <c r="BE23" s="20">
        <v>57</v>
      </c>
      <c r="BF23" s="53">
        <f t="shared" si="35"/>
        <v>0</v>
      </c>
      <c r="BG23" s="19"/>
      <c r="BH23" s="19"/>
      <c r="BI23" s="19"/>
      <c r="BJ23" s="19"/>
      <c r="BK23" s="19"/>
    </row>
    <row r="24" spans="1:63" s="8" customFormat="1" ht="15" customHeight="1" x14ac:dyDescent="0.3">
      <c r="A24" s="2" t="s">
        <v>31</v>
      </c>
      <c r="B24" s="24">
        <f>'2017-18_working'!B24+'2017-18_working'!C24</f>
        <v>18</v>
      </c>
      <c r="C24" s="24">
        <f>'2017-18_working'!D24</f>
        <v>0</v>
      </c>
      <c r="D24" s="24">
        <f>'2017-18_working'!E24</f>
        <v>0</v>
      </c>
      <c r="E24" s="24">
        <f>'2017-18_working'!F24</f>
        <v>0</v>
      </c>
      <c r="F24" s="24">
        <f>'2017-18_working'!G24+'2017-18_working'!H24</f>
        <v>0</v>
      </c>
      <c r="G24" s="24">
        <f>'2017-18_working'!I24</f>
        <v>4</v>
      </c>
      <c r="H24" s="46">
        <f t="shared" si="7"/>
        <v>0</v>
      </c>
      <c r="I24" s="46">
        <f t="shared" si="8"/>
        <v>0.18181818181818182</v>
      </c>
      <c r="J24" s="24"/>
      <c r="K24" s="24">
        <f>'2017-18_working'!K24+'2017-18_working'!L24</f>
        <v>23</v>
      </c>
      <c r="L24" s="24">
        <f>'2017-18_working'!M24</f>
        <v>1</v>
      </c>
      <c r="M24" s="24">
        <f>'2017-18_working'!N24</f>
        <v>0</v>
      </c>
      <c r="N24" s="24">
        <f>'2017-18_working'!O24</f>
        <v>0</v>
      </c>
      <c r="O24" s="24">
        <f>'2017-18_working'!P24+'2017-18_working'!Q24</f>
        <v>1</v>
      </c>
      <c r="P24" s="24">
        <f>'2017-18_working'!R24</f>
        <v>63</v>
      </c>
      <c r="Q24" s="46">
        <f t="shared" si="10"/>
        <v>0.08</v>
      </c>
      <c r="R24" s="46">
        <f t="shared" si="11"/>
        <v>0.71590909090909094</v>
      </c>
      <c r="S24" s="24"/>
      <c r="T24" s="22">
        <f t="shared" si="12"/>
        <v>41</v>
      </c>
      <c r="U24" s="22">
        <f t="shared" si="13"/>
        <v>1</v>
      </c>
      <c r="V24" s="22">
        <f t="shared" si="14"/>
        <v>0</v>
      </c>
      <c r="W24" s="22">
        <f t="shared" si="15"/>
        <v>0</v>
      </c>
      <c r="X24" s="22">
        <f t="shared" si="16"/>
        <v>1</v>
      </c>
      <c r="Y24" s="22">
        <f t="shared" si="17"/>
        <v>67</v>
      </c>
      <c r="Z24" s="46">
        <f t="shared" si="18"/>
        <v>4.6511627906976744E-2</v>
      </c>
      <c r="AA24" s="46">
        <f t="shared" si="19"/>
        <v>0.60909090909090913</v>
      </c>
      <c r="AB24" s="24"/>
      <c r="AC24" s="24">
        <f>'2017-18_working'!T24+'2017-18_working'!U24</f>
        <v>0</v>
      </c>
      <c r="AD24" s="24">
        <f>'2017-18_working'!V24</f>
        <v>0</v>
      </c>
      <c r="AE24" s="24">
        <f>'2017-18_working'!W24</f>
        <v>0</v>
      </c>
      <c r="AF24" s="24">
        <f>'2017-18_working'!X24</f>
        <v>0</v>
      </c>
      <c r="AG24" s="24">
        <f>'2017-18_working'!Y24+'2017-18_working'!Z24</f>
        <v>0</v>
      </c>
      <c r="AH24" s="24">
        <f>'2017-18_working'!AA24</f>
        <v>3</v>
      </c>
      <c r="AI24" s="46" t="str">
        <f t="shared" si="21"/>
        <v>-</v>
      </c>
      <c r="AJ24" s="46">
        <f t="shared" si="22"/>
        <v>1</v>
      </c>
      <c r="AK24" s="24"/>
      <c r="AL24" s="24">
        <f>'2017-18_working'!AC24+'2017-18_working'!AD24</f>
        <v>19</v>
      </c>
      <c r="AM24" s="24">
        <f>'2017-18_working'!AE24</f>
        <v>0</v>
      </c>
      <c r="AN24" s="24">
        <f>'2017-18_working'!AF24</f>
        <v>0</v>
      </c>
      <c r="AO24" s="24">
        <f>'2017-18_working'!AG24</f>
        <v>0</v>
      </c>
      <c r="AP24" s="24">
        <f>'2017-18_working'!AH24+'2017-18_working'!AI24</f>
        <v>0</v>
      </c>
      <c r="AQ24" s="24">
        <f>'2017-18_working'!AJ24</f>
        <v>41</v>
      </c>
      <c r="AR24" s="46">
        <f t="shared" si="24"/>
        <v>0</v>
      </c>
      <c r="AS24" s="46">
        <f t="shared" si="25"/>
        <v>0.68333333333333335</v>
      </c>
      <c r="AT24" s="24"/>
      <c r="AU24" s="22">
        <f t="shared" si="26"/>
        <v>60</v>
      </c>
      <c r="AV24" s="22">
        <f t="shared" si="27"/>
        <v>1</v>
      </c>
      <c r="AW24" s="22">
        <f t="shared" si="28"/>
        <v>0</v>
      </c>
      <c r="AX24" s="22">
        <f t="shared" si="29"/>
        <v>0</v>
      </c>
      <c r="AY24" s="22">
        <f t="shared" si="30"/>
        <v>1</v>
      </c>
      <c r="AZ24" s="22">
        <f t="shared" si="31"/>
        <v>111</v>
      </c>
      <c r="BA24" s="46">
        <f t="shared" si="32"/>
        <v>3.2258064516129031E-2</v>
      </c>
      <c r="BB24" s="46">
        <f t="shared" si="33"/>
        <v>0.64161849710982655</v>
      </c>
      <c r="BC24" s="19"/>
      <c r="BD24" s="20">
        <f t="shared" si="34"/>
        <v>173</v>
      </c>
      <c r="BE24" s="20">
        <v>174</v>
      </c>
      <c r="BF24" s="53">
        <f t="shared" si="35"/>
        <v>-1</v>
      </c>
      <c r="BG24" s="19"/>
      <c r="BH24" s="19"/>
      <c r="BI24" s="19"/>
      <c r="BJ24" s="19"/>
      <c r="BK24" s="19"/>
    </row>
    <row r="25" spans="1:63" s="8" customFormat="1" ht="15" customHeight="1" x14ac:dyDescent="0.3">
      <c r="A25" s="2" t="s">
        <v>32</v>
      </c>
      <c r="B25" s="24">
        <f>'2017-18_working'!B25+'2017-18_working'!C25</f>
        <v>20</v>
      </c>
      <c r="C25" s="24">
        <f>'2017-18_working'!D25</f>
        <v>1</v>
      </c>
      <c r="D25" s="24">
        <f>'2017-18_working'!E25</f>
        <v>1</v>
      </c>
      <c r="E25" s="24">
        <f>'2017-18_working'!F25</f>
        <v>0</v>
      </c>
      <c r="F25" s="24">
        <f>'2017-18_working'!G25+'2017-18_working'!H25</f>
        <v>0</v>
      </c>
      <c r="G25" s="24">
        <f>'2017-18_working'!I25</f>
        <v>13</v>
      </c>
      <c r="H25" s="46">
        <f t="shared" si="7"/>
        <v>9.0909090909090912E-2</v>
      </c>
      <c r="I25" s="46">
        <f t="shared" si="8"/>
        <v>0.37142857142857144</v>
      </c>
      <c r="J25" s="24"/>
      <c r="K25" s="24">
        <f>'2017-18_working'!K25+'2017-18_working'!L25</f>
        <v>37</v>
      </c>
      <c r="L25" s="24">
        <f>'2017-18_working'!M25</f>
        <v>0</v>
      </c>
      <c r="M25" s="24">
        <f>'2017-18_working'!N25</f>
        <v>0</v>
      </c>
      <c r="N25" s="24">
        <f>'2017-18_working'!O25</f>
        <v>0</v>
      </c>
      <c r="O25" s="24">
        <f>'2017-18_working'!P25+'2017-18_working'!Q25</f>
        <v>0</v>
      </c>
      <c r="P25" s="24">
        <f>'2017-18_working'!R25</f>
        <v>1</v>
      </c>
      <c r="Q25" s="46">
        <f t="shared" si="10"/>
        <v>0</v>
      </c>
      <c r="R25" s="46">
        <f t="shared" si="11"/>
        <v>2.6315789473684209E-2</v>
      </c>
      <c r="S25" s="24"/>
      <c r="T25" s="22">
        <f t="shared" si="12"/>
        <v>57</v>
      </c>
      <c r="U25" s="22">
        <f t="shared" si="13"/>
        <v>1</v>
      </c>
      <c r="V25" s="22">
        <f t="shared" si="14"/>
        <v>1</v>
      </c>
      <c r="W25" s="22">
        <f t="shared" si="15"/>
        <v>0</v>
      </c>
      <c r="X25" s="22">
        <f t="shared" si="16"/>
        <v>0</v>
      </c>
      <c r="Y25" s="22">
        <f t="shared" si="17"/>
        <v>14</v>
      </c>
      <c r="Z25" s="46">
        <f t="shared" si="18"/>
        <v>3.3898305084745763E-2</v>
      </c>
      <c r="AA25" s="46">
        <f t="shared" si="19"/>
        <v>0.19178082191780821</v>
      </c>
      <c r="AB25" s="24"/>
      <c r="AC25" s="24">
        <f>'2017-18_working'!T25+'2017-18_working'!U25</f>
        <v>5</v>
      </c>
      <c r="AD25" s="24">
        <f>'2017-18_working'!V25</f>
        <v>0</v>
      </c>
      <c r="AE25" s="24">
        <f>'2017-18_working'!W25</f>
        <v>0</v>
      </c>
      <c r="AF25" s="24">
        <f>'2017-18_working'!X25</f>
        <v>0</v>
      </c>
      <c r="AG25" s="24">
        <f>'2017-18_working'!Y25+'2017-18_working'!Z25</f>
        <v>0</v>
      </c>
      <c r="AH25" s="24">
        <f>'2017-18_working'!AA25</f>
        <v>1</v>
      </c>
      <c r="AI25" s="46">
        <f t="shared" si="21"/>
        <v>0</v>
      </c>
      <c r="AJ25" s="46">
        <f t="shared" si="22"/>
        <v>0.16666666666666666</v>
      </c>
      <c r="AK25" s="24"/>
      <c r="AL25" s="24">
        <f>'2017-18_working'!AC25+'2017-18_working'!AD25</f>
        <v>6</v>
      </c>
      <c r="AM25" s="24">
        <f>'2017-18_working'!AE25</f>
        <v>0</v>
      </c>
      <c r="AN25" s="24">
        <f>'2017-18_working'!AF25</f>
        <v>0</v>
      </c>
      <c r="AO25" s="24">
        <f>'2017-18_working'!AG25</f>
        <v>0</v>
      </c>
      <c r="AP25" s="24">
        <f>'2017-18_working'!AH25+'2017-18_working'!AI25</f>
        <v>0</v>
      </c>
      <c r="AQ25" s="24">
        <f>'2017-18_working'!AJ25</f>
        <v>3</v>
      </c>
      <c r="AR25" s="46">
        <f t="shared" si="24"/>
        <v>0</v>
      </c>
      <c r="AS25" s="46">
        <f t="shared" si="25"/>
        <v>0.33333333333333331</v>
      </c>
      <c r="AT25" s="24"/>
      <c r="AU25" s="22">
        <f t="shared" si="26"/>
        <v>68</v>
      </c>
      <c r="AV25" s="22">
        <f t="shared" si="27"/>
        <v>1</v>
      </c>
      <c r="AW25" s="22">
        <f t="shared" si="28"/>
        <v>1</v>
      </c>
      <c r="AX25" s="22">
        <f t="shared" si="29"/>
        <v>0</v>
      </c>
      <c r="AY25" s="22">
        <f t="shared" si="30"/>
        <v>0</v>
      </c>
      <c r="AZ25" s="22">
        <f t="shared" si="31"/>
        <v>18</v>
      </c>
      <c r="BA25" s="46">
        <f t="shared" si="32"/>
        <v>2.8571428571428571E-2</v>
      </c>
      <c r="BB25" s="46">
        <f t="shared" si="33"/>
        <v>0.20454545454545456</v>
      </c>
      <c r="BC25" s="19"/>
      <c r="BD25" s="20">
        <f t="shared" si="34"/>
        <v>88</v>
      </c>
      <c r="BE25" s="20">
        <v>88</v>
      </c>
      <c r="BF25" s="53">
        <f t="shared" si="35"/>
        <v>0</v>
      </c>
      <c r="BG25" s="19"/>
      <c r="BH25" s="19"/>
      <c r="BI25" s="19"/>
      <c r="BJ25" s="19"/>
      <c r="BK25" s="19"/>
    </row>
    <row r="26" spans="1:63" s="8" customFormat="1" ht="15" customHeight="1" x14ac:dyDescent="0.3">
      <c r="A26" s="2" t="s">
        <v>33</v>
      </c>
      <c r="B26" s="24">
        <f>'2017-18_working'!B26+'2017-18_working'!C26</f>
        <v>43</v>
      </c>
      <c r="C26" s="24">
        <f>'2017-18_working'!D26</f>
        <v>0</v>
      </c>
      <c r="D26" s="24">
        <f>'2017-18_working'!E26</f>
        <v>0</v>
      </c>
      <c r="E26" s="24">
        <f>'2017-18_working'!F26</f>
        <v>0</v>
      </c>
      <c r="F26" s="24">
        <f>'2017-18_working'!G26+'2017-18_working'!H26</f>
        <v>0</v>
      </c>
      <c r="G26" s="24">
        <f>'2017-18_working'!I26</f>
        <v>13</v>
      </c>
      <c r="H26" s="46">
        <f t="shared" si="7"/>
        <v>0</v>
      </c>
      <c r="I26" s="46">
        <f t="shared" si="8"/>
        <v>0.23214285714285715</v>
      </c>
      <c r="J26" s="24"/>
      <c r="K26" s="24">
        <f>'2017-18_working'!K26+'2017-18_working'!L26</f>
        <v>90</v>
      </c>
      <c r="L26" s="24">
        <f>'2017-18_working'!M26</f>
        <v>1</v>
      </c>
      <c r="M26" s="24">
        <f>'2017-18_working'!N26</f>
        <v>0</v>
      </c>
      <c r="N26" s="24">
        <f>'2017-18_working'!O26</f>
        <v>0</v>
      </c>
      <c r="O26" s="24">
        <f>'2017-18_working'!P26+'2017-18_working'!Q26</f>
        <v>0</v>
      </c>
      <c r="P26" s="24">
        <f>'2017-18_working'!R26</f>
        <v>8</v>
      </c>
      <c r="Q26" s="46">
        <f t="shared" si="10"/>
        <v>1.098901098901099E-2</v>
      </c>
      <c r="R26" s="46">
        <f t="shared" si="11"/>
        <v>8.0808080808080815E-2</v>
      </c>
      <c r="S26" s="24"/>
      <c r="T26" s="22">
        <f t="shared" si="12"/>
        <v>133</v>
      </c>
      <c r="U26" s="22">
        <f t="shared" si="13"/>
        <v>1</v>
      </c>
      <c r="V26" s="22">
        <f t="shared" si="14"/>
        <v>0</v>
      </c>
      <c r="W26" s="22">
        <f t="shared" si="15"/>
        <v>0</v>
      </c>
      <c r="X26" s="22">
        <f t="shared" si="16"/>
        <v>0</v>
      </c>
      <c r="Y26" s="22">
        <f t="shared" si="17"/>
        <v>21</v>
      </c>
      <c r="Z26" s="46">
        <f t="shared" si="18"/>
        <v>7.462686567164179E-3</v>
      </c>
      <c r="AA26" s="46">
        <f t="shared" si="19"/>
        <v>0.13548387096774195</v>
      </c>
      <c r="AB26" s="24"/>
      <c r="AC26" s="24">
        <f>'2017-18_working'!T26+'2017-18_working'!U26</f>
        <v>2</v>
      </c>
      <c r="AD26" s="24">
        <f>'2017-18_working'!V26</f>
        <v>0</v>
      </c>
      <c r="AE26" s="24">
        <f>'2017-18_working'!W26</f>
        <v>0</v>
      </c>
      <c r="AF26" s="24">
        <f>'2017-18_working'!X26</f>
        <v>0</v>
      </c>
      <c r="AG26" s="24">
        <f>'2017-18_working'!Y26+'2017-18_working'!Z26</f>
        <v>0</v>
      </c>
      <c r="AH26" s="24">
        <f>'2017-18_working'!AA26</f>
        <v>0</v>
      </c>
      <c r="AI26" s="46">
        <f t="shared" si="21"/>
        <v>0</v>
      </c>
      <c r="AJ26" s="46">
        <f t="shared" si="22"/>
        <v>0</v>
      </c>
      <c r="AK26" s="24"/>
      <c r="AL26" s="24">
        <f>'2017-18_working'!AC26+'2017-18_working'!AD26</f>
        <v>46</v>
      </c>
      <c r="AM26" s="24">
        <f>'2017-18_working'!AE26</f>
        <v>1</v>
      </c>
      <c r="AN26" s="24">
        <f>'2017-18_working'!AF26</f>
        <v>1</v>
      </c>
      <c r="AO26" s="24">
        <f>'2017-18_working'!AG26</f>
        <v>1</v>
      </c>
      <c r="AP26" s="24">
        <f>'2017-18_working'!AH26+'2017-18_working'!AI26</f>
        <v>0</v>
      </c>
      <c r="AQ26" s="24">
        <f>'2017-18_working'!AJ26</f>
        <v>3</v>
      </c>
      <c r="AR26" s="46">
        <f t="shared" si="24"/>
        <v>6.1224489795918366E-2</v>
      </c>
      <c r="AS26" s="46">
        <f t="shared" si="25"/>
        <v>5.7692307692307696E-2</v>
      </c>
      <c r="AT26" s="24"/>
      <c r="AU26" s="22">
        <f t="shared" si="26"/>
        <v>181</v>
      </c>
      <c r="AV26" s="22">
        <f t="shared" si="27"/>
        <v>2</v>
      </c>
      <c r="AW26" s="22">
        <f t="shared" si="28"/>
        <v>1</v>
      </c>
      <c r="AX26" s="22">
        <f t="shared" si="29"/>
        <v>1</v>
      </c>
      <c r="AY26" s="22">
        <f t="shared" si="30"/>
        <v>0</v>
      </c>
      <c r="AZ26" s="22">
        <f t="shared" si="31"/>
        <v>24</v>
      </c>
      <c r="BA26" s="46">
        <f t="shared" si="32"/>
        <v>2.1621621621621623E-2</v>
      </c>
      <c r="BB26" s="46">
        <f t="shared" si="33"/>
        <v>0.11483253588516747</v>
      </c>
      <c r="BC26" s="19"/>
      <c r="BD26" s="20">
        <f t="shared" si="34"/>
        <v>209</v>
      </c>
      <c r="BE26" s="20">
        <v>209</v>
      </c>
      <c r="BF26" s="53">
        <f t="shared" si="35"/>
        <v>0</v>
      </c>
      <c r="BG26" s="19"/>
      <c r="BH26" s="19"/>
      <c r="BI26" s="19"/>
      <c r="BJ26" s="19"/>
      <c r="BK26" s="19"/>
    </row>
    <row r="27" spans="1:63" s="8" customFormat="1" ht="15" customHeight="1" x14ac:dyDescent="0.3">
      <c r="A27" s="2" t="s">
        <v>34</v>
      </c>
      <c r="B27" s="24">
        <f>'2017-18_working'!B27+'2017-18_working'!C27</f>
        <v>21</v>
      </c>
      <c r="C27" s="24">
        <f>'2017-18_working'!D27</f>
        <v>0</v>
      </c>
      <c r="D27" s="24">
        <f>'2017-18_working'!E27</f>
        <v>0</v>
      </c>
      <c r="E27" s="24">
        <f>'2017-18_working'!F27</f>
        <v>0</v>
      </c>
      <c r="F27" s="24">
        <f>'2017-18_working'!G27+'2017-18_working'!H27</f>
        <v>0</v>
      </c>
      <c r="G27" s="24">
        <f>'2017-18_working'!I27</f>
        <v>0</v>
      </c>
      <c r="H27" s="46">
        <f t="shared" si="7"/>
        <v>0</v>
      </c>
      <c r="I27" s="46">
        <f t="shared" si="8"/>
        <v>0</v>
      </c>
      <c r="J27" s="24"/>
      <c r="K27" s="24">
        <f>'2017-18_working'!K27+'2017-18_working'!L27</f>
        <v>34</v>
      </c>
      <c r="L27" s="24">
        <f>'2017-18_working'!M27</f>
        <v>1</v>
      </c>
      <c r="M27" s="24">
        <f>'2017-18_working'!N27</f>
        <v>0</v>
      </c>
      <c r="N27" s="24">
        <f>'2017-18_working'!O27</f>
        <v>0</v>
      </c>
      <c r="O27" s="24">
        <f>'2017-18_working'!P27+'2017-18_working'!Q27</f>
        <v>0</v>
      </c>
      <c r="P27" s="24">
        <f>'2017-18_working'!R27</f>
        <v>2</v>
      </c>
      <c r="Q27" s="46">
        <f t="shared" si="10"/>
        <v>2.8571428571428571E-2</v>
      </c>
      <c r="R27" s="46">
        <f t="shared" si="11"/>
        <v>5.4054054054054057E-2</v>
      </c>
      <c r="S27" s="24"/>
      <c r="T27" s="22">
        <f t="shared" si="12"/>
        <v>55</v>
      </c>
      <c r="U27" s="22">
        <f t="shared" si="13"/>
        <v>1</v>
      </c>
      <c r="V27" s="22">
        <f t="shared" si="14"/>
        <v>0</v>
      </c>
      <c r="W27" s="22">
        <f t="shared" si="15"/>
        <v>0</v>
      </c>
      <c r="X27" s="22">
        <f t="shared" si="16"/>
        <v>0</v>
      </c>
      <c r="Y27" s="22">
        <f t="shared" si="17"/>
        <v>2</v>
      </c>
      <c r="Z27" s="46">
        <f t="shared" si="18"/>
        <v>1.7857142857142856E-2</v>
      </c>
      <c r="AA27" s="46">
        <f t="shared" si="19"/>
        <v>3.4482758620689655E-2</v>
      </c>
      <c r="AB27" s="24"/>
      <c r="AC27" s="24">
        <f>'2017-18_working'!T27+'2017-18_working'!U27</f>
        <v>2</v>
      </c>
      <c r="AD27" s="24">
        <f>'2017-18_working'!V27</f>
        <v>0</v>
      </c>
      <c r="AE27" s="24">
        <f>'2017-18_working'!W27</f>
        <v>0</v>
      </c>
      <c r="AF27" s="24">
        <f>'2017-18_working'!X27</f>
        <v>0</v>
      </c>
      <c r="AG27" s="24">
        <f>'2017-18_working'!Y27+'2017-18_working'!Z27</f>
        <v>0</v>
      </c>
      <c r="AH27" s="24">
        <f>'2017-18_working'!AA27</f>
        <v>0</v>
      </c>
      <c r="AI27" s="46">
        <f t="shared" si="21"/>
        <v>0</v>
      </c>
      <c r="AJ27" s="46">
        <f t="shared" si="22"/>
        <v>0</v>
      </c>
      <c r="AK27" s="24"/>
      <c r="AL27" s="24">
        <f>'2017-18_working'!AC27+'2017-18_working'!AD27</f>
        <v>12</v>
      </c>
      <c r="AM27" s="24">
        <f>'2017-18_working'!AE27</f>
        <v>0</v>
      </c>
      <c r="AN27" s="24">
        <f>'2017-18_working'!AF27</f>
        <v>0</v>
      </c>
      <c r="AO27" s="24">
        <f>'2017-18_working'!AG27</f>
        <v>0</v>
      </c>
      <c r="AP27" s="24">
        <f>'2017-18_working'!AH27+'2017-18_working'!AI27</f>
        <v>0</v>
      </c>
      <c r="AQ27" s="24">
        <f>'2017-18_working'!AJ27</f>
        <v>2</v>
      </c>
      <c r="AR27" s="46">
        <f t="shared" si="24"/>
        <v>0</v>
      </c>
      <c r="AS27" s="46">
        <f t="shared" si="25"/>
        <v>0.14285714285714285</v>
      </c>
      <c r="AT27" s="24"/>
      <c r="AU27" s="22">
        <f t="shared" si="26"/>
        <v>69</v>
      </c>
      <c r="AV27" s="22">
        <f t="shared" si="27"/>
        <v>1</v>
      </c>
      <c r="AW27" s="22">
        <f t="shared" si="28"/>
        <v>0</v>
      </c>
      <c r="AX27" s="22">
        <f t="shared" si="29"/>
        <v>0</v>
      </c>
      <c r="AY27" s="22">
        <f t="shared" si="30"/>
        <v>0</v>
      </c>
      <c r="AZ27" s="22">
        <f t="shared" si="31"/>
        <v>4</v>
      </c>
      <c r="BA27" s="46">
        <f t="shared" si="32"/>
        <v>1.4285714285714285E-2</v>
      </c>
      <c r="BB27" s="46">
        <f t="shared" si="33"/>
        <v>5.4054054054054057E-2</v>
      </c>
      <c r="BC27" s="19"/>
      <c r="BD27" s="20">
        <f t="shared" si="34"/>
        <v>74</v>
      </c>
      <c r="BE27" s="20">
        <v>74</v>
      </c>
      <c r="BF27" s="53">
        <f t="shared" si="35"/>
        <v>0</v>
      </c>
      <c r="BG27" s="19"/>
      <c r="BH27" s="19"/>
      <c r="BI27" s="19"/>
      <c r="BJ27" s="19"/>
      <c r="BK27" s="19"/>
    </row>
    <row r="28" spans="1:63" s="8" customFormat="1" ht="15" customHeight="1" x14ac:dyDescent="0.3">
      <c r="A28" s="2" t="s">
        <v>35</v>
      </c>
      <c r="B28" s="24">
        <f>'2017-18_working'!B28+'2017-18_working'!C28</f>
        <v>34</v>
      </c>
      <c r="C28" s="24">
        <f>'2017-18_working'!D28</f>
        <v>2</v>
      </c>
      <c r="D28" s="24">
        <f>'2017-18_working'!E28</f>
        <v>0</v>
      </c>
      <c r="E28" s="24">
        <f>'2017-18_working'!F28</f>
        <v>0</v>
      </c>
      <c r="F28" s="24">
        <f>'2017-18_working'!G28+'2017-18_working'!H28</f>
        <v>0</v>
      </c>
      <c r="G28" s="24">
        <f>'2017-18_working'!I28</f>
        <v>1</v>
      </c>
      <c r="H28" s="46">
        <f t="shared" si="7"/>
        <v>5.5555555555555552E-2</v>
      </c>
      <c r="I28" s="46">
        <f t="shared" si="8"/>
        <v>2.7027027027027029E-2</v>
      </c>
      <c r="J28" s="24"/>
      <c r="K28" s="24">
        <f>'2017-18_working'!K28+'2017-18_working'!L28</f>
        <v>35</v>
      </c>
      <c r="L28" s="24">
        <f>'2017-18_working'!M28</f>
        <v>0</v>
      </c>
      <c r="M28" s="24">
        <f>'2017-18_working'!N28</f>
        <v>0</v>
      </c>
      <c r="N28" s="24">
        <f>'2017-18_working'!O28</f>
        <v>0</v>
      </c>
      <c r="O28" s="24">
        <f>'2017-18_working'!P28+'2017-18_working'!Q28</f>
        <v>0</v>
      </c>
      <c r="P28" s="24">
        <f>'2017-18_working'!R28</f>
        <v>0</v>
      </c>
      <c r="Q28" s="46">
        <f t="shared" si="10"/>
        <v>0</v>
      </c>
      <c r="R28" s="46">
        <f t="shared" si="11"/>
        <v>0</v>
      </c>
      <c r="S28" s="24"/>
      <c r="T28" s="22">
        <f t="shared" si="12"/>
        <v>69</v>
      </c>
      <c r="U28" s="22">
        <f t="shared" si="13"/>
        <v>2</v>
      </c>
      <c r="V28" s="22">
        <f t="shared" si="14"/>
        <v>0</v>
      </c>
      <c r="W28" s="22">
        <f t="shared" si="15"/>
        <v>0</v>
      </c>
      <c r="X28" s="22">
        <f t="shared" si="16"/>
        <v>0</v>
      </c>
      <c r="Y28" s="22">
        <f t="shared" si="17"/>
        <v>1</v>
      </c>
      <c r="Z28" s="46">
        <f t="shared" si="18"/>
        <v>2.8169014084507043E-2</v>
      </c>
      <c r="AA28" s="46">
        <f t="shared" si="19"/>
        <v>1.3888888888888888E-2</v>
      </c>
      <c r="AB28" s="24"/>
      <c r="AC28" s="24">
        <f>'2017-18_working'!T28+'2017-18_working'!U28</f>
        <v>0</v>
      </c>
      <c r="AD28" s="24">
        <f>'2017-18_working'!V28</f>
        <v>0</v>
      </c>
      <c r="AE28" s="24">
        <f>'2017-18_working'!W28</f>
        <v>0</v>
      </c>
      <c r="AF28" s="24">
        <f>'2017-18_working'!X28</f>
        <v>0</v>
      </c>
      <c r="AG28" s="24">
        <f>'2017-18_working'!Y28+'2017-18_working'!Z28</f>
        <v>0</v>
      </c>
      <c r="AH28" s="24">
        <f>'2017-18_working'!AA28</f>
        <v>0</v>
      </c>
      <c r="AI28" s="46" t="str">
        <f t="shared" si="21"/>
        <v>-</v>
      </c>
      <c r="AJ28" s="46" t="str">
        <f t="shared" si="22"/>
        <v>-</v>
      </c>
      <c r="AK28" s="24"/>
      <c r="AL28" s="24">
        <f>'2017-18_working'!AC28+'2017-18_working'!AD28</f>
        <v>16</v>
      </c>
      <c r="AM28" s="24">
        <f>'2017-18_working'!AE28</f>
        <v>2</v>
      </c>
      <c r="AN28" s="24">
        <f>'2017-18_working'!AF28</f>
        <v>0</v>
      </c>
      <c r="AO28" s="24">
        <f>'2017-18_working'!AG28</f>
        <v>1</v>
      </c>
      <c r="AP28" s="24">
        <f>'2017-18_working'!AH28+'2017-18_working'!AI28</f>
        <v>1</v>
      </c>
      <c r="AQ28" s="24">
        <f>'2017-18_working'!AJ28</f>
        <v>0</v>
      </c>
      <c r="AR28" s="46">
        <f t="shared" si="24"/>
        <v>0.2</v>
      </c>
      <c r="AS28" s="46">
        <f t="shared" si="25"/>
        <v>0</v>
      </c>
      <c r="AT28" s="24"/>
      <c r="AU28" s="22">
        <f t="shared" si="26"/>
        <v>85</v>
      </c>
      <c r="AV28" s="22">
        <f t="shared" si="27"/>
        <v>4</v>
      </c>
      <c r="AW28" s="22">
        <f t="shared" si="28"/>
        <v>0</v>
      </c>
      <c r="AX28" s="22">
        <f t="shared" si="29"/>
        <v>1</v>
      </c>
      <c r="AY28" s="22">
        <f t="shared" si="30"/>
        <v>1</v>
      </c>
      <c r="AZ28" s="22">
        <f t="shared" si="31"/>
        <v>1</v>
      </c>
      <c r="BA28" s="46">
        <f t="shared" si="32"/>
        <v>6.5934065934065936E-2</v>
      </c>
      <c r="BB28" s="46">
        <f t="shared" si="33"/>
        <v>1.0869565217391304E-2</v>
      </c>
      <c r="BC28" s="19"/>
      <c r="BD28" s="20">
        <f t="shared" si="34"/>
        <v>92</v>
      </c>
      <c r="BE28" s="20">
        <v>92</v>
      </c>
      <c r="BF28" s="53">
        <f t="shared" si="35"/>
        <v>0</v>
      </c>
      <c r="BG28" s="19"/>
      <c r="BH28" s="19"/>
      <c r="BI28" s="19"/>
      <c r="BJ28" s="19"/>
      <c r="BK28" s="19"/>
    </row>
    <row r="29" spans="1:63" s="8" customFormat="1" ht="15" customHeight="1" x14ac:dyDescent="0.3">
      <c r="A29" s="2" t="s">
        <v>36</v>
      </c>
      <c r="B29" s="24">
        <f>'2017-18_working'!B29+'2017-18_working'!C29</f>
        <v>22</v>
      </c>
      <c r="C29" s="24">
        <f>'2017-18_working'!D29</f>
        <v>0</v>
      </c>
      <c r="D29" s="24">
        <f>'2017-18_working'!E29</f>
        <v>0</v>
      </c>
      <c r="E29" s="24">
        <f>'2017-18_working'!F29</f>
        <v>0</v>
      </c>
      <c r="F29" s="24">
        <f>'2017-18_working'!G29+'2017-18_working'!H29</f>
        <v>0</v>
      </c>
      <c r="G29" s="24">
        <f>'2017-18_working'!I29</f>
        <v>0</v>
      </c>
      <c r="H29" s="46">
        <f t="shared" si="7"/>
        <v>0</v>
      </c>
      <c r="I29" s="46">
        <f t="shared" si="8"/>
        <v>0</v>
      </c>
      <c r="J29" s="24"/>
      <c r="K29" s="24">
        <f>'2017-18_working'!K29+'2017-18_working'!L29</f>
        <v>46</v>
      </c>
      <c r="L29" s="24">
        <f>'2017-18_working'!M29</f>
        <v>0</v>
      </c>
      <c r="M29" s="24">
        <f>'2017-18_working'!N29</f>
        <v>0</v>
      </c>
      <c r="N29" s="24">
        <f>'2017-18_working'!O29</f>
        <v>0</v>
      </c>
      <c r="O29" s="24">
        <f>'2017-18_working'!P29+'2017-18_working'!Q29</f>
        <v>0</v>
      </c>
      <c r="P29" s="24">
        <f>'2017-18_working'!R29</f>
        <v>0</v>
      </c>
      <c r="Q29" s="46">
        <f t="shared" si="10"/>
        <v>0</v>
      </c>
      <c r="R29" s="46">
        <f t="shared" si="11"/>
        <v>0</v>
      </c>
      <c r="S29" s="24"/>
      <c r="T29" s="22">
        <f t="shared" si="12"/>
        <v>68</v>
      </c>
      <c r="U29" s="22">
        <f t="shared" si="13"/>
        <v>0</v>
      </c>
      <c r="V29" s="22">
        <f t="shared" si="14"/>
        <v>0</v>
      </c>
      <c r="W29" s="22">
        <f t="shared" si="15"/>
        <v>0</v>
      </c>
      <c r="X29" s="22">
        <f t="shared" si="16"/>
        <v>0</v>
      </c>
      <c r="Y29" s="22">
        <f t="shared" si="17"/>
        <v>0</v>
      </c>
      <c r="Z29" s="46">
        <f t="shared" si="18"/>
        <v>0</v>
      </c>
      <c r="AA29" s="46">
        <f t="shared" si="19"/>
        <v>0</v>
      </c>
      <c r="AB29" s="24"/>
      <c r="AC29" s="24">
        <f>'2017-18_working'!T29+'2017-18_working'!U29</f>
        <v>2</v>
      </c>
      <c r="AD29" s="24">
        <f>'2017-18_working'!V29</f>
        <v>0</v>
      </c>
      <c r="AE29" s="24">
        <f>'2017-18_working'!W29</f>
        <v>0</v>
      </c>
      <c r="AF29" s="24">
        <f>'2017-18_working'!X29</f>
        <v>0</v>
      </c>
      <c r="AG29" s="24">
        <f>'2017-18_working'!Y29+'2017-18_working'!Z29</f>
        <v>0</v>
      </c>
      <c r="AH29" s="24">
        <f>'2017-18_working'!AA29</f>
        <v>0</v>
      </c>
      <c r="AI29" s="46">
        <f t="shared" si="21"/>
        <v>0</v>
      </c>
      <c r="AJ29" s="46">
        <f t="shared" si="22"/>
        <v>0</v>
      </c>
      <c r="AK29" s="24"/>
      <c r="AL29" s="24">
        <f>'2017-18_working'!AC29+'2017-18_working'!AD29</f>
        <v>27</v>
      </c>
      <c r="AM29" s="24">
        <f>'2017-18_working'!AE29</f>
        <v>5</v>
      </c>
      <c r="AN29" s="24">
        <f>'2017-18_working'!AF29</f>
        <v>2</v>
      </c>
      <c r="AO29" s="24">
        <f>'2017-18_working'!AG29</f>
        <v>0</v>
      </c>
      <c r="AP29" s="24">
        <f>'2017-18_working'!AH29+'2017-18_working'!AI29</f>
        <v>0</v>
      </c>
      <c r="AQ29" s="24">
        <f>'2017-18_working'!AJ29</f>
        <v>0</v>
      </c>
      <c r="AR29" s="46">
        <f t="shared" si="24"/>
        <v>0.20588235294117646</v>
      </c>
      <c r="AS29" s="46">
        <f t="shared" si="25"/>
        <v>0</v>
      </c>
      <c r="AT29" s="24"/>
      <c r="AU29" s="22">
        <f t="shared" si="26"/>
        <v>97</v>
      </c>
      <c r="AV29" s="22">
        <f t="shared" si="27"/>
        <v>5</v>
      </c>
      <c r="AW29" s="22">
        <f t="shared" si="28"/>
        <v>2</v>
      </c>
      <c r="AX29" s="22">
        <f t="shared" si="29"/>
        <v>0</v>
      </c>
      <c r="AY29" s="22">
        <f t="shared" si="30"/>
        <v>0</v>
      </c>
      <c r="AZ29" s="22">
        <f t="shared" si="31"/>
        <v>0</v>
      </c>
      <c r="BA29" s="46">
        <f t="shared" si="32"/>
        <v>6.7307692307692304E-2</v>
      </c>
      <c r="BB29" s="46">
        <f t="shared" si="33"/>
        <v>0</v>
      </c>
      <c r="BC29" s="19"/>
      <c r="BD29" s="20">
        <f t="shared" si="34"/>
        <v>104</v>
      </c>
      <c r="BE29" s="20">
        <v>104</v>
      </c>
      <c r="BF29" s="53">
        <f t="shared" si="35"/>
        <v>0</v>
      </c>
      <c r="BG29" s="19"/>
      <c r="BH29" s="19"/>
      <c r="BI29" s="19"/>
      <c r="BJ29" s="19"/>
      <c r="BK29" s="19"/>
    </row>
    <row r="30" spans="1:63" s="8" customFormat="1" ht="15" customHeight="1" x14ac:dyDescent="0.3">
      <c r="A30" s="2" t="s">
        <v>37</v>
      </c>
      <c r="B30" s="24">
        <f>'2017-18_working'!B30+'2017-18_working'!C30</f>
        <v>0</v>
      </c>
      <c r="C30" s="24">
        <f>'2017-18_working'!D30</f>
        <v>0</v>
      </c>
      <c r="D30" s="24">
        <f>'2017-18_working'!E30</f>
        <v>0</v>
      </c>
      <c r="E30" s="24">
        <f>'2017-18_working'!F30</f>
        <v>0</v>
      </c>
      <c r="F30" s="24">
        <f>'2017-18_working'!G30+'2017-18_working'!H30</f>
        <v>0</v>
      </c>
      <c r="G30" s="24">
        <f>'2017-18_working'!I30</f>
        <v>0</v>
      </c>
      <c r="H30" s="46" t="str">
        <f t="shared" si="7"/>
        <v>-</v>
      </c>
      <c r="I30" s="46" t="str">
        <f t="shared" si="8"/>
        <v>-</v>
      </c>
      <c r="J30" s="24"/>
      <c r="K30" s="24">
        <f>'2017-18_working'!K30+'2017-18_working'!L30</f>
        <v>0</v>
      </c>
      <c r="L30" s="24">
        <f>'2017-18_working'!M30</f>
        <v>0</v>
      </c>
      <c r="M30" s="24">
        <f>'2017-18_working'!N30</f>
        <v>0</v>
      </c>
      <c r="N30" s="24">
        <f>'2017-18_working'!O30</f>
        <v>0</v>
      </c>
      <c r="O30" s="24">
        <f>'2017-18_working'!P30+'2017-18_working'!Q30</f>
        <v>0</v>
      </c>
      <c r="P30" s="24">
        <f>'2017-18_working'!R30</f>
        <v>0</v>
      </c>
      <c r="Q30" s="46" t="str">
        <f t="shared" si="10"/>
        <v>-</v>
      </c>
      <c r="R30" s="46" t="str">
        <f t="shared" si="11"/>
        <v>-</v>
      </c>
      <c r="S30" s="24"/>
      <c r="T30" s="22">
        <f t="shared" si="12"/>
        <v>0</v>
      </c>
      <c r="U30" s="22">
        <f t="shared" si="13"/>
        <v>0</v>
      </c>
      <c r="V30" s="22">
        <f t="shared" si="14"/>
        <v>0</v>
      </c>
      <c r="W30" s="22">
        <f t="shared" si="15"/>
        <v>0</v>
      </c>
      <c r="X30" s="22">
        <f t="shared" si="16"/>
        <v>0</v>
      </c>
      <c r="Y30" s="22">
        <f t="shared" si="17"/>
        <v>0</v>
      </c>
      <c r="Z30" s="46" t="str">
        <f t="shared" si="18"/>
        <v>-</v>
      </c>
      <c r="AA30" s="46" t="str">
        <f t="shared" si="19"/>
        <v>-</v>
      </c>
      <c r="AB30" s="24"/>
      <c r="AC30" s="24">
        <f>'2017-18_working'!T30+'2017-18_working'!U30</f>
        <v>0</v>
      </c>
      <c r="AD30" s="24">
        <f>'2017-18_working'!V30</f>
        <v>0</v>
      </c>
      <c r="AE30" s="24">
        <f>'2017-18_working'!W30</f>
        <v>0</v>
      </c>
      <c r="AF30" s="24">
        <f>'2017-18_working'!X30</f>
        <v>0</v>
      </c>
      <c r="AG30" s="24">
        <f>'2017-18_working'!Y30+'2017-18_working'!Z30</f>
        <v>0</v>
      </c>
      <c r="AH30" s="24">
        <f>'2017-18_working'!AA30</f>
        <v>0</v>
      </c>
      <c r="AI30" s="46" t="str">
        <f t="shared" si="21"/>
        <v>-</v>
      </c>
      <c r="AJ30" s="46" t="str">
        <f t="shared" si="22"/>
        <v>-</v>
      </c>
      <c r="AK30" s="24"/>
      <c r="AL30" s="24">
        <f>'2017-18_working'!AC30+'2017-18_working'!AD30</f>
        <v>2</v>
      </c>
      <c r="AM30" s="24">
        <f>'2017-18_working'!AE30</f>
        <v>0</v>
      </c>
      <c r="AN30" s="24">
        <f>'2017-18_working'!AF30</f>
        <v>0</v>
      </c>
      <c r="AO30" s="24">
        <f>'2017-18_working'!AG30</f>
        <v>0</v>
      </c>
      <c r="AP30" s="24">
        <f>'2017-18_working'!AH30+'2017-18_working'!AI30</f>
        <v>0</v>
      </c>
      <c r="AQ30" s="24">
        <f>'2017-18_working'!AJ30</f>
        <v>0</v>
      </c>
      <c r="AR30" s="46">
        <f t="shared" si="24"/>
        <v>0</v>
      </c>
      <c r="AS30" s="46">
        <f t="shared" si="25"/>
        <v>0</v>
      </c>
      <c r="AT30" s="24"/>
      <c r="AU30" s="22">
        <f t="shared" si="26"/>
        <v>2</v>
      </c>
      <c r="AV30" s="22">
        <f t="shared" si="27"/>
        <v>0</v>
      </c>
      <c r="AW30" s="22">
        <f t="shared" si="28"/>
        <v>0</v>
      </c>
      <c r="AX30" s="22">
        <f t="shared" si="29"/>
        <v>0</v>
      </c>
      <c r="AY30" s="22">
        <f t="shared" si="30"/>
        <v>0</v>
      </c>
      <c r="AZ30" s="22">
        <f t="shared" si="31"/>
        <v>0</v>
      </c>
      <c r="BA30" s="46">
        <f t="shared" si="32"/>
        <v>0</v>
      </c>
      <c r="BB30" s="46">
        <f t="shared" si="33"/>
        <v>0</v>
      </c>
      <c r="BC30" s="19"/>
      <c r="BD30" s="20">
        <f t="shared" si="34"/>
        <v>2</v>
      </c>
      <c r="BE30" s="20">
        <v>2</v>
      </c>
      <c r="BF30" s="53">
        <f t="shared" si="35"/>
        <v>0</v>
      </c>
      <c r="BG30" s="19"/>
      <c r="BH30" s="19"/>
      <c r="BI30" s="19"/>
      <c r="BJ30" s="19"/>
      <c r="BK30" s="19"/>
    </row>
    <row r="31" spans="1:63" s="8" customFormat="1" ht="15" customHeight="1" x14ac:dyDescent="0.3">
      <c r="A31" s="3" t="s">
        <v>38</v>
      </c>
      <c r="B31" s="24">
        <f>'2017-18_working'!B31+'2017-18_working'!C31</f>
        <v>4</v>
      </c>
      <c r="C31" s="24">
        <f>'2017-18_working'!D31</f>
        <v>0</v>
      </c>
      <c r="D31" s="24">
        <f>'2017-18_working'!E31</f>
        <v>0</v>
      </c>
      <c r="E31" s="24">
        <f>'2017-18_working'!F31</f>
        <v>0</v>
      </c>
      <c r="F31" s="24">
        <f>'2017-18_working'!G31+'2017-18_working'!H31</f>
        <v>0</v>
      </c>
      <c r="G31" s="24">
        <f>'2017-18_working'!I31</f>
        <v>25</v>
      </c>
      <c r="H31" s="46">
        <f t="shared" si="7"/>
        <v>0</v>
      </c>
      <c r="I31" s="46">
        <f t="shared" si="8"/>
        <v>0.86206896551724133</v>
      </c>
      <c r="J31" s="24"/>
      <c r="K31" s="24">
        <f>'2017-18_working'!K31+'2017-18_working'!L31</f>
        <v>8</v>
      </c>
      <c r="L31" s="24">
        <f>'2017-18_working'!M31</f>
        <v>0</v>
      </c>
      <c r="M31" s="24">
        <f>'2017-18_working'!N31</f>
        <v>0</v>
      </c>
      <c r="N31" s="24">
        <f>'2017-18_working'!O31</f>
        <v>0</v>
      </c>
      <c r="O31" s="24">
        <f>'2017-18_working'!P31+'2017-18_working'!Q31</f>
        <v>0</v>
      </c>
      <c r="P31" s="24">
        <f>'2017-18_working'!R31</f>
        <v>48</v>
      </c>
      <c r="Q31" s="46">
        <f t="shared" si="10"/>
        <v>0</v>
      </c>
      <c r="R31" s="46">
        <f t="shared" si="11"/>
        <v>0.8571428571428571</v>
      </c>
      <c r="S31" s="24"/>
      <c r="T31" s="22">
        <f t="shared" si="12"/>
        <v>12</v>
      </c>
      <c r="U31" s="22">
        <f t="shared" si="13"/>
        <v>0</v>
      </c>
      <c r="V31" s="22">
        <f t="shared" si="14"/>
        <v>0</v>
      </c>
      <c r="W31" s="22">
        <f t="shared" si="15"/>
        <v>0</v>
      </c>
      <c r="X31" s="22">
        <f t="shared" si="16"/>
        <v>0</v>
      </c>
      <c r="Y31" s="22">
        <f t="shared" si="17"/>
        <v>73</v>
      </c>
      <c r="Z31" s="46">
        <f t="shared" si="18"/>
        <v>0</v>
      </c>
      <c r="AA31" s="46">
        <f t="shared" si="19"/>
        <v>0.85882352941176465</v>
      </c>
      <c r="AB31" s="24"/>
      <c r="AC31" s="24">
        <f>'2017-18_working'!T31+'2017-18_working'!U31</f>
        <v>1</v>
      </c>
      <c r="AD31" s="24">
        <f>'2017-18_working'!V31</f>
        <v>0</v>
      </c>
      <c r="AE31" s="24">
        <f>'2017-18_working'!W31</f>
        <v>0</v>
      </c>
      <c r="AF31" s="24">
        <f>'2017-18_working'!X31</f>
        <v>0</v>
      </c>
      <c r="AG31" s="24">
        <f>'2017-18_working'!Y31+'2017-18_working'!Z31</f>
        <v>0</v>
      </c>
      <c r="AH31" s="24">
        <f>'2017-18_working'!AA31</f>
        <v>7</v>
      </c>
      <c r="AI31" s="46">
        <f t="shared" si="21"/>
        <v>0</v>
      </c>
      <c r="AJ31" s="46">
        <f t="shared" si="22"/>
        <v>0.875</v>
      </c>
      <c r="AK31" s="24"/>
      <c r="AL31" s="24">
        <f>'2017-18_working'!AC31+'2017-18_working'!AD31</f>
        <v>13</v>
      </c>
      <c r="AM31" s="24">
        <f>'2017-18_working'!AE31</f>
        <v>1</v>
      </c>
      <c r="AN31" s="24">
        <f>'2017-18_working'!AF31</f>
        <v>1</v>
      </c>
      <c r="AO31" s="24">
        <f>'2017-18_working'!AG31</f>
        <v>0</v>
      </c>
      <c r="AP31" s="24">
        <f>'2017-18_working'!AH31+'2017-18_working'!AI31</f>
        <v>0</v>
      </c>
      <c r="AQ31" s="24">
        <f>'2017-18_working'!AJ31</f>
        <v>37</v>
      </c>
      <c r="AR31" s="46">
        <f t="shared" si="24"/>
        <v>0.13333333333333333</v>
      </c>
      <c r="AS31" s="46">
        <f t="shared" si="25"/>
        <v>0.71153846153846156</v>
      </c>
      <c r="AT31" s="24"/>
      <c r="AU31" s="22">
        <f t="shared" si="26"/>
        <v>26</v>
      </c>
      <c r="AV31" s="22">
        <f t="shared" si="27"/>
        <v>1</v>
      </c>
      <c r="AW31" s="22">
        <f t="shared" si="28"/>
        <v>1</v>
      </c>
      <c r="AX31" s="22">
        <f t="shared" si="29"/>
        <v>0</v>
      </c>
      <c r="AY31" s="22">
        <f t="shared" si="30"/>
        <v>0</v>
      </c>
      <c r="AZ31" s="22">
        <f t="shared" si="31"/>
        <v>117</v>
      </c>
      <c r="BA31" s="46">
        <f t="shared" si="32"/>
        <v>7.1428571428571425E-2</v>
      </c>
      <c r="BB31" s="46">
        <f t="shared" si="33"/>
        <v>0.80689655172413788</v>
      </c>
      <c r="BC31" s="19"/>
      <c r="BD31" s="20">
        <f t="shared" si="34"/>
        <v>145</v>
      </c>
      <c r="BE31" s="20">
        <v>145</v>
      </c>
      <c r="BF31" s="53">
        <f t="shared" si="35"/>
        <v>0</v>
      </c>
      <c r="BG31" s="19"/>
      <c r="BH31" s="19"/>
      <c r="BI31" s="19"/>
      <c r="BJ31" s="19"/>
      <c r="BK31" s="19"/>
    </row>
    <row r="32" spans="1:63" s="8" customFormat="1" ht="15" customHeight="1" x14ac:dyDescent="0.3">
      <c r="A32" s="3" t="s">
        <v>39</v>
      </c>
      <c r="B32" s="24">
        <f>'2017-18_working'!B32+'2017-18_working'!C32</f>
        <v>52</v>
      </c>
      <c r="C32" s="24">
        <f>'2017-18_working'!D32</f>
        <v>2</v>
      </c>
      <c r="D32" s="24">
        <f>'2017-18_working'!E32</f>
        <v>2</v>
      </c>
      <c r="E32" s="24">
        <f>'2017-18_working'!F32</f>
        <v>0</v>
      </c>
      <c r="F32" s="24">
        <f>'2017-18_working'!G32+'2017-18_working'!H32</f>
        <v>0</v>
      </c>
      <c r="G32" s="24">
        <f>'2017-18_working'!I32</f>
        <v>0</v>
      </c>
      <c r="H32" s="46">
        <f t="shared" si="7"/>
        <v>7.1428571428571425E-2</v>
      </c>
      <c r="I32" s="46">
        <f t="shared" si="8"/>
        <v>0</v>
      </c>
      <c r="J32" s="24"/>
      <c r="K32" s="24">
        <f>'2017-18_working'!K32+'2017-18_working'!L32</f>
        <v>47</v>
      </c>
      <c r="L32" s="24">
        <f>'2017-18_working'!M32</f>
        <v>1</v>
      </c>
      <c r="M32" s="24">
        <f>'2017-18_working'!N32</f>
        <v>0</v>
      </c>
      <c r="N32" s="24">
        <f>'2017-18_working'!O32</f>
        <v>0</v>
      </c>
      <c r="O32" s="24">
        <f>'2017-18_working'!P32+'2017-18_working'!Q32</f>
        <v>0</v>
      </c>
      <c r="P32" s="24">
        <f>'2017-18_working'!R32</f>
        <v>9</v>
      </c>
      <c r="Q32" s="46">
        <f t="shared" si="10"/>
        <v>2.0833333333333332E-2</v>
      </c>
      <c r="R32" s="46">
        <f t="shared" si="11"/>
        <v>0.15789473684210525</v>
      </c>
      <c r="S32" s="24"/>
      <c r="T32" s="22">
        <f t="shared" si="12"/>
        <v>99</v>
      </c>
      <c r="U32" s="22">
        <f t="shared" si="13"/>
        <v>3</v>
      </c>
      <c r="V32" s="22">
        <f t="shared" si="14"/>
        <v>2</v>
      </c>
      <c r="W32" s="22">
        <f t="shared" si="15"/>
        <v>0</v>
      </c>
      <c r="X32" s="22">
        <f t="shared" si="16"/>
        <v>0</v>
      </c>
      <c r="Y32" s="22">
        <f t="shared" si="17"/>
        <v>9</v>
      </c>
      <c r="Z32" s="46">
        <f t="shared" si="18"/>
        <v>4.807692307692308E-2</v>
      </c>
      <c r="AA32" s="46">
        <f t="shared" si="19"/>
        <v>7.9646017699115043E-2</v>
      </c>
      <c r="AB32" s="24"/>
      <c r="AC32" s="24">
        <f>'2017-18_working'!T32+'2017-18_working'!U32</f>
        <v>0</v>
      </c>
      <c r="AD32" s="24">
        <f>'2017-18_working'!V32</f>
        <v>0</v>
      </c>
      <c r="AE32" s="24">
        <f>'2017-18_working'!W32</f>
        <v>0</v>
      </c>
      <c r="AF32" s="24">
        <f>'2017-18_working'!X32</f>
        <v>0</v>
      </c>
      <c r="AG32" s="24">
        <f>'2017-18_working'!Y32+'2017-18_working'!Z32</f>
        <v>0</v>
      </c>
      <c r="AH32" s="24">
        <f>'2017-18_working'!AA32</f>
        <v>0</v>
      </c>
      <c r="AI32" s="46" t="str">
        <f t="shared" si="21"/>
        <v>-</v>
      </c>
      <c r="AJ32" s="46" t="str">
        <f t="shared" si="22"/>
        <v>-</v>
      </c>
      <c r="AK32" s="24"/>
      <c r="AL32" s="24">
        <f>'2017-18_working'!AC32+'2017-18_working'!AD32</f>
        <v>39</v>
      </c>
      <c r="AM32" s="24">
        <f>'2017-18_working'!AE32</f>
        <v>1</v>
      </c>
      <c r="AN32" s="24">
        <f>'2017-18_working'!AF32</f>
        <v>2</v>
      </c>
      <c r="AO32" s="24">
        <f>'2017-18_working'!AG32</f>
        <v>1</v>
      </c>
      <c r="AP32" s="24">
        <f>'2017-18_working'!AH32+'2017-18_working'!AI32</f>
        <v>0</v>
      </c>
      <c r="AQ32" s="24">
        <f>'2017-18_working'!AJ32</f>
        <v>2</v>
      </c>
      <c r="AR32" s="46">
        <f t="shared" si="24"/>
        <v>9.3023255813953487E-2</v>
      </c>
      <c r="AS32" s="46">
        <f t="shared" si="25"/>
        <v>4.4444444444444446E-2</v>
      </c>
      <c r="AT32" s="24"/>
      <c r="AU32" s="22">
        <f t="shared" si="26"/>
        <v>138</v>
      </c>
      <c r="AV32" s="22">
        <f t="shared" si="27"/>
        <v>4</v>
      </c>
      <c r="AW32" s="22">
        <f t="shared" si="28"/>
        <v>4</v>
      </c>
      <c r="AX32" s="22">
        <f t="shared" si="29"/>
        <v>1</v>
      </c>
      <c r="AY32" s="22">
        <f t="shared" si="30"/>
        <v>0</v>
      </c>
      <c r="AZ32" s="22">
        <f t="shared" si="31"/>
        <v>11</v>
      </c>
      <c r="BA32" s="46">
        <f t="shared" si="32"/>
        <v>6.1224489795918366E-2</v>
      </c>
      <c r="BB32" s="46">
        <f t="shared" si="33"/>
        <v>6.9620253164556958E-2</v>
      </c>
      <c r="BC32" s="19"/>
      <c r="BD32" s="20">
        <f t="shared" si="34"/>
        <v>158</v>
      </c>
      <c r="BE32" s="20">
        <v>158</v>
      </c>
      <c r="BF32" s="53">
        <f t="shared" si="35"/>
        <v>0</v>
      </c>
      <c r="BG32" s="19"/>
      <c r="BH32" s="19"/>
      <c r="BI32" s="19"/>
      <c r="BJ32" s="19"/>
      <c r="BK32" s="19"/>
    </row>
    <row r="33" spans="1:63" s="8" customFormat="1" ht="15" customHeight="1" x14ac:dyDescent="0.3">
      <c r="A33" s="2" t="s">
        <v>40</v>
      </c>
      <c r="B33" s="24">
        <f>'2017-18_working'!B33+'2017-18_working'!C33</f>
        <v>12</v>
      </c>
      <c r="C33" s="24">
        <f>'2017-18_working'!D33</f>
        <v>4</v>
      </c>
      <c r="D33" s="24">
        <f>'2017-18_working'!E33</f>
        <v>1</v>
      </c>
      <c r="E33" s="24">
        <f>'2017-18_working'!F33</f>
        <v>0</v>
      </c>
      <c r="F33" s="24">
        <f>'2017-18_working'!G33+'2017-18_working'!H33</f>
        <v>0</v>
      </c>
      <c r="G33" s="24">
        <f>'2017-18_working'!I33</f>
        <v>8</v>
      </c>
      <c r="H33" s="46">
        <f t="shared" si="7"/>
        <v>0.29411764705882354</v>
      </c>
      <c r="I33" s="46">
        <f t="shared" si="8"/>
        <v>0.32</v>
      </c>
      <c r="J33" s="24"/>
      <c r="K33" s="24">
        <f>'2017-18_working'!K33+'2017-18_working'!L33</f>
        <v>18</v>
      </c>
      <c r="L33" s="24">
        <f>'2017-18_working'!M33</f>
        <v>0</v>
      </c>
      <c r="M33" s="24">
        <f>'2017-18_working'!N33</f>
        <v>0</v>
      </c>
      <c r="N33" s="24">
        <f>'2017-18_working'!O33</f>
        <v>0</v>
      </c>
      <c r="O33" s="24">
        <f>'2017-18_working'!P33+'2017-18_working'!Q33</f>
        <v>0</v>
      </c>
      <c r="P33" s="24">
        <f>'2017-18_working'!R33</f>
        <v>9</v>
      </c>
      <c r="Q33" s="46">
        <f t="shared" si="10"/>
        <v>0</v>
      </c>
      <c r="R33" s="46">
        <f t="shared" si="11"/>
        <v>0.33333333333333331</v>
      </c>
      <c r="S33" s="24"/>
      <c r="T33" s="22">
        <f t="shared" si="12"/>
        <v>30</v>
      </c>
      <c r="U33" s="22">
        <f t="shared" si="13"/>
        <v>4</v>
      </c>
      <c r="V33" s="22">
        <f t="shared" si="14"/>
        <v>1</v>
      </c>
      <c r="W33" s="22">
        <f t="shared" si="15"/>
        <v>0</v>
      </c>
      <c r="X33" s="22">
        <f t="shared" si="16"/>
        <v>0</v>
      </c>
      <c r="Y33" s="22">
        <f t="shared" si="17"/>
        <v>17</v>
      </c>
      <c r="Z33" s="46">
        <f t="shared" si="18"/>
        <v>0.14285714285714285</v>
      </c>
      <c r="AA33" s="46">
        <f t="shared" si="19"/>
        <v>0.32692307692307693</v>
      </c>
      <c r="AB33" s="24"/>
      <c r="AC33" s="24">
        <f>'2017-18_working'!T33+'2017-18_working'!U33</f>
        <v>2</v>
      </c>
      <c r="AD33" s="24">
        <f>'2017-18_working'!V33</f>
        <v>0</v>
      </c>
      <c r="AE33" s="24">
        <f>'2017-18_working'!W33</f>
        <v>0</v>
      </c>
      <c r="AF33" s="24">
        <f>'2017-18_working'!X33</f>
        <v>0</v>
      </c>
      <c r="AG33" s="24">
        <f>'2017-18_working'!Y33+'2017-18_working'!Z33</f>
        <v>0</v>
      </c>
      <c r="AH33" s="24">
        <f>'2017-18_working'!AA33</f>
        <v>0</v>
      </c>
      <c r="AI33" s="46">
        <f t="shared" si="21"/>
        <v>0</v>
      </c>
      <c r="AJ33" s="46">
        <f t="shared" si="22"/>
        <v>0</v>
      </c>
      <c r="AK33" s="24"/>
      <c r="AL33" s="24">
        <f>'2017-18_working'!AC33+'2017-18_working'!AD33</f>
        <v>6</v>
      </c>
      <c r="AM33" s="24">
        <f>'2017-18_working'!AE33</f>
        <v>1</v>
      </c>
      <c r="AN33" s="24">
        <f>'2017-18_working'!AF33</f>
        <v>1</v>
      </c>
      <c r="AO33" s="24">
        <f>'2017-18_working'!AG33</f>
        <v>0</v>
      </c>
      <c r="AP33" s="24">
        <f>'2017-18_working'!AH33+'2017-18_working'!AI33</f>
        <v>0</v>
      </c>
      <c r="AQ33" s="24">
        <f>'2017-18_working'!AJ33</f>
        <v>4</v>
      </c>
      <c r="AR33" s="46">
        <f t="shared" si="24"/>
        <v>0.25</v>
      </c>
      <c r="AS33" s="46">
        <f t="shared" si="25"/>
        <v>0.33333333333333331</v>
      </c>
      <c r="AT33" s="24"/>
      <c r="AU33" s="22">
        <f t="shared" si="26"/>
        <v>38</v>
      </c>
      <c r="AV33" s="22">
        <f t="shared" si="27"/>
        <v>5</v>
      </c>
      <c r="AW33" s="22">
        <f t="shared" si="28"/>
        <v>2</v>
      </c>
      <c r="AX33" s="22">
        <f t="shared" si="29"/>
        <v>0</v>
      </c>
      <c r="AY33" s="22">
        <f t="shared" si="30"/>
        <v>0</v>
      </c>
      <c r="AZ33" s="22">
        <f t="shared" si="31"/>
        <v>21</v>
      </c>
      <c r="BA33" s="46">
        <f t="shared" si="32"/>
        <v>0.15555555555555556</v>
      </c>
      <c r="BB33" s="46">
        <f t="shared" si="33"/>
        <v>0.31818181818181818</v>
      </c>
      <c r="BC33" s="19"/>
      <c r="BD33" s="20">
        <f t="shared" si="34"/>
        <v>66</v>
      </c>
      <c r="BE33" s="20">
        <v>66</v>
      </c>
      <c r="BF33" s="53">
        <f t="shared" si="35"/>
        <v>0</v>
      </c>
      <c r="BG33" s="19"/>
      <c r="BH33" s="19"/>
      <c r="BI33" s="19"/>
      <c r="BJ33" s="19"/>
      <c r="BK33" s="19"/>
    </row>
    <row r="34" spans="1:63" s="8" customFormat="1" ht="15" customHeight="1" x14ac:dyDescent="0.3">
      <c r="A34" s="3" t="s">
        <v>41</v>
      </c>
      <c r="B34" s="24">
        <f>'2017-18_working'!B34+'2017-18_working'!C34</f>
        <v>10</v>
      </c>
      <c r="C34" s="24">
        <f>'2017-18_working'!D34</f>
        <v>0</v>
      </c>
      <c r="D34" s="24">
        <f>'2017-18_working'!E34</f>
        <v>0</v>
      </c>
      <c r="E34" s="24">
        <f>'2017-18_working'!F34</f>
        <v>0</v>
      </c>
      <c r="F34" s="24">
        <f>'2017-18_working'!G34+'2017-18_working'!H34</f>
        <v>0</v>
      </c>
      <c r="G34" s="24">
        <f>'2017-18_working'!I34</f>
        <v>0</v>
      </c>
      <c r="H34" s="46">
        <f t="shared" si="7"/>
        <v>0</v>
      </c>
      <c r="I34" s="46">
        <f t="shared" si="8"/>
        <v>0</v>
      </c>
      <c r="J34" s="24"/>
      <c r="K34" s="24">
        <f>'2017-18_working'!K34+'2017-18_working'!L34</f>
        <v>44</v>
      </c>
      <c r="L34" s="24">
        <f>'2017-18_working'!M34</f>
        <v>1</v>
      </c>
      <c r="M34" s="24">
        <f>'2017-18_working'!N34</f>
        <v>0</v>
      </c>
      <c r="N34" s="24">
        <f>'2017-18_working'!O34</f>
        <v>0</v>
      </c>
      <c r="O34" s="24">
        <f>'2017-18_working'!P34+'2017-18_working'!Q34</f>
        <v>0</v>
      </c>
      <c r="P34" s="24">
        <f>'2017-18_working'!R34</f>
        <v>0</v>
      </c>
      <c r="Q34" s="46">
        <f t="shared" si="10"/>
        <v>2.2222222222222223E-2</v>
      </c>
      <c r="R34" s="46">
        <f t="shared" si="11"/>
        <v>0</v>
      </c>
      <c r="S34" s="24"/>
      <c r="T34" s="22">
        <f t="shared" si="12"/>
        <v>54</v>
      </c>
      <c r="U34" s="22">
        <f t="shared" si="13"/>
        <v>1</v>
      </c>
      <c r="V34" s="22">
        <f t="shared" si="14"/>
        <v>0</v>
      </c>
      <c r="W34" s="22">
        <f t="shared" si="15"/>
        <v>0</v>
      </c>
      <c r="X34" s="22">
        <f t="shared" si="16"/>
        <v>0</v>
      </c>
      <c r="Y34" s="22">
        <f t="shared" si="17"/>
        <v>0</v>
      </c>
      <c r="Z34" s="46">
        <f t="shared" si="18"/>
        <v>1.8181818181818181E-2</v>
      </c>
      <c r="AA34" s="46">
        <f t="shared" si="19"/>
        <v>0</v>
      </c>
      <c r="AB34" s="24"/>
      <c r="AC34" s="24">
        <f>'2017-18_working'!T34+'2017-18_working'!U34</f>
        <v>2</v>
      </c>
      <c r="AD34" s="24">
        <f>'2017-18_working'!V34</f>
        <v>0</v>
      </c>
      <c r="AE34" s="24">
        <f>'2017-18_working'!W34</f>
        <v>0</v>
      </c>
      <c r="AF34" s="24">
        <f>'2017-18_working'!X34</f>
        <v>0</v>
      </c>
      <c r="AG34" s="24">
        <f>'2017-18_working'!Y34+'2017-18_working'!Z34</f>
        <v>0</v>
      </c>
      <c r="AH34" s="24">
        <f>'2017-18_working'!AA34</f>
        <v>0</v>
      </c>
      <c r="AI34" s="46">
        <f t="shared" si="21"/>
        <v>0</v>
      </c>
      <c r="AJ34" s="46">
        <f t="shared" si="22"/>
        <v>0</v>
      </c>
      <c r="AK34" s="24"/>
      <c r="AL34" s="24">
        <f>'2017-18_working'!AC34+'2017-18_working'!AD34</f>
        <v>3</v>
      </c>
      <c r="AM34" s="24">
        <f>'2017-18_working'!AE34</f>
        <v>0</v>
      </c>
      <c r="AN34" s="24">
        <f>'2017-18_working'!AF34</f>
        <v>0</v>
      </c>
      <c r="AO34" s="24">
        <f>'2017-18_working'!AG34</f>
        <v>0</v>
      </c>
      <c r="AP34" s="24">
        <f>'2017-18_working'!AH34+'2017-18_working'!AI34</f>
        <v>0</v>
      </c>
      <c r="AQ34" s="24">
        <f>'2017-18_working'!AJ34</f>
        <v>0</v>
      </c>
      <c r="AR34" s="46">
        <f t="shared" si="24"/>
        <v>0</v>
      </c>
      <c r="AS34" s="46">
        <f t="shared" si="25"/>
        <v>0</v>
      </c>
      <c r="AT34" s="24"/>
      <c r="AU34" s="22">
        <f t="shared" si="26"/>
        <v>59</v>
      </c>
      <c r="AV34" s="22">
        <f t="shared" si="27"/>
        <v>1</v>
      </c>
      <c r="AW34" s="22">
        <f t="shared" si="28"/>
        <v>0</v>
      </c>
      <c r="AX34" s="22">
        <f t="shared" si="29"/>
        <v>0</v>
      </c>
      <c r="AY34" s="22">
        <f t="shared" si="30"/>
        <v>0</v>
      </c>
      <c r="AZ34" s="22">
        <f t="shared" si="31"/>
        <v>0</v>
      </c>
      <c r="BA34" s="46">
        <f t="shared" si="32"/>
        <v>1.6666666666666666E-2</v>
      </c>
      <c r="BB34" s="46">
        <f t="shared" si="33"/>
        <v>0</v>
      </c>
      <c r="BC34" s="19"/>
      <c r="BD34" s="20">
        <f t="shared" si="34"/>
        <v>60</v>
      </c>
      <c r="BE34" s="20">
        <v>60</v>
      </c>
      <c r="BF34" s="53">
        <f t="shared" si="35"/>
        <v>0</v>
      </c>
      <c r="BG34" s="19"/>
      <c r="BH34" s="19"/>
      <c r="BI34" s="19"/>
      <c r="BJ34" s="19"/>
      <c r="BK34" s="19"/>
    </row>
    <row r="35" spans="1:63" s="8" customFormat="1" ht="15" customHeight="1" x14ac:dyDescent="0.3">
      <c r="A35" s="3" t="s">
        <v>42</v>
      </c>
      <c r="B35" s="24">
        <f>'2017-18_working'!B35+'2017-18_working'!C35</f>
        <v>16</v>
      </c>
      <c r="C35" s="24">
        <f>'2017-18_working'!D35</f>
        <v>0</v>
      </c>
      <c r="D35" s="24">
        <f>'2017-18_working'!E35</f>
        <v>0</v>
      </c>
      <c r="E35" s="24">
        <f>'2017-18_working'!F35</f>
        <v>0</v>
      </c>
      <c r="F35" s="24">
        <f>'2017-18_working'!G35+'2017-18_working'!H35</f>
        <v>0</v>
      </c>
      <c r="G35" s="24">
        <f>'2017-18_working'!I35</f>
        <v>3</v>
      </c>
      <c r="H35" s="46">
        <f t="shared" si="7"/>
        <v>0</v>
      </c>
      <c r="I35" s="46">
        <f t="shared" si="8"/>
        <v>0.15789473684210525</v>
      </c>
      <c r="J35" s="24"/>
      <c r="K35" s="24">
        <f>'2017-18_working'!K35+'2017-18_working'!L35</f>
        <v>44</v>
      </c>
      <c r="L35" s="24">
        <f>'2017-18_working'!M35</f>
        <v>0</v>
      </c>
      <c r="M35" s="24">
        <f>'2017-18_working'!N35</f>
        <v>0</v>
      </c>
      <c r="N35" s="24">
        <f>'2017-18_working'!O35</f>
        <v>0</v>
      </c>
      <c r="O35" s="24">
        <f>'2017-18_working'!P35+'2017-18_working'!Q35</f>
        <v>0</v>
      </c>
      <c r="P35" s="24">
        <f>'2017-18_working'!R35</f>
        <v>12</v>
      </c>
      <c r="Q35" s="46">
        <f t="shared" si="10"/>
        <v>0</v>
      </c>
      <c r="R35" s="46">
        <f t="shared" si="11"/>
        <v>0.21428571428571427</v>
      </c>
      <c r="S35" s="24"/>
      <c r="T35" s="22">
        <f t="shared" si="12"/>
        <v>60</v>
      </c>
      <c r="U35" s="22">
        <f t="shared" si="13"/>
        <v>0</v>
      </c>
      <c r="V35" s="22">
        <f t="shared" si="14"/>
        <v>0</v>
      </c>
      <c r="W35" s="22">
        <f t="shared" si="15"/>
        <v>0</v>
      </c>
      <c r="X35" s="22">
        <f t="shared" si="16"/>
        <v>0</v>
      </c>
      <c r="Y35" s="22">
        <f t="shared" si="17"/>
        <v>15</v>
      </c>
      <c r="Z35" s="46">
        <f t="shared" si="18"/>
        <v>0</v>
      </c>
      <c r="AA35" s="46">
        <f t="shared" si="19"/>
        <v>0.2</v>
      </c>
      <c r="AB35" s="24"/>
      <c r="AC35" s="24">
        <f>'2017-18_working'!T35+'2017-18_working'!U35</f>
        <v>4</v>
      </c>
      <c r="AD35" s="24">
        <f>'2017-18_working'!V35</f>
        <v>0</v>
      </c>
      <c r="AE35" s="24">
        <f>'2017-18_working'!W35</f>
        <v>0</v>
      </c>
      <c r="AF35" s="24">
        <f>'2017-18_working'!X35</f>
        <v>0</v>
      </c>
      <c r="AG35" s="24">
        <f>'2017-18_working'!Y35+'2017-18_working'!Z35</f>
        <v>0</v>
      </c>
      <c r="AH35" s="24">
        <f>'2017-18_working'!AA35</f>
        <v>0</v>
      </c>
      <c r="AI35" s="46">
        <f t="shared" si="21"/>
        <v>0</v>
      </c>
      <c r="AJ35" s="46">
        <f t="shared" si="22"/>
        <v>0</v>
      </c>
      <c r="AK35" s="24"/>
      <c r="AL35" s="24">
        <f>'2017-18_working'!AC35+'2017-18_working'!AD35</f>
        <v>13</v>
      </c>
      <c r="AM35" s="24">
        <f>'2017-18_working'!AE35</f>
        <v>0</v>
      </c>
      <c r="AN35" s="24">
        <f>'2017-18_working'!AF35</f>
        <v>0</v>
      </c>
      <c r="AO35" s="24">
        <f>'2017-18_working'!AG35</f>
        <v>0</v>
      </c>
      <c r="AP35" s="24">
        <f>'2017-18_working'!AH35+'2017-18_working'!AI35</f>
        <v>0</v>
      </c>
      <c r="AQ35" s="24">
        <f>'2017-18_working'!AJ35</f>
        <v>3</v>
      </c>
      <c r="AR35" s="46">
        <f t="shared" si="24"/>
        <v>0</v>
      </c>
      <c r="AS35" s="46">
        <f t="shared" si="25"/>
        <v>0.1875</v>
      </c>
      <c r="AT35" s="24"/>
      <c r="AU35" s="22">
        <f t="shared" si="26"/>
        <v>77</v>
      </c>
      <c r="AV35" s="22">
        <f t="shared" si="27"/>
        <v>0</v>
      </c>
      <c r="AW35" s="22">
        <f t="shared" si="28"/>
        <v>0</v>
      </c>
      <c r="AX35" s="22">
        <f t="shared" si="29"/>
        <v>0</v>
      </c>
      <c r="AY35" s="22">
        <f t="shared" si="30"/>
        <v>0</v>
      </c>
      <c r="AZ35" s="22">
        <f t="shared" si="31"/>
        <v>18</v>
      </c>
      <c r="BA35" s="46">
        <f t="shared" si="32"/>
        <v>0</v>
      </c>
      <c r="BB35" s="46">
        <f t="shared" si="33"/>
        <v>0.18947368421052632</v>
      </c>
      <c r="BC35" s="19"/>
      <c r="BD35" s="20">
        <f t="shared" si="34"/>
        <v>95</v>
      </c>
      <c r="BE35" s="20">
        <v>95</v>
      </c>
      <c r="BF35" s="53">
        <f t="shared" si="35"/>
        <v>0</v>
      </c>
      <c r="BG35" s="19"/>
      <c r="BH35" s="19"/>
      <c r="BI35" s="19"/>
      <c r="BJ35" s="19"/>
      <c r="BK35" s="19"/>
    </row>
    <row r="36" spans="1:63" s="8" customFormat="1" ht="15" customHeight="1" x14ac:dyDescent="0.3">
      <c r="A36" s="2" t="s">
        <v>43</v>
      </c>
      <c r="B36" s="24">
        <f>'2017-18_working'!B36+'2017-18_working'!C36</f>
        <v>0</v>
      </c>
      <c r="C36" s="24">
        <f>'2017-18_working'!D36</f>
        <v>0</v>
      </c>
      <c r="D36" s="24">
        <f>'2017-18_working'!E36</f>
        <v>0</v>
      </c>
      <c r="E36" s="24">
        <f>'2017-18_working'!F36</f>
        <v>0</v>
      </c>
      <c r="F36" s="24">
        <f>'2017-18_working'!G36+'2017-18_working'!H36</f>
        <v>0</v>
      </c>
      <c r="G36" s="24">
        <f>'2017-18_working'!I36</f>
        <v>0</v>
      </c>
      <c r="H36" s="46" t="str">
        <f t="shared" si="7"/>
        <v>-</v>
      </c>
      <c r="I36" s="46" t="str">
        <f t="shared" si="8"/>
        <v>-</v>
      </c>
      <c r="J36" s="24"/>
      <c r="K36" s="24">
        <f>'2017-18_working'!K36+'2017-18_working'!L36</f>
        <v>0</v>
      </c>
      <c r="L36" s="24">
        <f>'2017-18_working'!M36</f>
        <v>0</v>
      </c>
      <c r="M36" s="24">
        <f>'2017-18_working'!N36</f>
        <v>0</v>
      </c>
      <c r="N36" s="24">
        <f>'2017-18_working'!O36</f>
        <v>0</v>
      </c>
      <c r="O36" s="24">
        <f>'2017-18_working'!P36+'2017-18_working'!Q36</f>
        <v>0</v>
      </c>
      <c r="P36" s="24">
        <f>'2017-18_working'!R36</f>
        <v>0</v>
      </c>
      <c r="Q36" s="46" t="str">
        <f t="shared" si="10"/>
        <v>-</v>
      </c>
      <c r="R36" s="46" t="str">
        <f t="shared" si="11"/>
        <v>-</v>
      </c>
      <c r="S36" s="24"/>
      <c r="T36" s="22">
        <f t="shared" si="12"/>
        <v>0</v>
      </c>
      <c r="U36" s="22">
        <f t="shared" si="13"/>
        <v>0</v>
      </c>
      <c r="V36" s="22">
        <f t="shared" si="14"/>
        <v>0</v>
      </c>
      <c r="W36" s="22">
        <f t="shared" si="15"/>
        <v>0</v>
      </c>
      <c r="X36" s="22">
        <f t="shared" si="16"/>
        <v>0</v>
      </c>
      <c r="Y36" s="22">
        <f t="shared" si="17"/>
        <v>0</v>
      </c>
      <c r="Z36" s="46" t="str">
        <f t="shared" si="18"/>
        <v>-</v>
      </c>
      <c r="AA36" s="46" t="str">
        <f t="shared" si="19"/>
        <v>-</v>
      </c>
      <c r="AB36" s="24"/>
      <c r="AC36" s="24">
        <f>'2017-18_working'!T36+'2017-18_working'!U36</f>
        <v>10</v>
      </c>
      <c r="AD36" s="24">
        <f>'2017-18_working'!V36</f>
        <v>0</v>
      </c>
      <c r="AE36" s="24">
        <f>'2017-18_working'!W36</f>
        <v>0</v>
      </c>
      <c r="AF36" s="24">
        <f>'2017-18_working'!X36</f>
        <v>0</v>
      </c>
      <c r="AG36" s="24">
        <f>'2017-18_working'!Y36+'2017-18_working'!Z36</f>
        <v>0</v>
      </c>
      <c r="AH36" s="24">
        <f>'2017-18_working'!AA36</f>
        <v>0</v>
      </c>
      <c r="AI36" s="46">
        <f t="shared" si="21"/>
        <v>0</v>
      </c>
      <c r="AJ36" s="46">
        <f t="shared" si="22"/>
        <v>0</v>
      </c>
      <c r="AK36" s="24"/>
      <c r="AL36" s="24">
        <f>'2017-18_working'!AC36+'2017-18_working'!AD36</f>
        <v>0</v>
      </c>
      <c r="AM36" s="24">
        <f>'2017-18_working'!AE36</f>
        <v>0</v>
      </c>
      <c r="AN36" s="24">
        <f>'2017-18_working'!AF36</f>
        <v>0</v>
      </c>
      <c r="AO36" s="24">
        <f>'2017-18_working'!AG36</f>
        <v>0</v>
      </c>
      <c r="AP36" s="24">
        <f>'2017-18_working'!AH36+'2017-18_working'!AI36</f>
        <v>0</v>
      </c>
      <c r="AQ36" s="24">
        <f>'2017-18_working'!AJ36</f>
        <v>0</v>
      </c>
      <c r="AR36" s="46" t="str">
        <f t="shared" si="24"/>
        <v>-</v>
      </c>
      <c r="AS36" s="46" t="str">
        <f t="shared" si="25"/>
        <v>-</v>
      </c>
      <c r="AT36" s="24"/>
      <c r="AU36" s="22">
        <f t="shared" si="26"/>
        <v>10</v>
      </c>
      <c r="AV36" s="22">
        <f t="shared" si="27"/>
        <v>0</v>
      </c>
      <c r="AW36" s="22">
        <f t="shared" si="28"/>
        <v>0</v>
      </c>
      <c r="AX36" s="22">
        <f t="shared" si="29"/>
        <v>0</v>
      </c>
      <c r="AY36" s="22">
        <f t="shared" si="30"/>
        <v>0</v>
      </c>
      <c r="AZ36" s="22">
        <f t="shared" si="31"/>
        <v>0</v>
      </c>
      <c r="BA36" s="46">
        <f t="shared" si="32"/>
        <v>0</v>
      </c>
      <c r="BB36" s="46">
        <f t="shared" si="33"/>
        <v>0</v>
      </c>
      <c r="BC36" s="19"/>
      <c r="BD36" s="20">
        <f t="shared" si="34"/>
        <v>10</v>
      </c>
      <c r="BE36" s="20">
        <v>10</v>
      </c>
      <c r="BF36" s="53">
        <f t="shared" si="35"/>
        <v>0</v>
      </c>
      <c r="BG36" s="19"/>
      <c r="BH36" s="19"/>
      <c r="BI36" s="19"/>
      <c r="BJ36" s="19"/>
      <c r="BK36" s="19"/>
    </row>
    <row r="37" spans="1:63" s="8" customFormat="1" ht="15" customHeight="1" x14ac:dyDescent="0.3">
      <c r="A37" s="3" t="s">
        <v>44</v>
      </c>
      <c r="B37" s="24">
        <f>'2017-18_working'!B37+'2017-18_working'!C37</f>
        <v>4</v>
      </c>
      <c r="C37" s="24">
        <f>'2017-18_working'!D37</f>
        <v>0</v>
      </c>
      <c r="D37" s="24">
        <f>'2017-18_working'!E37</f>
        <v>0</v>
      </c>
      <c r="E37" s="24">
        <f>'2017-18_working'!F37</f>
        <v>0</v>
      </c>
      <c r="F37" s="24">
        <f>'2017-18_working'!G37+'2017-18_working'!H37</f>
        <v>0</v>
      </c>
      <c r="G37" s="24">
        <f>'2017-18_working'!I37</f>
        <v>0</v>
      </c>
      <c r="H37" s="46">
        <f t="shared" si="7"/>
        <v>0</v>
      </c>
      <c r="I37" s="46">
        <f t="shared" si="8"/>
        <v>0</v>
      </c>
      <c r="J37" s="24"/>
      <c r="K37" s="24">
        <f>'2017-18_working'!K37+'2017-18_working'!L37</f>
        <v>49</v>
      </c>
      <c r="L37" s="24">
        <f>'2017-18_working'!M37</f>
        <v>0</v>
      </c>
      <c r="M37" s="24">
        <f>'2017-18_working'!N37</f>
        <v>0</v>
      </c>
      <c r="N37" s="24">
        <f>'2017-18_working'!O37</f>
        <v>0</v>
      </c>
      <c r="O37" s="24">
        <f>'2017-18_working'!P37+'2017-18_working'!Q37</f>
        <v>0</v>
      </c>
      <c r="P37" s="24">
        <f>'2017-18_working'!R37</f>
        <v>4</v>
      </c>
      <c r="Q37" s="46">
        <f t="shared" si="10"/>
        <v>0</v>
      </c>
      <c r="R37" s="46">
        <f t="shared" si="11"/>
        <v>7.5471698113207544E-2</v>
      </c>
      <c r="S37" s="24"/>
      <c r="T37" s="22">
        <f t="shared" si="12"/>
        <v>53</v>
      </c>
      <c r="U37" s="22">
        <f t="shared" si="13"/>
        <v>0</v>
      </c>
      <c r="V37" s="22">
        <f t="shared" si="14"/>
        <v>0</v>
      </c>
      <c r="W37" s="22">
        <f t="shared" si="15"/>
        <v>0</v>
      </c>
      <c r="X37" s="22">
        <f t="shared" si="16"/>
        <v>0</v>
      </c>
      <c r="Y37" s="22">
        <f t="shared" si="17"/>
        <v>4</v>
      </c>
      <c r="Z37" s="46">
        <f t="shared" si="18"/>
        <v>0</v>
      </c>
      <c r="AA37" s="46">
        <f t="shared" si="19"/>
        <v>7.0175438596491224E-2</v>
      </c>
      <c r="AB37" s="24"/>
      <c r="AC37" s="24">
        <f>'2017-18_working'!T37+'2017-18_working'!U37</f>
        <v>3</v>
      </c>
      <c r="AD37" s="24">
        <f>'2017-18_working'!V37</f>
        <v>0</v>
      </c>
      <c r="AE37" s="24">
        <f>'2017-18_working'!W37</f>
        <v>0</v>
      </c>
      <c r="AF37" s="24">
        <f>'2017-18_working'!X37</f>
        <v>0</v>
      </c>
      <c r="AG37" s="24">
        <f>'2017-18_working'!Y37+'2017-18_working'!Z37</f>
        <v>0</v>
      </c>
      <c r="AH37" s="24">
        <f>'2017-18_working'!AA37</f>
        <v>0</v>
      </c>
      <c r="AI37" s="46">
        <f t="shared" si="21"/>
        <v>0</v>
      </c>
      <c r="AJ37" s="46">
        <f t="shared" si="22"/>
        <v>0</v>
      </c>
      <c r="AK37" s="24"/>
      <c r="AL37" s="24">
        <f>'2017-18_working'!AC37+'2017-18_working'!AD37</f>
        <v>19</v>
      </c>
      <c r="AM37" s="24">
        <f>'2017-18_working'!AE37</f>
        <v>0</v>
      </c>
      <c r="AN37" s="24">
        <f>'2017-18_working'!AF37</f>
        <v>0</v>
      </c>
      <c r="AO37" s="24">
        <f>'2017-18_working'!AG37</f>
        <v>1</v>
      </c>
      <c r="AP37" s="24">
        <f>'2017-18_working'!AH37+'2017-18_working'!AI37</f>
        <v>0</v>
      </c>
      <c r="AQ37" s="24">
        <f>'2017-18_working'!AJ37</f>
        <v>0</v>
      </c>
      <c r="AR37" s="46">
        <f t="shared" si="24"/>
        <v>0.05</v>
      </c>
      <c r="AS37" s="46">
        <f t="shared" si="25"/>
        <v>0</v>
      </c>
      <c r="AT37" s="24"/>
      <c r="AU37" s="22">
        <f t="shared" si="26"/>
        <v>75</v>
      </c>
      <c r="AV37" s="22">
        <f t="shared" si="27"/>
        <v>0</v>
      </c>
      <c r="AW37" s="22">
        <f t="shared" si="28"/>
        <v>0</v>
      </c>
      <c r="AX37" s="22">
        <f t="shared" si="29"/>
        <v>1</v>
      </c>
      <c r="AY37" s="22">
        <f t="shared" si="30"/>
        <v>0</v>
      </c>
      <c r="AZ37" s="22">
        <f t="shared" si="31"/>
        <v>4</v>
      </c>
      <c r="BA37" s="46">
        <f t="shared" si="32"/>
        <v>1.3157894736842105E-2</v>
      </c>
      <c r="BB37" s="46">
        <f t="shared" si="33"/>
        <v>0.05</v>
      </c>
      <c r="BC37" s="19"/>
      <c r="BD37" s="20">
        <f t="shared" si="34"/>
        <v>80</v>
      </c>
      <c r="BE37" s="20">
        <v>80</v>
      </c>
      <c r="BF37" s="53">
        <f t="shared" si="35"/>
        <v>0</v>
      </c>
      <c r="BG37" s="19"/>
      <c r="BH37" s="19"/>
      <c r="BI37" s="19"/>
      <c r="BJ37" s="19"/>
      <c r="BK37" s="19"/>
    </row>
    <row r="38" spans="1:63" s="8" customFormat="1" ht="15" customHeight="1" x14ac:dyDescent="0.3">
      <c r="A38" s="3" t="s">
        <v>45</v>
      </c>
      <c r="B38" s="24">
        <f>'2017-18_working'!B38+'2017-18_working'!C38</f>
        <v>1</v>
      </c>
      <c r="C38" s="24">
        <f>'2017-18_working'!D38</f>
        <v>0</v>
      </c>
      <c r="D38" s="24">
        <f>'2017-18_working'!E38</f>
        <v>0</v>
      </c>
      <c r="E38" s="24">
        <f>'2017-18_working'!F38</f>
        <v>0</v>
      </c>
      <c r="F38" s="24">
        <f>'2017-18_working'!G38+'2017-18_working'!H38</f>
        <v>0</v>
      </c>
      <c r="G38" s="24">
        <f>'2017-18_working'!I38</f>
        <v>12</v>
      </c>
      <c r="H38" s="46">
        <f t="shared" si="7"/>
        <v>0</v>
      </c>
      <c r="I38" s="46">
        <f t="shared" si="8"/>
        <v>0.92307692307692313</v>
      </c>
      <c r="J38" s="24"/>
      <c r="K38" s="24">
        <f>'2017-18_working'!K38+'2017-18_working'!L38</f>
        <v>5</v>
      </c>
      <c r="L38" s="24">
        <f>'2017-18_working'!M38</f>
        <v>0</v>
      </c>
      <c r="M38" s="24">
        <f>'2017-18_working'!N38</f>
        <v>0</v>
      </c>
      <c r="N38" s="24">
        <f>'2017-18_working'!O38</f>
        <v>0</v>
      </c>
      <c r="O38" s="24">
        <f>'2017-18_working'!P38+'2017-18_working'!Q38</f>
        <v>0</v>
      </c>
      <c r="P38" s="24">
        <f>'2017-18_working'!R38</f>
        <v>29</v>
      </c>
      <c r="Q38" s="46">
        <f t="shared" si="10"/>
        <v>0</v>
      </c>
      <c r="R38" s="46">
        <f t="shared" si="11"/>
        <v>0.8529411764705882</v>
      </c>
      <c r="S38" s="24"/>
      <c r="T38" s="22">
        <f t="shared" si="12"/>
        <v>6</v>
      </c>
      <c r="U38" s="22">
        <f t="shared" si="13"/>
        <v>0</v>
      </c>
      <c r="V38" s="22">
        <f t="shared" si="14"/>
        <v>0</v>
      </c>
      <c r="W38" s="22">
        <f t="shared" si="15"/>
        <v>0</v>
      </c>
      <c r="X38" s="22">
        <f t="shared" si="16"/>
        <v>0</v>
      </c>
      <c r="Y38" s="22">
        <f t="shared" si="17"/>
        <v>41</v>
      </c>
      <c r="Z38" s="46">
        <f t="shared" si="18"/>
        <v>0</v>
      </c>
      <c r="AA38" s="46">
        <f t="shared" si="19"/>
        <v>0.87234042553191493</v>
      </c>
      <c r="AB38" s="24"/>
      <c r="AC38" s="24">
        <f>'2017-18_working'!T38+'2017-18_working'!U38</f>
        <v>0</v>
      </c>
      <c r="AD38" s="24">
        <f>'2017-18_working'!V38</f>
        <v>0</v>
      </c>
      <c r="AE38" s="24">
        <f>'2017-18_working'!W38</f>
        <v>0</v>
      </c>
      <c r="AF38" s="24">
        <f>'2017-18_working'!X38</f>
        <v>0</v>
      </c>
      <c r="AG38" s="24">
        <f>'2017-18_working'!Y38+'2017-18_working'!Z38</f>
        <v>0</v>
      </c>
      <c r="AH38" s="24">
        <f>'2017-18_working'!AA38</f>
        <v>0</v>
      </c>
      <c r="AI38" s="46" t="str">
        <f t="shared" si="21"/>
        <v>-</v>
      </c>
      <c r="AJ38" s="46" t="str">
        <f t="shared" si="22"/>
        <v>-</v>
      </c>
      <c r="AK38" s="24"/>
      <c r="AL38" s="24">
        <f>'2017-18_working'!AC38+'2017-18_working'!AD38</f>
        <v>2</v>
      </c>
      <c r="AM38" s="24">
        <f>'2017-18_working'!AE38</f>
        <v>0</v>
      </c>
      <c r="AN38" s="24">
        <f>'2017-18_working'!AF38</f>
        <v>0</v>
      </c>
      <c r="AO38" s="24">
        <f>'2017-18_working'!AG38</f>
        <v>1</v>
      </c>
      <c r="AP38" s="24">
        <f>'2017-18_working'!AH38+'2017-18_working'!AI38</f>
        <v>0</v>
      </c>
      <c r="AQ38" s="24">
        <f>'2017-18_working'!AJ38</f>
        <v>7</v>
      </c>
      <c r="AR38" s="46">
        <f t="shared" si="24"/>
        <v>0.33333333333333331</v>
      </c>
      <c r="AS38" s="46">
        <f t="shared" si="25"/>
        <v>0.7</v>
      </c>
      <c r="AT38" s="24"/>
      <c r="AU38" s="22">
        <f t="shared" si="26"/>
        <v>8</v>
      </c>
      <c r="AV38" s="22">
        <f t="shared" si="27"/>
        <v>0</v>
      </c>
      <c r="AW38" s="22">
        <f t="shared" si="28"/>
        <v>0</v>
      </c>
      <c r="AX38" s="22">
        <f t="shared" si="29"/>
        <v>1</v>
      </c>
      <c r="AY38" s="22">
        <f t="shared" si="30"/>
        <v>0</v>
      </c>
      <c r="AZ38" s="22">
        <f t="shared" si="31"/>
        <v>48</v>
      </c>
      <c r="BA38" s="46">
        <f t="shared" si="32"/>
        <v>0.1111111111111111</v>
      </c>
      <c r="BB38" s="46">
        <f t="shared" si="33"/>
        <v>0.84210526315789469</v>
      </c>
      <c r="BC38" s="19"/>
      <c r="BD38" s="20">
        <f t="shared" si="34"/>
        <v>57</v>
      </c>
      <c r="BE38" s="20">
        <v>57</v>
      </c>
      <c r="BF38" s="53">
        <f t="shared" si="35"/>
        <v>0</v>
      </c>
      <c r="BG38" s="19"/>
      <c r="BH38" s="19"/>
      <c r="BI38" s="19"/>
      <c r="BJ38" s="19"/>
      <c r="BK38" s="19"/>
    </row>
    <row r="39" spans="1:63" s="8" customFormat="1" ht="15" customHeight="1" x14ac:dyDescent="0.3">
      <c r="A39" s="3" t="s">
        <v>46</v>
      </c>
      <c r="B39" s="24">
        <f>'2017-18_working'!B39+'2017-18_working'!C39</f>
        <v>1</v>
      </c>
      <c r="C39" s="24">
        <f>'2017-18_working'!D39</f>
        <v>0</v>
      </c>
      <c r="D39" s="24">
        <f>'2017-18_working'!E39</f>
        <v>0</v>
      </c>
      <c r="E39" s="24">
        <f>'2017-18_working'!F39</f>
        <v>0</v>
      </c>
      <c r="F39" s="24">
        <f>'2017-18_working'!G39+'2017-18_working'!H39</f>
        <v>0</v>
      </c>
      <c r="G39" s="24">
        <f>'2017-18_working'!I39</f>
        <v>0</v>
      </c>
      <c r="H39" s="46">
        <f t="shared" si="7"/>
        <v>0</v>
      </c>
      <c r="I39" s="46">
        <f t="shared" si="8"/>
        <v>0</v>
      </c>
      <c r="J39" s="24"/>
      <c r="K39" s="24">
        <f>'2017-18_working'!K39+'2017-18_working'!L39</f>
        <v>18</v>
      </c>
      <c r="L39" s="24">
        <f>'2017-18_working'!M39</f>
        <v>0</v>
      </c>
      <c r="M39" s="24">
        <f>'2017-18_working'!N39</f>
        <v>0</v>
      </c>
      <c r="N39" s="24">
        <f>'2017-18_working'!O39</f>
        <v>0</v>
      </c>
      <c r="O39" s="24">
        <f>'2017-18_working'!P39+'2017-18_working'!Q39</f>
        <v>0</v>
      </c>
      <c r="P39" s="24">
        <f>'2017-18_working'!R39</f>
        <v>0</v>
      </c>
      <c r="Q39" s="46">
        <f t="shared" si="10"/>
        <v>0</v>
      </c>
      <c r="R39" s="46">
        <f t="shared" si="11"/>
        <v>0</v>
      </c>
      <c r="S39" s="24"/>
      <c r="T39" s="22">
        <f t="shared" si="12"/>
        <v>19</v>
      </c>
      <c r="U39" s="22">
        <f t="shared" si="13"/>
        <v>0</v>
      </c>
      <c r="V39" s="22">
        <f t="shared" si="14"/>
        <v>0</v>
      </c>
      <c r="W39" s="22">
        <f t="shared" si="15"/>
        <v>0</v>
      </c>
      <c r="X39" s="22">
        <f t="shared" si="16"/>
        <v>0</v>
      </c>
      <c r="Y39" s="22">
        <f t="shared" si="17"/>
        <v>0</v>
      </c>
      <c r="Z39" s="46">
        <f t="shared" si="18"/>
        <v>0</v>
      </c>
      <c r="AA39" s="46">
        <f t="shared" si="19"/>
        <v>0</v>
      </c>
      <c r="AB39" s="24"/>
      <c r="AC39" s="24">
        <f>'2017-18_working'!T39+'2017-18_working'!U39</f>
        <v>1</v>
      </c>
      <c r="AD39" s="24">
        <f>'2017-18_working'!V39</f>
        <v>0</v>
      </c>
      <c r="AE39" s="24">
        <f>'2017-18_working'!W39</f>
        <v>0</v>
      </c>
      <c r="AF39" s="24">
        <f>'2017-18_working'!X39</f>
        <v>0</v>
      </c>
      <c r="AG39" s="24">
        <f>'2017-18_working'!Y39+'2017-18_working'!Z39</f>
        <v>0</v>
      </c>
      <c r="AH39" s="24">
        <f>'2017-18_working'!AA39</f>
        <v>0</v>
      </c>
      <c r="AI39" s="46">
        <f t="shared" si="21"/>
        <v>0</v>
      </c>
      <c r="AJ39" s="46">
        <f t="shared" si="22"/>
        <v>0</v>
      </c>
      <c r="AK39" s="24"/>
      <c r="AL39" s="24">
        <f>'2017-18_working'!AC39+'2017-18_working'!AD39</f>
        <v>1</v>
      </c>
      <c r="AM39" s="24">
        <f>'2017-18_working'!AE39</f>
        <v>0</v>
      </c>
      <c r="AN39" s="24">
        <f>'2017-18_working'!AF39</f>
        <v>0</v>
      </c>
      <c r="AO39" s="24">
        <f>'2017-18_working'!AG39</f>
        <v>0</v>
      </c>
      <c r="AP39" s="24">
        <f>'2017-18_working'!AH39+'2017-18_working'!AI39</f>
        <v>0</v>
      </c>
      <c r="AQ39" s="24">
        <f>'2017-18_working'!AJ39</f>
        <v>3</v>
      </c>
      <c r="AR39" s="46">
        <f t="shared" si="24"/>
        <v>0</v>
      </c>
      <c r="AS39" s="46">
        <f t="shared" si="25"/>
        <v>0.75</v>
      </c>
      <c r="AT39" s="24"/>
      <c r="AU39" s="22">
        <f t="shared" si="26"/>
        <v>21</v>
      </c>
      <c r="AV39" s="22">
        <f t="shared" si="27"/>
        <v>0</v>
      </c>
      <c r="AW39" s="22">
        <f t="shared" si="28"/>
        <v>0</v>
      </c>
      <c r="AX39" s="22">
        <f t="shared" si="29"/>
        <v>0</v>
      </c>
      <c r="AY39" s="22">
        <f t="shared" si="30"/>
        <v>0</v>
      </c>
      <c r="AZ39" s="22">
        <f t="shared" si="31"/>
        <v>3</v>
      </c>
      <c r="BA39" s="46">
        <f t="shared" si="32"/>
        <v>0</v>
      </c>
      <c r="BB39" s="46">
        <f t="shared" si="33"/>
        <v>0.125</v>
      </c>
      <c r="BC39" s="19"/>
      <c r="BD39" s="20">
        <f t="shared" si="34"/>
        <v>24</v>
      </c>
      <c r="BE39" s="20">
        <v>24</v>
      </c>
      <c r="BF39" s="53">
        <f t="shared" si="35"/>
        <v>0</v>
      </c>
      <c r="BG39" s="19"/>
      <c r="BH39" s="19"/>
      <c r="BI39" s="19"/>
      <c r="BJ39" s="19"/>
      <c r="BK39" s="19"/>
    </row>
    <row r="40" spans="1:63" s="8" customFormat="1" ht="15" customHeight="1" x14ac:dyDescent="0.3">
      <c r="A40" s="2" t="s">
        <v>47</v>
      </c>
      <c r="B40" s="24">
        <f>'2017-18_working'!B40+'2017-18_working'!C40</f>
        <v>13</v>
      </c>
      <c r="C40" s="24">
        <f>'2017-18_working'!D40</f>
        <v>0</v>
      </c>
      <c r="D40" s="24">
        <f>'2017-18_working'!E40</f>
        <v>0</v>
      </c>
      <c r="E40" s="24">
        <f>'2017-18_working'!F40</f>
        <v>0</v>
      </c>
      <c r="F40" s="24">
        <f>'2017-18_working'!G40+'2017-18_working'!H40</f>
        <v>0</v>
      </c>
      <c r="G40" s="24">
        <f>'2017-18_working'!I40</f>
        <v>0</v>
      </c>
      <c r="H40" s="46">
        <f t="shared" si="7"/>
        <v>0</v>
      </c>
      <c r="I40" s="46">
        <f t="shared" si="8"/>
        <v>0</v>
      </c>
      <c r="J40" s="24"/>
      <c r="K40" s="24">
        <f>'2017-18_working'!K40+'2017-18_working'!L40</f>
        <v>33</v>
      </c>
      <c r="L40" s="24">
        <f>'2017-18_working'!M40</f>
        <v>0</v>
      </c>
      <c r="M40" s="24">
        <f>'2017-18_working'!N40</f>
        <v>0</v>
      </c>
      <c r="N40" s="24">
        <f>'2017-18_working'!O40</f>
        <v>0</v>
      </c>
      <c r="O40" s="24">
        <f>'2017-18_working'!P40+'2017-18_working'!Q40</f>
        <v>0</v>
      </c>
      <c r="P40" s="24">
        <f>'2017-18_working'!R40</f>
        <v>3</v>
      </c>
      <c r="Q40" s="46">
        <f t="shared" si="10"/>
        <v>0</v>
      </c>
      <c r="R40" s="46">
        <f t="shared" si="11"/>
        <v>8.3333333333333329E-2</v>
      </c>
      <c r="S40" s="24"/>
      <c r="T40" s="22">
        <f t="shared" si="12"/>
        <v>46</v>
      </c>
      <c r="U40" s="22">
        <f t="shared" si="13"/>
        <v>0</v>
      </c>
      <c r="V40" s="22">
        <f t="shared" si="14"/>
        <v>0</v>
      </c>
      <c r="W40" s="22">
        <f t="shared" si="15"/>
        <v>0</v>
      </c>
      <c r="X40" s="22">
        <f t="shared" si="16"/>
        <v>0</v>
      </c>
      <c r="Y40" s="22">
        <f t="shared" si="17"/>
        <v>3</v>
      </c>
      <c r="Z40" s="46">
        <f t="shared" si="18"/>
        <v>0</v>
      </c>
      <c r="AA40" s="46">
        <f t="shared" si="19"/>
        <v>6.1224489795918366E-2</v>
      </c>
      <c r="AB40" s="24"/>
      <c r="AC40" s="24">
        <f>'2017-18_working'!T40+'2017-18_working'!U40</f>
        <v>1</v>
      </c>
      <c r="AD40" s="24">
        <f>'2017-18_working'!V40</f>
        <v>0</v>
      </c>
      <c r="AE40" s="24">
        <f>'2017-18_working'!W40</f>
        <v>0</v>
      </c>
      <c r="AF40" s="24">
        <f>'2017-18_working'!X40</f>
        <v>0</v>
      </c>
      <c r="AG40" s="24">
        <f>'2017-18_working'!Y40+'2017-18_working'!Z40</f>
        <v>0</v>
      </c>
      <c r="AH40" s="24">
        <f>'2017-18_working'!AA40</f>
        <v>0</v>
      </c>
      <c r="AI40" s="46">
        <f t="shared" si="21"/>
        <v>0</v>
      </c>
      <c r="AJ40" s="46">
        <f t="shared" si="22"/>
        <v>0</v>
      </c>
      <c r="AK40" s="24"/>
      <c r="AL40" s="24">
        <f>'2017-18_working'!AC40+'2017-18_working'!AD40</f>
        <v>10</v>
      </c>
      <c r="AM40" s="24">
        <f>'2017-18_working'!AE40</f>
        <v>0</v>
      </c>
      <c r="AN40" s="24">
        <f>'2017-18_working'!AF40</f>
        <v>0</v>
      </c>
      <c r="AO40" s="24">
        <f>'2017-18_working'!AG40</f>
        <v>2</v>
      </c>
      <c r="AP40" s="24">
        <f>'2017-18_working'!AH40+'2017-18_working'!AI40</f>
        <v>0</v>
      </c>
      <c r="AQ40" s="24">
        <f>'2017-18_working'!AJ40</f>
        <v>7</v>
      </c>
      <c r="AR40" s="46">
        <f t="shared" si="24"/>
        <v>0.16666666666666666</v>
      </c>
      <c r="AS40" s="46">
        <f t="shared" si="25"/>
        <v>0.36842105263157893</v>
      </c>
      <c r="AT40" s="24"/>
      <c r="AU40" s="22">
        <f t="shared" si="26"/>
        <v>57</v>
      </c>
      <c r="AV40" s="22">
        <f t="shared" si="27"/>
        <v>0</v>
      </c>
      <c r="AW40" s="22">
        <f t="shared" si="28"/>
        <v>0</v>
      </c>
      <c r="AX40" s="22">
        <f t="shared" si="29"/>
        <v>2</v>
      </c>
      <c r="AY40" s="22">
        <f t="shared" si="30"/>
        <v>0</v>
      </c>
      <c r="AZ40" s="22">
        <f t="shared" si="31"/>
        <v>10</v>
      </c>
      <c r="BA40" s="46">
        <f t="shared" si="32"/>
        <v>3.3898305084745763E-2</v>
      </c>
      <c r="BB40" s="46">
        <f t="shared" si="33"/>
        <v>0.14492753623188406</v>
      </c>
      <c r="BC40" s="19"/>
      <c r="BD40" s="20">
        <f t="shared" si="34"/>
        <v>69</v>
      </c>
      <c r="BE40" s="20">
        <v>69</v>
      </c>
      <c r="BF40" s="53">
        <f t="shared" si="35"/>
        <v>0</v>
      </c>
      <c r="BG40" s="19"/>
      <c r="BH40" s="19"/>
      <c r="BI40" s="19"/>
      <c r="BJ40" s="19"/>
      <c r="BK40" s="19"/>
    </row>
    <row r="41" spans="1:63" s="8" customFormat="1" ht="15" customHeight="1" x14ac:dyDescent="0.3">
      <c r="A41" s="2" t="s">
        <v>48</v>
      </c>
      <c r="B41" s="24">
        <f>'2017-18_working'!B41+'2017-18_working'!C41</f>
        <v>0</v>
      </c>
      <c r="C41" s="24">
        <f>'2017-18_working'!D41</f>
        <v>0</v>
      </c>
      <c r="D41" s="24">
        <f>'2017-18_working'!E41</f>
        <v>0</v>
      </c>
      <c r="E41" s="24">
        <f>'2017-18_working'!F41</f>
        <v>0</v>
      </c>
      <c r="F41" s="24">
        <f>'2017-18_working'!G41+'2017-18_working'!H41</f>
        <v>0</v>
      </c>
      <c r="G41" s="24">
        <f>'2017-18_working'!I41</f>
        <v>0</v>
      </c>
      <c r="H41" s="46" t="str">
        <f t="shared" si="7"/>
        <v>-</v>
      </c>
      <c r="I41" s="46" t="str">
        <f t="shared" si="8"/>
        <v>-</v>
      </c>
      <c r="J41" s="24"/>
      <c r="K41" s="24">
        <f>'2017-18_working'!K41+'2017-18_working'!L41</f>
        <v>66</v>
      </c>
      <c r="L41" s="24">
        <f>'2017-18_working'!M41</f>
        <v>0</v>
      </c>
      <c r="M41" s="24">
        <f>'2017-18_working'!N41</f>
        <v>0</v>
      </c>
      <c r="N41" s="24">
        <f>'2017-18_working'!O41</f>
        <v>0</v>
      </c>
      <c r="O41" s="24">
        <f>'2017-18_working'!P41+'2017-18_working'!Q41</f>
        <v>1</v>
      </c>
      <c r="P41" s="24">
        <f>'2017-18_working'!R41</f>
        <v>7</v>
      </c>
      <c r="Q41" s="46">
        <f t="shared" si="10"/>
        <v>1.4925373134328358E-2</v>
      </c>
      <c r="R41" s="46">
        <f t="shared" si="11"/>
        <v>9.45945945945946E-2</v>
      </c>
      <c r="S41" s="24"/>
      <c r="T41" s="22">
        <f t="shared" si="12"/>
        <v>66</v>
      </c>
      <c r="U41" s="22">
        <f t="shared" si="13"/>
        <v>0</v>
      </c>
      <c r="V41" s="22">
        <f t="shared" si="14"/>
        <v>0</v>
      </c>
      <c r="W41" s="22">
        <f t="shared" si="15"/>
        <v>0</v>
      </c>
      <c r="X41" s="22">
        <f t="shared" si="16"/>
        <v>1</v>
      </c>
      <c r="Y41" s="22">
        <f t="shared" si="17"/>
        <v>7</v>
      </c>
      <c r="Z41" s="46">
        <f t="shared" si="18"/>
        <v>1.4925373134328358E-2</v>
      </c>
      <c r="AA41" s="46">
        <f t="shared" si="19"/>
        <v>9.45945945945946E-2</v>
      </c>
      <c r="AB41" s="24"/>
      <c r="AC41" s="24">
        <f>'2017-18_working'!T41+'2017-18_working'!U41</f>
        <v>0</v>
      </c>
      <c r="AD41" s="24">
        <f>'2017-18_working'!V41</f>
        <v>0</v>
      </c>
      <c r="AE41" s="24">
        <f>'2017-18_working'!W41</f>
        <v>0</v>
      </c>
      <c r="AF41" s="24">
        <f>'2017-18_working'!X41</f>
        <v>0</v>
      </c>
      <c r="AG41" s="24">
        <f>'2017-18_working'!Y41+'2017-18_working'!Z41</f>
        <v>0</v>
      </c>
      <c r="AH41" s="24">
        <f>'2017-18_working'!AA41</f>
        <v>0</v>
      </c>
      <c r="AI41" s="46" t="str">
        <f t="shared" si="21"/>
        <v>-</v>
      </c>
      <c r="AJ41" s="46" t="str">
        <f t="shared" si="22"/>
        <v>-</v>
      </c>
      <c r="AK41" s="24"/>
      <c r="AL41" s="24">
        <f>'2017-18_working'!AC41+'2017-18_working'!AD41</f>
        <v>4</v>
      </c>
      <c r="AM41" s="24">
        <f>'2017-18_working'!AE41</f>
        <v>0</v>
      </c>
      <c r="AN41" s="24">
        <f>'2017-18_working'!AF41</f>
        <v>0</v>
      </c>
      <c r="AO41" s="24">
        <f>'2017-18_working'!AG41</f>
        <v>0</v>
      </c>
      <c r="AP41" s="24">
        <f>'2017-18_working'!AH41+'2017-18_working'!AI41</f>
        <v>0</v>
      </c>
      <c r="AQ41" s="24">
        <f>'2017-18_working'!AJ41</f>
        <v>0</v>
      </c>
      <c r="AR41" s="46">
        <f t="shared" si="24"/>
        <v>0</v>
      </c>
      <c r="AS41" s="46">
        <f t="shared" si="25"/>
        <v>0</v>
      </c>
      <c r="AT41" s="24"/>
      <c r="AU41" s="22">
        <f t="shared" si="26"/>
        <v>70</v>
      </c>
      <c r="AV41" s="22">
        <f t="shared" si="27"/>
        <v>0</v>
      </c>
      <c r="AW41" s="22">
        <f t="shared" si="28"/>
        <v>0</v>
      </c>
      <c r="AX41" s="22">
        <f t="shared" si="29"/>
        <v>0</v>
      </c>
      <c r="AY41" s="22">
        <f t="shared" si="30"/>
        <v>1</v>
      </c>
      <c r="AZ41" s="22">
        <f t="shared" si="31"/>
        <v>7</v>
      </c>
      <c r="BA41" s="46">
        <f t="shared" si="32"/>
        <v>1.4084507042253521E-2</v>
      </c>
      <c r="BB41" s="46">
        <f t="shared" si="33"/>
        <v>8.9743589743589744E-2</v>
      </c>
      <c r="BC41" s="19"/>
      <c r="BD41" s="20">
        <f t="shared" si="34"/>
        <v>78</v>
      </c>
      <c r="BE41" s="20">
        <v>78</v>
      </c>
      <c r="BF41" s="53">
        <f t="shared" si="35"/>
        <v>0</v>
      </c>
      <c r="BG41" s="19"/>
      <c r="BH41" s="19"/>
      <c r="BI41" s="19"/>
      <c r="BJ41" s="19"/>
      <c r="BK41" s="19"/>
    </row>
    <row r="42" spans="1:63" s="8" customFormat="1" ht="15" customHeight="1" x14ac:dyDescent="0.3">
      <c r="A42" s="2" t="s">
        <v>49</v>
      </c>
      <c r="B42" s="24">
        <f>'2017-18_working'!B42+'2017-18_working'!C42</f>
        <v>5</v>
      </c>
      <c r="C42" s="24">
        <f>'2017-18_working'!D42</f>
        <v>0</v>
      </c>
      <c r="D42" s="24">
        <f>'2017-18_working'!E42</f>
        <v>0</v>
      </c>
      <c r="E42" s="24">
        <f>'2017-18_working'!F42</f>
        <v>0</v>
      </c>
      <c r="F42" s="24">
        <f>'2017-18_working'!G42+'2017-18_working'!H42</f>
        <v>0</v>
      </c>
      <c r="G42" s="24">
        <f>'2017-18_working'!I42</f>
        <v>0</v>
      </c>
      <c r="H42" s="46">
        <f t="shared" si="7"/>
        <v>0</v>
      </c>
      <c r="I42" s="46">
        <f t="shared" si="8"/>
        <v>0</v>
      </c>
      <c r="J42" s="24"/>
      <c r="K42" s="24">
        <f>'2017-18_working'!K42+'2017-18_working'!L42</f>
        <v>23</v>
      </c>
      <c r="L42" s="24">
        <f>'2017-18_working'!M42</f>
        <v>0</v>
      </c>
      <c r="M42" s="24">
        <f>'2017-18_working'!N42</f>
        <v>0</v>
      </c>
      <c r="N42" s="24">
        <f>'2017-18_working'!O42</f>
        <v>0</v>
      </c>
      <c r="O42" s="24">
        <f>'2017-18_working'!P42+'2017-18_working'!Q42</f>
        <v>0</v>
      </c>
      <c r="P42" s="24">
        <f>'2017-18_working'!R42</f>
        <v>3</v>
      </c>
      <c r="Q42" s="46">
        <f t="shared" si="10"/>
        <v>0</v>
      </c>
      <c r="R42" s="46">
        <f t="shared" si="11"/>
        <v>0.11538461538461539</v>
      </c>
      <c r="S42" s="24"/>
      <c r="T42" s="22">
        <f t="shared" si="12"/>
        <v>28</v>
      </c>
      <c r="U42" s="22">
        <f t="shared" si="13"/>
        <v>0</v>
      </c>
      <c r="V42" s="22">
        <f t="shared" si="14"/>
        <v>0</v>
      </c>
      <c r="W42" s="22">
        <f t="shared" si="15"/>
        <v>0</v>
      </c>
      <c r="X42" s="22">
        <f t="shared" si="16"/>
        <v>0</v>
      </c>
      <c r="Y42" s="22">
        <f t="shared" si="17"/>
        <v>3</v>
      </c>
      <c r="Z42" s="46">
        <f t="shared" si="18"/>
        <v>0</v>
      </c>
      <c r="AA42" s="46">
        <f t="shared" si="19"/>
        <v>9.6774193548387094E-2</v>
      </c>
      <c r="AB42" s="24"/>
      <c r="AC42" s="24">
        <f>'2017-18_working'!T42+'2017-18_working'!U42</f>
        <v>0</v>
      </c>
      <c r="AD42" s="24">
        <f>'2017-18_working'!V42</f>
        <v>0</v>
      </c>
      <c r="AE42" s="24">
        <f>'2017-18_working'!W42</f>
        <v>0</v>
      </c>
      <c r="AF42" s="24">
        <f>'2017-18_working'!X42</f>
        <v>0</v>
      </c>
      <c r="AG42" s="24">
        <f>'2017-18_working'!Y42+'2017-18_working'!Z42</f>
        <v>0</v>
      </c>
      <c r="AH42" s="24">
        <f>'2017-18_working'!AA42</f>
        <v>1</v>
      </c>
      <c r="AI42" s="46" t="str">
        <f t="shared" si="21"/>
        <v>-</v>
      </c>
      <c r="AJ42" s="46">
        <f t="shared" si="22"/>
        <v>1</v>
      </c>
      <c r="AK42" s="24"/>
      <c r="AL42" s="24">
        <f>'2017-18_working'!AC42+'2017-18_working'!AD42</f>
        <v>7</v>
      </c>
      <c r="AM42" s="24">
        <f>'2017-18_working'!AE42</f>
        <v>0</v>
      </c>
      <c r="AN42" s="24">
        <f>'2017-18_working'!AF42</f>
        <v>0</v>
      </c>
      <c r="AO42" s="24">
        <f>'2017-18_working'!AG42</f>
        <v>0</v>
      </c>
      <c r="AP42" s="24">
        <f>'2017-18_working'!AH42+'2017-18_working'!AI42</f>
        <v>1</v>
      </c>
      <c r="AQ42" s="24">
        <f>'2017-18_working'!AJ42</f>
        <v>1</v>
      </c>
      <c r="AR42" s="46">
        <f t="shared" si="24"/>
        <v>0.125</v>
      </c>
      <c r="AS42" s="46">
        <f t="shared" si="25"/>
        <v>0.1111111111111111</v>
      </c>
      <c r="AT42" s="24"/>
      <c r="AU42" s="22">
        <f t="shared" si="26"/>
        <v>35</v>
      </c>
      <c r="AV42" s="22">
        <f t="shared" si="27"/>
        <v>0</v>
      </c>
      <c r="AW42" s="22">
        <f t="shared" si="28"/>
        <v>0</v>
      </c>
      <c r="AX42" s="22">
        <f t="shared" si="29"/>
        <v>0</v>
      </c>
      <c r="AY42" s="22">
        <f t="shared" si="30"/>
        <v>1</v>
      </c>
      <c r="AZ42" s="22">
        <f t="shared" si="31"/>
        <v>5</v>
      </c>
      <c r="BA42" s="46">
        <f t="shared" si="32"/>
        <v>2.7777777777777776E-2</v>
      </c>
      <c r="BB42" s="46">
        <f t="shared" si="33"/>
        <v>0.12195121951219512</v>
      </c>
      <c r="BC42" s="19"/>
      <c r="BD42" s="20">
        <f t="shared" si="34"/>
        <v>41</v>
      </c>
      <c r="BE42" s="20">
        <v>41</v>
      </c>
      <c r="BF42" s="53">
        <f t="shared" si="35"/>
        <v>0</v>
      </c>
      <c r="BG42" s="19"/>
      <c r="BH42" s="19"/>
      <c r="BI42" s="19"/>
      <c r="BJ42" s="19"/>
      <c r="BK42" s="19"/>
    </row>
    <row r="43" spans="1:63" s="8" customFormat="1" ht="15" customHeight="1" x14ac:dyDescent="0.3">
      <c r="A43" s="2" t="s">
        <v>50</v>
      </c>
      <c r="B43" s="24">
        <f>'2017-18_working'!B43+'2017-18_working'!C43</f>
        <v>8</v>
      </c>
      <c r="C43" s="24">
        <f>'2017-18_working'!D43</f>
        <v>0</v>
      </c>
      <c r="D43" s="24">
        <f>'2017-18_working'!E43</f>
        <v>0</v>
      </c>
      <c r="E43" s="24">
        <f>'2017-18_working'!F43</f>
        <v>0</v>
      </c>
      <c r="F43" s="24">
        <f>'2017-18_working'!G43+'2017-18_working'!H43</f>
        <v>0</v>
      </c>
      <c r="G43" s="24">
        <f>'2017-18_working'!I43</f>
        <v>0</v>
      </c>
      <c r="H43" s="46">
        <f t="shared" si="7"/>
        <v>0</v>
      </c>
      <c r="I43" s="46">
        <f t="shared" si="8"/>
        <v>0</v>
      </c>
      <c r="J43" s="24"/>
      <c r="K43" s="24">
        <f>'2017-18_working'!K43+'2017-18_working'!L43</f>
        <v>16</v>
      </c>
      <c r="L43" s="24">
        <f>'2017-18_working'!M43</f>
        <v>0</v>
      </c>
      <c r="M43" s="24">
        <f>'2017-18_working'!N43</f>
        <v>0</v>
      </c>
      <c r="N43" s="24">
        <f>'2017-18_working'!O43</f>
        <v>0</v>
      </c>
      <c r="O43" s="24">
        <f>'2017-18_working'!P43+'2017-18_working'!Q43</f>
        <v>0</v>
      </c>
      <c r="P43" s="24">
        <f>'2017-18_working'!R43</f>
        <v>0</v>
      </c>
      <c r="Q43" s="46">
        <f t="shared" si="10"/>
        <v>0</v>
      </c>
      <c r="R43" s="46">
        <f t="shared" si="11"/>
        <v>0</v>
      </c>
      <c r="S43" s="24"/>
      <c r="T43" s="22">
        <f t="shared" si="12"/>
        <v>24</v>
      </c>
      <c r="U43" s="22">
        <f t="shared" si="13"/>
        <v>0</v>
      </c>
      <c r="V43" s="22">
        <f t="shared" si="14"/>
        <v>0</v>
      </c>
      <c r="W43" s="22">
        <f t="shared" si="15"/>
        <v>0</v>
      </c>
      <c r="X43" s="22">
        <f t="shared" si="16"/>
        <v>0</v>
      </c>
      <c r="Y43" s="22">
        <f t="shared" si="17"/>
        <v>0</v>
      </c>
      <c r="Z43" s="46">
        <f t="shared" si="18"/>
        <v>0</v>
      </c>
      <c r="AA43" s="46">
        <f t="shared" si="19"/>
        <v>0</v>
      </c>
      <c r="AB43" s="24"/>
      <c r="AC43" s="24">
        <f>'2017-18_working'!T43+'2017-18_working'!U43</f>
        <v>0</v>
      </c>
      <c r="AD43" s="24">
        <f>'2017-18_working'!V43</f>
        <v>0</v>
      </c>
      <c r="AE43" s="24">
        <f>'2017-18_working'!W43</f>
        <v>0</v>
      </c>
      <c r="AF43" s="24">
        <f>'2017-18_working'!X43</f>
        <v>0</v>
      </c>
      <c r="AG43" s="24">
        <f>'2017-18_working'!Y43+'2017-18_working'!Z43</f>
        <v>0</v>
      </c>
      <c r="AH43" s="24">
        <f>'2017-18_working'!AA43</f>
        <v>0</v>
      </c>
      <c r="AI43" s="46" t="str">
        <f t="shared" si="21"/>
        <v>-</v>
      </c>
      <c r="AJ43" s="46" t="str">
        <f t="shared" si="22"/>
        <v>-</v>
      </c>
      <c r="AK43" s="24"/>
      <c r="AL43" s="24">
        <f>'2017-18_working'!AC43+'2017-18_working'!AD43</f>
        <v>10</v>
      </c>
      <c r="AM43" s="24">
        <f>'2017-18_working'!AE43</f>
        <v>0</v>
      </c>
      <c r="AN43" s="24">
        <f>'2017-18_working'!AF43</f>
        <v>0</v>
      </c>
      <c r="AO43" s="24">
        <f>'2017-18_working'!AG43</f>
        <v>0</v>
      </c>
      <c r="AP43" s="24">
        <f>'2017-18_working'!AH43+'2017-18_working'!AI43</f>
        <v>0</v>
      </c>
      <c r="AQ43" s="24">
        <f>'2017-18_working'!AJ43</f>
        <v>0</v>
      </c>
      <c r="AR43" s="46">
        <f t="shared" si="24"/>
        <v>0</v>
      </c>
      <c r="AS43" s="46">
        <f t="shared" si="25"/>
        <v>0</v>
      </c>
      <c r="AT43" s="24"/>
      <c r="AU43" s="22">
        <f t="shared" si="26"/>
        <v>34</v>
      </c>
      <c r="AV43" s="22">
        <f t="shared" si="27"/>
        <v>0</v>
      </c>
      <c r="AW43" s="22">
        <f t="shared" si="28"/>
        <v>0</v>
      </c>
      <c r="AX43" s="22">
        <f t="shared" si="29"/>
        <v>0</v>
      </c>
      <c r="AY43" s="22">
        <f t="shared" si="30"/>
        <v>0</v>
      </c>
      <c r="AZ43" s="22">
        <f t="shared" si="31"/>
        <v>0</v>
      </c>
      <c r="BA43" s="46">
        <f t="shared" si="32"/>
        <v>0</v>
      </c>
      <c r="BB43" s="46">
        <f t="shared" si="33"/>
        <v>0</v>
      </c>
      <c r="BC43" s="19"/>
      <c r="BD43" s="20">
        <f t="shared" si="34"/>
        <v>34</v>
      </c>
      <c r="BE43" s="20">
        <v>34</v>
      </c>
      <c r="BF43" s="53">
        <f t="shared" si="35"/>
        <v>0</v>
      </c>
      <c r="BG43" s="19"/>
      <c r="BH43" s="19"/>
      <c r="BI43" s="19"/>
      <c r="BJ43" s="19"/>
      <c r="BK43" s="19"/>
    </row>
    <row r="44" spans="1:63" s="8" customFormat="1" ht="15" customHeight="1" x14ac:dyDescent="0.3">
      <c r="A44" s="2" t="s">
        <v>51</v>
      </c>
      <c r="B44" s="24">
        <f>'2017-18_working'!B44+'2017-18_working'!C44</f>
        <v>1</v>
      </c>
      <c r="C44" s="24">
        <f>'2017-18_working'!D44</f>
        <v>0</v>
      </c>
      <c r="D44" s="24">
        <f>'2017-18_working'!E44</f>
        <v>0</v>
      </c>
      <c r="E44" s="24">
        <f>'2017-18_working'!F44</f>
        <v>0</v>
      </c>
      <c r="F44" s="24">
        <f>'2017-18_working'!G44+'2017-18_working'!H44</f>
        <v>0</v>
      </c>
      <c r="G44" s="24">
        <f>'2017-18_working'!I44</f>
        <v>1</v>
      </c>
      <c r="H44" s="46">
        <f t="shared" si="7"/>
        <v>0</v>
      </c>
      <c r="I44" s="46">
        <f t="shared" si="8"/>
        <v>0.5</v>
      </c>
      <c r="J44" s="24"/>
      <c r="K44" s="24">
        <f>'2017-18_working'!K44+'2017-18_working'!L44</f>
        <v>2</v>
      </c>
      <c r="L44" s="24">
        <f>'2017-18_working'!M44</f>
        <v>0</v>
      </c>
      <c r="M44" s="24">
        <f>'2017-18_working'!N44</f>
        <v>0</v>
      </c>
      <c r="N44" s="24">
        <f>'2017-18_working'!O44</f>
        <v>0</v>
      </c>
      <c r="O44" s="24">
        <f>'2017-18_working'!P44+'2017-18_working'!Q44</f>
        <v>0</v>
      </c>
      <c r="P44" s="24">
        <f>'2017-18_working'!R44</f>
        <v>47</v>
      </c>
      <c r="Q44" s="46">
        <f t="shared" si="10"/>
        <v>0</v>
      </c>
      <c r="R44" s="46">
        <f t="shared" si="11"/>
        <v>0.95918367346938771</v>
      </c>
      <c r="S44" s="24"/>
      <c r="T44" s="22">
        <f t="shared" si="12"/>
        <v>3</v>
      </c>
      <c r="U44" s="22">
        <f t="shared" si="13"/>
        <v>0</v>
      </c>
      <c r="V44" s="22">
        <f t="shared" si="14"/>
        <v>0</v>
      </c>
      <c r="W44" s="22">
        <f t="shared" si="15"/>
        <v>0</v>
      </c>
      <c r="X44" s="22">
        <f t="shared" si="16"/>
        <v>0</v>
      </c>
      <c r="Y44" s="22">
        <f t="shared" si="17"/>
        <v>48</v>
      </c>
      <c r="Z44" s="46">
        <f t="shared" si="18"/>
        <v>0</v>
      </c>
      <c r="AA44" s="46">
        <f t="shared" si="19"/>
        <v>0.94117647058823528</v>
      </c>
      <c r="AB44" s="24"/>
      <c r="AC44" s="24">
        <f>'2017-18_working'!T44+'2017-18_working'!U44</f>
        <v>0</v>
      </c>
      <c r="AD44" s="24">
        <f>'2017-18_working'!V44</f>
        <v>0</v>
      </c>
      <c r="AE44" s="24">
        <f>'2017-18_working'!W44</f>
        <v>0</v>
      </c>
      <c r="AF44" s="24">
        <f>'2017-18_working'!X44</f>
        <v>0</v>
      </c>
      <c r="AG44" s="24">
        <f>'2017-18_working'!Y44+'2017-18_working'!Z44</f>
        <v>0</v>
      </c>
      <c r="AH44" s="24">
        <f>'2017-18_working'!AA44</f>
        <v>0</v>
      </c>
      <c r="AI44" s="46" t="str">
        <f t="shared" si="21"/>
        <v>-</v>
      </c>
      <c r="AJ44" s="46" t="str">
        <f t="shared" si="22"/>
        <v>-</v>
      </c>
      <c r="AK44" s="24"/>
      <c r="AL44" s="24">
        <f>'2017-18_working'!AC44+'2017-18_working'!AD44</f>
        <v>5</v>
      </c>
      <c r="AM44" s="24">
        <f>'2017-18_working'!AE44</f>
        <v>0</v>
      </c>
      <c r="AN44" s="24">
        <f>'2017-18_working'!AF44</f>
        <v>0</v>
      </c>
      <c r="AO44" s="24">
        <f>'2017-18_working'!AG44</f>
        <v>0</v>
      </c>
      <c r="AP44" s="24">
        <f>'2017-18_working'!AH44+'2017-18_working'!AI44</f>
        <v>0</v>
      </c>
      <c r="AQ44" s="24">
        <f>'2017-18_working'!AJ44</f>
        <v>1</v>
      </c>
      <c r="AR44" s="46">
        <f t="shared" si="24"/>
        <v>0</v>
      </c>
      <c r="AS44" s="46">
        <f t="shared" si="25"/>
        <v>0.16666666666666666</v>
      </c>
      <c r="AT44" s="24"/>
      <c r="AU44" s="22">
        <f t="shared" si="26"/>
        <v>8</v>
      </c>
      <c r="AV44" s="22">
        <f t="shared" si="27"/>
        <v>0</v>
      </c>
      <c r="AW44" s="22">
        <f t="shared" si="28"/>
        <v>0</v>
      </c>
      <c r="AX44" s="22">
        <f t="shared" si="29"/>
        <v>0</v>
      </c>
      <c r="AY44" s="22">
        <f t="shared" si="30"/>
        <v>0</v>
      </c>
      <c r="AZ44" s="22">
        <f t="shared" si="31"/>
        <v>49</v>
      </c>
      <c r="BA44" s="46">
        <f t="shared" si="32"/>
        <v>0</v>
      </c>
      <c r="BB44" s="46">
        <f t="shared" si="33"/>
        <v>0.85964912280701755</v>
      </c>
      <c r="BC44" s="19"/>
      <c r="BD44" s="20">
        <f t="shared" si="34"/>
        <v>57</v>
      </c>
      <c r="BE44" s="20">
        <v>57</v>
      </c>
      <c r="BF44" s="53">
        <f t="shared" si="35"/>
        <v>0</v>
      </c>
      <c r="BG44" s="19"/>
      <c r="BH44" s="19"/>
      <c r="BI44" s="19"/>
      <c r="BJ44" s="19"/>
      <c r="BK44" s="19"/>
    </row>
    <row r="45" spans="1:63" s="8" customFormat="1" ht="15" customHeight="1" x14ac:dyDescent="0.3">
      <c r="A45" s="2" t="s">
        <v>52</v>
      </c>
      <c r="B45" s="24">
        <f>'2017-18_working'!B45+'2017-18_working'!C45</f>
        <v>5</v>
      </c>
      <c r="C45" s="24">
        <f>'2017-18_working'!D45</f>
        <v>0</v>
      </c>
      <c r="D45" s="24">
        <f>'2017-18_working'!E45</f>
        <v>0</v>
      </c>
      <c r="E45" s="24">
        <f>'2017-18_working'!F45</f>
        <v>0</v>
      </c>
      <c r="F45" s="24">
        <f>'2017-18_working'!G45+'2017-18_working'!H45</f>
        <v>0</v>
      </c>
      <c r="G45" s="24">
        <f>'2017-18_working'!I45</f>
        <v>3</v>
      </c>
      <c r="H45" s="46">
        <f t="shared" si="7"/>
        <v>0</v>
      </c>
      <c r="I45" s="46">
        <f t="shared" si="8"/>
        <v>0.375</v>
      </c>
      <c r="J45" s="24"/>
      <c r="K45" s="24">
        <f>'2017-18_working'!K45+'2017-18_working'!L45</f>
        <v>5</v>
      </c>
      <c r="L45" s="24">
        <f>'2017-18_working'!M45</f>
        <v>0</v>
      </c>
      <c r="M45" s="24">
        <f>'2017-18_working'!N45</f>
        <v>0</v>
      </c>
      <c r="N45" s="24">
        <f>'2017-18_working'!O45</f>
        <v>0</v>
      </c>
      <c r="O45" s="24">
        <f>'2017-18_working'!P45+'2017-18_working'!Q45</f>
        <v>0</v>
      </c>
      <c r="P45" s="24">
        <f>'2017-18_working'!R45</f>
        <v>4</v>
      </c>
      <c r="Q45" s="46">
        <f t="shared" si="10"/>
        <v>0</v>
      </c>
      <c r="R45" s="46">
        <f t="shared" si="11"/>
        <v>0.44444444444444442</v>
      </c>
      <c r="S45" s="24"/>
      <c r="T45" s="22">
        <f t="shared" si="12"/>
        <v>10</v>
      </c>
      <c r="U45" s="22">
        <f t="shared" si="13"/>
        <v>0</v>
      </c>
      <c r="V45" s="22">
        <f t="shared" si="14"/>
        <v>0</v>
      </c>
      <c r="W45" s="22">
        <f t="shared" si="15"/>
        <v>0</v>
      </c>
      <c r="X45" s="22">
        <f t="shared" si="16"/>
        <v>0</v>
      </c>
      <c r="Y45" s="22">
        <f t="shared" si="17"/>
        <v>7</v>
      </c>
      <c r="Z45" s="46">
        <f t="shared" si="18"/>
        <v>0</v>
      </c>
      <c r="AA45" s="46">
        <f t="shared" si="19"/>
        <v>0.41176470588235292</v>
      </c>
      <c r="AB45" s="24"/>
      <c r="AC45" s="24">
        <f>'2017-18_working'!T45+'2017-18_working'!U45</f>
        <v>1</v>
      </c>
      <c r="AD45" s="24">
        <f>'2017-18_working'!V45</f>
        <v>0</v>
      </c>
      <c r="AE45" s="24">
        <f>'2017-18_working'!W45</f>
        <v>0</v>
      </c>
      <c r="AF45" s="24">
        <f>'2017-18_working'!X45</f>
        <v>0</v>
      </c>
      <c r="AG45" s="24">
        <f>'2017-18_working'!Y45+'2017-18_working'!Z45</f>
        <v>0</v>
      </c>
      <c r="AH45" s="24">
        <f>'2017-18_working'!AA45</f>
        <v>2</v>
      </c>
      <c r="AI45" s="46">
        <f t="shared" si="21"/>
        <v>0</v>
      </c>
      <c r="AJ45" s="46">
        <f t="shared" si="22"/>
        <v>0.66666666666666663</v>
      </c>
      <c r="AK45" s="24"/>
      <c r="AL45" s="24">
        <f>'2017-18_working'!AC45+'2017-18_working'!AD45</f>
        <v>1</v>
      </c>
      <c r="AM45" s="24">
        <f>'2017-18_working'!AE45</f>
        <v>0</v>
      </c>
      <c r="AN45" s="24">
        <f>'2017-18_working'!AF45</f>
        <v>0</v>
      </c>
      <c r="AO45" s="24">
        <f>'2017-18_working'!AG45</f>
        <v>0</v>
      </c>
      <c r="AP45" s="24">
        <f>'2017-18_working'!AH45+'2017-18_working'!AI45</f>
        <v>0</v>
      </c>
      <c r="AQ45" s="24">
        <f>'2017-18_working'!AJ45</f>
        <v>0</v>
      </c>
      <c r="AR45" s="46">
        <f t="shared" si="24"/>
        <v>0</v>
      </c>
      <c r="AS45" s="46">
        <f t="shared" si="25"/>
        <v>0</v>
      </c>
      <c r="AT45" s="24"/>
      <c r="AU45" s="22">
        <f t="shared" si="26"/>
        <v>12</v>
      </c>
      <c r="AV45" s="22">
        <f t="shared" si="27"/>
        <v>0</v>
      </c>
      <c r="AW45" s="22">
        <f t="shared" si="28"/>
        <v>0</v>
      </c>
      <c r="AX45" s="22">
        <f t="shared" si="29"/>
        <v>0</v>
      </c>
      <c r="AY45" s="22">
        <f t="shared" si="30"/>
        <v>0</v>
      </c>
      <c r="AZ45" s="22">
        <f t="shared" si="31"/>
        <v>9</v>
      </c>
      <c r="BA45" s="46">
        <f t="shared" si="32"/>
        <v>0</v>
      </c>
      <c r="BB45" s="46">
        <f t="shared" si="33"/>
        <v>0.42857142857142855</v>
      </c>
      <c r="BC45" s="19"/>
      <c r="BD45" s="20">
        <f t="shared" si="34"/>
        <v>21</v>
      </c>
      <c r="BE45" s="20">
        <v>21</v>
      </c>
      <c r="BF45" s="53">
        <f t="shared" si="35"/>
        <v>0</v>
      </c>
      <c r="BG45" s="19"/>
      <c r="BH45" s="19"/>
      <c r="BI45" s="19"/>
      <c r="BJ45" s="19"/>
      <c r="BK45" s="19"/>
    </row>
    <row r="46" spans="1:63" s="8" customFormat="1" ht="15" customHeight="1" x14ac:dyDescent="0.3">
      <c r="A46" s="2" t="s">
        <v>53</v>
      </c>
      <c r="B46" s="24">
        <f>'2017-18_working'!B46+'2017-18_working'!C46</f>
        <v>7</v>
      </c>
      <c r="C46" s="24">
        <f>'2017-18_working'!D46</f>
        <v>0</v>
      </c>
      <c r="D46" s="24">
        <f>'2017-18_working'!E46</f>
        <v>0</v>
      </c>
      <c r="E46" s="24">
        <f>'2017-18_working'!F46</f>
        <v>0</v>
      </c>
      <c r="F46" s="24">
        <f>'2017-18_working'!G46+'2017-18_working'!H46</f>
        <v>0</v>
      </c>
      <c r="G46" s="24">
        <f>'2017-18_working'!I46</f>
        <v>24</v>
      </c>
      <c r="H46" s="46">
        <f t="shared" si="7"/>
        <v>0</v>
      </c>
      <c r="I46" s="46">
        <f t="shared" si="8"/>
        <v>0.77419354838709675</v>
      </c>
      <c r="J46" s="24"/>
      <c r="K46" s="24">
        <f>'2017-18_working'!K46+'2017-18_working'!L46</f>
        <v>12</v>
      </c>
      <c r="L46" s="24">
        <f>'2017-18_working'!M46</f>
        <v>0</v>
      </c>
      <c r="M46" s="24">
        <f>'2017-18_working'!N46</f>
        <v>0</v>
      </c>
      <c r="N46" s="24">
        <f>'2017-18_working'!O46</f>
        <v>0</v>
      </c>
      <c r="O46" s="24">
        <f>'2017-18_working'!P46+'2017-18_working'!Q46</f>
        <v>0</v>
      </c>
      <c r="P46" s="24">
        <f>'2017-18_working'!R46</f>
        <v>8</v>
      </c>
      <c r="Q46" s="46">
        <f t="shared" si="10"/>
        <v>0</v>
      </c>
      <c r="R46" s="46">
        <f t="shared" si="11"/>
        <v>0.4</v>
      </c>
      <c r="S46" s="24"/>
      <c r="T46" s="22">
        <f t="shared" si="12"/>
        <v>19</v>
      </c>
      <c r="U46" s="22">
        <f t="shared" si="13"/>
        <v>0</v>
      </c>
      <c r="V46" s="22">
        <f t="shared" si="14"/>
        <v>0</v>
      </c>
      <c r="W46" s="22">
        <f t="shared" si="15"/>
        <v>0</v>
      </c>
      <c r="X46" s="22">
        <f t="shared" si="16"/>
        <v>0</v>
      </c>
      <c r="Y46" s="22">
        <f t="shared" si="17"/>
        <v>32</v>
      </c>
      <c r="Z46" s="46">
        <f t="shared" si="18"/>
        <v>0</v>
      </c>
      <c r="AA46" s="46">
        <f t="shared" si="19"/>
        <v>0.62745098039215685</v>
      </c>
      <c r="AB46" s="24"/>
      <c r="AC46" s="24">
        <f>'2017-18_working'!T46+'2017-18_working'!U46</f>
        <v>3</v>
      </c>
      <c r="AD46" s="24">
        <f>'2017-18_working'!V46</f>
        <v>0</v>
      </c>
      <c r="AE46" s="24">
        <f>'2017-18_working'!W46</f>
        <v>0</v>
      </c>
      <c r="AF46" s="24">
        <f>'2017-18_working'!X46</f>
        <v>0</v>
      </c>
      <c r="AG46" s="24">
        <f>'2017-18_working'!Y46+'2017-18_working'!Z46</f>
        <v>0</v>
      </c>
      <c r="AH46" s="24">
        <f>'2017-18_working'!AA46</f>
        <v>0</v>
      </c>
      <c r="AI46" s="46">
        <f t="shared" si="21"/>
        <v>0</v>
      </c>
      <c r="AJ46" s="46">
        <f t="shared" si="22"/>
        <v>0</v>
      </c>
      <c r="AK46" s="24"/>
      <c r="AL46" s="24">
        <f>'2017-18_working'!AC46+'2017-18_working'!AD46</f>
        <v>12</v>
      </c>
      <c r="AM46" s="24">
        <f>'2017-18_working'!AE46</f>
        <v>0</v>
      </c>
      <c r="AN46" s="24">
        <f>'2017-18_working'!AF46</f>
        <v>1</v>
      </c>
      <c r="AO46" s="24">
        <f>'2017-18_working'!AG46</f>
        <v>0</v>
      </c>
      <c r="AP46" s="24">
        <f>'2017-18_working'!AH46+'2017-18_working'!AI46</f>
        <v>0</v>
      </c>
      <c r="AQ46" s="24">
        <f>'2017-18_working'!AJ46</f>
        <v>7</v>
      </c>
      <c r="AR46" s="46">
        <f t="shared" si="24"/>
        <v>7.6923076923076927E-2</v>
      </c>
      <c r="AS46" s="46">
        <f t="shared" si="25"/>
        <v>0.35</v>
      </c>
      <c r="AT46" s="24"/>
      <c r="AU46" s="22">
        <f t="shared" si="26"/>
        <v>34</v>
      </c>
      <c r="AV46" s="22">
        <f t="shared" si="27"/>
        <v>0</v>
      </c>
      <c r="AW46" s="22">
        <f t="shared" si="28"/>
        <v>1</v>
      </c>
      <c r="AX46" s="22">
        <f t="shared" si="29"/>
        <v>0</v>
      </c>
      <c r="AY46" s="22">
        <f t="shared" si="30"/>
        <v>0</v>
      </c>
      <c r="AZ46" s="22">
        <f t="shared" si="31"/>
        <v>39</v>
      </c>
      <c r="BA46" s="46">
        <f t="shared" si="32"/>
        <v>2.8571428571428571E-2</v>
      </c>
      <c r="BB46" s="46">
        <f t="shared" si="33"/>
        <v>0.52702702702702697</v>
      </c>
      <c r="BC46" s="19"/>
      <c r="BD46" s="20">
        <f t="shared" si="34"/>
        <v>74</v>
      </c>
      <c r="BE46" s="20">
        <v>74</v>
      </c>
      <c r="BF46" s="53">
        <f t="shared" si="35"/>
        <v>0</v>
      </c>
      <c r="BG46" s="19"/>
      <c r="BH46" s="19"/>
      <c r="BI46" s="19"/>
      <c r="BJ46" s="19"/>
      <c r="BK46" s="19"/>
    </row>
    <row r="47" spans="1:63" s="8" customFormat="1" ht="15" customHeight="1" x14ac:dyDescent="0.3">
      <c r="A47" s="2" t="s">
        <v>54</v>
      </c>
      <c r="B47" s="24">
        <f>'2017-18_working'!B47+'2017-18_working'!C47</f>
        <v>12</v>
      </c>
      <c r="C47" s="24">
        <f>'2017-18_working'!D47</f>
        <v>0</v>
      </c>
      <c r="D47" s="24">
        <f>'2017-18_working'!E47</f>
        <v>0</v>
      </c>
      <c r="E47" s="24">
        <f>'2017-18_working'!F47</f>
        <v>0</v>
      </c>
      <c r="F47" s="24">
        <f>'2017-18_working'!G47+'2017-18_working'!H47</f>
        <v>0</v>
      </c>
      <c r="G47" s="24">
        <f>'2017-18_working'!I47</f>
        <v>12</v>
      </c>
      <c r="H47" s="46">
        <f t="shared" si="7"/>
        <v>0</v>
      </c>
      <c r="I47" s="46">
        <f t="shared" si="8"/>
        <v>0.5</v>
      </c>
      <c r="J47" s="24"/>
      <c r="K47" s="24">
        <f>'2017-18_working'!K47+'2017-18_working'!L47</f>
        <v>37</v>
      </c>
      <c r="L47" s="24">
        <f>'2017-18_working'!M47</f>
        <v>1</v>
      </c>
      <c r="M47" s="24">
        <f>'2017-18_working'!N47</f>
        <v>0</v>
      </c>
      <c r="N47" s="24">
        <f>'2017-18_working'!O47</f>
        <v>0</v>
      </c>
      <c r="O47" s="24">
        <f>'2017-18_working'!P47+'2017-18_working'!Q47</f>
        <v>0</v>
      </c>
      <c r="P47" s="24">
        <f>'2017-18_working'!R47</f>
        <v>9</v>
      </c>
      <c r="Q47" s="46">
        <f t="shared" si="10"/>
        <v>2.6315789473684209E-2</v>
      </c>
      <c r="R47" s="46">
        <f t="shared" si="11"/>
        <v>0.19148936170212766</v>
      </c>
      <c r="S47" s="24"/>
      <c r="T47" s="22">
        <f t="shared" si="12"/>
        <v>49</v>
      </c>
      <c r="U47" s="22">
        <f t="shared" si="13"/>
        <v>1</v>
      </c>
      <c r="V47" s="22">
        <f t="shared" si="14"/>
        <v>0</v>
      </c>
      <c r="W47" s="22">
        <f t="shared" si="15"/>
        <v>0</v>
      </c>
      <c r="X47" s="22">
        <f t="shared" si="16"/>
        <v>0</v>
      </c>
      <c r="Y47" s="22">
        <f t="shared" si="17"/>
        <v>21</v>
      </c>
      <c r="Z47" s="46">
        <f t="shared" si="18"/>
        <v>0.02</v>
      </c>
      <c r="AA47" s="46">
        <f t="shared" si="19"/>
        <v>0.29577464788732394</v>
      </c>
      <c r="AB47" s="24"/>
      <c r="AC47" s="24">
        <f>'2017-18_working'!T47+'2017-18_working'!U47</f>
        <v>0</v>
      </c>
      <c r="AD47" s="24">
        <f>'2017-18_working'!V47</f>
        <v>0</v>
      </c>
      <c r="AE47" s="24">
        <f>'2017-18_working'!W47</f>
        <v>0</v>
      </c>
      <c r="AF47" s="24">
        <f>'2017-18_working'!X47</f>
        <v>0</v>
      </c>
      <c r="AG47" s="24">
        <f>'2017-18_working'!Y47+'2017-18_working'!Z47</f>
        <v>0</v>
      </c>
      <c r="AH47" s="24">
        <f>'2017-18_working'!AA47</f>
        <v>0</v>
      </c>
      <c r="AI47" s="46" t="str">
        <f t="shared" si="21"/>
        <v>-</v>
      </c>
      <c r="AJ47" s="46" t="str">
        <f t="shared" si="22"/>
        <v>-</v>
      </c>
      <c r="AK47" s="24"/>
      <c r="AL47" s="24">
        <f>'2017-18_working'!AC47+'2017-18_working'!AD47</f>
        <v>10</v>
      </c>
      <c r="AM47" s="24">
        <f>'2017-18_working'!AE47</f>
        <v>0</v>
      </c>
      <c r="AN47" s="24">
        <f>'2017-18_working'!AF47</f>
        <v>0</v>
      </c>
      <c r="AO47" s="24">
        <f>'2017-18_working'!AG47</f>
        <v>0</v>
      </c>
      <c r="AP47" s="24">
        <f>'2017-18_working'!AH47+'2017-18_working'!AI47</f>
        <v>0</v>
      </c>
      <c r="AQ47" s="24">
        <f>'2017-18_working'!AJ47</f>
        <v>0</v>
      </c>
      <c r="AR47" s="46">
        <f t="shared" si="24"/>
        <v>0</v>
      </c>
      <c r="AS47" s="46">
        <f t="shared" si="25"/>
        <v>0</v>
      </c>
      <c r="AT47" s="24"/>
      <c r="AU47" s="22">
        <f t="shared" si="26"/>
        <v>59</v>
      </c>
      <c r="AV47" s="22">
        <f t="shared" si="27"/>
        <v>1</v>
      </c>
      <c r="AW47" s="22">
        <f t="shared" si="28"/>
        <v>0</v>
      </c>
      <c r="AX47" s="22">
        <f t="shared" si="29"/>
        <v>0</v>
      </c>
      <c r="AY47" s="22">
        <f t="shared" si="30"/>
        <v>0</v>
      </c>
      <c r="AZ47" s="22">
        <f t="shared" si="31"/>
        <v>21</v>
      </c>
      <c r="BA47" s="46">
        <f t="shared" si="32"/>
        <v>1.6666666666666666E-2</v>
      </c>
      <c r="BB47" s="46">
        <f t="shared" si="33"/>
        <v>0.25925925925925924</v>
      </c>
      <c r="BC47" s="19"/>
      <c r="BD47" s="20">
        <f t="shared" si="34"/>
        <v>81</v>
      </c>
      <c r="BE47" s="20">
        <v>81</v>
      </c>
      <c r="BF47" s="53">
        <f t="shared" si="35"/>
        <v>0</v>
      </c>
      <c r="BG47" s="19"/>
      <c r="BH47" s="19"/>
      <c r="BI47" s="19"/>
      <c r="BJ47" s="19"/>
      <c r="BK47" s="19"/>
    </row>
    <row r="48" spans="1:63" s="8" customFormat="1" ht="15" customHeight="1" x14ac:dyDescent="0.3">
      <c r="A48" s="2" t="s">
        <v>55</v>
      </c>
      <c r="B48" s="24">
        <f>'2017-18_working'!B48+'2017-18_working'!C48</f>
        <v>0</v>
      </c>
      <c r="C48" s="24">
        <f>'2017-18_working'!D48</f>
        <v>0</v>
      </c>
      <c r="D48" s="24">
        <f>'2017-18_working'!E48</f>
        <v>0</v>
      </c>
      <c r="E48" s="24">
        <f>'2017-18_working'!F48</f>
        <v>0</v>
      </c>
      <c r="F48" s="24">
        <f>'2017-18_working'!G48+'2017-18_working'!H48</f>
        <v>0</v>
      </c>
      <c r="G48" s="24">
        <f>'2017-18_working'!I48</f>
        <v>0</v>
      </c>
      <c r="H48" s="46" t="str">
        <f t="shared" si="7"/>
        <v>-</v>
      </c>
      <c r="I48" s="46" t="str">
        <f t="shared" si="8"/>
        <v>-</v>
      </c>
      <c r="J48" s="24"/>
      <c r="K48" s="24">
        <f>'2017-18_working'!K48+'2017-18_working'!L48</f>
        <v>0</v>
      </c>
      <c r="L48" s="24">
        <f>'2017-18_working'!M48</f>
        <v>0</v>
      </c>
      <c r="M48" s="24">
        <f>'2017-18_working'!N48</f>
        <v>0</v>
      </c>
      <c r="N48" s="24">
        <f>'2017-18_working'!O48</f>
        <v>0</v>
      </c>
      <c r="O48" s="24">
        <f>'2017-18_working'!P48+'2017-18_working'!Q48</f>
        <v>0</v>
      </c>
      <c r="P48" s="24">
        <f>'2017-18_working'!R48</f>
        <v>2</v>
      </c>
      <c r="Q48" s="46" t="str">
        <f t="shared" si="10"/>
        <v>-</v>
      </c>
      <c r="R48" s="46">
        <f t="shared" si="11"/>
        <v>1</v>
      </c>
      <c r="S48" s="24"/>
      <c r="T48" s="22">
        <f t="shared" si="12"/>
        <v>0</v>
      </c>
      <c r="U48" s="22">
        <f t="shared" si="13"/>
        <v>0</v>
      </c>
      <c r="V48" s="22">
        <f t="shared" si="14"/>
        <v>0</v>
      </c>
      <c r="W48" s="22">
        <f t="shared" si="15"/>
        <v>0</v>
      </c>
      <c r="X48" s="22">
        <f t="shared" si="16"/>
        <v>0</v>
      </c>
      <c r="Y48" s="22">
        <f t="shared" si="17"/>
        <v>2</v>
      </c>
      <c r="Z48" s="46" t="str">
        <f t="shared" si="18"/>
        <v>-</v>
      </c>
      <c r="AA48" s="46">
        <f t="shared" si="19"/>
        <v>1</v>
      </c>
      <c r="AB48" s="24"/>
      <c r="AC48" s="24">
        <f>'2017-18_working'!T48+'2017-18_working'!U48</f>
        <v>0</v>
      </c>
      <c r="AD48" s="24">
        <f>'2017-18_working'!V48</f>
        <v>0</v>
      </c>
      <c r="AE48" s="24">
        <f>'2017-18_working'!W48</f>
        <v>0</v>
      </c>
      <c r="AF48" s="24">
        <f>'2017-18_working'!X48</f>
        <v>0</v>
      </c>
      <c r="AG48" s="24">
        <f>'2017-18_working'!Y48+'2017-18_working'!Z48</f>
        <v>0</v>
      </c>
      <c r="AH48" s="24">
        <f>'2017-18_working'!AA48</f>
        <v>0</v>
      </c>
      <c r="AI48" s="46" t="str">
        <f t="shared" si="21"/>
        <v>-</v>
      </c>
      <c r="AJ48" s="46" t="str">
        <f t="shared" si="22"/>
        <v>-</v>
      </c>
      <c r="AK48" s="24"/>
      <c r="AL48" s="24">
        <f>'2017-18_working'!AC48+'2017-18_working'!AD48</f>
        <v>0</v>
      </c>
      <c r="AM48" s="24">
        <f>'2017-18_working'!AE48</f>
        <v>0</v>
      </c>
      <c r="AN48" s="24">
        <f>'2017-18_working'!AF48</f>
        <v>0</v>
      </c>
      <c r="AO48" s="24">
        <f>'2017-18_working'!AG48</f>
        <v>0</v>
      </c>
      <c r="AP48" s="24">
        <f>'2017-18_working'!AH48+'2017-18_working'!AI48</f>
        <v>0</v>
      </c>
      <c r="AQ48" s="24">
        <f>'2017-18_working'!AJ48</f>
        <v>0</v>
      </c>
      <c r="AR48" s="46" t="str">
        <f t="shared" si="24"/>
        <v>-</v>
      </c>
      <c r="AS48" s="46" t="str">
        <f t="shared" si="25"/>
        <v>-</v>
      </c>
      <c r="AT48" s="24"/>
      <c r="AU48" s="22">
        <f t="shared" si="26"/>
        <v>0</v>
      </c>
      <c r="AV48" s="22">
        <f t="shared" si="27"/>
        <v>0</v>
      </c>
      <c r="AW48" s="22">
        <f t="shared" si="28"/>
        <v>0</v>
      </c>
      <c r="AX48" s="22">
        <f t="shared" si="29"/>
        <v>0</v>
      </c>
      <c r="AY48" s="22">
        <f t="shared" si="30"/>
        <v>0</v>
      </c>
      <c r="AZ48" s="22">
        <f t="shared" si="31"/>
        <v>2</v>
      </c>
      <c r="BA48" s="46" t="str">
        <f t="shared" si="32"/>
        <v>-</v>
      </c>
      <c r="BB48" s="46">
        <f t="shared" si="33"/>
        <v>1</v>
      </c>
      <c r="BC48" s="19"/>
      <c r="BD48" s="20">
        <f t="shared" si="34"/>
        <v>2</v>
      </c>
      <c r="BE48" s="20">
        <v>2</v>
      </c>
      <c r="BF48" s="53">
        <f t="shared" si="35"/>
        <v>0</v>
      </c>
      <c r="BG48" s="19"/>
      <c r="BH48" s="19"/>
      <c r="BI48" s="19"/>
      <c r="BJ48" s="19"/>
      <c r="BK48" s="19"/>
    </row>
    <row r="49" spans="1:63" s="8" customFormat="1" ht="15" customHeight="1" x14ac:dyDescent="0.3">
      <c r="A49" s="21" t="s">
        <v>56</v>
      </c>
      <c r="B49" s="22">
        <f t="shared" ref="B49:G49" si="36">SUM(B50:B56)</f>
        <v>328</v>
      </c>
      <c r="C49" s="22">
        <f t="shared" si="36"/>
        <v>37</v>
      </c>
      <c r="D49" s="22">
        <f t="shared" si="36"/>
        <v>12</v>
      </c>
      <c r="E49" s="22">
        <f t="shared" si="36"/>
        <v>17</v>
      </c>
      <c r="F49" s="22">
        <f t="shared" si="36"/>
        <v>5</v>
      </c>
      <c r="G49" s="22">
        <f t="shared" si="36"/>
        <v>41</v>
      </c>
      <c r="H49" s="46">
        <f t="shared" si="7"/>
        <v>0.17794486215538846</v>
      </c>
      <c r="I49" s="46">
        <f t="shared" si="8"/>
        <v>9.3181818181818185E-2</v>
      </c>
      <c r="J49" s="22"/>
      <c r="K49" s="22">
        <f t="shared" ref="K49:P49" si="37">SUM(K50:K56)</f>
        <v>53</v>
      </c>
      <c r="L49" s="22">
        <f t="shared" si="37"/>
        <v>1</v>
      </c>
      <c r="M49" s="22">
        <f t="shared" si="37"/>
        <v>0</v>
      </c>
      <c r="N49" s="22">
        <f t="shared" si="37"/>
        <v>0</v>
      </c>
      <c r="O49" s="22">
        <f t="shared" si="37"/>
        <v>0</v>
      </c>
      <c r="P49" s="22">
        <f t="shared" si="37"/>
        <v>1</v>
      </c>
      <c r="Q49" s="46">
        <f t="shared" si="10"/>
        <v>1.8518518518518517E-2</v>
      </c>
      <c r="R49" s="46">
        <f t="shared" si="11"/>
        <v>1.8181818181818181E-2</v>
      </c>
      <c r="S49" s="22"/>
      <c r="T49" s="22">
        <f t="shared" si="12"/>
        <v>381</v>
      </c>
      <c r="U49" s="22">
        <f t="shared" si="13"/>
        <v>38</v>
      </c>
      <c r="V49" s="22">
        <f t="shared" si="14"/>
        <v>12</v>
      </c>
      <c r="W49" s="22">
        <f t="shared" si="15"/>
        <v>17</v>
      </c>
      <c r="X49" s="22">
        <f t="shared" si="16"/>
        <v>5</v>
      </c>
      <c r="Y49" s="22">
        <f t="shared" si="17"/>
        <v>42</v>
      </c>
      <c r="Z49" s="46">
        <f t="shared" si="18"/>
        <v>0.15894039735099338</v>
      </c>
      <c r="AA49" s="46">
        <f t="shared" si="19"/>
        <v>8.4848484848484854E-2</v>
      </c>
      <c r="AB49" s="22"/>
      <c r="AC49" s="22">
        <f t="shared" ref="AC49:AH49" si="38">SUM(AC50:AC56)</f>
        <v>29</v>
      </c>
      <c r="AD49" s="22">
        <f t="shared" si="38"/>
        <v>2</v>
      </c>
      <c r="AE49" s="22">
        <f t="shared" si="38"/>
        <v>1</v>
      </c>
      <c r="AF49" s="22">
        <f t="shared" si="38"/>
        <v>1</v>
      </c>
      <c r="AG49" s="22">
        <f t="shared" si="38"/>
        <v>0</v>
      </c>
      <c r="AH49" s="22">
        <f t="shared" si="38"/>
        <v>0</v>
      </c>
      <c r="AI49" s="46">
        <f t="shared" si="21"/>
        <v>0.12121212121212122</v>
      </c>
      <c r="AJ49" s="46">
        <f t="shared" si="22"/>
        <v>0</v>
      </c>
      <c r="AK49" s="22"/>
      <c r="AL49" s="22">
        <f t="shared" ref="AL49:AQ49" si="39">SUM(AL50:AL56)</f>
        <v>210</v>
      </c>
      <c r="AM49" s="22">
        <f t="shared" si="39"/>
        <v>4</v>
      </c>
      <c r="AN49" s="22">
        <f t="shared" si="39"/>
        <v>16</v>
      </c>
      <c r="AO49" s="22">
        <f t="shared" si="39"/>
        <v>20</v>
      </c>
      <c r="AP49" s="22">
        <f t="shared" si="39"/>
        <v>10</v>
      </c>
      <c r="AQ49" s="22">
        <f t="shared" si="39"/>
        <v>42</v>
      </c>
      <c r="AR49" s="46">
        <f t="shared" si="24"/>
        <v>0.19230769230769232</v>
      </c>
      <c r="AS49" s="46">
        <f t="shared" si="25"/>
        <v>0.13907284768211919</v>
      </c>
      <c r="AT49" s="22"/>
      <c r="AU49" s="22">
        <f t="shared" si="26"/>
        <v>620</v>
      </c>
      <c r="AV49" s="22">
        <f t="shared" si="27"/>
        <v>44</v>
      </c>
      <c r="AW49" s="22">
        <f t="shared" si="28"/>
        <v>29</v>
      </c>
      <c r="AX49" s="22">
        <f t="shared" si="29"/>
        <v>38</v>
      </c>
      <c r="AY49" s="22">
        <f t="shared" si="30"/>
        <v>15</v>
      </c>
      <c r="AZ49" s="22">
        <f t="shared" si="31"/>
        <v>84</v>
      </c>
      <c r="BA49" s="46">
        <f t="shared" si="32"/>
        <v>0.16890080428954424</v>
      </c>
      <c r="BB49" s="46">
        <f t="shared" si="33"/>
        <v>0.10120481927710843</v>
      </c>
      <c r="BC49" s="19"/>
      <c r="BD49" s="20">
        <f t="shared" si="34"/>
        <v>830</v>
      </c>
      <c r="BE49" s="20">
        <v>830</v>
      </c>
      <c r="BF49" s="53">
        <f t="shared" si="35"/>
        <v>0</v>
      </c>
      <c r="BG49" s="19"/>
      <c r="BH49" s="19"/>
      <c r="BI49" s="19"/>
      <c r="BJ49" s="19"/>
      <c r="BK49" s="19"/>
    </row>
    <row r="50" spans="1:63" s="8" customFormat="1" ht="15" customHeight="1" x14ac:dyDescent="0.3">
      <c r="A50" s="2" t="s">
        <v>57</v>
      </c>
      <c r="B50" s="24">
        <f>'2017-18_working'!B50+'2017-18_working'!C50</f>
        <v>16</v>
      </c>
      <c r="C50" s="24">
        <f>'2017-18_working'!D50</f>
        <v>7</v>
      </c>
      <c r="D50" s="24">
        <f>'2017-18_working'!E50</f>
        <v>2</v>
      </c>
      <c r="E50" s="24">
        <f>'2017-18_working'!F50</f>
        <v>1</v>
      </c>
      <c r="F50" s="24">
        <f>'2017-18_working'!G50+'2017-18_working'!H50</f>
        <v>1</v>
      </c>
      <c r="G50" s="24">
        <f>'2017-18_working'!I50</f>
        <v>28</v>
      </c>
      <c r="H50" s="46">
        <f t="shared" si="7"/>
        <v>0.40740740740740738</v>
      </c>
      <c r="I50" s="46">
        <f t="shared" si="8"/>
        <v>0.50909090909090904</v>
      </c>
      <c r="J50" s="24"/>
      <c r="K50" s="24">
        <f>'2017-18_working'!K50+'2017-18_working'!L50</f>
        <v>0</v>
      </c>
      <c r="L50" s="24">
        <f>'2017-18_working'!M50</f>
        <v>0</v>
      </c>
      <c r="M50" s="24">
        <f>'2017-18_working'!N50</f>
        <v>0</v>
      </c>
      <c r="N50" s="24">
        <f>'2017-18_working'!O50</f>
        <v>0</v>
      </c>
      <c r="O50" s="24">
        <f>'2017-18_working'!P50+'2017-18_working'!Q50</f>
        <v>0</v>
      </c>
      <c r="P50" s="24">
        <f>'2017-18_working'!R50</f>
        <v>0</v>
      </c>
      <c r="Q50" s="46" t="str">
        <f t="shared" si="10"/>
        <v>-</v>
      </c>
      <c r="R50" s="46" t="str">
        <f t="shared" si="11"/>
        <v>-</v>
      </c>
      <c r="S50" s="24"/>
      <c r="T50" s="22">
        <f t="shared" si="12"/>
        <v>16</v>
      </c>
      <c r="U50" s="22">
        <f t="shared" si="13"/>
        <v>7</v>
      </c>
      <c r="V50" s="22">
        <f t="shared" si="14"/>
        <v>2</v>
      </c>
      <c r="W50" s="22">
        <f t="shared" si="15"/>
        <v>1</v>
      </c>
      <c r="X50" s="22">
        <f t="shared" si="16"/>
        <v>1</v>
      </c>
      <c r="Y50" s="22">
        <f t="shared" si="17"/>
        <v>28</v>
      </c>
      <c r="Z50" s="46">
        <f t="shared" si="18"/>
        <v>0.40740740740740738</v>
      </c>
      <c r="AA50" s="46">
        <f t="shared" si="19"/>
        <v>0.50909090909090904</v>
      </c>
      <c r="AB50" s="24"/>
      <c r="AC50" s="24">
        <f>'2017-18_working'!T50+'2017-18_working'!U50</f>
        <v>0</v>
      </c>
      <c r="AD50" s="24">
        <f>'2017-18_working'!V50</f>
        <v>0</v>
      </c>
      <c r="AE50" s="24">
        <f>'2017-18_working'!W50</f>
        <v>0</v>
      </c>
      <c r="AF50" s="24">
        <f>'2017-18_working'!X50</f>
        <v>0</v>
      </c>
      <c r="AG50" s="24">
        <f>'2017-18_working'!Y50+'2017-18_working'!Z50</f>
        <v>0</v>
      </c>
      <c r="AH50" s="24">
        <f>'2017-18_working'!AA50</f>
        <v>0</v>
      </c>
      <c r="AI50" s="46" t="str">
        <f t="shared" si="21"/>
        <v>-</v>
      </c>
      <c r="AJ50" s="46" t="str">
        <f t="shared" si="22"/>
        <v>-</v>
      </c>
      <c r="AK50" s="24"/>
      <c r="AL50" s="24">
        <f>'2017-18_working'!AC50+'2017-18_working'!AD50</f>
        <v>51</v>
      </c>
      <c r="AM50" s="24">
        <f>'2017-18_working'!AE50</f>
        <v>1</v>
      </c>
      <c r="AN50" s="24">
        <f>'2017-18_working'!AF50</f>
        <v>1</v>
      </c>
      <c r="AO50" s="24">
        <f>'2017-18_working'!AG50</f>
        <v>2</v>
      </c>
      <c r="AP50" s="24">
        <f>'2017-18_working'!AH50+'2017-18_working'!AI50</f>
        <v>1</v>
      </c>
      <c r="AQ50" s="24">
        <f>'2017-18_working'!AJ50</f>
        <v>24</v>
      </c>
      <c r="AR50" s="46">
        <f t="shared" si="24"/>
        <v>8.9285714285714288E-2</v>
      </c>
      <c r="AS50" s="46">
        <f t="shared" si="25"/>
        <v>0.3</v>
      </c>
      <c r="AT50" s="24"/>
      <c r="AU50" s="22">
        <f t="shared" si="26"/>
        <v>67</v>
      </c>
      <c r="AV50" s="22">
        <f t="shared" si="27"/>
        <v>8</v>
      </c>
      <c r="AW50" s="22">
        <f t="shared" si="28"/>
        <v>3</v>
      </c>
      <c r="AX50" s="22">
        <f t="shared" si="29"/>
        <v>3</v>
      </c>
      <c r="AY50" s="22">
        <f t="shared" si="30"/>
        <v>2</v>
      </c>
      <c r="AZ50" s="22">
        <f t="shared" si="31"/>
        <v>52</v>
      </c>
      <c r="BA50" s="46">
        <f t="shared" si="32"/>
        <v>0.19277108433734941</v>
      </c>
      <c r="BB50" s="46">
        <f t="shared" si="33"/>
        <v>0.38518518518518519</v>
      </c>
      <c r="BC50" s="19"/>
      <c r="BD50" s="20">
        <f t="shared" si="34"/>
        <v>135</v>
      </c>
      <c r="BE50" s="20">
        <v>135</v>
      </c>
      <c r="BF50" s="53">
        <f t="shared" si="35"/>
        <v>0</v>
      </c>
      <c r="BG50" s="19"/>
      <c r="BH50" s="19"/>
      <c r="BI50" s="19"/>
      <c r="BJ50" s="19"/>
      <c r="BK50" s="19"/>
    </row>
    <row r="51" spans="1:63" s="8" customFormat="1" ht="15" customHeight="1" x14ac:dyDescent="0.3">
      <c r="A51" s="2" t="s">
        <v>58</v>
      </c>
      <c r="B51" s="24">
        <f>'2017-18_working'!B51+'2017-18_working'!C51</f>
        <v>26</v>
      </c>
      <c r="C51" s="24">
        <f>'2017-18_working'!D51</f>
        <v>5</v>
      </c>
      <c r="D51" s="24">
        <f>'2017-18_working'!E51</f>
        <v>0</v>
      </c>
      <c r="E51" s="24">
        <f>'2017-18_working'!F51</f>
        <v>0</v>
      </c>
      <c r="F51" s="24">
        <f>'2017-18_working'!G51+'2017-18_working'!H51</f>
        <v>0</v>
      </c>
      <c r="G51" s="24">
        <f>'2017-18_working'!I51</f>
        <v>1</v>
      </c>
      <c r="H51" s="46">
        <f t="shared" si="7"/>
        <v>0.16129032258064516</v>
      </c>
      <c r="I51" s="46">
        <f t="shared" si="8"/>
        <v>3.125E-2</v>
      </c>
      <c r="J51" s="24"/>
      <c r="K51" s="24">
        <f>'2017-18_working'!K51+'2017-18_working'!L51</f>
        <v>14</v>
      </c>
      <c r="L51" s="24">
        <f>'2017-18_working'!M51</f>
        <v>1</v>
      </c>
      <c r="M51" s="24">
        <f>'2017-18_working'!N51</f>
        <v>0</v>
      </c>
      <c r="N51" s="24">
        <f>'2017-18_working'!O51</f>
        <v>0</v>
      </c>
      <c r="O51" s="24">
        <f>'2017-18_working'!P51+'2017-18_working'!Q51</f>
        <v>0</v>
      </c>
      <c r="P51" s="24">
        <f>'2017-18_working'!R51</f>
        <v>1</v>
      </c>
      <c r="Q51" s="46">
        <f t="shared" si="10"/>
        <v>6.6666666666666666E-2</v>
      </c>
      <c r="R51" s="46">
        <f t="shared" si="11"/>
        <v>6.25E-2</v>
      </c>
      <c r="S51" s="24"/>
      <c r="T51" s="22">
        <f t="shared" si="12"/>
        <v>40</v>
      </c>
      <c r="U51" s="22">
        <f t="shared" si="13"/>
        <v>6</v>
      </c>
      <c r="V51" s="22">
        <f t="shared" si="14"/>
        <v>0</v>
      </c>
      <c r="W51" s="22">
        <f t="shared" si="15"/>
        <v>0</v>
      </c>
      <c r="X51" s="22">
        <f t="shared" si="16"/>
        <v>0</v>
      </c>
      <c r="Y51" s="22">
        <f t="shared" si="17"/>
        <v>2</v>
      </c>
      <c r="Z51" s="46">
        <f t="shared" si="18"/>
        <v>0.13043478260869565</v>
      </c>
      <c r="AA51" s="46">
        <f t="shared" si="19"/>
        <v>4.1666666666666664E-2</v>
      </c>
      <c r="AB51" s="24"/>
      <c r="AC51" s="24">
        <f>'2017-18_working'!T51+'2017-18_working'!U51</f>
        <v>7</v>
      </c>
      <c r="AD51" s="24">
        <f>'2017-18_working'!V51</f>
        <v>0</v>
      </c>
      <c r="AE51" s="24">
        <f>'2017-18_working'!W51</f>
        <v>0</v>
      </c>
      <c r="AF51" s="24">
        <f>'2017-18_working'!X51</f>
        <v>0</v>
      </c>
      <c r="AG51" s="24">
        <f>'2017-18_working'!Y51+'2017-18_working'!Z51</f>
        <v>0</v>
      </c>
      <c r="AH51" s="24">
        <f>'2017-18_working'!AA51</f>
        <v>0</v>
      </c>
      <c r="AI51" s="46">
        <f t="shared" si="21"/>
        <v>0</v>
      </c>
      <c r="AJ51" s="46">
        <f t="shared" si="22"/>
        <v>0</v>
      </c>
      <c r="AK51" s="24"/>
      <c r="AL51" s="24">
        <f>'2017-18_working'!AC51+'2017-18_working'!AD51</f>
        <v>16</v>
      </c>
      <c r="AM51" s="24">
        <f>'2017-18_working'!AE51</f>
        <v>0</v>
      </c>
      <c r="AN51" s="24">
        <f>'2017-18_working'!AF51</f>
        <v>0</v>
      </c>
      <c r="AO51" s="24">
        <f>'2017-18_working'!AG51</f>
        <v>0</v>
      </c>
      <c r="AP51" s="24">
        <f>'2017-18_working'!AH51+'2017-18_working'!AI51</f>
        <v>0</v>
      </c>
      <c r="AQ51" s="24">
        <f>'2017-18_working'!AJ51</f>
        <v>1</v>
      </c>
      <c r="AR51" s="46">
        <f t="shared" si="24"/>
        <v>0</v>
      </c>
      <c r="AS51" s="46">
        <f t="shared" si="25"/>
        <v>5.8823529411764705E-2</v>
      </c>
      <c r="AT51" s="24"/>
      <c r="AU51" s="22">
        <f t="shared" si="26"/>
        <v>63</v>
      </c>
      <c r="AV51" s="22">
        <f t="shared" si="27"/>
        <v>6</v>
      </c>
      <c r="AW51" s="22">
        <f t="shared" si="28"/>
        <v>0</v>
      </c>
      <c r="AX51" s="22">
        <f t="shared" si="29"/>
        <v>0</v>
      </c>
      <c r="AY51" s="22">
        <f t="shared" si="30"/>
        <v>0</v>
      </c>
      <c r="AZ51" s="22">
        <f t="shared" si="31"/>
        <v>3</v>
      </c>
      <c r="BA51" s="46">
        <f t="shared" si="32"/>
        <v>8.6956521739130432E-2</v>
      </c>
      <c r="BB51" s="46">
        <f t="shared" si="33"/>
        <v>4.1666666666666664E-2</v>
      </c>
      <c r="BC51" s="19"/>
      <c r="BD51" s="20">
        <f t="shared" si="34"/>
        <v>72</v>
      </c>
      <c r="BE51" s="20">
        <v>72</v>
      </c>
      <c r="BF51" s="53">
        <f t="shared" si="35"/>
        <v>0</v>
      </c>
      <c r="BG51" s="19"/>
      <c r="BH51" s="19"/>
      <c r="BI51" s="19"/>
      <c r="BJ51" s="19"/>
      <c r="BK51" s="19"/>
    </row>
    <row r="52" spans="1:63" s="8" customFormat="1" ht="15" customHeight="1" x14ac:dyDescent="0.3">
      <c r="A52" s="2" t="s">
        <v>59</v>
      </c>
      <c r="B52" s="24">
        <f>'2017-18_working'!B52+'2017-18_working'!C52</f>
        <v>27</v>
      </c>
      <c r="C52" s="24">
        <f>'2017-18_working'!D52</f>
        <v>4</v>
      </c>
      <c r="D52" s="24">
        <f>'2017-18_working'!E52</f>
        <v>0</v>
      </c>
      <c r="E52" s="24">
        <f>'2017-18_working'!F52</f>
        <v>0</v>
      </c>
      <c r="F52" s="24">
        <f>'2017-18_working'!G52+'2017-18_working'!H52</f>
        <v>0</v>
      </c>
      <c r="G52" s="24">
        <f>'2017-18_working'!I52</f>
        <v>1</v>
      </c>
      <c r="H52" s="46">
        <f t="shared" si="7"/>
        <v>0.12903225806451613</v>
      </c>
      <c r="I52" s="46">
        <f t="shared" si="8"/>
        <v>3.125E-2</v>
      </c>
      <c r="J52" s="24"/>
      <c r="K52" s="24">
        <f>'2017-18_working'!K52+'2017-18_working'!L52</f>
        <v>26</v>
      </c>
      <c r="L52" s="24">
        <f>'2017-18_working'!M52</f>
        <v>0</v>
      </c>
      <c r="M52" s="24">
        <f>'2017-18_working'!N52</f>
        <v>0</v>
      </c>
      <c r="N52" s="24">
        <f>'2017-18_working'!O52</f>
        <v>0</v>
      </c>
      <c r="O52" s="24">
        <f>'2017-18_working'!P52+'2017-18_working'!Q52</f>
        <v>0</v>
      </c>
      <c r="P52" s="24">
        <f>'2017-18_working'!R52</f>
        <v>0</v>
      </c>
      <c r="Q52" s="46">
        <f t="shared" si="10"/>
        <v>0</v>
      </c>
      <c r="R52" s="46">
        <f t="shared" si="11"/>
        <v>0</v>
      </c>
      <c r="S52" s="24"/>
      <c r="T52" s="22">
        <f t="shared" si="12"/>
        <v>53</v>
      </c>
      <c r="U52" s="22">
        <f t="shared" si="13"/>
        <v>4</v>
      </c>
      <c r="V52" s="22">
        <f t="shared" si="14"/>
        <v>0</v>
      </c>
      <c r="W52" s="22">
        <f t="shared" si="15"/>
        <v>0</v>
      </c>
      <c r="X52" s="22">
        <f t="shared" si="16"/>
        <v>0</v>
      </c>
      <c r="Y52" s="22">
        <f t="shared" si="17"/>
        <v>1</v>
      </c>
      <c r="Z52" s="46">
        <f t="shared" si="18"/>
        <v>7.0175438596491224E-2</v>
      </c>
      <c r="AA52" s="46">
        <f t="shared" si="19"/>
        <v>1.7241379310344827E-2</v>
      </c>
      <c r="AB52" s="24"/>
      <c r="AC52" s="24">
        <f>'2017-18_working'!T52+'2017-18_working'!U52</f>
        <v>3</v>
      </c>
      <c r="AD52" s="24">
        <f>'2017-18_working'!V52</f>
        <v>0</v>
      </c>
      <c r="AE52" s="24">
        <f>'2017-18_working'!W52</f>
        <v>0</v>
      </c>
      <c r="AF52" s="24">
        <f>'2017-18_working'!X52</f>
        <v>0</v>
      </c>
      <c r="AG52" s="24">
        <f>'2017-18_working'!Y52+'2017-18_working'!Z52</f>
        <v>0</v>
      </c>
      <c r="AH52" s="24">
        <f>'2017-18_working'!AA52</f>
        <v>0</v>
      </c>
      <c r="AI52" s="46">
        <f t="shared" si="21"/>
        <v>0</v>
      </c>
      <c r="AJ52" s="46">
        <f t="shared" si="22"/>
        <v>0</v>
      </c>
      <c r="AK52" s="24"/>
      <c r="AL52" s="24">
        <f>'2017-18_working'!AC52+'2017-18_working'!AD52</f>
        <v>35</v>
      </c>
      <c r="AM52" s="24">
        <f>'2017-18_working'!AE52</f>
        <v>0</v>
      </c>
      <c r="AN52" s="24">
        <f>'2017-18_working'!AF52</f>
        <v>2</v>
      </c>
      <c r="AO52" s="24">
        <f>'2017-18_working'!AG52</f>
        <v>0</v>
      </c>
      <c r="AP52" s="24">
        <f>'2017-18_working'!AH52+'2017-18_working'!AI52</f>
        <v>0</v>
      </c>
      <c r="AQ52" s="24">
        <f>'2017-18_working'!AJ52</f>
        <v>0</v>
      </c>
      <c r="AR52" s="46">
        <f t="shared" si="24"/>
        <v>5.4054054054054057E-2</v>
      </c>
      <c r="AS52" s="46">
        <f t="shared" si="25"/>
        <v>0</v>
      </c>
      <c r="AT52" s="24"/>
      <c r="AU52" s="22">
        <f t="shared" si="26"/>
        <v>91</v>
      </c>
      <c r="AV52" s="22">
        <f t="shared" si="27"/>
        <v>4</v>
      </c>
      <c r="AW52" s="22">
        <f t="shared" si="28"/>
        <v>2</v>
      </c>
      <c r="AX52" s="22">
        <f t="shared" si="29"/>
        <v>0</v>
      </c>
      <c r="AY52" s="22">
        <f t="shared" si="30"/>
        <v>0</v>
      </c>
      <c r="AZ52" s="22">
        <f t="shared" si="31"/>
        <v>1</v>
      </c>
      <c r="BA52" s="46">
        <f t="shared" si="32"/>
        <v>6.1855670103092786E-2</v>
      </c>
      <c r="BB52" s="46">
        <f t="shared" si="33"/>
        <v>1.020408163265306E-2</v>
      </c>
      <c r="BC52" s="19"/>
      <c r="BD52" s="20">
        <f t="shared" si="34"/>
        <v>98</v>
      </c>
      <c r="BE52" s="20">
        <v>98</v>
      </c>
      <c r="BF52" s="53">
        <f t="shared" si="35"/>
        <v>0</v>
      </c>
      <c r="BG52" s="19"/>
      <c r="BH52" s="19"/>
      <c r="BI52" s="19"/>
      <c r="BJ52" s="19"/>
      <c r="BK52" s="19"/>
    </row>
    <row r="53" spans="1:63" s="8" customFormat="1" ht="15" customHeight="1" x14ac:dyDescent="0.3">
      <c r="A53" s="2" t="s">
        <v>60</v>
      </c>
      <c r="B53" s="24">
        <f>'2017-18_working'!B53+'2017-18_working'!C53</f>
        <v>6</v>
      </c>
      <c r="C53" s="24">
        <f>'2017-18_working'!D53</f>
        <v>0</v>
      </c>
      <c r="D53" s="24">
        <f>'2017-18_working'!E53</f>
        <v>0</v>
      </c>
      <c r="E53" s="24">
        <f>'2017-18_working'!F53</f>
        <v>0</v>
      </c>
      <c r="F53" s="24">
        <f>'2017-18_working'!G53+'2017-18_working'!H53</f>
        <v>0</v>
      </c>
      <c r="G53" s="24">
        <f>'2017-18_working'!I53</f>
        <v>0</v>
      </c>
      <c r="H53" s="46">
        <f t="shared" si="7"/>
        <v>0</v>
      </c>
      <c r="I53" s="46">
        <f t="shared" si="8"/>
        <v>0</v>
      </c>
      <c r="J53" s="24"/>
      <c r="K53" s="24">
        <f>'2017-18_working'!K53+'2017-18_working'!L53</f>
        <v>6</v>
      </c>
      <c r="L53" s="24">
        <f>'2017-18_working'!M53</f>
        <v>0</v>
      </c>
      <c r="M53" s="24">
        <f>'2017-18_working'!N53</f>
        <v>0</v>
      </c>
      <c r="N53" s="24">
        <f>'2017-18_working'!O53</f>
        <v>0</v>
      </c>
      <c r="O53" s="24">
        <f>'2017-18_working'!P53+'2017-18_working'!Q53</f>
        <v>0</v>
      </c>
      <c r="P53" s="24">
        <f>'2017-18_working'!R53</f>
        <v>0</v>
      </c>
      <c r="Q53" s="46">
        <f t="shared" si="10"/>
        <v>0</v>
      </c>
      <c r="R53" s="46">
        <f t="shared" si="11"/>
        <v>0</v>
      </c>
      <c r="S53" s="24"/>
      <c r="T53" s="22">
        <f t="shared" si="12"/>
        <v>12</v>
      </c>
      <c r="U53" s="22">
        <f t="shared" si="13"/>
        <v>0</v>
      </c>
      <c r="V53" s="22">
        <f t="shared" si="14"/>
        <v>0</v>
      </c>
      <c r="W53" s="22">
        <f t="shared" si="15"/>
        <v>0</v>
      </c>
      <c r="X53" s="22">
        <f t="shared" si="16"/>
        <v>0</v>
      </c>
      <c r="Y53" s="22">
        <f t="shared" si="17"/>
        <v>0</v>
      </c>
      <c r="Z53" s="46">
        <f t="shared" si="18"/>
        <v>0</v>
      </c>
      <c r="AA53" s="46">
        <f t="shared" si="19"/>
        <v>0</v>
      </c>
      <c r="AB53" s="24"/>
      <c r="AC53" s="24">
        <f>'2017-18_working'!T53+'2017-18_working'!U53</f>
        <v>1</v>
      </c>
      <c r="AD53" s="24">
        <f>'2017-18_working'!V53</f>
        <v>0</v>
      </c>
      <c r="AE53" s="24">
        <f>'2017-18_working'!W53</f>
        <v>0</v>
      </c>
      <c r="AF53" s="24">
        <f>'2017-18_working'!X53</f>
        <v>0</v>
      </c>
      <c r="AG53" s="24">
        <f>'2017-18_working'!Y53+'2017-18_working'!Z53</f>
        <v>0</v>
      </c>
      <c r="AH53" s="24">
        <f>'2017-18_working'!AA53</f>
        <v>0</v>
      </c>
      <c r="AI53" s="46">
        <f t="shared" si="21"/>
        <v>0</v>
      </c>
      <c r="AJ53" s="46">
        <f t="shared" si="22"/>
        <v>0</v>
      </c>
      <c r="AK53" s="24"/>
      <c r="AL53" s="24">
        <f>'2017-18_working'!AC53+'2017-18_working'!AD53</f>
        <v>20</v>
      </c>
      <c r="AM53" s="24">
        <f>'2017-18_working'!AE53</f>
        <v>0</v>
      </c>
      <c r="AN53" s="24">
        <f>'2017-18_working'!AF53</f>
        <v>1</v>
      </c>
      <c r="AO53" s="24">
        <f>'2017-18_working'!AG53</f>
        <v>0</v>
      </c>
      <c r="AP53" s="24">
        <f>'2017-18_working'!AH53+'2017-18_working'!AI53</f>
        <v>0</v>
      </c>
      <c r="AQ53" s="24">
        <f>'2017-18_working'!AJ53</f>
        <v>4</v>
      </c>
      <c r="AR53" s="46">
        <f t="shared" si="24"/>
        <v>4.7619047619047616E-2</v>
      </c>
      <c r="AS53" s="46">
        <f t="shared" si="25"/>
        <v>0.16</v>
      </c>
      <c r="AT53" s="24"/>
      <c r="AU53" s="22">
        <f t="shared" si="26"/>
        <v>33</v>
      </c>
      <c r="AV53" s="22">
        <f t="shared" si="27"/>
        <v>0</v>
      </c>
      <c r="AW53" s="22">
        <f t="shared" si="28"/>
        <v>1</v>
      </c>
      <c r="AX53" s="22">
        <f t="shared" si="29"/>
        <v>0</v>
      </c>
      <c r="AY53" s="22">
        <f t="shared" si="30"/>
        <v>0</v>
      </c>
      <c r="AZ53" s="22">
        <f t="shared" si="31"/>
        <v>4</v>
      </c>
      <c r="BA53" s="46">
        <f t="shared" si="32"/>
        <v>2.9411764705882353E-2</v>
      </c>
      <c r="BB53" s="46">
        <f t="shared" si="33"/>
        <v>0.10526315789473684</v>
      </c>
      <c r="BC53" s="19"/>
      <c r="BD53" s="20">
        <f t="shared" si="34"/>
        <v>38</v>
      </c>
      <c r="BE53" s="20">
        <v>38</v>
      </c>
      <c r="BF53" s="53">
        <f t="shared" si="35"/>
        <v>0</v>
      </c>
      <c r="BG53" s="19"/>
      <c r="BH53" s="19"/>
      <c r="BI53" s="19"/>
      <c r="BJ53" s="19"/>
      <c r="BK53" s="19"/>
    </row>
    <row r="54" spans="1:63" s="8" customFormat="1" ht="15" customHeight="1" x14ac:dyDescent="0.3">
      <c r="A54" s="2" t="s">
        <v>61</v>
      </c>
      <c r="B54" s="24">
        <f>'2017-18_working'!B54+'2017-18_working'!C54</f>
        <v>53</v>
      </c>
      <c r="C54" s="24">
        <f>'2017-18_working'!D54</f>
        <v>12</v>
      </c>
      <c r="D54" s="24">
        <f>'2017-18_working'!E54</f>
        <v>3</v>
      </c>
      <c r="E54" s="24">
        <f>'2017-18_working'!F54</f>
        <v>4</v>
      </c>
      <c r="F54" s="24">
        <f>'2017-18_working'!G54+'2017-18_working'!H54</f>
        <v>0</v>
      </c>
      <c r="G54" s="24">
        <f>'2017-18_working'!I54</f>
        <v>1</v>
      </c>
      <c r="H54" s="46">
        <f t="shared" si="7"/>
        <v>0.2638888888888889</v>
      </c>
      <c r="I54" s="46">
        <f t="shared" si="8"/>
        <v>1.3698630136986301E-2</v>
      </c>
      <c r="J54" s="24"/>
      <c r="K54" s="24">
        <f>'2017-18_working'!K54+'2017-18_working'!L54</f>
        <v>0</v>
      </c>
      <c r="L54" s="24">
        <f>'2017-18_working'!M54</f>
        <v>0</v>
      </c>
      <c r="M54" s="24">
        <f>'2017-18_working'!N54</f>
        <v>0</v>
      </c>
      <c r="N54" s="24">
        <f>'2017-18_working'!O54</f>
        <v>0</v>
      </c>
      <c r="O54" s="24">
        <f>'2017-18_working'!P54+'2017-18_working'!Q54</f>
        <v>0</v>
      </c>
      <c r="P54" s="24">
        <f>'2017-18_working'!R54</f>
        <v>0</v>
      </c>
      <c r="Q54" s="46" t="str">
        <f t="shared" si="10"/>
        <v>-</v>
      </c>
      <c r="R54" s="46" t="str">
        <f t="shared" si="11"/>
        <v>-</v>
      </c>
      <c r="S54" s="24"/>
      <c r="T54" s="22">
        <f t="shared" si="12"/>
        <v>53</v>
      </c>
      <c r="U54" s="22">
        <f t="shared" si="13"/>
        <v>12</v>
      </c>
      <c r="V54" s="22">
        <f t="shared" si="14"/>
        <v>3</v>
      </c>
      <c r="W54" s="22">
        <f t="shared" si="15"/>
        <v>4</v>
      </c>
      <c r="X54" s="22">
        <f t="shared" si="16"/>
        <v>0</v>
      </c>
      <c r="Y54" s="22">
        <f t="shared" si="17"/>
        <v>1</v>
      </c>
      <c r="Z54" s="46">
        <f t="shared" si="18"/>
        <v>0.2638888888888889</v>
      </c>
      <c r="AA54" s="46">
        <f t="shared" si="19"/>
        <v>1.3698630136986301E-2</v>
      </c>
      <c r="AB54" s="24"/>
      <c r="AC54" s="24">
        <f>'2017-18_working'!T54+'2017-18_working'!U54</f>
        <v>2</v>
      </c>
      <c r="AD54" s="24">
        <f>'2017-18_working'!V54</f>
        <v>0</v>
      </c>
      <c r="AE54" s="24">
        <f>'2017-18_working'!W54</f>
        <v>0</v>
      </c>
      <c r="AF54" s="24">
        <f>'2017-18_working'!X54</f>
        <v>0</v>
      </c>
      <c r="AG54" s="24">
        <f>'2017-18_working'!Y54+'2017-18_working'!Z54</f>
        <v>0</v>
      </c>
      <c r="AH54" s="24">
        <f>'2017-18_working'!AA54</f>
        <v>0</v>
      </c>
      <c r="AI54" s="46">
        <f t="shared" si="21"/>
        <v>0</v>
      </c>
      <c r="AJ54" s="46">
        <f t="shared" si="22"/>
        <v>0</v>
      </c>
      <c r="AK54" s="24"/>
      <c r="AL54" s="24">
        <f>'2017-18_working'!AC54+'2017-18_working'!AD54</f>
        <v>10</v>
      </c>
      <c r="AM54" s="24">
        <f>'2017-18_working'!AE54</f>
        <v>0</v>
      </c>
      <c r="AN54" s="24">
        <f>'2017-18_working'!AF54</f>
        <v>1</v>
      </c>
      <c r="AO54" s="24">
        <f>'2017-18_working'!AG54</f>
        <v>0</v>
      </c>
      <c r="AP54" s="24">
        <f>'2017-18_working'!AH54+'2017-18_working'!AI54</f>
        <v>0</v>
      </c>
      <c r="AQ54" s="24">
        <f>'2017-18_working'!AJ54</f>
        <v>8</v>
      </c>
      <c r="AR54" s="46">
        <f t="shared" si="24"/>
        <v>9.0909090909090912E-2</v>
      </c>
      <c r="AS54" s="46">
        <f t="shared" si="25"/>
        <v>0.42105263157894735</v>
      </c>
      <c r="AT54" s="24"/>
      <c r="AU54" s="22">
        <f t="shared" si="26"/>
        <v>65</v>
      </c>
      <c r="AV54" s="22">
        <f t="shared" si="27"/>
        <v>12</v>
      </c>
      <c r="AW54" s="22">
        <f t="shared" si="28"/>
        <v>4</v>
      </c>
      <c r="AX54" s="22">
        <f t="shared" si="29"/>
        <v>4</v>
      </c>
      <c r="AY54" s="22">
        <f t="shared" si="30"/>
        <v>0</v>
      </c>
      <c r="AZ54" s="22">
        <f t="shared" si="31"/>
        <v>9</v>
      </c>
      <c r="BA54" s="46">
        <f t="shared" si="32"/>
        <v>0.23529411764705882</v>
      </c>
      <c r="BB54" s="46">
        <f t="shared" si="33"/>
        <v>9.5744680851063829E-2</v>
      </c>
      <c r="BC54" s="19"/>
      <c r="BD54" s="20">
        <f t="shared" si="34"/>
        <v>94</v>
      </c>
      <c r="BE54" s="20">
        <v>94</v>
      </c>
      <c r="BF54" s="53">
        <f t="shared" si="35"/>
        <v>0</v>
      </c>
      <c r="BG54" s="19"/>
      <c r="BH54" s="19"/>
      <c r="BI54" s="19"/>
      <c r="BJ54" s="19"/>
      <c r="BK54" s="19"/>
    </row>
    <row r="55" spans="1:63" s="8" customFormat="1" ht="15" customHeight="1" x14ac:dyDescent="0.3">
      <c r="A55" s="2" t="s">
        <v>62</v>
      </c>
      <c r="B55" s="24">
        <f>'2017-18_working'!B55+'2017-18_working'!C55</f>
        <v>29</v>
      </c>
      <c r="C55" s="24">
        <f>'2017-18_working'!D55</f>
        <v>0</v>
      </c>
      <c r="D55" s="24">
        <f>'2017-18_working'!E55</f>
        <v>0</v>
      </c>
      <c r="E55" s="24">
        <f>'2017-18_working'!F55</f>
        <v>1</v>
      </c>
      <c r="F55" s="24">
        <f>'2017-18_working'!G55+'2017-18_working'!H55</f>
        <v>0</v>
      </c>
      <c r="G55" s="24">
        <f>'2017-18_working'!I55</f>
        <v>6</v>
      </c>
      <c r="H55" s="46">
        <f t="shared" si="7"/>
        <v>3.3333333333333333E-2</v>
      </c>
      <c r="I55" s="46">
        <f t="shared" si="8"/>
        <v>0.16666666666666666</v>
      </c>
      <c r="J55" s="24"/>
      <c r="K55" s="24">
        <f>'2017-18_working'!K55+'2017-18_working'!L55</f>
        <v>7</v>
      </c>
      <c r="L55" s="24">
        <f>'2017-18_working'!M55</f>
        <v>0</v>
      </c>
      <c r="M55" s="24">
        <f>'2017-18_working'!N55</f>
        <v>0</v>
      </c>
      <c r="N55" s="24">
        <f>'2017-18_working'!O55</f>
        <v>0</v>
      </c>
      <c r="O55" s="24">
        <f>'2017-18_working'!P55+'2017-18_working'!Q55</f>
        <v>0</v>
      </c>
      <c r="P55" s="24">
        <f>'2017-18_working'!R55</f>
        <v>0</v>
      </c>
      <c r="Q55" s="46">
        <f t="shared" si="10"/>
        <v>0</v>
      </c>
      <c r="R55" s="46">
        <f t="shared" si="11"/>
        <v>0</v>
      </c>
      <c r="S55" s="24"/>
      <c r="T55" s="22">
        <f t="shared" si="12"/>
        <v>36</v>
      </c>
      <c r="U55" s="22">
        <f t="shared" si="13"/>
        <v>0</v>
      </c>
      <c r="V55" s="22">
        <f t="shared" si="14"/>
        <v>0</v>
      </c>
      <c r="W55" s="22">
        <f t="shared" si="15"/>
        <v>1</v>
      </c>
      <c r="X55" s="22">
        <f t="shared" si="16"/>
        <v>0</v>
      </c>
      <c r="Y55" s="22">
        <f t="shared" si="17"/>
        <v>6</v>
      </c>
      <c r="Z55" s="46">
        <f t="shared" si="18"/>
        <v>2.7027027027027029E-2</v>
      </c>
      <c r="AA55" s="46">
        <f t="shared" si="19"/>
        <v>0.13953488372093023</v>
      </c>
      <c r="AB55" s="24"/>
      <c r="AC55" s="24">
        <f>'2017-18_working'!T55+'2017-18_working'!U55</f>
        <v>0</v>
      </c>
      <c r="AD55" s="24">
        <f>'2017-18_working'!V55</f>
        <v>0</v>
      </c>
      <c r="AE55" s="24">
        <f>'2017-18_working'!W55</f>
        <v>0</v>
      </c>
      <c r="AF55" s="24">
        <f>'2017-18_working'!X55</f>
        <v>0</v>
      </c>
      <c r="AG55" s="24">
        <f>'2017-18_working'!Y55+'2017-18_working'!Z55</f>
        <v>0</v>
      </c>
      <c r="AH55" s="24">
        <f>'2017-18_working'!AA55</f>
        <v>0</v>
      </c>
      <c r="AI55" s="46" t="str">
        <f t="shared" si="21"/>
        <v>-</v>
      </c>
      <c r="AJ55" s="46" t="str">
        <f t="shared" si="22"/>
        <v>-</v>
      </c>
      <c r="AK55" s="24"/>
      <c r="AL55" s="24">
        <f>'2017-18_working'!AC55+'2017-18_working'!AD55</f>
        <v>37</v>
      </c>
      <c r="AM55" s="24">
        <f>'2017-18_working'!AE55</f>
        <v>1</v>
      </c>
      <c r="AN55" s="24">
        <f>'2017-18_working'!AF55</f>
        <v>6</v>
      </c>
      <c r="AO55" s="24">
        <f>'2017-18_working'!AG55</f>
        <v>1</v>
      </c>
      <c r="AP55" s="24">
        <f>'2017-18_working'!AH55+'2017-18_working'!AI55</f>
        <v>3</v>
      </c>
      <c r="AQ55" s="24">
        <f>'2017-18_working'!AJ55</f>
        <v>2</v>
      </c>
      <c r="AR55" s="46">
        <f t="shared" si="24"/>
        <v>0.22916666666666666</v>
      </c>
      <c r="AS55" s="46">
        <f t="shared" si="25"/>
        <v>0.04</v>
      </c>
      <c r="AT55" s="24"/>
      <c r="AU55" s="22">
        <f t="shared" si="26"/>
        <v>73</v>
      </c>
      <c r="AV55" s="22">
        <f t="shared" si="27"/>
        <v>1</v>
      </c>
      <c r="AW55" s="22">
        <f t="shared" si="28"/>
        <v>6</v>
      </c>
      <c r="AX55" s="22">
        <f t="shared" si="29"/>
        <v>2</v>
      </c>
      <c r="AY55" s="22">
        <f t="shared" si="30"/>
        <v>3</v>
      </c>
      <c r="AZ55" s="22">
        <f t="shared" si="31"/>
        <v>8</v>
      </c>
      <c r="BA55" s="46">
        <f t="shared" si="32"/>
        <v>0.14117647058823529</v>
      </c>
      <c r="BB55" s="46">
        <f t="shared" si="33"/>
        <v>8.6021505376344093E-2</v>
      </c>
      <c r="BC55" s="19"/>
      <c r="BD55" s="20">
        <f t="shared" si="34"/>
        <v>93</v>
      </c>
      <c r="BE55" s="20">
        <v>93</v>
      </c>
      <c r="BF55" s="53">
        <f t="shared" si="35"/>
        <v>0</v>
      </c>
      <c r="BG55" s="19"/>
      <c r="BH55" s="19"/>
      <c r="BI55" s="19"/>
      <c r="BJ55" s="19"/>
      <c r="BK55" s="19"/>
    </row>
    <row r="56" spans="1:63" s="8" customFormat="1" ht="15" customHeight="1" thickBot="1" x14ac:dyDescent="0.35">
      <c r="A56" s="27" t="s">
        <v>63</v>
      </c>
      <c r="B56" s="24">
        <f>'2017-18_working'!B56+'2017-18_working'!C56</f>
        <v>171</v>
      </c>
      <c r="C56" s="24">
        <f>'2017-18_working'!D56</f>
        <v>9</v>
      </c>
      <c r="D56" s="24">
        <f>'2017-18_working'!E56</f>
        <v>7</v>
      </c>
      <c r="E56" s="24">
        <f>'2017-18_working'!F56</f>
        <v>11</v>
      </c>
      <c r="F56" s="24">
        <f>'2017-18_working'!G56+'2017-18_working'!H56</f>
        <v>4</v>
      </c>
      <c r="G56" s="24">
        <f>'2017-18_working'!I56</f>
        <v>4</v>
      </c>
      <c r="H56" s="46">
        <f t="shared" si="7"/>
        <v>0.15346534653465346</v>
      </c>
      <c r="I56" s="46">
        <f t="shared" si="8"/>
        <v>1.9417475728155338E-2</v>
      </c>
      <c r="J56" s="28"/>
      <c r="K56" s="24">
        <f>'2017-18_working'!K56+'2017-18_working'!L56</f>
        <v>0</v>
      </c>
      <c r="L56" s="24">
        <f>'2017-18_working'!M56</f>
        <v>0</v>
      </c>
      <c r="M56" s="24">
        <f>'2017-18_working'!N56</f>
        <v>0</v>
      </c>
      <c r="N56" s="24">
        <f>'2017-18_working'!O56</f>
        <v>0</v>
      </c>
      <c r="O56" s="24">
        <f>'2017-18_working'!P56+'2017-18_working'!Q56</f>
        <v>0</v>
      </c>
      <c r="P56" s="24">
        <f>'2017-18_working'!R56</f>
        <v>0</v>
      </c>
      <c r="Q56" s="46" t="str">
        <f t="shared" si="10"/>
        <v>-</v>
      </c>
      <c r="R56" s="46" t="str">
        <f t="shared" si="11"/>
        <v>-</v>
      </c>
      <c r="S56" s="28"/>
      <c r="T56" s="22">
        <f t="shared" si="12"/>
        <v>171</v>
      </c>
      <c r="U56" s="22">
        <f t="shared" si="13"/>
        <v>9</v>
      </c>
      <c r="V56" s="22">
        <f t="shared" si="14"/>
        <v>7</v>
      </c>
      <c r="W56" s="22">
        <f t="shared" si="15"/>
        <v>11</v>
      </c>
      <c r="X56" s="22">
        <f t="shared" si="16"/>
        <v>4</v>
      </c>
      <c r="Y56" s="22">
        <f t="shared" si="17"/>
        <v>4</v>
      </c>
      <c r="Z56" s="46">
        <f t="shared" si="18"/>
        <v>0.15346534653465346</v>
      </c>
      <c r="AA56" s="46">
        <f t="shared" si="19"/>
        <v>1.9417475728155338E-2</v>
      </c>
      <c r="AB56" s="28"/>
      <c r="AC56" s="24">
        <f>'2017-18_working'!T56+'2017-18_working'!U56</f>
        <v>16</v>
      </c>
      <c r="AD56" s="24">
        <f>'2017-18_working'!V56</f>
        <v>2</v>
      </c>
      <c r="AE56" s="24">
        <f>'2017-18_working'!W56</f>
        <v>1</v>
      </c>
      <c r="AF56" s="24">
        <f>'2017-18_working'!X56</f>
        <v>1</v>
      </c>
      <c r="AG56" s="24">
        <f>'2017-18_working'!Y56+'2017-18_working'!Z56</f>
        <v>0</v>
      </c>
      <c r="AH56" s="24">
        <f>'2017-18_working'!AA56</f>
        <v>0</v>
      </c>
      <c r="AI56" s="46">
        <f t="shared" si="21"/>
        <v>0.2</v>
      </c>
      <c r="AJ56" s="46">
        <f t="shared" si="22"/>
        <v>0</v>
      </c>
      <c r="AK56" s="28"/>
      <c r="AL56" s="24">
        <f>'2017-18_working'!AC56+'2017-18_working'!AD56</f>
        <v>41</v>
      </c>
      <c r="AM56" s="24">
        <f>'2017-18_working'!AE56</f>
        <v>2</v>
      </c>
      <c r="AN56" s="24">
        <f>'2017-18_working'!AF56</f>
        <v>5</v>
      </c>
      <c r="AO56" s="24">
        <f>'2017-18_working'!AG56</f>
        <v>17</v>
      </c>
      <c r="AP56" s="24">
        <f>'2017-18_working'!AH56+'2017-18_working'!AI56</f>
        <v>6</v>
      </c>
      <c r="AQ56" s="24">
        <f>'2017-18_working'!AJ56</f>
        <v>3</v>
      </c>
      <c r="AR56" s="46">
        <f t="shared" si="24"/>
        <v>0.42253521126760563</v>
      </c>
      <c r="AS56" s="46">
        <f t="shared" si="25"/>
        <v>4.0540540540540543E-2</v>
      </c>
      <c r="AT56" s="28"/>
      <c r="AU56" s="22">
        <f t="shared" si="26"/>
        <v>228</v>
      </c>
      <c r="AV56" s="22">
        <f t="shared" si="27"/>
        <v>13</v>
      </c>
      <c r="AW56" s="22">
        <f t="shared" si="28"/>
        <v>13</v>
      </c>
      <c r="AX56" s="22">
        <f t="shared" si="29"/>
        <v>29</v>
      </c>
      <c r="AY56" s="22">
        <f t="shared" si="30"/>
        <v>10</v>
      </c>
      <c r="AZ56" s="22">
        <f t="shared" si="31"/>
        <v>7</v>
      </c>
      <c r="BA56" s="46">
        <f t="shared" si="32"/>
        <v>0.22184300341296928</v>
      </c>
      <c r="BB56" s="46">
        <f t="shared" si="33"/>
        <v>2.3333333333333334E-2</v>
      </c>
      <c r="BC56" s="19"/>
      <c r="BD56" s="20">
        <f t="shared" si="34"/>
        <v>300</v>
      </c>
      <c r="BE56" s="20">
        <v>300</v>
      </c>
      <c r="BF56" s="53">
        <f t="shared" si="35"/>
        <v>0</v>
      </c>
      <c r="BG56" s="19"/>
      <c r="BH56" s="19"/>
      <c r="BI56" s="19"/>
      <c r="BJ56" s="19"/>
      <c r="BK56" s="19"/>
    </row>
    <row r="57" spans="1:63" s="8" customFormat="1" ht="1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19"/>
      <c r="BD57" s="19"/>
      <c r="BE57" s="19"/>
      <c r="BF57" s="19"/>
      <c r="BG57" s="19"/>
      <c r="BH57" s="19"/>
      <c r="BI57" s="19"/>
      <c r="BJ57" s="19"/>
      <c r="BK57" s="19"/>
    </row>
    <row r="58" spans="1:63" x14ac:dyDescent="0.3">
      <c r="A58" s="146" t="s">
        <v>64</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row>
    <row r="59" spans="1:63" x14ac:dyDescent="0.3">
      <c r="A59" s="38" t="s">
        <v>76</v>
      </c>
      <c r="B59" s="38"/>
      <c r="C59" s="38"/>
      <c r="D59" s="38"/>
      <c r="E59" s="38"/>
      <c r="F59" s="38"/>
      <c r="G59" s="38"/>
      <c r="H59" s="38"/>
      <c r="I59" s="38"/>
      <c r="J59" s="38"/>
      <c r="K59" s="38"/>
      <c r="L59" s="38"/>
      <c r="M59" s="38"/>
      <c r="N59" s="38"/>
      <c r="O59" s="38"/>
      <c r="P59" s="38"/>
      <c r="Q59" s="38"/>
      <c r="R59" s="38"/>
      <c r="S59" s="38"/>
      <c r="T59" s="38"/>
      <c r="U59" s="38"/>
      <c r="V59" s="38"/>
      <c r="W59" s="38"/>
      <c r="X59" s="38"/>
      <c r="Z59" s="38"/>
      <c r="AA59" s="38"/>
    </row>
    <row r="60" spans="1:63" x14ac:dyDescent="0.3">
      <c r="A60" s="147"/>
      <c r="B60" s="147"/>
      <c r="C60" s="147"/>
      <c r="D60" s="147"/>
      <c r="E60" s="147"/>
      <c r="F60" s="147"/>
      <c r="G60" s="147"/>
      <c r="H60" s="147"/>
      <c r="I60" s="147"/>
      <c r="J60" s="147"/>
      <c r="K60" s="147"/>
      <c r="L60" s="147"/>
      <c r="M60" s="147"/>
      <c r="N60" s="147"/>
      <c r="O60" s="147"/>
      <c r="P60" s="147"/>
      <c r="Q60" s="147"/>
      <c r="R60" s="147"/>
      <c r="S60" s="147"/>
      <c r="T60" s="147"/>
      <c r="U60" s="147"/>
      <c r="V60" s="147"/>
      <c r="W60" s="147"/>
      <c r="X60" s="147"/>
    </row>
    <row r="61" spans="1:63" x14ac:dyDescent="0.3">
      <c r="A61" s="33" t="s">
        <v>65</v>
      </c>
    </row>
    <row r="62" spans="1:63" x14ac:dyDescent="0.3">
      <c r="A62" s="148" t="s">
        <v>66</v>
      </c>
      <c r="B62" s="148"/>
      <c r="C62" s="148"/>
      <c r="D62" s="148"/>
      <c r="E62" s="148"/>
      <c r="F62" s="148"/>
      <c r="G62" s="148"/>
      <c r="H62" s="148"/>
      <c r="I62" s="148"/>
      <c r="J62" s="148"/>
      <c r="K62" s="148"/>
      <c r="L62" s="148"/>
      <c r="M62" s="148"/>
      <c r="N62" s="148"/>
      <c r="O62" s="148"/>
      <c r="P62" s="148"/>
      <c r="Q62" s="148"/>
      <c r="R62" s="148"/>
      <c r="S62" s="148"/>
      <c r="T62" s="148"/>
      <c r="U62" s="148"/>
      <c r="V62" s="148"/>
      <c r="W62" s="148"/>
      <c r="X62" s="148"/>
    </row>
    <row r="64" spans="1:63" x14ac:dyDescent="0.3">
      <c r="A64" s="4" t="s">
        <v>67</v>
      </c>
      <c r="B64" s="34"/>
      <c r="C64" s="34"/>
      <c r="D64" s="34"/>
      <c r="E64" s="34"/>
      <c r="F64" s="34"/>
      <c r="G64" s="34"/>
      <c r="H64" s="34"/>
      <c r="I64" s="34"/>
      <c r="J64" s="34"/>
      <c r="K64" s="34"/>
      <c r="L64" s="34"/>
      <c r="M64" s="34"/>
      <c r="N64" s="34"/>
      <c r="O64" s="34"/>
      <c r="P64" s="34"/>
      <c r="Q64" s="34"/>
      <c r="R64" s="34"/>
      <c r="S64" s="34"/>
      <c r="T64" s="34"/>
      <c r="U64" s="34"/>
      <c r="V64" s="34"/>
      <c r="W64" s="34"/>
      <c r="X64" s="34"/>
      <c r="Z64" s="34"/>
      <c r="AA64" s="34"/>
    </row>
    <row r="65" spans="1:27" x14ac:dyDescent="0.3">
      <c r="A65" s="35" t="s">
        <v>68</v>
      </c>
      <c r="B65" s="34"/>
      <c r="C65" s="34"/>
      <c r="D65" s="34"/>
      <c r="E65" s="34"/>
      <c r="F65" s="34"/>
      <c r="G65" s="34"/>
      <c r="H65" s="34"/>
      <c r="I65" s="34"/>
      <c r="J65" s="34"/>
      <c r="K65" s="34"/>
      <c r="L65" s="34"/>
      <c r="M65" s="34"/>
      <c r="N65" s="34"/>
      <c r="O65" s="34"/>
      <c r="P65" s="34"/>
      <c r="Q65" s="34"/>
      <c r="R65" s="34"/>
      <c r="S65" s="34"/>
      <c r="T65" s="34"/>
      <c r="U65" s="34"/>
      <c r="V65" s="34"/>
      <c r="W65" s="34"/>
      <c r="X65" s="34"/>
      <c r="Z65" s="34"/>
      <c r="AA65" s="34"/>
    </row>
    <row r="67" spans="1:27" x14ac:dyDescent="0.3">
      <c r="A67" s="146" t="s">
        <v>69</v>
      </c>
      <c r="B67" s="146"/>
      <c r="C67" s="146"/>
      <c r="D67" s="146"/>
      <c r="E67" s="146"/>
      <c r="F67" s="146"/>
      <c r="G67" s="146"/>
      <c r="H67" s="146"/>
      <c r="I67" s="146"/>
      <c r="J67" s="146"/>
      <c r="K67" s="146"/>
      <c r="L67" s="146"/>
      <c r="M67" s="146"/>
      <c r="N67" s="146"/>
      <c r="O67" s="146"/>
      <c r="P67" s="146"/>
      <c r="Q67" s="146"/>
      <c r="R67" s="146"/>
      <c r="S67" s="146"/>
      <c r="T67" s="146"/>
      <c r="U67" s="146"/>
      <c r="V67" s="146"/>
      <c r="W67" s="146"/>
      <c r="X67" s="146"/>
    </row>
    <row r="68" spans="1:27" x14ac:dyDescent="0.3">
      <c r="A68" s="35"/>
    </row>
    <row r="69" spans="1:27" x14ac:dyDescent="0.3">
      <c r="A69" s="4" t="s">
        <v>70</v>
      </c>
      <c r="X69" s="36"/>
    </row>
    <row r="70" spans="1:27" x14ac:dyDescent="0.3">
      <c r="A70" s="35" t="s">
        <v>72</v>
      </c>
      <c r="X70" s="36"/>
    </row>
  </sheetData>
  <mergeCells count="12">
    <mergeCell ref="A58:X58"/>
    <mergeCell ref="A60:X60"/>
    <mergeCell ref="A62:X62"/>
    <mergeCell ref="A67:X67"/>
    <mergeCell ref="A1:BB1"/>
    <mergeCell ref="B5:BB5"/>
    <mergeCell ref="B6:H6"/>
    <mergeCell ref="K6:R6"/>
    <mergeCell ref="T6:Z6"/>
    <mergeCell ref="AC6:AI6"/>
    <mergeCell ref="AL6:AR6"/>
    <mergeCell ref="AU6:BB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B3AE-D627-4533-A21F-6454F33BBA6F}">
  <sheetPr codeName="Sheet10"/>
  <dimension ref="A1:BB70"/>
  <sheetViews>
    <sheetView topLeftCell="Y1" zoomScale="80" zoomScaleNormal="80" workbookViewId="0">
      <selection activeCell="AC25" sqref="AC25"/>
    </sheetView>
  </sheetViews>
  <sheetFormatPr defaultColWidth="9.21875" defaultRowHeight="14.4" x14ac:dyDescent="0.3"/>
  <cols>
    <col min="1" max="1" width="40.21875" style="8" customWidth="1"/>
    <col min="2" max="16384" width="9.21875" style="8"/>
  </cols>
  <sheetData>
    <row r="1" spans="1:54" customFormat="1" ht="17.399999999999999" x14ac:dyDescent="0.45">
      <c r="A1" s="154" t="s">
        <v>175</v>
      </c>
      <c r="B1" s="154"/>
      <c r="C1" s="154"/>
      <c r="D1" s="154"/>
      <c r="E1" s="154"/>
      <c r="F1" s="154"/>
      <c r="G1" s="154"/>
      <c r="H1" s="154"/>
      <c r="I1" s="154"/>
      <c r="J1" s="154"/>
      <c r="K1" s="154"/>
      <c r="L1" s="154"/>
      <c r="M1" s="154"/>
      <c r="N1" s="154"/>
      <c r="O1" s="154"/>
      <c r="P1" s="154"/>
      <c r="Q1" s="154"/>
      <c r="R1" s="154"/>
    </row>
    <row r="6" spans="1:54" x14ac:dyDescent="0.3">
      <c r="B6" s="8" t="s">
        <v>1</v>
      </c>
      <c r="K6" s="8" t="s">
        <v>84</v>
      </c>
      <c r="T6" s="8" t="s">
        <v>2</v>
      </c>
      <c r="AC6" s="8" t="s">
        <v>3</v>
      </c>
      <c r="AL6" s="8" t="s">
        <v>4</v>
      </c>
      <c r="AU6" s="8" t="s">
        <v>5</v>
      </c>
    </row>
    <row r="7" spans="1:54" ht="65.25" customHeight="1" thickBot="1" x14ac:dyDescent="0.35">
      <c r="A7" s="1" t="s">
        <v>6</v>
      </c>
      <c r="B7" s="93" t="s">
        <v>7</v>
      </c>
      <c r="C7" s="93" t="s">
        <v>8</v>
      </c>
      <c r="D7" s="93" t="s">
        <v>9</v>
      </c>
      <c r="E7" s="93" t="s">
        <v>10</v>
      </c>
      <c r="F7" s="93" t="s">
        <v>11</v>
      </c>
      <c r="G7" s="93" t="s">
        <v>12</v>
      </c>
      <c r="H7" s="93" t="s">
        <v>13</v>
      </c>
      <c r="I7" s="93" t="s">
        <v>14</v>
      </c>
      <c r="J7" s="93"/>
      <c r="K7" s="93" t="s">
        <v>7</v>
      </c>
      <c r="L7" s="93" t="s">
        <v>8</v>
      </c>
      <c r="M7" s="93" t="s">
        <v>9</v>
      </c>
      <c r="N7" s="93" t="s">
        <v>10</v>
      </c>
      <c r="O7" s="93" t="s">
        <v>11</v>
      </c>
      <c r="P7" s="93" t="s">
        <v>12</v>
      </c>
      <c r="Q7" s="93" t="s">
        <v>13</v>
      </c>
      <c r="R7" s="93" t="s">
        <v>14</v>
      </c>
      <c r="S7" s="93"/>
      <c r="T7" s="93" t="s">
        <v>7</v>
      </c>
      <c r="U7" s="93" t="s">
        <v>8</v>
      </c>
      <c r="V7" s="93" t="s">
        <v>9</v>
      </c>
      <c r="W7" s="93" t="s">
        <v>10</v>
      </c>
      <c r="X7" s="93" t="s">
        <v>11</v>
      </c>
      <c r="Y7" s="93" t="s">
        <v>12</v>
      </c>
      <c r="Z7" s="93" t="s">
        <v>13</v>
      </c>
      <c r="AA7" s="93" t="s">
        <v>14</v>
      </c>
      <c r="AB7" s="93"/>
      <c r="AC7" s="93" t="s">
        <v>7</v>
      </c>
      <c r="AD7" s="93" t="s">
        <v>8</v>
      </c>
      <c r="AE7" s="93" t="s">
        <v>9</v>
      </c>
      <c r="AF7" s="93" t="s">
        <v>10</v>
      </c>
      <c r="AG7" s="93" t="s">
        <v>11</v>
      </c>
      <c r="AH7" s="93" t="s">
        <v>12</v>
      </c>
      <c r="AI7" s="93" t="s">
        <v>13</v>
      </c>
      <c r="AJ7" s="93" t="s">
        <v>14</v>
      </c>
      <c r="AK7" s="93"/>
      <c r="AL7" s="93" t="s">
        <v>7</v>
      </c>
      <c r="AM7" s="93" t="s">
        <v>8</v>
      </c>
      <c r="AN7" s="93" t="s">
        <v>9</v>
      </c>
      <c r="AO7" s="93" t="s">
        <v>10</v>
      </c>
      <c r="AP7" s="93" t="s">
        <v>11</v>
      </c>
      <c r="AQ7" s="93" t="s">
        <v>12</v>
      </c>
      <c r="AR7" s="93" t="s">
        <v>13</v>
      </c>
      <c r="AS7" s="93" t="s">
        <v>14</v>
      </c>
      <c r="AT7" s="93"/>
      <c r="AU7" s="93" t="s">
        <v>7</v>
      </c>
      <c r="AV7" s="93" t="s">
        <v>8</v>
      </c>
      <c r="AW7" s="93" t="s">
        <v>9</v>
      </c>
      <c r="AX7" s="93" t="s">
        <v>10</v>
      </c>
      <c r="AY7" s="93" t="s">
        <v>11</v>
      </c>
      <c r="AZ7" s="93" t="s">
        <v>12</v>
      </c>
      <c r="BA7" s="93" t="s">
        <v>13</v>
      </c>
      <c r="BB7" s="93" t="s">
        <v>14</v>
      </c>
    </row>
    <row r="8" spans="1:54" x14ac:dyDescent="0.3">
      <c r="A8" s="8" t="s">
        <v>15</v>
      </c>
      <c r="B8" s="94">
        <f>'2018-19_working'!B8+'2018-19_working'!C8</f>
        <v>1255</v>
      </c>
      <c r="C8" s="94">
        <f>'2018-19_working'!D8</f>
        <v>56</v>
      </c>
      <c r="D8" s="94">
        <f>'2018-19_working'!E8</f>
        <v>14</v>
      </c>
      <c r="E8" s="94">
        <f>'2018-19_working'!F8</f>
        <v>25</v>
      </c>
      <c r="F8" s="94">
        <f>'2018-19_working'!G8+'2018-19_working'!H8</f>
        <v>15</v>
      </c>
      <c r="G8" s="94">
        <f>'2018-19_working'!I8</f>
        <v>230</v>
      </c>
      <c r="H8" s="95">
        <f>IF(SUM(B8:F8)=0,"-",(SUM(C8:F8)/SUM(B8:F8)))</f>
        <v>8.0586080586080591E-2</v>
      </c>
      <c r="I8" s="95">
        <f>IF(SUM(B8:G8)=0,"-",(G8/SUM(B8:G8)))</f>
        <v>0.14420062695924765</v>
      </c>
      <c r="J8" s="94"/>
      <c r="K8" s="94">
        <f>'2018-19_working'!K8+'2018-19_working'!L8</f>
        <v>1155</v>
      </c>
      <c r="L8" s="94">
        <f>'2018-19_working'!M8</f>
        <v>9</v>
      </c>
      <c r="M8" s="94">
        <f>'2018-19_working'!N8</f>
        <v>3</v>
      </c>
      <c r="N8" s="94">
        <f>'2018-19_working'!O8</f>
        <v>8</v>
      </c>
      <c r="O8" s="94">
        <f>'2018-19_working'!P8+'2018-19_working'!Q8</f>
        <v>4</v>
      </c>
      <c r="P8" s="94">
        <f>'2018-19_working'!R8</f>
        <v>408</v>
      </c>
      <c r="Q8" s="95">
        <f>IF(SUM(K8:O8)=0,"-",(SUM(L8:O8)/SUM(K8:O8)))</f>
        <v>2.0356234096692113E-2</v>
      </c>
      <c r="R8" s="95">
        <f>IF(SUM(K8:P8)=0,"-",(P8/SUM(K8:P8)))</f>
        <v>0.25708884688090738</v>
      </c>
      <c r="S8" s="94"/>
      <c r="T8" s="94">
        <f t="shared" ref="T8:Y8" si="0">B8+K8</f>
        <v>2410</v>
      </c>
      <c r="U8" s="94">
        <f t="shared" si="0"/>
        <v>65</v>
      </c>
      <c r="V8" s="94">
        <f t="shared" si="0"/>
        <v>17</v>
      </c>
      <c r="W8" s="94">
        <f t="shared" si="0"/>
        <v>33</v>
      </c>
      <c r="X8" s="94">
        <f t="shared" si="0"/>
        <v>19</v>
      </c>
      <c r="Y8" s="94">
        <f t="shared" si="0"/>
        <v>638</v>
      </c>
      <c r="Z8" s="95">
        <f>IF(SUM(T8:X8)=0,"-",(SUM(U8:X8)/SUM(T8:X8)))</f>
        <v>5.2672955974842769E-2</v>
      </c>
      <c r="AA8" s="95">
        <f>IF(SUM(T8:Y8)=0,"-",(Y8/SUM(T8:Y8)))</f>
        <v>0.20050282840980516</v>
      </c>
      <c r="AB8" s="94"/>
      <c r="AC8" s="94">
        <f>'2018-19_working'!T8+'2018-19_working'!U8</f>
        <v>77</v>
      </c>
      <c r="AD8" s="94">
        <f>'2018-19_working'!V8</f>
        <v>1</v>
      </c>
      <c r="AE8" s="94">
        <f>'2018-19_working'!W8</f>
        <v>0</v>
      </c>
      <c r="AF8" s="94">
        <f>'2018-19_working'!X8</f>
        <v>0</v>
      </c>
      <c r="AG8" s="94">
        <f>'2018-19_working'!Y8+'2018-19_working'!Z8</f>
        <v>2</v>
      </c>
      <c r="AH8" s="94">
        <f>'2018-19_working'!AA8</f>
        <v>12</v>
      </c>
      <c r="AI8" s="95">
        <f>IF(SUM(AC8:AG8)=0,"-",(SUM(AD8:AG8)/SUM(AC8:AG8)))</f>
        <v>3.7499999999999999E-2</v>
      </c>
      <c r="AJ8" s="95">
        <f>IF(SUM(AC8:AH8)=0,"-",(AH8/SUM(AC8:AH8)))</f>
        <v>0.13043478260869565</v>
      </c>
      <c r="AK8" s="94"/>
      <c r="AL8" s="94">
        <f>'2018-19_working'!AC8+'2018-19_working'!AD8</f>
        <v>728</v>
      </c>
      <c r="AM8" s="94">
        <f>'2018-19_working'!AE8</f>
        <v>10</v>
      </c>
      <c r="AN8" s="94">
        <f>'2018-19_working'!AF8</f>
        <v>27</v>
      </c>
      <c r="AO8" s="94">
        <f>'2018-19_working'!AG8</f>
        <v>29</v>
      </c>
      <c r="AP8" s="94">
        <f>'2018-19_working'!AH8+'2018-19_working'!AI8</f>
        <v>12</v>
      </c>
      <c r="AQ8" s="94">
        <f>'2018-19_working'!AJ8</f>
        <v>176</v>
      </c>
      <c r="AR8" s="95">
        <f>IF(SUM(AL8:AP8)=0,"-",(SUM(AM8:AP8)/SUM(AL8:AP8)))</f>
        <v>9.6774193548387094E-2</v>
      </c>
      <c r="AS8" s="95">
        <f>IF(SUM(AL8:AQ8)=0,"-",(AQ8/SUM(AL8:AQ8)))</f>
        <v>0.17922606924643583</v>
      </c>
      <c r="AT8" s="94"/>
      <c r="AU8" s="94">
        <f t="shared" ref="AU8:AZ8" si="1">T8+AC8+AL8</f>
        <v>3215</v>
      </c>
      <c r="AV8" s="94">
        <f t="shared" si="1"/>
        <v>76</v>
      </c>
      <c r="AW8" s="94">
        <f t="shared" si="1"/>
        <v>44</v>
      </c>
      <c r="AX8" s="94">
        <f t="shared" si="1"/>
        <v>62</v>
      </c>
      <c r="AY8" s="94">
        <f t="shared" si="1"/>
        <v>33</v>
      </c>
      <c r="AZ8" s="94">
        <f t="shared" si="1"/>
        <v>826</v>
      </c>
      <c r="BA8" s="95">
        <f>IF(SUM(AU8:AY8)=0,"-",(SUM(AV8:AY8)/SUM(AU8:AY8)))</f>
        <v>6.2682215743440239E-2</v>
      </c>
      <c r="BB8" s="95">
        <f>IF(SUM(AU8:AZ8)=0,"-",(AZ8/SUM(AU8:AZ8)))</f>
        <v>0.19407894736842105</v>
      </c>
    </row>
    <row r="9" spans="1:54" x14ac:dyDescent="0.3">
      <c r="A9" s="8" t="s">
        <v>16</v>
      </c>
      <c r="B9" s="94">
        <f>'2018-19_working'!B9+'2018-19_working'!C9</f>
        <v>611</v>
      </c>
      <c r="C9" s="94">
        <f>'2018-19_working'!D9</f>
        <v>18</v>
      </c>
      <c r="D9" s="94">
        <f>'2018-19_working'!E9</f>
        <v>3</v>
      </c>
      <c r="E9" s="94">
        <f>'2018-19_working'!F9</f>
        <v>3</v>
      </c>
      <c r="F9" s="94">
        <f>'2018-19_working'!G9+'2018-19_working'!H9</f>
        <v>5</v>
      </c>
      <c r="G9" s="94">
        <f>'2018-19_working'!I9</f>
        <v>146</v>
      </c>
      <c r="H9" s="95">
        <f t="shared" ref="H9:H56" si="2">IF(SUM(B9:F9)=0,"-",(SUM(C9:F9)/SUM(B9:F9)))</f>
        <v>4.5312499999999999E-2</v>
      </c>
      <c r="I9" s="95">
        <f t="shared" ref="I9:I56" si="3">IF(SUM(B9:G9)=0,"-",(G9/SUM(B9:G9)))</f>
        <v>0.18575063613231552</v>
      </c>
      <c r="J9" s="94"/>
      <c r="K9" s="94">
        <f>'2018-19_working'!K9+'2018-19_working'!L9</f>
        <v>1113</v>
      </c>
      <c r="L9" s="94">
        <f>'2018-19_working'!M9</f>
        <v>7</v>
      </c>
      <c r="M9" s="94">
        <f>'2018-19_working'!N9</f>
        <v>3</v>
      </c>
      <c r="N9" s="94">
        <f>'2018-19_working'!O9</f>
        <v>6</v>
      </c>
      <c r="O9" s="94">
        <f>'2018-19_working'!P9+'2018-19_working'!Q9</f>
        <v>3</v>
      </c>
      <c r="P9" s="94">
        <f>'2018-19_working'!R9</f>
        <v>407</v>
      </c>
      <c r="Q9" s="95">
        <f t="shared" ref="Q9:Q56" si="4">IF(SUM(K9:O9)=0,"-",(SUM(L9:O9)/SUM(K9:O9)))</f>
        <v>1.6784452296819789E-2</v>
      </c>
      <c r="R9" s="95">
        <f t="shared" ref="R9:R56" si="5">IF(SUM(K9:P9)=0,"-",(P9/SUM(K9:P9)))</f>
        <v>0.26445743989603637</v>
      </c>
      <c r="S9" s="94"/>
      <c r="T9" s="94">
        <f t="shared" ref="T9:T56" si="6">B9+K9</f>
        <v>1724</v>
      </c>
      <c r="U9" s="94">
        <f t="shared" ref="U9:U56" si="7">C9+L9</f>
        <v>25</v>
      </c>
      <c r="V9" s="94">
        <f t="shared" ref="V9:V56" si="8">D9+M9</f>
        <v>6</v>
      </c>
      <c r="W9" s="94">
        <f t="shared" ref="W9:W56" si="9">E9+N9</f>
        <v>9</v>
      </c>
      <c r="X9" s="94">
        <f t="shared" ref="X9:X56" si="10">F9+O9</f>
        <v>8</v>
      </c>
      <c r="Y9" s="94">
        <f t="shared" ref="Y9:Y56" si="11">G9+P9</f>
        <v>553</v>
      </c>
      <c r="Z9" s="95">
        <f t="shared" ref="Z9:Z56" si="12">IF(SUM(T9:X9)=0,"-",(SUM(U9:X9)/SUM(T9:X9)))</f>
        <v>2.7088036117381489E-2</v>
      </c>
      <c r="AA9" s="95">
        <f t="shared" ref="AA9:AA56" si="13">IF(SUM(T9:Y9)=0,"-",(Y9/SUM(T9:Y9)))</f>
        <v>0.2378494623655914</v>
      </c>
      <c r="AB9" s="94"/>
      <c r="AC9" s="94">
        <f>'2018-19_working'!T9+'2018-19_working'!U9</f>
        <v>56</v>
      </c>
      <c r="AD9" s="94">
        <f>'2018-19_working'!V9</f>
        <v>0</v>
      </c>
      <c r="AE9" s="94">
        <f>'2018-19_working'!W9</f>
        <v>0</v>
      </c>
      <c r="AF9" s="94">
        <f>'2018-19_working'!X9</f>
        <v>0</v>
      </c>
      <c r="AG9" s="94">
        <f>'2018-19_working'!Y9+'2018-19_working'!Z9</f>
        <v>2</v>
      </c>
      <c r="AH9" s="94">
        <f>'2018-19_working'!AA9</f>
        <v>12</v>
      </c>
      <c r="AI9" s="95">
        <f t="shared" ref="AI9:AI56" si="14">IF(SUM(AC9:AG9)=0,"-",(SUM(AD9:AG9)/SUM(AC9:AG9)))</f>
        <v>3.4482758620689655E-2</v>
      </c>
      <c r="AJ9" s="95">
        <f t="shared" ref="AJ9:AJ56" si="15">IF(SUM(AC9:AH9)=0,"-",(AH9/SUM(AC9:AH9)))</f>
        <v>0.17142857142857143</v>
      </c>
      <c r="AK9" s="94"/>
      <c r="AL9" s="94">
        <f>'2018-19_working'!AC9+'2018-19_working'!AD9</f>
        <v>477</v>
      </c>
      <c r="AM9" s="94">
        <f>'2018-19_working'!AE9</f>
        <v>4</v>
      </c>
      <c r="AN9" s="94">
        <f>'2018-19_working'!AF9</f>
        <v>10</v>
      </c>
      <c r="AO9" s="94">
        <f>'2018-19_working'!AG9</f>
        <v>10</v>
      </c>
      <c r="AP9" s="94">
        <f>'2018-19_working'!AH9+'2018-19_working'!AI9</f>
        <v>1</v>
      </c>
      <c r="AQ9" s="94">
        <f>'2018-19_working'!AJ9</f>
        <v>146</v>
      </c>
      <c r="AR9" s="95">
        <f t="shared" ref="AR9:AR56" si="16">IF(SUM(AL9:AP9)=0,"-",(SUM(AM9:AP9)/SUM(AL9:AP9)))</f>
        <v>4.9800796812749001E-2</v>
      </c>
      <c r="AS9" s="95">
        <f t="shared" ref="AS9:AS56" si="17">IF(SUM(AL9:AQ9)=0,"-",(AQ9/SUM(AL9:AQ9)))</f>
        <v>0.22530864197530864</v>
      </c>
      <c r="AT9" s="94"/>
      <c r="AU9" s="94">
        <f t="shared" ref="AU9:AU56" si="18">T9+AC9+AL9</f>
        <v>2257</v>
      </c>
      <c r="AV9" s="94">
        <f t="shared" ref="AV9:AV56" si="19">U9+AD9+AM9</f>
        <v>29</v>
      </c>
      <c r="AW9" s="94">
        <f t="shared" ref="AW9:AW56" si="20">V9+AE9+AN9</f>
        <v>16</v>
      </c>
      <c r="AX9" s="94">
        <f t="shared" ref="AX9:AX56" si="21">W9+AF9+AO9</f>
        <v>19</v>
      </c>
      <c r="AY9" s="94">
        <f t="shared" ref="AY9:AY56" si="22">X9+AG9+AP9</f>
        <v>11</v>
      </c>
      <c r="AZ9" s="94">
        <f t="shared" ref="AZ9:AZ56" si="23">Y9+AH9+AQ9</f>
        <v>711</v>
      </c>
      <c r="BA9" s="95">
        <f t="shared" ref="BA9:BA56" si="24">IF(SUM(AU9:AY9)=0,"-",(SUM(AV9:AY9)/SUM(AU9:AY9)))</f>
        <v>3.2161234991423669E-2</v>
      </c>
      <c r="BB9" s="95">
        <f t="shared" ref="BB9:BB56" si="25">IF(SUM(AU9:AZ9)=0,"-",(AZ9/SUM(AU9:AZ9)))</f>
        <v>0.23365100230036148</v>
      </c>
    </row>
    <row r="10" spans="1:54" x14ac:dyDescent="0.3">
      <c r="A10" s="8" t="s">
        <v>17</v>
      </c>
      <c r="B10" s="94">
        <f>'2018-19_working'!B10+'2018-19_working'!C10</f>
        <v>12</v>
      </c>
      <c r="C10" s="94">
        <f>'2018-19_working'!D10</f>
        <v>0</v>
      </c>
      <c r="D10" s="94">
        <f>'2018-19_working'!E10</f>
        <v>0</v>
      </c>
      <c r="E10" s="94">
        <f>'2018-19_working'!F10</f>
        <v>1</v>
      </c>
      <c r="F10" s="94">
        <f>'2018-19_working'!G10+'2018-19_working'!H10</f>
        <v>1</v>
      </c>
      <c r="G10" s="94">
        <f>'2018-19_working'!I10</f>
        <v>1</v>
      </c>
      <c r="H10" s="95">
        <f t="shared" si="2"/>
        <v>0.14285714285714285</v>
      </c>
      <c r="I10" s="95">
        <f t="shared" si="3"/>
        <v>6.6666666666666666E-2</v>
      </c>
      <c r="J10" s="94"/>
      <c r="K10" s="94">
        <f>'2018-19_working'!K10+'2018-19_working'!L10</f>
        <v>3</v>
      </c>
      <c r="L10" s="94">
        <f>'2018-19_working'!M10</f>
        <v>0</v>
      </c>
      <c r="M10" s="94">
        <f>'2018-19_working'!N10</f>
        <v>0</v>
      </c>
      <c r="N10" s="94">
        <f>'2018-19_working'!O10</f>
        <v>0</v>
      </c>
      <c r="O10" s="94">
        <f>'2018-19_working'!P10+'2018-19_working'!Q10</f>
        <v>0</v>
      </c>
      <c r="P10" s="94">
        <f>'2018-19_working'!R10</f>
        <v>16</v>
      </c>
      <c r="Q10" s="95">
        <f t="shared" si="4"/>
        <v>0</v>
      </c>
      <c r="R10" s="95">
        <f t="shared" si="5"/>
        <v>0.84210526315789469</v>
      </c>
      <c r="S10" s="94"/>
      <c r="T10" s="94">
        <f t="shared" si="6"/>
        <v>15</v>
      </c>
      <c r="U10" s="94">
        <f t="shared" si="7"/>
        <v>0</v>
      </c>
      <c r="V10" s="94">
        <f t="shared" si="8"/>
        <v>0</v>
      </c>
      <c r="W10" s="94">
        <f t="shared" si="9"/>
        <v>1</v>
      </c>
      <c r="X10" s="94">
        <f t="shared" si="10"/>
        <v>1</v>
      </c>
      <c r="Y10" s="94">
        <f t="shared" si="11"/>
        <v>17</v>
      </c>
      <c r="Z10" s="95">
        <f t="shared" si="12"/>
        <v>0.11764705882352941</v>
      </c>
      <c r="AA10" s="95">
        <f t="shared" si="13"/>
        <v>0.5</v>
      </c>
      <c r="AB10" s="94"/>
      <c r="AC10" s="94">
        <f>'2018-19_working'!T10+'2018-19_working'!U10</f>
        <v>3</v>
      </c>
      <c r="AD10" s="94">
        <f>'2018-19_working'!V10</f>
        <v>0</v>
      </c>
      <c r="AE10" s="94">
        <f>'2018-19_working'!W10</f>
        <v>0</v>
      </c>
      <c r="AF10" s="94">
        <f>'2018-19_working'!X10</f>
        <v>0</v>
      </c>
      <c r="AG10" s="94">
        <f>'2018-19_working'!Y10+'2018-19_working'!Z10</f>
        <v>0</v>
      </c>
      <c r="AH10" s="94">
        <f>'2018-19_working'!AA10</f>
        <v>0</v>
      </c>
      <c r="AI10" s="95">
        <f t="shared" si="14"/>
        <v>0</v>
      </c>
      <c r="AJ10" s="95">
        <f t="shared" si="15"/>
        <v>0</v>
      </c>
      <c r="AK10" s="94"/>
      <c r="AL10" s="94">
        <f>'2018-19_working'!AC10+'2018-19_working'!AD10</f>
        <v>14</v>
      </c>
      <c r="AM10" s="94">
        <f>'2018-19_working'!AE10</f>
        <v>0</v>
      </c>
      <c r="AN10" s="94">
        <f>'2018-19_working'!AF10</f>
        <v>0</v>
      </c>
      <c r="AO10" s="94">
        <f>'2018-19_working'!AG10</f>
        <v>0</v>
      </c>
      <c r="AP10" s="94">
        <f>'2018-19_working'!AH10+'2018-19_working'!AI10</f>
        <v>0</v>
      </c>
      <c r="AQ10" s="94">
        <f>'2018-19_working'!AJ10</f>
        <v>11</v>
      </c>
      <c r="AR10" s="95">
        <f t="shared" si="16"/>
        <v>0</v>
      </c>
      <c r="AS10" s="95">
        <f t="shared" si="17"/>
        <v>0.44</v>
      </c>
      <c r="AT10" s="94"/>
      <c r="AU10" s="94">
        <f t="shared" si="18"/>
        <v>32</v>
      </c>
      <c r="AV10" s="94">
        <f t="shared" si="19"/>
        <v>0</v>
      </c>
      <c r="AW10" s="94">
        <f t="shared" si="20"/>
        <v>0</v>
      </c>
      <c r="AX10" s="94">
        <f t="shared" si="21"/>
        <v>1</v>
      </c>
      <c r="AY10" s="94">
        <f t="shared" si="22"/>
        <v>1</v>
      </c>
      <c r="AZ10" s="94">
        <f t="shared" si="23"/>
        <v>28</v>
      </c>
      <c r="BA10" s="95">
        <f t="shared" si="24"/>
        <v>5.8823529411764705E-2</v>
      </c>
      <c r="BB10" s="95">
        <f t="shared" si="25"/>
        <v>0.45161290322580644</v>
      </c>
    </row>
    <row r="11" spans="1:54" x14ac:dyDescent="0.3">
      <c r="A11" s="8" t="s">
        <v>18</v>
      </c>
      <c r="B11" s="94">
        <f>'2018-19_working'!B11+'2018-19_working'!C11</f>
        <v>18</v>
      </c>
      <c r="C11" s="94">
        <f>'2018-19_working'!D11</f>
        <v>0</v>
      </c>
      <c r="D11" s="94">
        <f>'2018-19_working'!E11</f>
        <v>0</v>
      </c>
      <c r="E11" s="94">
        <f>'2018-19_working'!F11</f>
        <v>0</v>
      </c>
      <c r="F11" s="94">
        <f>'2018-19_working'!G11+'2018-19_working'!H11</f>
        <v>0</v>
      </c>
      <c r="G11" s="94">
        <f>'2018-19_working'!I11</f>
        <v>0</v>
      </c>
      <c r="H11" s="95">
        <f t="shared" si="2"/>
        <v>0</v>
      </c>
      <c r="I11" s="95">
        <f t="shared" si="3"/>
        <v>0</v>
      </c>
      <c r="J11" s="94"/>
      <c r="K11" s="94">
        <f>'2018-19_working'!K11+'2018-19_working'!L11</f>
        <v>24</v>
      </c>
      <c r="L11" s="94">
        <f>'2018-19_working'!M11</f>
        <v>1</v>
      </c>
      <c r="M11" s="94">
        <f>'2018-19_working'!N11</f>
        <v>0</v>
      </c>
      <c r="N11" s="94">
        <f>'2018-19_working'!O11</f>
        <v>0</v>
      </c>
      <c r="O11" s="94">
        <f>'2018-19_working'!P11+'2018-19_working'!Q11</f>
        <v>0</v>
      </c>
      <c r="P11" s="94">
        <f>'2018-19_working'!R11</f>
        <v>1</v>
      </c>
      <c r="Q11" s="95">
        <f t="shared" si="4"/>
        <v>0.04</v>
      </c>
      <c r="R11" s="95">
        <f t="shared" si="5"/>
        <v>3.8461538461538464E-2</v>
      </c>
      <c r="S11" s="94"/>
      <c r="T11" s="94">
        <f t="shared" si="6"/>
        <v>42</v>
      </c>
      <c r="U11" s="94">
        <f t="shared" si="7"/>
        <v>1</v>
      </c>
      <c r="V11" s="94">
        <f t="shared" si="8"/>
        <v>0</v>
      </c>
      <c r="W11" s="94">
        <f t="shared" si="9"/>
        <v>0</v>
      </c>
      <c r="X11" s="94">
        <f t="shared" si="10"/>
        <v>0</v>
      </c>
      <c r="Y11" s="94">
        <f t="shared" si="11"/>
        <v>1</v>
      </c>
      <c r="Z11" s="95">
        <f t="shared" si="12"/>
        <v>2.3255813953488372E-2</v>
      </c>
      <c r="AA11" s="95">
        <f t="shared" si="13"/>
        <v>2.2727272727272728E-2</v>
      </c>
      <c r="AB11" s="94"/>
      <c r="AC11" s="94">
        <f>'2018-19_working'!T11+'2018-19_working'!U11</f>
        <v>1</v>
      </c>
      <c r="AD11" s="94">
        <f>'2018-19_working'!V11</f>
        <v>0</v>
      </c>
      <c r="AE11" s="94">
        <f>'2018-19_working'!W11</f>
        <v>0</v>
      </c>
      <c r="AF11" s="94">
        <f>'2018-19_working'!X11</f>
        <v>0</v>
      </c>
      <c r="AG11" s="94">
        <f>'2018-19_working'!Y11+'2018-19_working'!Z11</f>
        <v>0</v>
      </c>
      <c r="AH11" s="94">
        <f>'2018-19_working'!AA11</f>
        <v>1</v>
      </c>
      <c r="AI11" s="95">
        <f t="shared" si="14"/>
        <v>0</v>
      </c>
      <c r="AJ11" s="95">
        <f t="shared" si="15"/>
        <v>0.5</v>
      </c>
      <c r="AK11" s="94"/>
      <c r="AL11" s="94">
        <f>'2018-19_working'!AC11+'2018-19_working'!AD11</f>
        <v>15</v>
      </c>
      <c r="AM11" s="94">
        <f>'2018-19_working'!AE11</f>
        <v>1</v>
      </c>
      <c r="AN11" s="94">
        <f>'2018-19_working'!AF11</f>
        <v>1</v>
      </c>
      <c r="AO11" s="94">
        <f>'2018-19_working'!AG11</f>
        <v>0</v>
      </c>
      <c r="AP11" s="94">
        <f>'2018-19_working'!AH11+'2018-19_working'!AI11</f>
        <v>0</v>
      </c>
      <c r="AQ11" s="94">
        <f>'2018-19_working'!AJ11</f>
        <v>5</v>
      </c>
      <c r="AR11" s="95">
        <f t="shared" si="16"/>
        <v>0.11764705882352941</v>
      </c>
      <c r="AS11" s="95">
        <f t="shared" si="17"/>
        <v>0.22727272727272727</v>
      </c>
      <c r="AT11" s="94"/>
      <c r="AU11" s="94">
        <f t="shared" si="18"/>
        <v>58</v>
      </c>
      <c r="AV11" s="94">
        <f t="shared" si="19"/>
        <v>2</v>
      </c>
      <c r="AW11" s="94">
        <f t="shared" si="20"/>
        <v>1</v>
      </c>
      <c r="AX11" s="94">
        <f t="shared" si="21"/>
        <v>0</v>
      </c>
      <c r="AY11" s="94">
        <f t="shared" si="22"/>
        <v>0</v>
      </c>
      <c r="AZ11" s="94">
        <f t="shared" si="23"/>
        <v>7</v>
      </c>
      <c r="BA11" s="95">
        <f t="shared" si="24"/>
        <v>4.9180327868852458E-2</v>
      </c>
      <c r="BB11" s="95">
        <f t="shared" si="25"/>
        <v>0.10294117647058823</v>
      </c>
    </row>
    <row r="12" spans="1:54" x14ac:dyDescent="0.3">
      <c r="A12" s="8" t="s">
        <v>19</v>
      </c>
      <c r="B12" s="94">
        <f>'2018-19_working'!B12+'2018-19_working'!C12</f>
        <v>13</v>
      </c>
      <c r="C12" s="94">
        <f>'2018-19_working'!D12</f>
        <v>1</v>
      </c>
      <c r="D12" s="94">
        <f>'2018-19_working'!E12</f>
        <v>0</v>
      </c>
      <c r="E12" s="94">
        <f>'2018-19_working'!F12</f>
        <v>0</v>
      </c>
      <c r="F12" s="94">
        <f>'2018-19_working'!G12+'2018-19_working'!H12</f>
        <v>0</v>
      </c>
      <c r="G12" s="94">
        <f>'2018-19_working'!I12</f>
        <v>0</v>
      </c>
      <c r="H12" s="95">
        <f t="shared" si="2"/>
        <v>7.1428571428571425E-2</v>
      </c>
      <c r="I12" s="95">
        <f t="shared" si="3"/>
        <v>0</v>
      </c>
      <c r="J12" s="94"/>
      <c r="K12" s="94">
        <f>'2018-19_working'!K12+'2018-19_working'!L12</f>
        <v>22</v>
      </c>
      <c r="L12" s="94">
        <f>'2018-19_working'!M12</f>
        <v>1</v>
      </c>
      <c r="M12" s="94">
        <f>'2018-19_working'!N12</f>
        <v>0</v>
      </c>
      <c r="N12" s="94">
        <f>'2018-19_working'!O12</f>
        <v>0</v>
      </c>
      <c r="O12" s="94">
        <f>'2018-19_working'!P12+'2018-19_working'!Q12</f>
        <v>0</v>
      </c>
      <c r="P12" s="94">
        <f>'2018-19_working'!R12</f>
        <v>0</v>
      </c>
      <c r="Q12" s="95">
        <f t="shared" si="4"/>
        <v>4.3478260869565216E-2</v>
      </c>
      <c r="R12" s="95">
        <f t="shared" si="5"/>
        <v>0</v>
      </c>
      <c r="S12" s="94"/>
      <c r="T12" s="94">
        <f t="shared" si="6"/>
        <v>35</v>
      </c>
      <c r="U12" s="94">
        <f t="shared" si="7"/>
        <v>2</v>
      </c>
      <c r="V12" s="94">
        <f t="shared" si="8"/>
        <v>0</v>
      </c>
      <c r="W12" s="94">
        <f t="shared" si="9"/>
        <v>0</v>
      </c>
      <c r="X12" s="94">
        <f t="shared" si="10"/>
        <v>0</v>
      </c>
      <c r="Y12" s="94">
        <f t="shared" si="11"/>
        <v>0</v>
      </c>
      <c r="Z12" s="95">
        <f t="shared" si="12"/>
        <v>5.4054054054054057E-2</v>
      </c>
      <c r="AA12" s="95">
        <f t="shared" si="13"/>
        <v>0</v>
      </c>
      <c r="AB12" s="94"/>
      <c r="AC12" s="94">
        <f>'2018-19_working'!T12+'2018-19_working'!U12</f>
        <v>5</v>
      </c>
      <c r="AD12" s="94">
        <f>'2018-19_working'!V12</f>
        <v>0</v>
      </c>
      <c r="AE12" s="94">
        <f>'2018-19_working'!W12</f>
        <v>0</v>
      </c>
      <c r="AF12" s="94">
        <f>'2018-19_working'!X12</f>
        <v>0</v>
      </c>
      <c r="AG12" s="94">
        <f>'2018-19_working'!Y12+'2018-19_working'!Z12</f>
        <v>0</v>
      </c>
      <c r="AH12" s="94">
        <f>'2018-19_working'!AA12</f>
        <v>0</v>
      </c>
      <c r="AI12" s="95">
        <f t="shared" si="14"/>
        <v>0</v>
      </c>
      <c r="AJ12" s="95">
        <f t="shared" si="15"/>
        <v>0</v>
      </c>
      <c r="AK12" s="94"/>
      <c r="AL12" s="94">
        <f>'2018-19_working'!AC12+'2018-19_working'!AD12</f>
        <v>22</v>
      </c>
      <c r="AM12" s="94">
        <f>'2018-19_working'!AE12</f>
        <v>1</v>
      </c>
      <c r="AN12" s="94">
        <f>'2018-19_working'!AF12</f>
        <v>3</v>
      </c>
      <c r="AO12" s="94">
        <f>'2018-19_working'!AG12</f>
        <v>2</v>
      </c>
      <c r="AP12" s="94">
        <f>'2018-19_working'!AH12+'2018-19_working'!AI12</f>
        <v>0</v>
      </c>
      <c r="AQ12" s="94">
        <f>'2018-19_working'!AJ12</f>
        <v>1</v>
      </c>
      <c r="AR12" s="95">
        <f t="shared" si="16"/>
        <v>0.21428571428571427</v>
      </c>
      <c r="AS12" s="95">
        <f t="shared" si="17"/>
        <v>3.4482758620689655E-2</v>
      </c>
      <c r="AT12" s="94"/>
      <c r="AU12" s="94">
        <f t="shared" si="18"/>
        <v>62</v>
      </c>
      <c r="AV12" s="94">
        <f t="shared" si="19"/>
        <v>3</v>
      </c>
      <c r="AW12" s="94">
        <f t="shared" si="20"/>
        <v>3</v>
      </c>
      <c r="AX12" s="94">
        <f t="shared" si="21"/>
        <v>2</v>
      </c>
      <c r="AY12" s="94">
        <f t="shared" si="22"/>
        <v>0</v>
      </c>
      <c r="AZ12" s="94">
        <f t="shared" si="23"/>
        <v>1</v>
      </c>
      <c r="BA12" s="95">
        <f t="shared" si="24"/>
        <v>0.11428571428571428</v>
      </c>
      <c r="BB12" s="95">
        <f t="shared" si="25"/>
        <v>1.4084507042253521E-2</v>
      </c>
    </row>
    <row r="13" spans="1:54" x14ac:dyDescent="0.3">
      <c r="A13" s="8" t="s">
        <v>20</v>
      </c>
      <c r="B13" s="94">
        <f>'2018-19_working'!B13+'2018-19_working'!C13</f>
        <v>25</v>
      </c>
      <c r="C13" s="94">
        <f>'2018-19_working'!D13</f>
        <v>3</v>
      </c>
      <c r="D13" s="94">
        <f>'2018-19_working'!E13</f>
        <v>0</v>
      </c>
      <c r="E13" s="94">
        <f>'2018-19_working'!F13</f>
        <v>0</v>
      </c>
      <c r="F13" s="94">
        <f>'2018-19_working'!G13+'2018-19_working'!H13</f>
        <v>0</v>
      </c>
      <c r="G13" s="94">
        <f>'2018-19_working'!I13</f>
        <v>0</v>
      </c>
      <c r="H13" s="95">
        <f t="shared" si="2"/>
        <v>0.10714285714285714</v>
      </c>
      <c r="I13" s="95">
        <f t="shared" si="3"/>
        <v>0</v>
      </c>
      <c r="J13" s="94"/>
      <c r="K13" s="94">
        <f>'2018-19_working'!K13+'2018-19_working'!L13</f>
        <v>18</v>
      </c>
      <c r="L13" s="94">
        <f>'2018-19_working'!M13</f>
        <v>0</v>
      </c>
      <c r="M13" s="94">
        <f>'2018-19_working'!N13</f>
        <v>1</v>
      </c>
      <c r="N13" s="94">
        <f>'2018-19_working'!O13</f>
        <v>0</v>
      </c>
      <c r="O13" s="94">
        <f>'2018-19_working'!P13+'2018-19_working'!Q13</f>
        <v>0</v>
      </c>
      <c r="P13" s="94">
        <f>'2018-19_working'!R13</f>
        <v>0</v>
      </c>
      <c r="Q13" s="95">
        <f t="shared" si="4"/>
        <v>5.2631578947368418E-2</v>
      </c>
      <c r="R13" s="95">
        <f t="shared" si="5"/>
        <v>0</v>
      </c>
      <c r="S13" s="94"/>
      <c r="T13" s="94">
        <f t="shared" si="6"/>
        <v>43</v>
      </c>
      <c r="U13" s="94">
        <f t="shared" si="7"/>
        <v>3</v>
      </c>
      <c r="V13" s="94">
        <f t="shared" si="8"/>
        <v>1</v>
      </c>
      <c r="W13" s="94">
        <f t="shared" si="9"/>
        <v>0</v>
      </c>
      <c r="X13" s="94">
        <f t="shared" si="10"/>
        <v>0</v>
      </c>
      <c r="Y13" s="94">
        <f t="shared" si="11"/>
        <v>0</v>
      </c>
      <c r="Z13" s="95">
        <f t="shared" si="12"/>
        <v>8.5106382978723402E-2</v>
      </c>
      <c r="AA13" s="95">
        <f t="shared" si="13"/>
        <v>0</v>
      </c>
      <c r="AB13" s="94"/>
      <c r="AC13" s="94">
        <f>'2018-19_working'!T13+'2018-19_working'!U13</f>
        <v>0</v>
      </c>
      <c r="AD13" s="94">
        <f>'2018-19_working'!V13</f>
        <v>0</v>
      </c>
      <c r="AE13" s="94">
        <f>'2018-19_working'!W13</f>
        <v>0</v>
      </c>
      <c r="AF13" s="94">
        <f>'2018-19_working'!X13</f>
        <v>0</v>
      </c>
      <c r="AG13" s="94">
        <f>'2018-19_working'!Y13+'2018-19_working'!Z13</f>
        <v>0</v>
      </c>
      <c r="AH13" s="94">
        <f>'2018-19_working'!AA13</f>
        <v>0</v>
      </c>
      <c r="AI13" s="95" t="str">
        <f t="shared" si="14"/>
        <v>-</v>
      </c>
      <c r="AJ13" s="95" t="str">
        <f t="shared" si="15"/>
        <v>-</v>
      </c>
      <c r="AK13" s="94"/>
      <c r="AL13" s="94">
        <f>'2018-19_working'!AC13+'2018-19_working'!AD13</f>
        <v>5</v>
      </c>
      <c r="AM13" s="94">
        <f>'2018-19_working'!AE13</f>
        <v>0</v>
      </c>
      <c r="AN13" s="94">
        <f>'2018-19_working'!AF13</f>
        <v>0</v>
      </c>
      <c r="AO13" s="94">
        <f>'2018-19_working'!AG13</f>
        <v>1</v>
      </c>
      <c r="AP13" s="94">
        <f>'2018-19_working'!AH13+'2018-19_working'!AI13</f>
        <v>0</v>
      </c>
      <c r="AQ13" s="94">
        <f>'2018-19_working'!AJ13</f>
        <v>0</v>
      </c>
      <c r="AR13" s="95">
        <f t="shared" si="16"/>
        <v>0.16666666666666666</v>
      </c>
      <c r="AS13" s="95">
        <f t="shared" si="17"/>
        <v>0</v>
      </c>
      <c r="AT13" s="94"/>
      <c r="AU13" s="94">
        <f t="shared" si="18"/>
        <v>48</v>
      </c>
      <c r="AV13" s="94">
        <f t="shared" si="19"/>
        <v>3</v>
      </c>
      <c r="AW13" s="94">
        <f t="shared" si="20"/>
        <v>1</v>
      </c>
      <c r="AX13" s="94">
        <f t="shared" si="21"/>
        <v>1</v>
      </c>
      <c r="AY13" s="94">
        <f t="shared" si="22"/>
        <v>0</v>
      </c>
      <c r="AZ13" s="94">
        <f t="shared" si="23"/>
        <v>0</v>
      </c>
      <c r="BA13" s="95">
        <f t="shared" si="24"/>
        <v>9.4339622641509441E-2</v>
      </c>
      <c r="BB13" s="95">
        <f t="shared" si="25"/>
        <v>0</v>
      </c>
    </row>
    <row r="14" spans="1:54" x14ac:dyDescent="0.3">
      <c r="A14" s="8" t="s">
        <v>21</v>
      </c>
      <c r="B14" s="94">
        <f>'2018-19_working'!B14+'2018-19_working'!C14</f>
        <v>12</v>
      </c>
      <c r="C14" s="94">
        <f>'2018-19_working'!D14</f>
        <v>0</v>
      </c>
      <c r="D14" s="94">
        <f>'2018-19_working'!E14</f>
        <v>0</v>
      </c>
      <c r="E14" s="94">
        <f>'2018-19_working'!F14</f>
        <v>0</v>
      </c>
      <c r="F14" s="94">
        <f>'2018-19_working'!G14+'2018-19_working'!H14</f>
        <v>0</v>
      </c>
      <c r="G14" s="94">
        <f>'2018-19_working'!I14</f>
        <v>2</v>
      </c>
      <c r="H14" s="95">
        <f t="shared" si="2"/>
        <v>0</v>
      </c>
      <c r="I14" s="95">
        <f t="shared" si="3"/>
        <v>0.14285714285714285</v>
      </c>
      <c r="J14" s="94"/>
      <c r="K14" s="94">
        <f>'2018-19_working'!K14+'2018-19_working'!L14</f>
        <v>32</v>
      </c>
      <c r="L14" s="94">
        <f>'2018-19_working'!M14</f>
        <v>0</v>
      </c>
      <c r="M14" s="94">
        <f>'2018-19_working'!N14</f>
        <v>0</v>
      </c>
      <c r="N14" s="94">
        <f>'2018-19_working'!O14</f>
        <v>0</v>
      </c>
      <c r="O14" s="94">
        <f>'2018-19_working'!P14+'2018-19_working'!Q14</f>
        <v>0</v>
      </c>
      <c r="P14" s="94">
        <f>'2018-19_working'!R14</f>
        <v>4</v>
      </c>
      <c r="Q14" s="95">
        <f t="shared" si="4"/>
        <v>0</v>
      </c>
      <c r="R14" s="95">
        <f t="shared" si="5"/>
        <v>0.1111111111111111</v>
      </c>
      <c r="S14" s="94"/>
      <c r="T14" s="94">
        <f t="shared" si="6"/>
        <v>44</v>
      </c>
      <c r="U14" s="94">
        <f t="shared" si="7"/>
        <v>0</v>
      </c>
      <c r="V14" s="94">
        <f t="shared" si="8"/>
        <v>0</v>
      </c>
      <c r="W14" s="94">
        <f t="shared" si="9"/>
        <v>0</v>
      </c>
      <c r="X14" s="94">
        <f t="shared" si="10"/>
        <v>0</v>
      </c>
      <c r="Y14" s="94">
        <f t="shared" si="11"/>
        <v>6</v>
      </c>
      <c r="Z14" s="95">
        <f t="shared" si="12"/>
        <v>0</v>
      </c>
      <c r="AA14" s="95">
        <f t="shared" si="13"/>
        <v>0.12</v>
      </c>
      <c r="AB14" s="94"/>
      <c r="AC14" s="94">
        <f>'2018-19_working'!T14+'2018-19_working'!U14</f>
        <v>8</v>
      </c>
      <c r="AD14" s="94">
        <f>'2018-19_working'!V14</f>
        <v>0</v>
      </c>
      <c r="AE14" s="94">
        <f>'2018-19_working'!W14</f>
        <v>0</v>
      </c>
      <c r="AF14" s="94">
        <f>'2018-19_working'!X14</f>
        <v>0</v>
      </c>
      <c r="AG14" s="94">
        <f>'2018-19_working'!Y14+'2018-19_working'!Z14</f>
        <v>0</v>
      </c>
      <c r="AH14" s="94">
        <f>'2018-19_working'!AA14</f>
        <v>4</v>
      </c>
      <c r="AI14" s="95">
        <f t="shared" si="14"/>
        <v>0</v>
      </c>
      <c r="AJ14" s="95">
        <f t="shared" si="15"/>
        <v>0.33333333333333331</v>
      </c>
      <c r="AK14" s="94"/>
      <c r="AL14" s="94">
        <f>'2018-19_working'!AC14+'2018-19_working'!AD14</f>
        <v>12</v>
      </c>
      <c r="AM14" s="94">
        <f>'2018-19_working'!AE14</f>
        <v>1</v>
      </c>
      <c r="AN14" s="94">
        <f>'2018-19_working'!AF14</f>
        <v>1</v>
      </c>
      <c r="AO14" s="94">
        <f>'2018-19_working'!AG14</f>
        <v>2</v>
      </c>
      <c r="AP14" s="94">
        <f>'2018-19_working'!AH14+'2018-19_working'!AI14</f>
        <v>0</v>
      </c>
      <c r="AQ14" s="94">
        <f>'2018-19_working'!AJ14</f>
        <v>5</v>
      </c>
      <c r="AR14" s="95">
        <f t="shared" si="16"/>
        <v>0.25</v>
      </c>
      <c r="AS14" s="95">
        <f t="shared" si="17"/>
        <v>0.23809523809523808</v>
      </c>
      <c r="AT14" s="94"/>
      <c r="AU14" s="94">
        <f t="shared" si="18"/>
        <v>64</v>
      </c>
      <c r="AV14" s="94">
        <f t="shared" si="19"/>
        <v>1</v>
      </c>
      <c r="AW14" s="94">
        <f t="shared" si="20"/>
        <v>1</v>
      </c>
      <c r="AX14" s="94">
        <f t="shared" si="21"/>
        <v>2</v>
      </c>
      <c r="AY14" s="94">
        <f t="shared" si="22"/>
        <v>0</v>
      </c>
      <c r="AZ14" s="94">
        <f t="shared" si="23"/>
        <v>15</v>
      </c>
      <c r="BA14" s="95">
        <f t="shared" si="24"/>
        <v>5.8823529411764705E-2</v>
      </c>
      <c r="BB14" s="95">
        <f t="shared" si="25"/>
        <v>0.18072289156626506</v>
      </c>
    </row>
    <row r="15" spans="1:54" x14ac:dyDescent="0.3">
      <c r="A15" s="8" t="s">
        <v>22</v>
      </c>
      <c r="B15" s="94">
        <f>'2018-19_working'!B15+'2018-19_working'!C15</f>
        <v>49</v>
      </c>
      <c r="C15" s="94">
        <f>'2018-19_working'!D15</f>
        <v>0</v>
      </c>
      <c r="D15" s="94">
        <f>'2018-19_working'!E15</f>
        <v>0</v>
      </c>
      <c r="E15" s="94">
        <f>'2018-19_working'!F15</f>
        <v>0</v>
      </c>
      <c r="F15" s="94">
        <f>'2018-19_working'!G15+'2018-19_working'!H15</f>
        <v>1</v>
      </c>
      <c r="G15" s="94">
        <f>'2018-19_working'!I15</f>
        <v>4</v>
      </c>
      <c r="H15" s="95">
        <f t="shared" si="2"/>
        <v>0.02</v>
      </c>
      <c r="I15" s="95">
        <f t="shared" si="3"/>
        <v>7.407407407407407E-2</v>
      </c>
      <c r="J15" s="94"/>
      <c r="K15" s="94">
        <f>'2018-19_working'!K15+'2018-19_working'!L15</f>
        <v>26</v>
      </c>
      <c r="L15" s="94">
        <f>'2018-19_working'!M15</f>
        <v>0</v>
      </c>
      <c r="M15" s="94">
        <f>'2018-19_working'!N15</f>
        <v>0</v>
      </c>
      <c r="N15" s="94">
        <f>'2018-19_working'!O15</f>
        <v>0</v>
      </c>
      <c r="O15" s="94">
        <f>'2018-19_working'!P15+'2018-19_working'!Q15</f>
        <v>0</v>
      </c>
      <c r="P15" s="94">
        <f>'2018-19_working'!R15</f>
        <v>2</v>
      </c>
      <c r="Q15" s="95">
        <f t="shared" si="4"/>
        <v>0</v>
      </c>
      <c r="R15" s="95">
        <f t="shared" si="5"/>
        <v>7.1428571428571425E-2</v>
      </c>
      <c r="S15" s="94"/>
      <c r="T15" s="94">
        <f t="shared" si="6"/>
        <v>75</v>
      </c>
      <c r="U15" s="94">
        <f t="shared" si="7"/>
        <v>0</v>
      </c>
      <c r="V15" s="94">
        <f t="shared" si="8"/>
        <v>0</v>
      </c>
      <c r="W15" s="94">
        <f t="shared" si="9"/>
        <v>0</v>
      </c>
      <c r="X15" s="94">
        <f t="shared" si="10"/>
        <v>1</v>
      </c>
      <c r="Y15" s="94">
        <f t="shared" si="11"/>
        <v>6</v>
      </c>
      <c r="Z15" s="95">
        <f t="shared" si="12"/>
        <v>1.3157894736842105E-2</v>
      </c>
      <c r="AA15" s="95">
        <f t="shared" si="13"/>
        <v>7.3170731707317069E-2</v>
      </c>
      <c r="AB15" s="94"/>
      <c r="AC15" s="94">
        <f>'2018-19_working'!T15+'2018-19_working'!U15</f>
        <v>0</v>
      </c>
      <c r="AD15" s="94">
        <f>'2018-19_working'!V15</f>
        <v>0</v>
      </c>
      <c r="AE15" s="94">
        <f>'2018-19_working'!W15</f>
        <v>0</v>
      </c>
      <c r="AF15" s="94">
        <f>'2018-19_working'!X15</f>
        <v>0</v>
      </c>
      <c r="AG15" s="94">
        <f>'2018-19_working'!Y15+'2018-19_working'!Z15</f>
        <v>0</v>
      </c>
      <c r="AH15" s="94">
        <f>'2018-19_working'!AA15</f>
        <v>0</v>
      </c>
      <c r="AI15" s="95" t="str">
        <f t="shared" si="14"/>
        <v>-</v>
      </c>
      <c r="AJ15" s="95" t="str">
        <f t="shared" si="15"/>
        <v>-</v>
      </c>
      <c r="AK15" s="94"/>
      <c r="AL15" s="94">
        <f>'2018-19_working'!AC15+'2018-19_working'!AD15</f>
        <v>16</v>
      </c>
      <c r="AM15" s="94">
        <f>'2018-19_working'!AE15</f>
        <v>0</v>
      </c>
      <c r="AN15" s="94">
        <f>'2018-19_working'!AF15</f>
        <v>0</v>
      </c>
      <c r="AO15" s="94">
        <f>'2018-19_working'!AG15</f>
        <v>0</v>
      </c>
      <c r="AP15" s="94">
        <f>'2018-19_working'!AH15+'2018-19_working'!AI15</f>
        <v>0</v>
      </c>
      <c r="AQ15" s="94">
        <f>'2018-19_working'!AJ15</f>
        <v>0</v>
      </c>
      <c r="AR15" s="95">
        <f t="shared" si="16"/>
        <v>0</v>
      </c>
      <c r="AS15" s="95">
        <f t="shared" si="17"/>
        <v>0</v>
      </c>
      <c r="AT15" s="94"/>
      <c r="AU15" s="94">
        <f t="shared" si="18"/>
        <v>91</v>
      </c>
      <c r="AV15" s="94">
        <f t="shared" si="19"/>
        <v>0</v>
      </c>
      <c r="AW15" s="94">
        <f t="shared" si="20"/>
        <v>0</v>
      </c>
      <c r="AX15" s="94">
        <f t="shared" si="21"/>
        <v>0</v>
      </c>
      <c r="AY15" s="94">
        <f t="shared" si="22"/>
        <v>1</v>
      </c>
      <c r="AZ15" s="94">
        <f t="shared" si="23"/>
        <v>6</v>
      </c>
      <c r="BA15" s="95">
        <f t="shared" si="24"/>
        <v>1.0869565217391304E-2</v>
      </c>
      <c r="BB15" s="95">
        <f t="shared" si="25"/>
        <v>6.1224489795918366E-2</v>
      </c>
    </row>
    <row r="16" spans="1:54" x14ac:dyDescent="0.3">
      <c r="A16" s="8" t="s">
        <v>23</v>
      </c>
      <c r="B16" s="94">
        <f>'2018-19_working'!B16+'2018-19_working'!C16</f>
        <v>36</v>
      </c>
      <c r="C16" s="94">
        <f>'2018-19_working'!D16</f>
        <v>0</v>
      </c>
      <c r="D16" s="94">
        <f>'2018-19_working'!E16</f>
        <v>0</v>
      </c>
      <c r="E16" s="94">
        <f>'2018-19_working'!F16</f>
        <v>0</v>
      </c>
      <c r="F16" s="94">
        <f>'2018-19_working'!G16+'2018-19_working'!H16</f>
        <v>0</v>
      </c>
      <c r="G16" s="94">
        <f>'2018-19_working'!I16</f>
        <v>0</v>
      </c>
      <c r="H16" s="95">
        <f t="shared" si="2"/>
        <v>0</v>
      </c>
      <c r="I16" s="95">
        <f t="shared" si="3"/>
        <v>0</v>
      </c>
      <c r="J16" s="94"/>
      <c r="K16" s="94">
        <f>'2018-19_working'!K16+'2018-19_working'!L16</f>
        <v>13</v>
      </c>
      <c r="L16" s="94">
        <f>'2018-19_working'!M16</f>
        <v>0</v>
      </c>
      <c r="M16" s="94">
        <f>'2018-19_working'!N16</f>
        <v>0</v>
      </c>
      <c r="N16" s="94">
        <f>'2018-19_working'!O16</f>
        <v>0</v>
      </c>
      <c r="O16" s="94">
        <f>'2018-19_working'!P16+'2018-19_working'!Q16</f>
        <v>0</v>
      </c>
      <c r="P16" s="94">
        <f>'2018-19_working'!R16</f>
        <v>0</v>
      </c>
      <c r="Q16" s="95">
        <f t="shared" si="4"/>
        <v>0</v>
      </c>
      <c r="R16" s="95">
        <f t="shared" si="5"/>
        <v>0</v>
      </c>
      <c r="S16" s="94"/>
      <c r="T16" s="94">
        <f t="shared" si="6"/>
        <v>49</v>
      </c>
      <c r="U16" s="94">
        <f t="shared" si="7"/>
        <v>0</v>
      </c>
      <c r="V16" s="94">
        <f t="shared" si="8"/>
        <v>0</v>
      </c>
      <c r="W16" s="94">
        <f t="shared" si="9"/>
        <v>0</v>
      </c>
      <c r="X16" s="94">
        <f t="shared" si="10"/>
        <v>0</v>
      </c>
      <c r="Y16" s="94">
        <f t="shared" si="11"/>
        <v>0</v>
      </c>
      <c r="Z16" s="95">
        <f t="shared" si="12"/>
        <v>0</v>
      </c>
      <c r="AA16" s="95">
        <f t="shared" si="13"/>
        <v>0</v>
      </c>
      <c r="AB16" s="94"/>
      <c r="AC16" s="94">
        <f>'2018-19_working'!T16+'2018-19_working'!U16</f>
        <v>2</v>
      </c>
      <c r="AD16" s="94">
        <f>'2018-19_working'!V16</f>
        <v>0</v>
      </c>
      <c r="AE16" s="94">
        <f>'2018-19_working'!W16</f>
        <v>0</v>
      </c>
      <c r="AF16" s="94">
        <f>'2018-19_working'!X16</f>
        <v>0</v>
      </c>
      <c r="AG16" s="94">
        <f>'2018-19_working'!Y16+'2018-19_working'!Z16</f>
        <v>0</v>
      </c>
      <c r="AH16" s="94">
        <f>'2018-19_working'!AA16</f>
        <v>0</v>
      </c>
      <c r="AI16" s="95">
        <f t="shared" si="14"/>
        <v>0</v>
      </c>
      <c r="AJ16" s="95">
        <f t="shared" si="15"/>
        <v>0</v>
      </c>
      <c r="AK16" s="94"/>
      <c r="AL16" s="94">
        <f>'2018-19_working'!AC16+'2018-19_working'!AD16</f>
        <v>12</v>
      </c>
      <c r="AM16" s="94">
        <f>'2018-19_working'!AE16</f>
        <v>0</v>
      </c>
      <c r="AN16" s="94">
        <f>'2018-19_working'!AF16</f>
        <v>0</v>
      </c>
      <c r="AO16" s="94">
        <f>'2018-19_working'!AG16</f>
        <v>0</v>
      </c>
      <c r="AP16" s="94">
        <f>'2018-19_working'!AH16+'2018-19_working'!AI16</f>
        <v>0</v>
      </c>
      <c r="AQ16" s="94">
        <f>'2018-19_working'!AJ16</f>
        <v>0</v>
      </c>
      <c r="AR16" s="95">
        <f t="shared" si="16"/>
        <v>0</v>
      </c>
      <c r="AS16" s="95">
        <f t="shared" si="17"/>
        <v>0</v>
      </c>
      <c r="AT16" s="94"/>
      <c r="AU16" s="94">
        <f t="shared" si="18"/>
        <v>63</v>
      </c>
      <c r="AV16" s="94">
        <f t="shared" si="19"/>
        <v>0</v>
      </c>
      <c r="AW16" s="94">
        <f t="shared" si="20"/>
        <v>0</v>
      </c>
      <c r="AX16" s="94">
        <f t="shared" si="21"/>
        <v>0</v>
      </c>
      <c r="AY16" s="94">
        <f t="shared" si="22"/>
        <v>0</v>
      </c>
      <c r="AZ16" s="94">
        <f t="shared" si="23"/>
        <v>0</v>
      </c>
      <c r="BA16" s="95">
        <f t="shared" si="24"/>
        <v>0</v>
      </c>
      <c r="BB16" s="95">
        <f t="shared" si="25"/>
        <v>0</v>
      </c>
    </row>
    <row r="17" spans="1:54" x14ac:dyDescent="0.3">
      <c r="A17" s="8" t="s">
        <v>24</v>
      </c>
      <c r="B17" s="94">
        <f>'2018-19_working'!B17+'2018-19_working'!C17</f>
        <v>10</v>
      </c>
      <c r="C17" s="94">
        <f>'2018-19_working'!D17</f>
        <v>0</v>
      </c>
      <c r="D17" s="94">
        <f>'2018-19_working'!E17</f>
        <v>0</v>
      </c>
      <c r="E17" s="94">
        <f>'2018-19_working'!F17</f>
        <v>1</v>
      </c>
      <c r="F17" s="94">
        <f>'2018-19_working'!G17+'2018-19_working'!H17</f>
        <v>0</v>
      </c>
      <c r="G17" s="94">
        <f>'2018-19_working'!I17</f>
        <v>1</v>
      </c>
      <c r="H17" s="95">
        <f t="shared" si="2"/>
        <v>9.0909090909090912E-2</v>
      </c>
      <c r="I17" s="95">
        <f t="shared" si="3"/>
        <v>8.3333333333333329E-2</v>
      </c>
      <c r="J17" s="94"/>
      <c r="K17" s="94">
        <f>'2018-19_working'!K17+'2018-19_working'!L17</f>
        <v>18</v>
      </c>
      <c r="L17" s="94">
        <f>'2018-19_working'!M17</f>
        <v>0</v>
      </c>
      <c r="M17" s="94">
        <f>'2018-19_working'!N17</f>
        <v>0</v>
      </c>
      <c r="N17" s="94">
        <f>'2018-19_working'!O17</f>
        <v>0</v>
      </c>
      <c r="O17" s="94">
        <f>'2018-19_working'!P17+'2018-19_working'!Q17</f>
        <v>0</v>
      </c>
      <c r="P17" s="94">
        <f>'2018-19_working'!R17</f>
        <v>41</v>
      </c>
      <c r="Q17" s="95">
        <f t="shared" si="4"/>
        <v>0</v>
      </c>
      <c r="R17" s="95">
        <f t="shared" si="5"/>
        <v>0.69491525423728817</v>
      </c>
      <c r="S17" s="94"/>
      <c r="T17" s="94">
        <f t="shared" si="6"/>
        <v>28</v>
      </c>
      <c r="U17" s="94">
        <f t="shared" si="7"/>
        <v>0</v>
      </c>
      <c r="V17" s="94">
        <f t="shared" si="8"/>
        <v>0</v>
      </c>
      <c r="W17" s="94">
        <f t="shared" si="9"/>
        <v>1</v>
      </c>
      <c r="X17" s="94">
        <f t="shared" si="10"/>
        <v>0</v>
      </c>
      <c r="Y17" s="94">
        <f t="shared" si="11"/>
        <v>42</v>
      </c>
      <c r="Z17" s="95">
        <f t="shared" si="12"/>
        <v>3.4482758620689655E-2</v>
      </c>
      <c r="AA17" s="95">
        <f t="shared" si="13"/>
        <v>0.59154929577464788</v>
      </c>
      <c r="AB17" s="94"/>
      <c r="AC17" s="94">
        <f>'2018-19_working'!T17+'2018-19_working'!U17</f>
        <v>1</v>
      </c>
      <c r="AD17" s="94">
        <f>'2018-19_working'!V17</f>
        <v>0</v>
      </c>
      <c r="AE17" s="94">
        <f>'2018-19_working'!W17</f>
        <v>0</v>
      </c>
      <c r="AF17" s="94">
        <f>'2018-19_working'!X17</f>
        <v>0</v>
      </c>
      <c r="AG17" s="94">
        <f>'2018-19_working'!Y17+'2018-19_working'!Z17</f>
        <v>0</v>
      </c>
      <c r="AH17" s="94">
        <f>'2018-19_working'!AA17</f>
        <v>2</v>
      </c>
      <c r="AI17" s="95">
        <f t="shared" si="14"/>
        <v>0</v>
      </c>
      <c r="AJ17" s="95">
        <f t="shared" si="15"/>
        <v>0.66666666666666663</v>
      </c>
      <c r="AK17" s="94"/>
      <c r="AL17" s="94">
        <f>'2018-19_working'!AC17+'2018-19_working'!AD17</f>
        <v>2</v>
      </c>
      <c r="AM17" s="94">
        <f>'2018-19_working'!AE17</f>
        <v>0</v>
      </c>
      <c r="AN17" s="94">
        <f>'2018-19_working'!AF17</f>
        <v>0</v>
      </c>
      <c r="AO17" s="94">
        <f>'2018-19_working'!AG17</f>
        <v>0</v>
      </c>
      <c r="AP17" s="94">
        <f>'2018-19_working'!AH17+'2018-19_working'!AI17</f>
        <v>0</v>
      </c>
      <c r="AQ17" s="94">
        <f>'2018-19_working'!AJ17</f>
        <v>22</v>
      </c>
      <c r="AR17" s="95">
        <f t="shared" si="16"/>
        <v>0</v>
      </c>
      <c r="AS17" s="95">
        <f t="shared" si="17"/>
        <v>0.91666666666666663</v>
      </c>
      <c r="AT17" s="94"/>
      <c r="AU17" s="94">
        <f t="shared" si="18"/>
        <v>31</v>
      </c>
      <c r="AV17" s="94">
        <f t="shared" si="19"/>
        <v>0</v>
      </c>
      <c r="AW17" s="94">
        <f t="shared" si="20"/>
        <v>0</v>
      </c>
      <c r="AX17" s="94">
        <f t="shared" si="21"/>
        <v>1</v>
      </c>
      <c r="AY17" s="94">
        <f t="shared" si="22"/>
        <v>0</v>
      </c>
      <c r="AZ17" s="94">
        <f t="shared" si="23"/>
        <v>66</v>
      </c>
      <c r="BA17" s="95">
        <f t="shared" si="24"/>
        <v>3.125E-2</v>
      </c>
      <c r="BB17" s="95">
        <f t="shared" si="25"/>
        <v>0.67346938775510201</v>
      </c>
    </row>
    <row r="18" spans="1:54" x14ac:dyDescent="0.3">
      <c r="A18" s="8" t="s">
        <v>25</v>
      </c>
      <c r="B18" s="94">
        <f>'2018-19_working'!B18+'2018-19_working'!C18</f>
        <v>2</v>
      </c>
      <c r="C18" s="94">
        <f>'2018-19_working'!D18</f>
        <v>0</v>
      </c>
      <c r="D18" s="94">
        <f>'2018-19_working'!E18</f>
        <v>0</v>
      </c>
      <c r="E18" s="94">
        <f>'2018-19_working'!F18</f>
        <v>0</v>
      </c>
      <c r="F18" s="94">
        <f>'2018-19_working'!G18+'2018-19_working'!H18</f>
        <v>0</v>
      </c>
      <c r="G18" s="94">
        <f>'2018-19_working'!I18</f>
        <v>6</v>
      </c>
      <c r="H18" s="95">
        <f t="shared" si="2"/>
        <v>0</v>
      </c>
      <c r="I18" s="95">
        <f t="shared" si="3"/>
        <v>0.75</v>
      </c>
      <c r="J18" s="94"/>
      <c r="K18" s="94">
        <f>'2018-19_working'!K18+'2018-19_working'!L18</f>
        <v>2</v>
      </c>
      <c r="L18" s="94">
        <f>'2018-19_working'!M18</f>
        <v>0</v>
      </c>
      <c r="M18" s="94">
        <f>'2018-19_working'!N18</f>
        <v>0</v>
      </c>
      <c r="N18" s="94">
        <f>'2018-19_working'!O18</f>
        <v>0</v>
      </c>
      <c r="O18" s="94">
        <f>'2018-19_working'!P18+'2018-19_working'!Q18</f>
        <v>0</v>
      </c>
      <c r="P18" s="94">
        <f>'2018-19_working'!R18</f>
        <v>15</v>
      </c>
      <c r="Q18" s="95">
        <f t="shared" si="4"/>
        <v>0</v>
      </c>
      <c r="R18" s="95">
        <f t="shared" si="5"/>
        <v>0.88235294117647056</v>
      </c>
      <c r="S18" s="94"/>
      <c r="T18" s="94">
        <f t="shared" si="6"/>
        <v>4</v>
      </c>
      <c r="U18" s="94">
        <f t="shared" si="7"/>
        <v>0</v>
      </c>
      <c r="V18" s="94">
        <f t="shared" si="8"/>
        <v>0</v>
      </c>
      <c r="W18" s="94">
        <f t="shared" si="9"/>
        <v>0</v>
      </c>
      <c r="X18" s="94">
        <f t="shared" si="10"/>
        <v>0</v>
      </c>
      <c r="Y18" s="94">
        <f t="shared" si="11"/>
        <v>21</v>
      </c>
      <c r="Z18" s="95">
        <f t="shared" si="12"/>
        <v>0</v>
      </c>
      <c r="AA18" s="95">
        <f t="shared" si="13"/>
        <v>0.84</v>
      </c>
      <c r="AB18" s="94"/>
      <c r="AC18" s="94">
        <f>'2018-19_working'!T18+'2018-19_working'!U18</f>
        <v>0</v>
      </c>
      <c r="AD18" s="94">
        <f>'2018-19_working'!V18</f>
        <v>0</v>
      </c>
      <c r="AE18" s="94">
        <f>'2018-19_working'!W18</f>
        <v>0</v>
      </c>
      <c r="AF18" s="94">
        <f>'2018-19_working'!X18</f>
        <v>0</v>
      </c>
      <c r="AG18" s="94">
        <f>'2018-19_working'!Y18+'2018-19_working'!Z18</f>
        <v>0</v>
      </c>
      <c r="AH18" s="94">
        <f>'2018-19_working'!AA18</f>
        <v>0</v>
      </c>
      <c r="AI18" s="95" t="str">
        <f t="shared" si="14"/>
        <v>-</v>
      </c>
      <c r="AJ18" s="95" t="str">
        <f t="shared" si="15"/>
        <v>-</v>
      </c>
      <c r="AK18" s="94"/>
      <c r="AL18" s="94">
        <f>'2018-19_working'!AC18+'2018-19_working'!AD18</f>
        <v>4</v>
      </c>
      <c r="AM18" s="94">
        <f>'2018-19_working'!AE18</f>
        <v>0</v>
      </c>
      <c r="AN18" s="94">
        <f>'2018-19_working'!AF18</f>
        <v>0</v>
      </c>
      <c r="AO18" s="94">
        <f>'2018-19_working'!AG18</f>
        <v>0</v>
      </c>
      <c r="AP18" s="94">
        <f>'2018-19_working'!AH18+'2018-19_working'!AI18</f>
        <v>0</v>
      </c>
      <c r="AQ18" s="94">
        <f>'2018-19_working'!AJ18</f>
        <v>1</v>
      </c>
      <c r="AR18" s="95">
        <f t="shared" si="16"/>
        <v>0</v>
      </c>
      <c r="AS18" s="95">
        <f t="shared" si="17"/>
        <v>0.2</v>
      </c>
      <c r="AT18" s="94"/>
      <c r="AU18" s="94">
        <f t="shared" si="18"/>
        <v>8</v>
      </c>
      <c r="AV18" s="94">
        <f t="shared" si="19"/>
        <v>0</v>
      </c>
      <c r="AW18" s="94">
        <f t="shared" si="20"/>
        <v>0</v>
      </c>
      <c r="AX18" s="94">
        <f t="shared" si="21"/>
        <v>0</v>
      </c>
      <c r="AY18" s="94">
        <f t="shared" si="22"/>
        <v>0</v>
      </c>
      <c r="AZ18" s="94">
        <f t="shared" si="23"/>
        <v>22</v>
      </c>
      <c r="BA18" s="95">
        <f t="shared" si="24"/>
        <v>0</v>
      </c>
      <c r="BB18" s="95">
        <f t="shared" si="25"/>
        <v>0.73333333333333328</v>
      </c>
    </row>
    <row r="19" spans="1:54" x14ac:dyDescent="0.3">
      <c r="A19" s="8" t="s">
        <v>26</v>
      </c>
      <c r="B19" s="94">
        <f>'2018-19_working'!B19+'2018-19_working'!C19</f>
        <v>28</v>
      </c>
      <c r="C19" s="94">
        <f>'2018-19_working'!D19</f>
        <v>0</v>
      </c>
      <c r="D19" s="94">
        <f>'2018-19_working'!E19</f>
        <v>0</v>
      </c>
      <c r="E19" s="94">
        <f>'2018-19_working'!F19</f>
        <v>0</v>
      </c>
      <c r="F19" s="94">
        <f>'2018-19_working'!G19+'2018-19_working'!H19</f>
        <v>1</v>
      </c>
      <c r="G19" s="94">
        <f>'2018-19_working'!I19</f>
        <v>2</v>
      </c>
      <c r="H19" s="95">
        <f t="shared" si="2"/>
        <v>3.4482758620689655E-2</v>
      </c>
      <c r="I19" s="95">
        <f t="shared" si="3"/>
        <v>6.4516129032258063E-2</v>
      </c>
      <c r="J19" s="94"/>
      <c r="K19" s="94">
        <f>'2018-19_working'!K19+'2018-19_working'!L19</f>
        <v>30</v>
      </c>
      <c r="L19" s="94">
        <f>'2018-19_working'!M19</f>
        <v>0</v>
      </c>
      <c r="M19" s="94">
        <f>'2018-19_working'!N19</f>
        <v>0</v>
      </c>
      <c r="N19" s="94">
        <f>'2018-19_working'!O19</f>
        <v>0</v>
      </c>
      <c r="O19" s="94">
        <f>'2018-19_working'!P19+'2018-19_working'!Q19</f>
        <v>0</v>
      </c>
      <c r="P19" s="94">
        <f>'2018-19_working'!R19</f>
        <v>0</v>
      </c>
      <c r="Q19" s="95">
        <f t="shared" si="4"/>
        <v>0</v>
      </c>
      <c r="R19" s="95">
        <f t="shared" si="5"/>
        <v>0</v>
      </c>
      <c r="S19" s="94"/>
      <c r="T19" s="94">
        <f t="shared" si="6"/>
        <v>58</v>
      </c>
      <c r="U19" s="94">
        <f t="shared" si="7"/>
        <v>0</v>
      </c>
      <c r="V19" s="94">
        <f t="shared" si="8"/>
        <v>0</v>
      </c>
      <c r="W19" s="94">
        <f t="shared" si="9"/>
        <v>0</v>
      </c>
      <c r="X19" s="94">
        <f t="shared" si="10"/>
        <v>1</v>
      </c>
      <c r="Y19" s="94">
        <f t="shared" si="11"/>
        <v>2</v>
      </c>
      <c r="Z19" s="95">
        <f t="shared" si="12"/>
        <v>1.6949152542372881E-2</v>
      </c>
      <c r="AA19" s="95">
        <f t="shared" si="13"/>
        <v>3.2786885245901641E-2</v>
      </c>
      <c r="AB19" s="94"/>
      <c r="AC19" s="94">
        <f>'2018-19_working'!T19+'2018-19_working'!U19</f>
        <v>0</v>
      </c>
      <c r="AD19" s="94">
        <f>'2018-19_working'!V19</f>
        <v>0</v>
      </c>
      <c r="AE19" s="94">
        <f>'2018-19_working'!W19</f>
        <v>0</v>
      </c>
      <c r="AF19" s="94">
        <f>'2018-19_working'!X19</f>
        <v>0</v>
      </c>
      <c r="AG19" s="94">
        <f>'2018-19_working'!Y19+'2018-19_working'!Z19</f>
        <v>0</v>
      </c>
      <c r="AH19" s="94">
        <f>'2018-19_working'!AA19</f>
        <v>0</v>
      </c>
      <c r="AI19" s="95" t="str">
        <f t="shared" si="14"/>
        <v>-</v>
      </c>
      <c r="AJ19" s="95" t="str">
        <f t="shared" si="15"/>
        <v>-</v>
      </c>
      <c r="AK19" s="94"/>
      <c r="AL19" s="94">
        <f>'2018-19_working'!AC19+'2018-19_working'!AD19</f>
        <v>27</v>
      </c>
      <c r="AM19" s="94">
        <f>'2018-19_working'!AE19</f>
        <v>0</v>
      </c>
      <c r="AN19" s="94">
        <f>'2018-19_working'!AF19</f>
        <v>1</v>
      </c>
      <c r="AO19" s="94">
        <f>'2018-19_working'!AG19</f>
        <v>0</v>
      </c>
      <c r="AP19" s="94">
        <f>'2018-19_working'!AH19+'2018-19_working'!AI19</f>
        <v>0</v>
      </c>
      <c r="AQ19" s="94">
        <f>'2018-19_working'!AJ19</f>
        <v>2</v>
      </c>
      <c r="AR19" s="95">
        <f t="shared" si="16"/>
        <v>3.5714285714285712E-2</v>
      </c>
      <c r="AS19" s="95">
        <f t="shared" si="17"/>
        <v>6.6666666666666666E-2</v>
      </c>
      <c r="AT19" s="94"/>
      <c r="AU19" s="94">
        <f t="shared" si="18"/>
        <v>85</v>
      </c>
      <c r="AV19" s="94">
        <f t="shared" si="19"/>
        <v>0</v>
      </c>
      <c r="AW19" s="94">
        <f t="shared" si="20"/>
        <v>1</v>
      </c>
      <c r="AX19" s="94">
        <f t="shared" si="21"/>
        <v>0</v>
      </c>
      <c r="AY19" s="94">
        <f t="shared" si="22"/>
        <v>1</v>
      </c>
      <c r="AZ19" s="94">
        <f t="shared" si="23"/>
        <v>4</v>
      </c>
      <c r="BA19" s="95">
        <f t="shared" si="24"/>
        <v>2.2988505747126436E-2</v>
      </c>
      <c r="BB19" s="95">
        <f t="shared" si="25"/>
        <v>4.3956043956043959E-2</v>
      </c>
    </row>
    <row r="20" spans="1:54" x14ac:dyDescent="0.3">
      <c r="A20" s="8" t="s">
        <v>27</v>
      </c>
      <c r="B20" s="94">
        <f>'2018-19_working'!B20+'2018-19_working'!C20</f>
        <v>4</v>
      </c>
      <c r="C20" s="94">
        <f>'2018-19_working'!D20</f>
        <v>0</v>
      </c>
      <c r="D20" s="94">
        <f>'2018-19_working'!E20</f>
        <v>0</v>
      </c>
      <c r="E20" s="94">
        <f>'2018-19_working'!F20</f>
        <v>0</v>
      </c>
      <c r="F20" s="94">
        <f>'2018-19_working'!G20+'2018-19_working'!H20</f>
        <v>0</v>
      </c>
      <c r="G20" s="94">
        <f>'2018-19_working'!I20</f>
        <v>4</v>
      </c>
      <c r="H20" s="95">
        <f t="shared" si="2"/>
        <v>0</v>
      </c>
      <c r="I20" s="95">
        <f t="shared" si="3"/>
        <v>0.5</v>
      </c>
      <c r="J20" s="94"/>
      <c r="K20" s="94">
        <f>'2018-19_working'!K20+'2018-19_working'!L20</f>
        <v>123</v>
      </c>
      <c r="L20" s="94">
        <f>'2018-19_working'!M20</f>
        <v>2</v>
      </c>
      <c r="M20" s="94">
        <f>'2018-19_working'!N20</f>
        <v>0</v>
      </c>
      <c r="N20" s="94">
        <f>'2018-19_working'!O20</f>
        <v>0</v>
      </c>
      <c r="O20" s="94">
        <f>'2018-19_working'!P20+'2018-19_working'!Q20</f>
        <v>1</v>
      </c>
      <c r="P20" s="94">
        <f>'2018-19_working'!R20</f>
        <v>3</v>
      </c>
      <c r="Q20" s="95">
        <f t="shared" si="4"/>
        <v>2.3809523809523808E-2</v>
      </c>
      <c r="R20" s="95">
        <f t="shared" si="5"/>
        <v>2.3255813953488372E-2</v>
      </c>
      <c r="S20" s="94"/>
      <c r="T20" s="94">
        <f t="shared" si="6"/>
        <v>127</v>
      </c>
      <c r="U20" s="94">
        <f t="shared" si="7"/>
        <v>2</v>
      </c>
      <c r="V20" s="94">
        <f t="shared" si="8"/>
        <v>0</v>
      </c>
      <c r="W20" s="94">
        <f t="shared" si="9"/>
        <v>0</v>
      </c>
      <c r="X20" s="94">
        <f t="shared" si="10"/>
        <v>1</v>
      </c>
      <c r="Y20" s="94">
        <f t="shared" si="11"/>
        <v>7</v>
      </c>
      <c r="Z20" s="95">
        <f t="shared" si="12"/>
        <v>2.3076923076923078E-2</v>
      </c>
      <c r="AA20" s="95">
        <f t="shared" si="13"/>
        <v>5.1094890510948905E-2</v>
      </c>
      <c r="AB20" s="94"/>
      <c r="AC20" s="94">
        <f>'2018-19_working'!T20+'2018-19_working'!U20</f>
        <v>0</v>
      </c>
      <c r="AD20" s="94">
        <f>'2018-19_working'!V20</f>
        <v>0</v>
      </c>
      <c r="AE20" s="94">
        <f>'2018-19_working'!W20</f>
        <v>0</v>
      </c>
      <c r="AF20" s="94">
        <f>'2018-19_working'!X20</f>
        <v>0</v>
      </c>
      <c r="AG20" s="94">
        <f>'2018-19_working'!Y20+'2018-19_working'!Z20</f>
        <v>0</v>
      </c>
      <c r="AH20" s="94">
        <f>'2018-19_working'!AA20</f>
        <v>0</v>
      </c>
      <c r="AI20" s="95" t="str">
        <f t="shared" si="14"/>
        <v>-</v>
      </c>
      <c r="AJ20" s="95" t="str">
        <f t="shared" si="15"/>
        <v>-</v>
      </c>
      <c r="AK20" s="94"/>
      <c r="AL20" s="94">
        <f>'2018-19_working'!AC20+'2018-19_working'!AD20</f>
        <v>25</v>
      </c>
      <c r="AM20" s="94">
        <f>'2018-19_working'!AE20</f>
        <v>0</v>
      </c>
      <c r="AN20" s="94">
        <f>'2018-19_working'!AF20</f>
        <v>0</v>
      </c>
      <c r="AO20" s="94">
        <f>'2018-19_working'!AG20</f>
        <v>0</v>
      </c>
      <c r="AP20" s="94">
        <f>'2018-19_working'!AH20+'2018-19_working'!AI20</f>
        <v>0</v>
      </c>
      <c r="AQ20" s="94">
        <f>'2018-19_working'!AJ20</f>
        <v>2</v>
      </c>
      <c r="AR20" s="95">
        <f t="shared" si="16"/>
        <v>0</v>
      </c>
      <c r="AS20" s="95">
        <f t="shared" si="17"/>
        <v>7.407407407407407E-2</v>
      </c>
      <c r="AT20" s="94"/>
      <c r="AU20" s="94">
        <f t="shared" si="18"/>
        <v>152</v>
      </c>
      <c r="AV20" s="94">
        <f t="shared" si="19"/>
        <v>2</v>
      </c>
      <c r="AW20" s="94">
        <f t="shared" si="20"/>
        <v>0</v>
      </c>
      <c r="AX20" s="94">
        <f t="shared" si="21"/>
        <v>0</v>
      </c>
      <c r="AY20" s="94">
        <f t="shared" si="22"/>
        <v>1</v>
      </c>
      <c r="AZ20" s="94">
        <f t="shared" si="23"/>
        <v>9</v>
      </c>
      <c r="BA20" s="95">
        <f t="shared" si="24"/>
        <v>1.935483870967742E-2</v>
      </c>
      <c r="BB20" s="95">
        <f t="shared" si="25"/>
        <v>5.4878048780487805E-2</v>
      </c>
    </row>
    <row r="21" spans="1:54" x14ac:dyDescent="0.3">
      <c r="A21" s="8" t="s">
        <v>28</v>
      </c>
      <c r="B21" s="94">
        <f>'2018-19_working'!B21+'2018-19_working'!C21</f>
        <v>10</v>
      </c>
      <c r="C21" s="94">
        <f>'2018-19_working'!D21</f>
        <v>0</v>
      </c>
      <c r="D21" s="94">
        <f>'2018-19_working'!E21</f>
        <v>0</v>
      </c>
      <c r="E21" s="94">
        <f>'2018-19_working'!F21</f>
        <v>0</v>
      </c>
      <c r="F21" s="94">
        <f>'2018-19_working'!G21+'2018-19_working'!H21</f>
        <v>0</v>
      </c>
      <c r="G21" s="94">
        <f>'2018-19_working'!I21</f>
        <v>22</v>
      </c>
      <c r="H21" s="95">
        <f t="shared" si="2"/>
        <v>0</v>
      </c>
      <c r="I21" s="95">
        <f t="shared" si="3"/>
        <v>0.6875</v>
      </c>
      <c r="J21" s="94"/>
      <c r="K21" s="94">
        <f>'2018-19_working'!K21+'2018-19_working'!L21</f>
        <v>60</v>
      </c>
      <c r="L21" s="94">
        <f>'2018-19_working'!M21</f>
        <v>0</v>
      </c>
      <c r="M21" s="94">
        <f>'2018-19_working'!N21</f>
        <v>0</v>
      </c>
      <c r="N21" s="94">
        <f>'2018-19_working'!O21</f>
        <v>0</v>
      </c>
      <c r="O21" s="94">
        <f>'2018-19_working'!P21+'2018-19_working'!Q21</f>
        <v>0</v>
      </c>
      <c r="P21" s="94">
        <f>'2018-19_working'!R21</f>
        <v>7</v>
      </c>
      <c r="Q21" s="95">
        <f t="shared" si="4"/>
        <v>0</v>
      </c>
      <c r="R21" s="95">
        <f t="shared" si="5"/>
        <v>0.1044776119402985</v>
      </c>
      <c r="S21" s="94"/>
      <c r="T21" s="94">
        <f t="shared" si="6"/>
        <v>70</v>
      </c>
      <c r="U21" s="94">
        <f t="shared" si="7"/>
        <v>0</v>
      </c>
      <c r="V21" s="94">
        <f t="shared" si="8"/>
        <v>0</v>
      </c>
      <c r="W21" s="94">
        <f t="shared" si="9"/>
        <v>0</v>
      </c>
      <c r="X21" s="94">
        <f t="shared" si="10"/>
        <v>0</v>
      </c>
      <c r="Y21" s="94">
        <f t="shared" si="11"/>
        <v>29</v>
      </c>
      <c r="Z21" s="95">
        <f t="shared" si="12"/>
        <v>0</v>
      </c>
      <c r="AA21" s="95">
        <f t="shared" si="13"/>
        <v>0.29292929292929293</v>
      </c>
      <c r="AB21" s="94"/>
      <c r="AC21" s="94">
        <f>'2018-19_working'!T21+'2018-19_working'!U21</f>
        <v>0</v>
      </c>
      <c r="AD21" s="94">
        <f>'2018-19_working'!V21</f>
        <v>0</v>
      </c>
      <c r="AE21" s="94">
        <f>'2018-19_working'!W21</f>
        <v>0</v>
      </c>
      <c r="AF21" s="94">
        <f>'2018-19_working'!X21</f>
        <v>0</v>
      </c>
      <c r="AG21" s="94">
        <f>'2018-19_working'!Y21+'2018-19_working'!Z21</f>
        <v>0</v>
      </c>
      <c r="AH21" s="94">
        <f>'2018-19_working'!AA21</f>
        <v>0</v>
      </c>
      <c r="AI21" s="95" t="str">
        <f t="shared" si="14"/>
        <v>-</v>
      </c>
      <c r="AJ21" s="95" t="str">
        <f t="shared" si="15"/>
        <v>-</v>
      </c>
      <c r="AK21" s="94"/>
      <c r="AL21" s="94">
        <f>'2018-19_working'!AC21+'2018-19_working'!AD21</f>
        <v>51</v>
      </c>
      <c r="AM21" s="94">
        <f>'2018-19_working'!AE21</f>
        <v>0</v>
      </c>
      <c r="AN21" s="94">
        <f>'2018-19_working'!AF21</f>
        <v>0</v>
      </c>
      <c r="AO21" s="94">
        <f>'2018-19_working'!AG21</f>
        <v>0</v>
      </c>
      <c r="AP21" s="94">
        <f>'2018-19_working'!AH21+'2018-19_working'!AI21</f>
        <v>0</v>
      </c>
      <c r="AQ21" s="94">
        <f>'2018-19_working'!AJ21</f>
        <v>5</v>
      </c>
      <c r="AR21" s="95">
        <f t="shared" si="16"/>
        <v>0</v>
      </c>
      <c r="AS21" s="95">
        <f t="shared" si="17"/>
        <v>8.9285714285714288E-2</v>
      </c>
      <c r="AT21" s="94"/>
      <c r="AU21" s="94">
        <f t="shared" si="18"/>
        <v>121</v>
      </c>
      <c r="AV21" s="94">
        <f t="shared" si="19"/>
        <v>0</v>
      </c>
      <c r="AW21" s="94">
        <f t="shared" si="20"/>
        <v>0</v>
      </c>
      <c r="AX21" s="94">
        <f t="shared" si="21"/>
        <v>0</v>
      </c>
      <c r="AY21" s="94">
        <f t="shared" si="22"/>
        <v>0</v>
      </c>
      <c r="AZ21" s="94">
        <f t="shared" si="23"/>
        <v>34</v>
      </c>
      <c r="BA21" s="95">
        <f t="shared" si="24"/>
        <v>0</v>
      </c>
      <c r="BB21" s="95">
        <f t="shared" si="25"/>
        <v>0.21935483870967742</v>
      </c>
    </row>
    <row r="22" spans="1:54" x14ac:dyDescent="0.3">
      <c r="A22" s="8" t="s">
        <v>29</v>
      </c>
      <c r="B22" s="94">
        <f>'2018-19_working'!B22+'2018-19_working'!C22</f>
        <v>0</v>
      </c>
      <c r="C22" s="94">
        <f>'2018-19_working'!D22</f>
        <v>0</v>
      </c>
      <c r="D22" s="94">
        <f>'2018-19_working'!E22</f>
        <v>0</v>
      </c>
      <c r="E22" s="94">
        <f>'2018-19_working'!F22</f>
        <v>0</v>
      </c>
      <c r="F22" s="94">
        <f>'2018-19_working'!G22+'2018-19_working'!H22</f>
        <v>0</v>
      </c>
      <c r="G22" s="94">
        <f>'2018-19_working'!I22</f>
        <v>0</v>
      </c>
      <c r="H22" s="95" t="str">
        <f t="shared" si="2"/>
        <v>-</v>
      </c>
      <c r="I22" s="95" t="str">
        <f t="shared" si="3"/>
        <v>-</v>
      </c>
      <c r="J22" s="94"/>
      <c r="K22" s="94">
        <f>'2018-19_working'!K22+'2018-19_working'!L22</f>
        <v>6</v>
      </c>
      <c r="L22" s="94">
        <f>'2018-19_working'!M22</f>
        <v>0</v>
      </c>
      <c r="M22" s="94">
        <f>'2018-19_working'!N22</f>
        <v>0</v>
      </c>
      <c r="N22" s="94">
        <f>'2018-19_working'!O22</f>
        <v>0</v>
      </c>
      <c r="O22" s="94">
        <f>'2018-19_working'!P22+'2018-19_working'!Q22</f>
        <v>0</v>
      </c>
      <c r="P22" s="94">
        <f>'2018-19_working'!R22</f>
        <v>16</v>
      </c>
      <c r="Q22" s="95">
        <f t="shared" si="4"/>
        <v>0</v>
      </c>
      <c r="R22" s="95">
        <f t="shared" si="5"/>
        <v>0.72727272727272729</v>
      </c>
      <c r="S22" s="94"/>
      <c r="T22" s="94">
        <f t="shared" si="6"/>
        <v>6</v>
      </c>
      <c r="U22" s="94">
        <f t="shared" si="7"/>
        <v>0</v>
      </c>
      <c r="V22" s="94">
        <f t="shared" si="8"/>
        <v>0</v>
      </c>
      <c r="W22" s="94">
        <f t="shared" si="9"/>
        <v>0</v>
      </c>
      <c r="X22" s="94">
        <f t="shared" si="10"/>
        <v>0</v>
      </c>
      <c r="Y22" s="94">
        <f t="shared" si="11"/>
        <v>16</v>
      </c>
      <c r="Z22" s="95">
        <f t="shared" si="12"/>
        <v>0</v>
      </c>
      <c r="AA22" s="95">
        <f t="shared" si="13"/>
        <v>0.72727272727272729</v>
      </c>
      <c r="AB22" s="94"/>
      <c r="AC22" s="94">
        <f>'2018-19_working'!T22+'2018-19_working'!U22</f>
        <v>0</v>
      </c>
      <c r="AD22" s="94">
        <f>'2018-19_working'!V22</f>
        <v>0</v>
      </c>
      <c r="AE22" s="94">
        <f>'2018-19_working'!W22</f>
        <v>0</v>
      </c>
      <c r="AF22" s="94">
        <f>'2018-19_working'!X22</f>
        <v>0</v>
      </c>
      <c r="AG22" s="94">
        <f>'2018-19_working'!Y22+'2018-19_working'!Z22</f>
        <v>0</v>
      </c>
      <c r="AH22" s="94">
        <f>'2018-19_working'!AA22</f>
        <v>0</v>
      </c>
      <c r="AI22" s="95" t="str">
        <f t="shared" si="14"/>
        <v>-</v>
      </c>
      <c r="AJ22" s="95" t="str">
        <f t="shared" si="15"/>
        <v>-</v>
      </c>
      <c r="AK22" s="94"/>
      <c r="AL22" s="94">
        <f>'2018-19_working'!AC22+'2018-19_working'!AD22</f>
        <v>3</v>
      </c>
      <c r="AM22" s="94">
        <f>'2018-19_working'!AE22</f>
        <v>0</v>
      </c>
      <c r="AN22" s="94">
        <f>'2018-19_working'!AF22</f>
        <v>0</v>
      </c>
      <c r="AO22" s="94">
        <f>'2018-19_working'!AG22</f>
        <v>0</v>
      </c>
      <c r="AP22" s="94">
        <f>'2018-19_working'!AH22+'2018-19_working'!AI22</f>
        <v>0</v>
      </c>
      <c r="AQ22" s="94">
        <f>'2018-19_working'!AJ22</f>
        <v>8</v>
      </c>
      <c r="AR22" s="95">
        <f t="shared" si="16"/>
        <v>0</v>
      </c>
      <c r="AS22" s="95">
        <f t="shared" si="17"/>
        <v>0.72727272727272729</v>
      </c>
      <c r="AT22" s="94"/>
      <c r="AU22" s="94">
        <f t="shared" si="18"/>
        <v>9</v>
      </c>
      <c r="AV22" s="94">
        <f t="shared" si="19"/>
        <v>0</v>
      </c>
      <c r="AW22" s="94">
        <f t="shared" si="20"/>
        <v>0</v>
      </c>
      <c r="AX22" s="94">
        <f t="shared" si="21"/>
        <v>0</v>
      </c>
      <c r="AY22" s="94">
        <f t="shared" si="22"/>
        <v>0</v>
      </c>
      <c r="AZ22" s="94">
        <f t="shared" si="23"/>
        <v>24</v>
      </c>
      <c r="BA22" s="95">
        <f t="shared" si="24"/>
        <v>0</v>
      </c>
      <c r="BB22" s="95">
        <f t="shared" si="25"/>
        <v>0.72727272727272729</v>
      </c>
    </row>
    <row r="23" spans="1:54" x14ac:dyDescent="0.3">
      <c r="A23" s="8" t="s">
        <v>30</v>
      </c>
      <c r="B23" s="94">
        <f>'2018-19_working'!B23+'2018-19_working'!C23</f>
        <v>2</v>
      </c>
      <c r="C23" s="94">
        <f>'2018-19_working'!D23</f>
        <v>0</v>
      </c>
      <c r="D23" s="94">
        <f>'2018-19_working'!E23</f>
        <v>0</v>
      </c>
      <c r="E23" s="94">
        <f>'2018-19_working'!F23</f>
        <v>0</v>
      </c>
      <c r="F23" s="94">
        <f>'2018-19_working'!G23+'2018-19_working'!H23</f>
        <v>0</v>
      </c>
      <c r="G23" s="94">
        <f>'2018-19_working'!I23</f>
        <v>0</v>
      </c>
      <c r="H23" s="95">
        <f t="shared" si="2"/>
        <v>0</v>
      </c>
      <c r="I23" s="95">
        <f t="shared" si="3"/>
        <v>0</v>
      </c>
      <c r="J23" s="94"/>
      <c r="K23" s="94">
        <f>'2018-19_working'!K23+'2018-19_working'!L23</f>
        <v>26</v>
      </c>
      <c r="L23" s="94">
        <f>'2018-19_working'!M23</f>
        <v>1</v>
      </c>
      <c r="M23" s="94">
        <f>'2018-19_working'!N23</f>
        <v>0</v>
      </c>
      <c r="N23" s="94">
        <f>'2018-19_working'!O23</f>
        <v>0</v>
      </c>
      <c r="O23" s="94">
        <f>'2018-19_working'!P23+'2018-19_working'!Q23</f>
        <v>0</v>
      </c>
      <c r="P23" s="94">
        <f>'2018-19_working'!R23</f>
        <v>0</v>
      </c>
      <c r="Q23" s="95">
        <f t="shared" si="4"/>
        <v>3.7037037037037035E-2</v>
      </c>
      <c r="R23" s="95">
        <f t="shared" si="5"/>
        <v>0</v>
      </c>
      <c r="S23" s="94"/>
      <c r="T23" s="94">
        <f t="shared" si="6"/>
        <v>28</v>
      </c>
      <c r="U23" s="94">
        <f t="shared" si="7"/>
        <v>1</v>
      </c>
      <c r="V23" s="94">
        <f t="shared" si="8"/>
        <v>0</v>
      </c>
      <c r="W23" s="94">
        <f t="shared" si="9"/>
        <v>0</v>
      </c>
      <c r="X23" s="94">
        <f t="shared" si="10"/>
        <v>0</v>
      </c>
      <c r="Y23" s="94">
        <f t="shared" si="11"/>
        <v>0</v>
      </c>
      <c r="Z23" s="95">
        <f t="shared" si="12"/>
        <v>3.4482758620689655E-2</v>
      </c>
      <c r="AA23" s="95">
        <f t="shared" si="13"/>
        <v>0</v>
      </c>
      <c r="AB23" s="94"/>
      <c r="AC23" s="94">
        <f>'2018-19_working'!T23+'2018-19_working'!U23</f>
        <v>2</v>
      </c>
      <c r="AD23" s="94">
        <f>'2018-19_working'!V23</f>
        <v>0</v>
      </c>
      <c r="AE23" s="94">
        <f>'2018-19_working'!W23</f>
        <v>0</v>
      </c>
      <c r="AF23" s="94">
        <f>'2018-19_working'!X23</f>
        <v>0</v>
      </c>
      <c r="AG23" s="94">
        <f>'2018-19_working'!Y23+'2018-19_working'!Z23</f>
        <v>0</v>
      </c>
      <c r="AH23" s="94">
        <f>'2018-19_working'!AA23</f>
        <v>0</v>
      </c>
      <c r="AI23" s="95">
        <f t="shared" si="14"/>
        <v>0</v>
      </c>
      <c r="AJ23" s="95">
        <f t="shared" si="15"/>
        <v>0</v>
      </c>
      <c r="AK23" s="94"/>
      <c r="AL23" s="94">
        <f>'2018-19_working'!AC23+'2018-19_working'!AD23</f>
        <v>23</v>
      </c>
      <c r="AM23" s="94">
        <f>'2018-19_working'!AE23</f>
        <v>0</v>
      </c>
      <c r="AN23" s="94">
        <f>'2018-19_working'!AF23</f>
        <v>0</v>
      </c>
      <c r="AO23" s="94">
        <f>'2018-19_working'!AG23</f>
        <v>1</v>
      </c>
      <c r="AP23" s="94">
        <f>'2018-19_working'!AH23+'2018-19_working'!AI23</f>
        <v>0</v>
      </c>
      <c r="AQ23" s="94">
        <f>'2018-19_working'!AJ23</f>
        <v>2</v>
      </c>
      <c r="AR23" s="95">
        <f t="shared" si="16"/>
        <v>4.1666666666666664E-2</v>
      </c>
      <c r="AS23" s="95">
        <f t="shared" si="17"/>
        <v>7.6923076923076927E-2</v>
      </c>
      <c r="AT23" s="94"/>
      <c r="AU23" s="94">
        <f t="shared" si="18"/>
        <v>53</v>
      </c>
      <c r="AV23" s="94">
        <f t="shared" si="19"/>
        <v>1</v>
      </c>
      <c r="AW23" s="94">
        <f t="shared" si="20"/>
        <v>0</v>
      </c>
      <c r="AX23" s="94">
        <f t="shared" si="21"/>
        <v>1</v>
      </c>
      <c r="AY23" s="94">
        <f t="shared" si="22"/>
        <v>0</v>
      </c>
      <c r="AZ23" s="94">
        <f t="shared" si="23"/>
        <v>2</v>
      </c>
      <c r="BA23" s="95">
        <f t="shared" si="24"/>
        <v>3.6363636363636362E-2</v>
      </c>
      <c r="BB23" s="95">
        <f t="shared" si="25"/>
        <v>3.5087719298245612E-2</v>
      </c>
    </row>
    <row r="24" spans="1:54" x14ac:dyDescent="0.3">
      <c r="A24" s="8" t="s">
        <v>31</v>
      </c>
      <c r="B24" s="94">
        <f>'2018-19_working'!B24+'2018-19_working'!C24</f>
        <v>33</v>
      </c>
      <c r="C24" s="94">
        <f>'2018-19_working'!D24</f>
        <v>0</v>
      </c>
      <c r="D24" s="94">
        <f>'2018-19_working'!E24</f>
        <v>1</v>
      </c>
      <c r="E24" s="94">
        <f>'2018-19_working'!F24</f>
        <v>0</v>
      </c>
      <c r="F24" s="94">
        <f>'2018-19_working'!G24+'2018-19_working'!H24</f>
        <v>0</v>
      </c>
      <c r="G24" s="94">
        <f>'2018-19_working'!I24</f>
        <v>23</v>
      </c>
      <c r="H24" s="95">
        <f t="shared" si="2"/>
        <v>2.9411764705882353E-2</v>
      </c>
      <c r="I24" s="95">
        <f t="shared" si="3"/>
        <v>0.40350877192982454</v>
      </c>
      <c r="J24" s="94"/>
      <c r="K24" s="94">
        <f>'2018-19_working'!K24+'2018-19_working'!L24</f>
        <v>32</v>
      </c>
      <c r="L24" s="94">
        <f>'2018-19_working'!M24</f>
        <v>0</v>
      </c>
      <c r="M24" s="94">
        <f>'2018-19_working'!N24</f>
        <v>0</v>
      </c>
      <c r="N24" s="94">
        <f>'2018-19_working'!O24</f>
        <v>1</v>
      </c>
      <c r="O24" s="94">
        <f>'2018-19_working'!P24+'2018-19_working'!Q24</f>
        <v>0</v>
      </c>
      <c r="P24" s="94">
        <f>'2018-19_working'!R24</f>
        <v>29</v>
      </c>
      <c r="Q24" s="95">
        <f t="shared" si="4"/>
        <v>3.0303030303030304E-2</v>
      </c>
      <c r="R24" s="95">
        <f t="shared" si="5"/>
        <v>0.46774193548387094</v>
      </c>
      <c r="S24" s="94"/>
      <c r="T24" s="94">
        <f t="shared" si="6"/>
        <v>65</v>
      </c>
      <c r="U24" s="94">
        <f t="shared" si="7"/>
        <v>0</v>
      </c>
      <c r="V24" s="94">
        <f t="shared" si="8"/>
        <v>1</v>
      </c>
      <c r="W24" s="94">
        <f t="shared" si="9"/>
        <v>1</v>
      </c>
      <c r="X24" s="94">
        <f t="shared" si="10"/>
        <v>0</v>
      </c>
      <c r="Y24" s="94">
        <f t="shared" si="11"/>
        <v>52</v>
      </c>
      <c r="Z24" s="95">
        <f t="shared" si="12"/>
        <v>2.9850746268656716E-2</v>
      </c>
      <c r="AA24" s="95">
        <f t="shared" si="13"/>
        <v>0.43697478991596639</v>
      </c>
      <c r="AB24" s="94"/>
      <c r="AC24" s="94">
        <f>'2018-19_working'!T24+'2018-19_working'!U24</f>
        <v>1</v>
      </c>
      <c r="AD24" s="94">
        <f>'2018-19_working'!V24</f>
        <v>0</v>
      </c>
      <c r="AE24" s="94">
        <f>'2018-19_working'!W24</f>
        <v>0</v>
      </c>
      <c r="AF24" s="94">
        <f>'2018-19_working'!X24</f>
        <v>0</v>
      </c>
      <c r="AG24" s="94">
        <f>'2018-19_working'!Y24+'2018-19_working'!Z24</f>
        <v>0</v>
      </c>
      <c r="AH24" s="94">
        <f>'2018-19_working'!AA24</f>
        <v>2</v>
      </c>
      <c r="AI24" s="95">
        <f t="shared" si="14"/>
        <v>0</v>
      </c>
      <c r="AJ24" s="95">
        <f t="shared" si="15"/>
        <v>0.66666666666666663</v>
      </c>
      <c r="AK24" s="94"/>
      <c r="AL24" s="94">
        <f>'2018-19_working'!AC24+'2018-19_working'!AD24</f>
        <v>15</v>
      </c>
      <c r="AM24" s="94">
        <f>'2018-19_working'!AE24</f>
        <v>0</v>
      </c>
      <c r="AN24" s="94">
        <f>'2018-19_working'!AF24</f>
        <v>0</v>
      </c>
      <c r="AO24" s="94">
        <f>'2018-19_working'!AG24</f>
        <v>0</v>
      </c>
      <c r="AP24" s="94">
        <f>'2018-19_working'!AH24+'2018-19_working'!AI24</f>
        <v>0</v>
      </c>
      <c r="AQ24" s="94">
        <f>'2018-19_working'!AJ24</f>
        <v>16</v>
      </c>
      <c r="AR24" s="95">
        <f t="shared" si="16"/>
        <v>0</v>
      </c>
      <c r="AS24" s="95">
        <f t="shared" si="17"/>
        <v>0.5161290322580645</v>
      </c>
      <c r="AT24" s="94"/>
      <c r="AU24" s="94">
        <f t="shared" si="18"/>
        <v>81</v>
      </c>
      <c r="AV24" s="94">
        <f t="shared" si="19"/>
        <v>0</v>
      </c>
      <c r="AW24" s="94">
        <f t="shared" si="20"/>
        <v>1</v>
      </c>
      <c r="AX24" s="94">
        <f t="shared" si="21"/>
        <v>1</v>
      </c>
      <c r="AY24" s="94">
        <f t="shared" si="22"/>
        <v>0</v>
      </c>
      <c r="AZ24" s="94">
        <f t="shared" si="23"/>
        <v>70</v>
      </c>
      <c r="BA24" s="95">
        <f t="shared" si="24"/>
        <v>2.4096385542168676E-2</v>
      </c>
      <c r="BB24" s="95">
        <f t="shared" si="25"/>
        <v>0.45751633986928103</v>
      </c>
    </row>
    <row r="25" spans="1:54" x14ac:dyDescent="0.3">
      <c r="A25" s="8" t="s">
        <v>32</v>
      </c>
      <c r="B25" s="94">
        <f>'2018-19_working'!B25+'2018-19_working'!C25</f>
        <v>7</v>
      </c>
      <c r="C25" s="94">
        <f>'2018-19_working'!D25</f>
        <v>0</v>
      </c>
      <c r="D25" s="94">
        <f>'2018-19_working'!E25</f>
        <v>0</v>
      </c>
      <c r="E25" s="94">
        <f>'2018-19_working'!F25</f>
        <v>0</v>
      </c>
      <c r="F25" s="94">
        <f>'2018-19_working'!G25+'2018-19_working'!H25</f>
        <v>0</v>
      </c>
      <c r="G25" s="94">
        <f>'2018-19_working'!I25</f>
        <v>0</v>
      </c>
      <c r="H25" s="95">
        <f t="shared" si="2"/>
        <v>0</v>
      </c>
      <c r="I25" s="95">
        <f t="shared" si="3"/>
        <v>0</v>
      </c>
      <c r="J25" s="94"/>
      <c r="K25" s="94">
        <f>'2018-19_working'!K25+'2018-19_working'!L25</f>
        <v>29</v>
      </c>
      <c r="L25" s="94">
        <f>'2018-19_working'!M25</f>
        <v>0</v>
      </c>
      <c r="M25" s="94">
        <f>'2018-19_working'!N25</f>
        <v>1</v>
      </c>
      <c r="N25" s="94">
        <f>'2018-19_working'!O25</f>
        <v>0</v>
      </c>
      <c r="O25" s="94">
        <f>'2018-19_working'!P25+'2018-19_working'!Q25</f>
        <v>0</v>
      </c>
      <c r="P25" s="94">
        <f>'2018-19_working'!R25</f>
        <v>21</v>
      </c>
      <c r="Q25" s="95">
        <f t="shared" si="4"/>
        <v>3.3333333333333333E-2</v>
      </c>
      <c r="R25" s="95">
        <f t="shared" si="5"/>
        <v>0.41176470588235292</v>
      </c>
      <c r="S25" s="94"/>
      <c r="T25" s="94">
        <f t="shared" si="6"/>
        <v>36</v>
      </c>
      <c r="U25" s="94">
        <f t="shared" si="7"/>
        <v>0</v>
      </c>
      <c r="V25" s="94">
        <f t="shared" si="8"/>
        <v>1</v>
      </c>
      <c r="W25" s="94">
        <f t="shared" si="9"/>
        <v>0</v>
      </c>
      <c r="X25" s="94">
        <f t="shared" si="10"/>
        <v>0</v>
      </c>
      <c r="Y25" s="94">
        <f t="shared" si="11"/>
        <v>21</v>
      </c>
      <c r="Z25" s="95">
        <f t="shared" si="12"/>
        <v>2.7027027027027029E-2</v>
      </c>
      <c r="AA25" s="95">
        <f t="shared" si="13"/>
        <v>0.36206896551724138</v>
      </c>
      <c r="AB25" s="94"/>
      <c r="AC25" s="94">
        <f>'2018-19_working'!T25+'2018-19_working'!U25</f>
        <v>0</v>
      </c>
      <c r="AD25" s="94">
        <f>'2018-19_working'!V25</f>
        <v>0</v>
      </c>
      <c r="AE25" s="94">
        <f>'2018-19_working'!W25</f>
        <v>0</v>
      </c>
      <c r="AF25" s="94">
        <f>'2018-19_working'!X25</f>
        <v>0</v>
      </c>
      <c r="AG25" s="94">
        <f>'2018-19_working'!Y25+'2018-19_working'!Z25</f>
        <v>0</v>
      </c>
      <c r="AH25" s="94">
        <f>'2018-19_working'!AA25</f>
        <v>0</v>
      </c>
      <c r="AI25" s="95" t="str">
        <f t="shared" si="14"/>
        <v>-</v>
      </c>
      <c r="AJ25" s="95" t="str">
        <f t="shared" si="15"/>
        <v>-</v>
      </c>
      <c r="AK25" s="94"/>
      <c r="AL25" s="94">
        <f>'2018-19_working'!AC25+'2018-19_working'!AD25</f>
        <v>5</v>
      </c>
      <c r="AM25" s="94">
        <f>'2018-19_working'!AE25</f>
        <v>0</v>
      </c>
      <c r="AN25" s="94">
        <f>'2018-19_working'!AF25</f>
        <v>0</v>
      </c>
      <c r="AO25" s="94">
        <f>'2018-19_working'!AG25</f>
        <v>0</v>
      </c>
      <c r="AP25" s="94">
        <f>'2018-19_working'!AH25+'2018-19_working'!AI25</f>
        <v>0</v>
      </c>
      <c r="AQ25" s="94">
        <f>'2018-19_working'!AJ25</f>
        <v>0</v>
      </c>
      <c r="AR25" s="95">
        <f t="shared" si="16"/>
        <v>0</v>
      </c>
      <c r="AS25" s="95">
        <f t="shared" si="17"/>
        <v>0</v>
      </c>
      <c r="AT25" s="94"/>
      <c r="AU25" s="94">
        <f t="shared" si="18"/>
        <v>41</v>
      </c>
      <c r="AV25" s="94">
        <f t="shared" si="19"/>
        <v>0</v>
      </c>
      <c r="AW25" s="94">
        <f t="shared" si="20"/>
        <v>1</v>
      </c>
      <c r="AX25" s="94">
        <f t="shared" si="21"/>
        <v>0</v>
      </c>
      <c r="AY25" s="94">
        <f t="shared" si="22"/>
        <v>0</v>
      </c>
      <c r="AZ25" s="94">
        <f t="shared" si="23"/>
        <v>21</v>
      </c>
      <c r="BA25" s="95">
        <f t="shared" si="24"/>
        <v>2.3809523809523808E-2</v>
      </c>
      <c r="BB25" s="95">
        <f t="shared" si="25"/>
        <v>0.33333333333333331</v>
      </c>
    </row>
    <row r="26" spans="1:54" x14ac:dyDescent="0.3">
      <c r="A26" s="8" t="s">
        <v>33</v>
      </c>
      <c r="B26" s="94">
        <f>'2018-19_working'!B26+'2018-19_working'!C26</f>
        <v>37</v>
      </c>
      <c r="C26" s="94">
        <f>'2018-19_working'!D26</f>
        <v>0</v>
      </c>
      <c r="D26" s="94">
        <f>'2018-19_working'!E26</f>
        <v>0</v>
      </c>
      <c r="E26" s="94">
        <f>'2018-19_working'!F26</f>
        <v>0</v>
      </c>
      <c r="F26" s="94">
        <f>'2018-19_working'!G26+'2018-19_working'!H26</f>
        <v>0</v>
      </c>
      <c r="G26" s="94">
        <f>'2018-19_working'!I26</f>
        <v>22</v>
      </c>
      <c r="H26" s="95">
        <f t="shared" si="2"/>
        <v>0</v>
      </c>
      <c r="I26" s="95">
        <f t="shared" si="3"/>
        <v>0.3728813559322034</v>
      </c>
      <c r="J26" s="94"/>
      <c r="K26" s="94">
        <f>'2018-19_working'!K26+'2018-19_working'!L26</f>
        <v>104</v>
      </c>
      <c r="L26" s="94">
        <f>'2018-19_working'!M26</f>
        <v>0</v>
      </c>
      <c r="M26" s="94">
        <f>'2018-19_working'!N26</f>
        <v>0</v>
      </c>
      <c r="N26" s="94">
        <f>'2018-19_working'!O26</f>
        <v>1</v>
      </c>
      <c r="O26" s="94">
        <f>'2018-19_working'!P26+'2018-19_working'!Q26</f>
        <v>0</v>
      </c>
      <c r="P26" s="94">
        <f>'2018-19_working'!R26</f>
        <v>5</v>
      </c>
      <c r="Q26" s="95">
        <f t="shared" si="4"/>
        <v>9.5238095238095247E-3</v>
      </c>
      <c r="R26" s="95">
        <f t="shared" si="5"/>
        <v>4.5454545454545456E-2</v>
      </c>
      <c r="S26" s="94"/>
      <c r="T26" s="94">
        <f t="shared" si="6"/>
        <v>141</v>
      </c>
      <c r="U26" s="94">
        <f t="shared" si="7"/>
        <v>0</v>
      </c>
      <c r="V26" s="94">
        <f t="shared" si="8"/>
        <v>0</v>
      </c>
      <c r="W26" s="94">
        <f t="shared" si="9"/>
        <v>1</v>
      </c>
      <c r="X26" s="94">
        <f t="shared" si="10"/>
        <v>0</v>
      </c>
      <c r="Y26" s="94">
        <f t="shared" si="11"/>
        <v>27</v>
      </c>
      <c r="Z26" s="95">
        <f t="shared" si="12"/>
        <v>7.0422535211267607E-3</v>
      </c>
      <c r="AA26" s="95">
        <f t="shared" si="13"/>
        <v>0.15976331360946747</v>
      </c>
      <c r="AB26" s="94"/>
      <c r="AC26" s="94">
        <f>'2018-19_working'!T26+'2018-19_working'!U26</f>
        <v>3</v>
      </c>
      <c r="AD26" s="94">
        <f>'2018-19_working'!V26</f>
        <v>0</v>
      </c>
      <c r="AE26" s="94">
        <f>'2018-19_working'!W26</f>
        <v>0</v>
      </c>
      <c r="AF26" s="94">
        <f>'2018-19_working'!X26</f>
        <v>0</v>
      </c>
      <c r="AG26" s="94">
        <f>'2018-19_working'!Y26+'2018-19_working'!Z26</f>
        <v>0</v>
      </c>
      <c r="AH26" s="94">
        <f>'2018-19_working'!AA26</f>
        <v>0</v>
      </c>
      <c r="AI26" s="95">
        <f t="shared" si="14"/>
        <v>0</v>
      </c>
      <c r="AJ26" s="95">
        <f t="shared" si="15"/>
        <v>0</v>
      </c>
      <c r="AK26" s="94"/>
      <c r="AL26" s="94">
        <f>'2018-19_working'!AC26+'2018-19_working'!AD26</f>
        <v>26</v>
      </c>
      <c r="AM26" s="94">
        <f>'2018-19_working'!AE26</f>
        <v>0</v>
      </c>
      <c r="AN26" s="94">
        <f>'2018-19_working'!AF26</f>
        <v>0</v>
      </c>
      <c r="AO26" s="94">
        <f>'2018-19_working'!AG26</f>
        <v>0</v>
      </c>
      <c r="AP26" s="94">
        <f>'2018-19_working'!AH26+'2018-19_working'!AI26</f>
        <v>0</v>
      </c>
      <c r="AQ26" s="94">
        <f>'2018-19_working'!AJ26</f>
        <v>2</v>
      </c>
      <c r="AR26" s="95">
        <f t="shared" si="16"/>
        <v>0</v>
      </c>
      <c r="AS26" s="95">
        <f t="shared" si="17"/>
        <v>7.1428571428571425E-2</v>
      </c>
      <c r="AT26" s="94"/>
      <c r="AU26" s="94">
        <f t="shared" si="18"/>
        <v>170</v>
      </c>
      <c r="AV26" s="94">
        <f t="shared" si="19"/>
        <v>0</v>
      </c>
      <c r="AW26" s="94">
        <f t="shared" si="20"/>
        <v>0</v>
      </c>
      <c r="AX26" s="94">
        <f t="shared" si="21"/>
        <v>1</v>
      </c>
      <c r="AY26" s="94">
        <f t="shared" si="22"/>
        <v>0</v>
      </c>
      <c r="AZ26" s="94">
        <f t="shared" si="23"/>
        <v>29</v>
      </c>
      <c r="BA26" s="95">
        <f t="shared" si="24"/>
        <v>5.8479532163742687E-3</v>
      </c>
      <c r="BB26" s="95">
        <f t="shared" si="25"/>
        <v>0.14499999999999999</v>
      </c>
    </row>
    <row r="27" spans="1:54" x14ac:dyDescent="0.3">
      <c r="A27" s="8" t="s">
        <v>34</v>
      </c>
      <c r="B27" s="94">
        <f>'2018-19_working'!B27+'2018-19_working'!C27</f>
        <v>23</v>
      </c>
      <c r="C27" s="94">
        <f>'2018-19_working'!D27</f>
        <v>1</v>
      </c>
      <c r="D27" s="94">
        <f>'2018-19_working'!E27</f>
        <v>0</v>
      </c>
      <c r="E27" s="94">
        <f>'2018-19_working'!F27</f>
        <v>0</v>
      </c>
      <c r="F27" s="94">
        <f>'2018-19_working'!G27+'2018-19_working'!H27</f>
        <v>0</v>
      </c>
      <c r="G27" s="94">
        <f>'2018-19_working'!I27</f>
        <v>1</v>
      </c>
      <c r="H27" s="95">
        <f t="shared" si="2"/>
        <v>4.1666666666666664E-2</v>
      </c>
      <c r="I27" s="95">
        <f t="shared" si="3"/>
        <v>0.04</v>
      </c>
      <c r="J27" s="94"/>
      <c r="K27" s="94">
        <f>'2018-19_working'!K27+'2018-19_working'!L27</f>
        <v>54</v>
      </c>
      <c r="L27" s="94">
        <f>'2018-19_working'!M27</f>
        <v>0</v>
      </c>
      <c r="M27" s="94">
        <f>'2018-19_working'!N27</f>
        <v>0</v>
      </c>
      <c r="N27" s="94">
        <f>'2018-19_working'!O27</f>
        <v>0</v>
      </c>
      <c r="O27" s="94">
        <f>'2018-19_working'!P27+'2018-19_working'!Q27</f>
        <v>0</v>
      </c>
      <c r="P27" s="94">
        <f>'2018-19_working'!R27</f>
        <v>9</v>
      </c>
      <c r="Q27" s="95">
        <f t="shared" si="4"/>
        <v>0</v>
      </c>
      <c r="R27" s="95">
        <f t="shared" si="5"/>
        <v>0.14285714285714285</v>
      </c>
      <c r="S27" s="94"/>
      <c r="T27" s="94">
        <f t="shared" si="6"/>
        <v>77</v>
      </c>
      <c r="U27" s="94">
        <f t="shared" si="7"/>
        <v>1</v>
      </c>
      <c r="V27" s="94">
        <f t="shared" si="8"/>
        <v>0</v>
      </c>
      <c r="W27" s="94">
        <f t="shared" si="9"/>
        <v>0</v>
      </c>
      <c r="X27" s="94">
        <f t="shared" si="10"/>
        <v>0</v>
      </c>
      <c r="Y27" s="94">
        <f t="shared" si="11"/>
        <v>10</v>
      </c>
      <c r="Z27" s="95">
        <f t="shared" si="12"/>
        <v>1.282051282051282E-2</v>
      </c>
      <c r="AA27" s="95">
        <f t="shared" si="13"/>
        <v>0.11363636363636363</v>
      </c>
      <c r="AB27" s="94"/>
      <c r="AC27" s="94">
        <f>'2018-19_working'!T27+'2018-19_working'!U27</f>
        <v>2</v>
      </c>
      <c r="AD27" s="94">
        <f>'2018-19_working'!V27</f>
        <v>0</v>
      </c>
      <c r="AE27" s="94">
        <f>'2018-19_working'!W27</f>
        <v>0</v>
      </c>
      <c r="AF27" s="94">
        <f>'2018-19_working'!X27</f>
        <v>0</v>
      </c>
      <c r="AG27" s="94">
        <f>'2018-19_working'!Y27+'2018-19_working'!Z27</f>
        <v>0</v>
      </c>
      <c r="AH27" s="94">
        <f>'2018-19_working'!AA27</f>
        <v>0</v>
      </c>
      <c r="AI27" s="95">
        <f t="shared" si="14"/>
        <v>0</v>
      </c>
      <c r="AJ27" s="95">
        <f t="shared" si="15"/>
        <v>0</v>
      </c>
      <c r="AK27" s="94"/>
      <c r="AL27" s="94">
        <f>'2018-19_working'!AC27+'2018-19_working'!AD27</f>
        <v>21</v>
      </c>
      <c r="AM27" s="94">
        <f>'2018-19_working'!AE27</f>
        <v>0</v>
      </c>
      <c r="AN27" s="94">
        <f>'2018-19_working'!AF27</f>
        <v>0</v>
      </c>
      <c r="AO27" s="94">
        <f>'2018-19_working'!AG27</f>
        <v>1</v>
      </c>
      <c r="AP27" s="94">
        <f>'2018-19_working'!AH27+'2018-19_working'!AI27</f>
        <v>0</v>
      </c>
      <c r="AQ27" s="94">
        <f>'2018-19_working'!AJ27</f>
        <v>3</v>
      </c>
      <c r="AR27" s="95">
        <f t="shared" si="16"/>
        <v>4.5454545454545456E-2</v>
      </c>
      <c r="AS27" s="95">
        <f t="shared" si="17"/>
        <v>0.12</v>
      </c>
      <c r="AT27" s="94"/>
      <c r="AU27" s="94">
        <f t="shared" si="18"/>
        <v>100</v>
      </c>
      <c r="AV27" s="94">
        <f t="shared" si="19"/>
        <v>1</v>
      </c>
      <c r="AW27" s="94">
        <f t="shared" si="20"/>
        <v>0</v>
      </c>
      <c r="AX27" s="94">
        <f t="shared" si="21"/>
        <v>1</v>
      </c>
      <c r="AY27" s="94">
        <f t="shared" si="22"/>
        <v>0</v>
      </c>
      <c r="AZ27" s="94">
        <f t="shared" si="23"/>
        <v>13</v>
      </c>
      <c r="BA27" s="95">
        <f t="shared" si="24"/>
        <v>1.9607843137254902E-2</v>
      </c>
      <c r="BB27" s="95">
        <f t="shared" si="25"/>
        <v>0.11304347826086956</v>
      </c>
    </row>
    <row r="28" spans="1:54" x14ac:dyDescent="0.3">
      <c r="A28" s="8" t="s">
        <v>35</v>
      </c>
      <c r="B28" s="94">
        <f>'2018-19_working'!B28+'2018-19_working'!C28</f>
        <v>24</v>
      </c>
      <c r="C28" s="94">
        <f>'2018-19_working'!D28</f>
        <v>2</v>
      </c>
      <c r="D28" s="94">
        <f>'2018-19_working'!E28</f>
        <v>0</v>
      </c>
      <c r="E28" s="94">
        <f>'2018-19_working'!F28</f>
        <v>0</v>
      </c>
      <c r="F28" s="94">
        <f>'2018-19_working'!G28+'2018-19_working'!H28</f>
        <v>0</v>
      </c>
      <c r="G28" s="94">
        <f>'2018-19_working'!I28</f>
        <v>0</v>
      </c>
      <c r="H28" s="95">
        <f t="shared" si="2"/>
        <v>7.6923076923076927E-2</v>
      </c>
      <c r="I28" s="95">
        <f t="shared" si="3"/>
        <v>0</v>
      </c>
      <c r="J28" s="94"/>
      <c r="K28" s="94">
        <f>'2018-19_working'!K28+'2018-19_working'!L28</f>
        <v>21</v>
      </c>
      <c r="L28" s="94">
        <f>'2018-19_working'!M28</f>
        <v>0</v>
      </c>
      <c r="M28" s="94">
        <f>'2018-19_working'!N28</f>
        <v>0</v>
      </c>
      <c r="N28" s="94">
        <f>'2018-19_working'!O28</f>
        <v>0</v>
      </c>
      <c r="O28" s="94">
        <f>'2018-19_working'!P28+'2018-19_working'!Q28</f>
        <v>0</v>
      </c>
      <c r="P28" s="94">
        <f>'2018-19_working'!R28</f>
        <v>1</v>
      </c>
      <c r="Q28" s="95">
        <f t="shared" si="4"/>
        <v>0</v>
      </c>
      <c r="R28" s="95">
        <f t="shared" si="5"/>
        <v>4.5454545454545456E-2</v>
      </c>
      <c r="S28" s="94"/>
      <c r="T28" s="94">
        <f t="shared" si="6"/>
        <v>45</v>
      </c>
      <c r="U28" s="94">
        <f t="shared" si="7"/>
        <v>2</v>
      </c>
      <c r="V28" s="94">
        <f t="shared" si="8"/>
        <v>0</v>
      </c>
      <c r="W28" s="94">
        <f t="shared" si="9"/>
        <v>0</v>
      </c>
      <c r="X28" s="94">
        <f t="shared" si="10"/>
        <v>0</v>
      </c>
      <c r="Y28" s="94">
        <f t="shared" si="11"/>
        <v>1</v>
      </c>
      <c r="Z28" s="95">
        <f t="shared" si="12"/>
        <v>4.2553191489361701E-2</v>
      </c>
      <c r="AA28" s="95">
        <f t="shared" si="13"/>
        <v>2.0833333333333332E-2</v>
      </c>
      <c r="AB28" s="94"/>
      <c r="AC28" s="94">
        <f>'2018-19_working'!T28+'2018-19_working'!U28</f>
        <v>0</v>
      </c>
      <c r="AD28" s="94">
        <f>'2018-19_working'!V28</f>
        <v>0</v>
      </c>
      <c r="AE28" s="94">
        <f>'2018-19_working'!W28</f>
        <v>0</v>
      </c>
      <c r="AF28" s="94">
        <f>'2018-19_working'!X28</f>
        <v>0</v>
      </c>
      <c r="AG28" s="94">
        <f>'2018-19_working'!Y28+'2018-19_working'!Z28</f>
        <v>0</v>
      </c>
      <c r="AH28" s="94">
        <f>'2018-19_working'!AA28</f>
        <v>0</v>
      </c>
      <c r="AI28" s="95" t="str">
        <f t="shared" si="14"/>
        <v>-</v>
      </c>
      <c r="AJ28" s="95" t="str">
        <f t="shared" si="15"/>
        <v>-</v>
      </c>
      <c r="AK28" s="94"/>
      <c r="AL28" s="94">
        <f>'2018-19_working'!AC28+'2018-19_working'!AD28</f>
        <v>10</v>
      </c>
      <c r="AM28" s="94">
        <f>'2018-19_working'!AE28</f>
        <v>1</v>
      </c>
      <c r="AN28" s="94">
        <f>'2018-19_working'!AF28</f>
        <v>0</v>
      </c>
      <c r="AO28" s="94">
        <f>'2018-19_working'!AG28</f>
        <v>1</v>
      </c>
      <c r="AP28" s="94">
        <f>'2018-19_working'!AH28+'2018-19_working'!AI28</f>
        <v>0</v>
      </c>
      <c r="AQ28" s="94">
        <f>'2018-19_working'!AJ28</f>
        <v>0</v>
      </c>
      <c r="AR28" s="95">
        <f t="shared" si="16"/>
        <v>0.16666666666666666</v>
      </c>
      <c r="AS28" s="95">
        <f t="shared" si="17"/>
        <v>0</v>
      </c>
      <c r="AT28" s="94"/>
      <c r="AU28" s="94">
        <f t="shared" si="18"/>
        <v>55</v>
      </c>
      <c r="AV28" s="94">
        <f t="shared" si="19"/>
        <v>3</v>
      </c>
      <c r="AW28" s="94">
        <f t="shared" si="20"/>
        <v>0</v>
      </c>
      <c r="AX28" s="94">
        <f t="shared" si="21"/>
        <v>1</v>
      </c>
      <c r="AY28" s="94">
        <f t="shared" si="22"/>
        <v>0</v>
      </c>
      <c r="AZ28" s="94">
        <f t="shared" si="23"/>
        <v>1</v>
      </c>
      <c r="BA28" s="95">
        <f t="shared" si="24"/>
        <v>6.7796610169491525E-2</v>
      </c>
      <c r="BB28" s="95">
        <f t="shared" si="25"/>
        <v>1.6666666666666666E-2</v>
      </c>
    </row>
    <row r="29" spans="1:54" x14ac:dyDescent="0.3">
      <c r="A29" s="8" t="s">
        <v>36</v>
      </c>
      <c r="B29" s="94">
        <f>'2018-19_working'!B29+'2018-19_working'!C29</f>
        <v>21</v>
      </c>
      <c r="C29" s="94">
        <f>'2018-19_working'!D29</f>
        <v>0</v>
      </c>
      <c r="D29" s="94">
        <f>'2018-19_working'!E29</f>
        <v>0</v>
      </c>
      <c r="E29" s="94">
        <f>'2018-19_working'!F29</f>
        <v>0</v>
      </c>
      <c r="F29" s="94">
        <f>'2018-19_working'!G29+'2018-19_working'!H29</f>
        <v>1</v>
      </c>
      <c r="G29" s="94">
        <f>'2018-19_working'!I29</f>
        <v>0</v>
      </c>
      <c r="H29" s="95">
        <f t="shared" si="2"/>
        <v>4.5454545454545456E-2</v>
      </c>
      <c r="I29" s="95">
        <f t="shared" si="3"/>
        <v>0</v>
      </c>
      <c r="J29" s="94"/>
      <c r="K29" s="94">
        <f>'2018-19_working'!K29+'2018-19_working'!L29</f>
        <v>31</v>
      </c>
      <c r="L29" s="94">
        <f>'2018-19_working'!M29</f>
        <v>0</v>
      </c>
      <c r="M29" s="94">
        <f>'2018-19_working'!N29</f>
        <v>0</v>
      </c>
      <c r="N29" s="94">
        <f>'2018-19_working'!O29</f>
        <v>0</v>
      </c>
      <c r="O29" s="94">
        <f>'2018-19_working'!P29+'2018-19_working'!Q29</f>
        <v>0</v>
      </c>
      <c r="P29" s="94">
        <f>'2018-19_working'!R29</f>
        <v>0</v>
      </c>
      <c r="Q29" s="95">
        <f t="shared" si="4"/>
        <v>0</v>
      </c>
      <c r="R29" s="95">
        <f t="shared" si="5"/>
        <v>0</v>
      </c>
      <c r="S29" s="94"/>
      <c r="T29" s="94">
        <f t="shared" si="6"/>
        <v>52</v>
      </c>
      <c r="U29" s="94">
        <f t="shared" si="7"/>
        <v>0</v>
      </c>
      <c r="V29" s="94">
        <f t="shared" si="8"/>
        <v>0</v>
      </c>
      <c r="W29" s="94">
        <f t="shared" si="9"/>
        <v>0</v>
      </c>
      <c r="X29" s="94">
        <f t="shared" si="10"/>
        <v>1</v>
      </c>
      <c r="Y29" s="94">
        <f t="shared" si="11"/>
        <v>0</v>
      </c>
      <c r="Z29" s="95">
        <f t="shared" si="12"/>
        <v>1.8867924528301886E-2</v>
      </c>
      <c r="AA29" s="95">
        <f t="shared" si="13"/>
        <v>0</v>
      </c>
      <c r="AB29" s="94"/>
      <c r="AC29" s="94">
        <f>'2018-19_working'!T29+'2018-19_working'!U29</f>
        <v>4</v>
      </c>
      <c r="AD29" s="94">
        <f>'2018-19_working'!V29</f>
        <v>0</v>
      </c>
      <c r="AE29" s="94">
        <f>'2018-19_working'!W29</f>
        <v>0</v>
      </c>
      <c r="AF29" s="94">
        <f>'2018-19_working'!X29</f>
        <v>0</v>
      </c>
      <c r="AG29" s="94">
        <f>'2018-19_working'!Y29+'2018-19_working'!Z29</f>
        <v>0</v>
      </c>
      <c r="AH29" s="94">
        <f>'2018-19_working'!AA29</f>
        <v>0</v>
      </c>
      <c r="AI29" s="95">
        <f t="shared" si="14"/>
        <v>0</v>
      </c>
      <c r="AJ29" s="95">
        <f t="shared" si="15"/>
        <v>0</v>
      </c>
      <c r="AK29" s="94"/>
      <c r="AL29" s="94">
        <f>'2018-19_working'!AC29+'2018-19_working'!AD29</f>
        <v>17</v>
      </c>
      <c r="AM29" s="94">
        <f>'2018-19_working'!AE29</f>
        <v>0</v>
      </c>
      <c r="AN29" s="94">
        <f>'2018-19_working'!AF29</f>
        <v>1</v>
      </c>
      <c r="AO29" s="94">
        <f>'2018-19_working'!AG29</f>
        <v>0</v>
      </c>
      <c r="AP29" s="94">
        <f>'2018-19_working'!AH29+'2018-19_working'!AI29</f>
        <v>0</v>
      </c>
      <c r="AQ29" s="94">
        <f>'2018-19_working'!AJ29</f>
        <v>0</v>
      </c>
      <c r="AR29" s="95">
        <f t="shared" si="16"/>
        <v>5.5555555555555552E-2</v>
      </c>
      <c r="AS29" s="95">
        <f t="shared" si="17"/>
        <v>0</v>
      </c>
      <c r="AT29" s="94"/>
      <c r="AU29" s="94">
        <f t="shared" si="18"/>
        <v>73</v>
      </c>
      <c r="AV29" s="94">
        <f t="shared" si="19"/>
        <v>0</v>
      </c>
      <c r="AW29" s="94">
        <f t="shared" si="20"/>
        <v>1</v>
      </c>
      <c r="AX29" s="94">
        <f t="shared" si="21"/>
        <v>0</v>
      </c>
      <c r="AY29" s="94">
        <f t="shared" si="22"/>
        <v>1</v>
      </c>
      <c r="AZ29" s="94">
        <f t="shared" si="23"/>
        <v>0</v>
      </c>
      <c r="BA29" s="95">
        <f t="shared" si="24"/>
        <v>2.6666666666666668E-2</v>
      </c>
      <c r="BB29" s="95">
        <f t="shared" si="25"/>
        <v>0</v>
      </c>
    </row>
    <row r="30" spans="1:54" x14ac:dyDescent="0.3">
      <c r="A30" s="8" t="s">
        <v>37</v>
      </c>
      <c r="B30" s="94">
        <f>'2018-19_working'!B30+'2018-19_working'!C30</f>
        <v>0</v>
      </c>
      <c r="C30" s="94">
        <f>'2018-19_working'!D30</f>
        <v>0</v>
      </c>
      <c r="D30" s="94">
        <f>'2018-19_working'!E30</f>
        <v>0</v>
      </c>
      <c r="E30" s="94">
        <f>'2018-19_working'!F30</f>
        <v>0</v>
      </c>
      <c r="F30" s="94">
        <f>'2018-19_working'!G30+'2018-19_working'!H30</f>
        <v>0</v>
      </c>
      <c r="G30" s="94">
        <f>'2018-19_working'!I30</f>
        <v>0</v>
      </c>
      <c r="H30" s="95" t="str">
        <f t="shared" si="2"/>
        <v>-</v>
      </c>
      <c r="I30" s="95" t="str">
        <f t="shared" si="3"/>
        <v>-</v>
      </c>
      <c r="J30" s="94"/>
      <c r="K30" s="94">
        <f>'2018-19_working'!K30+'2018-19_working'!L30</f>
        <v>9</v>
      </c>
      <c r="L30" s="94">
        <f>'2018-19_working'!M30</f>
        <v>0</v>
      </c>
      <c r="M30" s="94">
        <f>'2018-19_working'!N30</f>
        <v>0</v>
      </c>
      <c r="N30" s="94">
        <f>'2018-19_working'!O30</f>
        <v>0</v>
      </c>
      <c r="O30" s="94">
        <f>'2018-19_working'!P30+'2018-19_working'!Q30</f>
        <v>0</v>
      </c>
      <c r="P30" s="94">
        <f>'2018-19_working'!R30</f>
        <v>0</v>
      </c>
      <c r="Q30" s="95">
        <f t="shared" si="4"/>
        <v>0</v>
      </c>
      <c r="R30" s="95">
        <f t="shared" si="5"/>
        <v>0</v>
      </c>
      <c r="S30" s="94"/>
      <c r="T30" s="94">
        <f t="shared" si="6"/>
        <v>9</v>
      </c>
      <c r="U30" s="94">
        <f t="shared" si="7"/>
        <v>0</v>
      </c>
      <c r="V30" s="94">
        <f t="shared" si="8"/>
        <v>0</v>
      </c>
      <c r="W30" s="94">
        <f t="shared" si="9"/>
        <v>0</v>
      </c>
      <c r="X30" s="94">
        <f t="shared" si="10"/>
        <v>0</v>
      </c>
      <c r="Y30" s="94">
        <f t="shared" si="11"/>
        <v>0</v>
      </c>
      <c r="Z30" s="95">
        <f t="shared" si="12"/>
        <v>0</v>
      </c>
      <c r="AA30" s="95">
        <f t="shared" si="13"/>
        <v>0</v>
      </c>
      <c r="AB30" s="94"/>
      <c r="AC30" s="94">
        <f>'2018-19_working'!T30+'2018-19_working'!U30</f>
        <v>0</v>
      </c>
      <c r="AD30" s="94">
        <f>'2018-19_working'!V30</f>
        <v>0</v>
      </c>
      <c r="AE30" s="94">
        <f>'2018-19_working'!W30</f>
        <v>0</v>
      </c>
      <c r="AF30" s="94">
        <f>'2018-19_working'!X30</f>
        <v>0</v>
      </c>
      <c r="AG30" s="94">
        <f>'2018-19_working'!Y30+'2018-19_working'!Z30</f>
        <v>0</v>
      </c>
      <c r="AH30" s="94">
        <f>'2018-19_working'!AA30</f>
        <v>0</v>
      </c>
      <c r="AI30" s="95" t="str">
        <f t="shared" si="14"/>
        <v>-</v>
      </c>
      <c r="AJ30" s="95" t="str">
        <f t="shared" si="15"/>
        <v>-</v>
      </c>
      <c r="AK30" s="94"/>
      <c r="AL30" s="94">
        <f>'2018-19_working'!AC30+'2018-19_working'!AD30</f>
        <v>2</v>
      </c>
      <c r="AM30" s="94">
        <f>'2018-19_working'!AE30</f>
        <v>0</v>
      </c>
      <c r="AN30" s="94">
        <f>'2018-19_working'!AF30</f>
        <v>0</v>
      </c>
      <c r="AO30" s="94">
        <f>'2018-19_working'!AG30</f>
        <v>0</v>
      </c>
      <c r="AP30" s="94">
        <f>'2018-19_working'!AH30+'2018-19_working'!AI30</f>
        <v>0</v>
      </c>
      <c r="AQ30" s="94">
        <f>'2018-19_working'!AJ30</f>
        <v>0</v>
      </c>
      <c r="AR30" s="95">
        <f t="shared" si="16"/>
        <v>0</v>
      </c>
      <c r="AS30" s="95">
        <f t="shared" si="17"/>
        <v>0</v>
      </c>
      <c r="AT30" s="94"/>
      <c r="AU30" s="94">
        <f t="shared" si="18"/>
        <v>11</v>
      </c>
      <c r="AV30" s="94">
        <f t="shared" si="19"/>
        <v>0</v>
      </c>
      <c r="AW30" s="94">
        <f t="shared" si="20"/>
        <v>0</v>
      </c>
      <c r="AX30" s="94">
        <f t="shared" si="21"/>
        <v>0</v>
      </c>
      <c r="AY30" s="94">
        <f t="shared" si="22"/>
        <v>0</v>
      </c>
      <c r="AZ30" s="94">
        <f t="shared" si="23"/>
        <v>0</v>
      </c>
      <c r="BA30" s="95">
        <f t="shared" si="24"/>
        <v>0</v>
      </c>
      <c r="BB30" s="95">
        <f t="shared" si="25"/>
        <v>0</v>
      </c>
    </row>
    <row r="31" spans="1:54" x14ac:dyDescent="0.3">
      <c r="A31" s="8" t="s">
        <v>38</v>
      </c>
      <c r="B31" s="94">
        <f>'2018-19_working'!B31+'2018-19_working'!C31</f>
        <v>13</v>
      </c>
      <c r="C31" s="94">
        <f>'2018-19_working'!D31</f>
        <v>0</v>
      </c>
      <c r="D31" s="94">
        <f>'2018-19_working'!E31</f>
        <v>0</v>
      </c>
      <c r="E31" s="94">
        <f>'2018-19_working'!F31</f>
        <v>0</v>
      </c>
      <c r="F31" s="94">
        <f>'2018-19_working'!G31+'2018-19_working'!H31</f>
        <v>0</v>
      </c>
      <c r="G31" s="94">
        <f>'2018-19_working'!I31</f>
        <v>20</v>
      </c>
      <c r="H31" s="95">
        <f t="shared" si="2"/>
        <v>0</v>
      </c>
      <c r="I31" s="95">
        <f t="shared" si="3"/>
        <v>0.60606060606060608</v>
      </c>
      <c r="J31" s="94"/>
      <c r="K31" s="94">
        <f>'2018-19_working'!K31+'2018-19_working'!L31</f>
        <v>15</v>
      </c>
      <c r="L31" s="94">
        <f>'2018-19_working'!M31</f>
        <v>0</v>
      </c>
      <c r="M31" s="94">
        <f>'2018-19_working'!N31</f>
        <v>0</v>
      </c>
      <c r="N31" s="94">
        <f>'2018-19_working'!O31</f>
        <v>0</v>
      </c>
      <c r="O31" s="94">
        <f>'2018-19_working'!P31+'2018-19_working'!Q31</f>
        <v>0</v>
      </c>
      <c r="P31" s="94">
        <f>'2018-19_working'!R31</f>
        <v>87</v>
      </c>
      <c r="Q31" s="95">
        <f t="shared" si="4"/>
        <v>0</v>
      </c>
      <c r="R31" s="95">
        <f t="shared" si="5"/>
        <v>0.8529411764705882</v>
      </c>
      <c r="S31" s="94"/>
      <c r="T31" s="94">
        <f t="shared" si="6"/>
        <v>28</v>
      </c>
      <c r="U31" s="94">
        <f t="shared" si="7"/>
        <v>0</v>
      </c>
      <c r="V31" s="94">
        <f t="shared" si="8"/>
        <v>0</v>
      </c>
      <c r="W31" s="94">
        <f t="shared" si="9"/>
        <v>0</v>
      </c>
      <c r="X31" s="94">
        <f t="shared" si="10"/>
        <v>0</v>
      </c>
      <c r="Y31" s="94">
        <f t="shared" si="11"/>
        <v>107</v>
      </c>
      <c r="Z31" s="95">
        <f t="shared" si="12"/>
        <v>0</v>
      </c>
      <c r="AA31" s="95">
        <f t="shared" si="13"/>
        <v>0.79259259259259263</v>
      </c>
      <c r="AB31" s="94"/>
      <c r="AC31" s="94">
        <f>'2018-19_working'!T31+'2018-19_working'!U31</f>
        <v>0</v>
      </c>
      <c r="AD31" s="94">
        <f>'2018-19_working'!V31</f>
        <v>0</v>
      </c>
      <c r="AE31" s="94">
        <f>'2018-19_working'!W31</f>
        <v>0</v>
      </c>
      <c r="AF31" s="94">
        <f>'2018-19_working'!X31</f>
        <v>0</v>
      </c>
      <c r="AG31" s="94">
        <f>'2018-19_working'!Y31+'2018-19_working'!Z31</f>
        <v>0</v>
      </c>
      <c r="AH31" s="94">
        <f>'2018-19_working'!AA31</f>
        <v>1</v>
      </c>
      <c r="AI31" s="95" t="str">
        <f t="shared" si="14"/>
        <v>-</v>
      </c>
      <c r="AJ31" s="95">
        <f t="shared" si="15"/>
        <v>1</v>
      </c>
      <c r="AK31" s="94"/>
      <c r="AL31" s="94">
        <f>'2018-19_working'!AC31+'2018-19_working'!AD31</f>
        <v>11</v>
      </c>
      <c r="AM31" s="94">
        <f>'2018-19_working'!AE31</f>
        <v>0</v>
      </c>
      <c r="AN31" s="94">
        <f>'2018-19_working'!AF31</f>
        <v>0</v>
      </c>
      <c r="AO31" s="94">
        <f>'2018-19_working'!AG31</f>
        <v>0</v>
      </c>
      <c r="AP31" s="94">
        <f>'2018-19_working'!AH31+'2018-19_working'!AI31</f>
        <v>0</v>
      </c>
      <c r="AQ31" s="94">
        <f>'2018-19_working'!AJ31</f>
        <v>29</v>
      </c>
      <c r="AR31" s="95">
        <f t="shared" si="16"/>
        <v>0</v>
      </c>
      <c r="AS31" s="95">
        <f t="shared" si="17"/>
        <v>0.72499999999999998</v>
      </c>
      <c r="AT31" s="94"/>
      <c r="AU31" s="94">
        <f t="shared" si="18"/>
        <v>39</v>
      </c>
      <c r="AV31" s="94">
        <f t="shared" si="19"/>
        <v>0</v>
      </c>
      <c r="AW31" s="94">
        <f t="shared" si="20"/>
        <v>0</v>
      </c>
      <c r="AX31" s="94">
        <f t="shared" si="21"/>
        <v>0</v>
      </c>
      <c r="AY31" s="94">
        <f t="shared" si="22"/>
        <v>0</v>
      </c>
      <c r="AZ31" s="94">
        <f t="shared" si="23"/>
        <v>137</v>
      </c>
      <c r="BA31" s="95">
        <f t="shared" si="24"/>
        <v>0</v>
      </c>
      <c r="BB31" s="95">
        <f t="shared" si="25"/>
        <v>0.77840909090909094</v>
      </c>
    </row>
    <row r="32" spans="1:54" x14ac:dyDescent="0.3">
      <c r="A32" s="8" t="s">
        <v>39</v>
      </c>
      <c r="B32" s="94">
        <f>'2018-19_working'!B32+'2018-19_working'!C32</f>
        <v>51</v>
      </c>
      <c r="C32" s="94">
        <f>'2018-19_working'!D32</f>
        <v>3</v>
      </c>
      <c r="D32" s="94">
        <f>'2018-19_working'!E32</f>
        <v>1</v>
      </c>
      <c r="E32" s="94">
        <f>'2018-19_working'!F32</f>
        <v>0</v>
      </c>
      <c r="F32" s="94">
        <f>'2018-19_working'!G32+'2018-19_working'!H32</f>
        <v>0</v>
      </c>
      <c r="G32" s="94">
        <f>'2018-19_working'!I32</f>
        <v>0</v>
      </c>
      <c r="H32" s="95">
        <f t="shared" si="2"/>
        <v>7.2727272727272724E-2</v>
      </c>
      <c r="I32" s="95">
        <f t="shared" si="3"/>
        <v>0</v>
      </c>
      <c r="J32" s="94"/>
      <c r="K32" s="94">
        <f>'2018-19_working'!K32+'2018-19_working'!L32</f>
        <v>63</v>
      </c>
      <c r="L32" s="94">
        <f>'2018-19_working'!M32</f>
        <v>0</v>
      </c>
      <c r="M32" s="94">
        <f>'2018-19_working'!N32</f>
        <v>1</v>
      </c>
      <c r="N32" s="94">
        <f>'2018-19_working'!O32</f>
        <v>0</v>
      </c>
      <c r="O32" s="94">
        <f>'2018-19_working'!P32+'2018-19_working'!Q32</f>
        <v>1</v>
      </c>
      <c r="P32" s="94">
        <f>'2018-19_working'!R32</f>
        <v>7</v>
      </c>
      <c r="Q32" s="95">
        <f t="shared" si="4"/>
        <v>3.0769230769230771E-2</v>
      </c>
      <c r="R32" s="95">
        <f t="shared" si="5"/>
        <v>9.7222222222222224E-2</v>
      </c>
      <c r="S32" s="94"/>
      <c r="T32" s="94">
        <f t="shared" si="6"/>
        <v>114</v>
      </c>
      <c r="U32" s="94">
        <f t="shared" si="7"/>
        <v>3</v>
      </c>
      <c r="V32" s="94">
        <f t="shared" si="8"/>
        <v>2</v>
      </c>
      <c r="W32" s="94">
        <f t="shared" si="9"/>
        <v>0</v>
      </c>
      <c r="X32" s="94">
        <f t="shared" si="10"/>
        <v>1</v>
      </c>
      <c r="Y32" s="94">
        <f t="shared" si="11"/>
        <v>7</v>
      </c>
      <c r="Z32" s="95">
        <f t="shared" si="12"/>
        <v>0.05</v>
      </c>
      <c r="AA32" s="95">
        <f t="shared" si="13"/>
        <v>5.5118110236220472E-2</v>
      </c>
      <c r="AB32" s="94"/>
      <c r="AC32" s="94">
        <f>'2018-19_working'!T32+'2018-19_working'!U32</f>
        <v>0</v>
      </c>
      <c r="AD32" s="94">
        <f>'2018-19_working'!V32</f>
        <v>0</v>
      </c>
      <c r="AE32" s="94">
        <f>'2018-19_working'!W32</f>
        <v>0</v>
      </c>
      <c r="AF32" s="94">
        <f>'2018-19_working'!X32</f>
        <v>0</v>
      </c>
      <c r="AG32" s="94">
        <f>'2018-19_working'!Y32+'2018-19_working'!Z32</f>
        <v>0</v>
      </c>
      <c r="AH32" s="94">
        <f>'2018-19_working'!AA32</f>
        <v>0</v>
      </c>
      <c r="AI32" s="95" t="str">
        <f t="shared" si="14"/>
        <v>-</v>
      </c>
      <c r="AJ32" s="95" t="str">
        <f t="shared" si="15"/>
        <v>-</v>
      </c>
      <c r="AK32" s="94"/>
      <c r="AL32" s="94">
        <f>'2018-19_working'!AC32+'2018-19_working'!AD32</f>
        <v>20</v>
      </c>
      <c r="AM32" s="94">
        <f>'2018-19_working'!AE32</f>
        <v>0</v>
      </c>
      <c r="AN32" s="94">
        <f>'2018-19_working'!AF32</f>
        <v>2</v>
      </c>
      <c r="AO32" s="94">
        <f>'2018-19_working'!AG32</f>
        <v>0</v>
      </c>
      <c r="AP32" s="94">
        <f>'2018-19_working'!AH32+'2018-19_working'!AI32</f>
        <v>0</v>
      </c>
      <c r="AQ32" s="94">
        <f>'2018-19_working'!AJ32</f>
        <v>0</v>
      </c>
      <c r="AR32" s="95">
        <f t="shared" si="16"/>
        <v>9.0909090909090912E-2</v>
      </c>
      <c r="AS32" s="95">
        <f t="shared" si="17"/>
        <v>0</v>
      </c>
      <c r="AT32" s="94"/>
      <c r="AU32" s="94">
        <f t="shared" si="18"/>
        <v>134</v>
      </c>
      <c r="AV32" s="94">
        <f t="shared" si="19"/>
        <v>3</v>
      </c>
      <c r="AW32" s="94">
        <f t="shared" si="20"/>
        <v>4</v>
      </c>
      <c r="AX32" s="94">
        <f t="shared" si="21"/>
        <v>0</v>
      </c>
      <c r="AY32" s="94">
        <f t="shared" si="22"/>
        <v>1</v>
      </c>
      <c r="AZ32" s="94">
        <f t="shared" si="23"/>
        <v>7</v>
      </c>
      <c r="BA32" s="95">
        <f t="shared" si="24"/>
        <v>5.6338028169014086E-2</v>
      </c>
      <c r="BB32" s="95">
        <f t="shared" si="25"/>
        <v>4.6979865771812082E-2</v>
      </c>
    </row>
    <row r="33" spans="1:54" x14ac:dyDescent="0.3">
      <c r="A33" s="8" t="s">
        <v>40</v>
      </c>
      <c r="B33" s="94">
        <f>'2018-19_working'!B33+'2018-19_working'!C33</f>
        <v>6</v>
      </c>
      <c r="C33" s="94">
        <f>'2018-19_working'!D33</f>
        <v>0</v>
      </c>
      <c r="D33" s="94">
        <f>'2018-19_working'!E33</f>
        <v>0</v>
      </c>
      <c r="E33" s="94">
        <f>'2018-19_working'!F33</f>
        <v>0</v>
      </c>
      <c r="F33" s="94">
        <f>'2018-19_working'!G33+'2018-19_working'!H33</f>
        <v>0</v>
      </c>
      <c r="G33" s="94">
        <f>'2018-19_working'!I33</f>
        <v>2</v>
      </c>
      <c r="H33" s="95">
        <f t="shared" si="2"/>
        <v>0</v>
      </c>
      <c r="I33" s="95">
        <f t="shared" si="3"/>
        <v>0.25</v>
      </c>
      <c r="J33" s="94"/>
      <c r="K33" s="94">
        <f>'2018-19_working'!K33+'2018-19_working'!L33</f>
        <v>20</v>
      </c>
      <c r="L33" s="94">
        <f>'2018-19_working'!M33</f>
        <v>1</v>
      </c>
      <c r="M33" s="94">
        <f>'2018-19_working'!N33</f>
        <v>0</v>
      </c>
      <c r="N33" s="94">
        <f>'2018-19_working'!O33</f>
        <v>0</v>
      </c>
      <c r="O33" s="94">
        <f>'2018-19_working'!P33+'2018-19_working'!Q33</f>
        <v>0</v>
      </c>
      <c r="P33" s="94">
        <f>'2018-19_working'!R33</f>
        <v>12</v>
      </c>
      <c r="Q33" s="95">
        <f t="shared" si="4"/>
        <v>4.7619047619047616E-2</v>
      </c>
      <c r="R33" s="95">
        <f t="shared" si="5"/>
        <v>0.36363636363636365</v>
      </c>
      <c r="S33" s="94"/>
      <c r="T33" s="94">
        <f t="shared" si="6"/>
        <v>26</v>
      </c>
      <c r="U33" s="94">
        <f t="shared" si="7"/>
        <v>1</v>
      </c>
      <c r="V33" s="94">
        <f t="shared" si="8"/>
        <v>0</v>
      </c>
      <c r="W33" s="94">
        <f t="shared" si="9"/>
        <v>0</v>
      </c>
      <c r="X33" s="94">
        <f t="shared" si="10"/>
        <v>0</v>
      </c>
      <c r="Y33" s="94">
        <f t="shared" si="11"/>
        <v>14</v>
      </c>
      <c r="Z33" s="95">
        <f t="shared" si="12"/>
        <v>3.7037037037037035E-2</v>
      </c>
      <c r="AA33" s="95">
        <f t="shared" si="13"/>
        <v>0.34146341463414637</v>
      </c>
      <c r="AB33" s="94"/>
      <c r="AC33" s="94">
        <f>'2018-19_working'!T33+'2018-19_working'!U33</f>
        <v>0</v>
      </c>
      <c r="AD33" s="94">
        <f>'2018-19_working'!V33</f>
        <v>0</v>
      </c>
      <c r="AE33" s="94">
        <f>'2018-19_working'!W33</f>
        <v>0</v>
      </c>
      <c r="AF33" s="94">
        <f>'2018-19_working'!X33</f>
        <v>0</v>
      </c>
      <c r="AG33" s="94">
        <f>'2018-19_working'!Y33+'2018-19_working'!Z33</f>
        <v>0</v>
      </c>
      <c r="AH33" s="94">
        <f>'2018-19_working'!AA33</f>
        <v>0</v>
      </c>
      <c r="AI33" s="95" t="str">
        <f t="shared" si="14"/>
        <v>-</v>
      </c>
      <c r="AJ33" s="95" t="str">
        <f t="shared" si="15"/>
        <v>-</v>
      </c>
      <c r="AK33" s="94"/>
      <c r="AL33" s="94">
        <f>'2018-19_working'!AC33+'2018-19_working'!AD33</f>
        <v>9</v>
      </c>
      <c r="AM33" s="94">
        <f>'2018-19_working'!AE33</f>
        <v>0</v>
      </c>
      <c r="AN33" s="94">
        <f>'2018-19_working'!AF33</f>
        <v>0</v>
      </c>
      <c r="AO33" s="94">
        <f>'2018-19_working'!AG33</f>
        <v>0</v>
      </c>
      <c r="AP33" s="94">
        <f>'2018-19_working'!AH33+'2018-19_working'!AI33</f>
        <v>0</v>
      </c>
      <c r="AQ33" s="94">
        <f>'2018-19_working'!AJ33</f>
        <v>0</v>
      </c>
      <c r="AR33" s="95">
        <f t="shared" si="16"/>
        <v>0</v>
      </c>
      <c r="AS33" s="95">
        <f t="shared" si="17"/>
        <v>0</v>
      </c>
      <c r="AT33" s="94"/>
      <c r="AU33" s="94">
        <f t="shared" si="18"/>
        <v>35</v>
      </c>
      <c r="AV33" s="94">
        <f t="shared" si="19"/>
        <v>1</v>
      </c>
      <c r="AW33" s="94">
        <f t="shared" si="20"/>
        <v>0</v>
      </c>
      <c r="AX33" s="94">
        <f t="shared" si="21"/>
        <v>0</v>
      </c>
      <c r="AY33" s="94">
        <f t="shared" si="22"/>
        <v>0</v>
      </c>
      <c r="AZ33" s="94">
        <f t="shared" si="23"/>
        <v>14</v>
      </c>
      <c r="BA33" s="95">
        <f t="shared" si="24"/>
        <v>2.7777777777777776E-2</v>
      </c>
      <c r="BB33" s="95">
        <f t="shared" si="25"/>
        <v>0.28000000000000003</v>
      </c>
    </row>
    <row r="34" spans="1:54" x14ac:dyDescent="0.3">
      <c r="A34" s="8" t="s">
        <v>41</v>
      </c>
      <c r="B34" s="94">
        <f>'2018-19_working'!B34+'2018-19_working'!C34</f>
        <v>12</v>
      </c>
      <c r="C34" s="94">
        <f>'2018-19_working'!D34</f>
        <v>1</v>
      </c>
      <c r="D34" s="94">
        <f>'2018-19_working'!E34</f>
        <v>0</v>
      </c>
      <c r="E34" s="94">
        <f>'2018-19_working'!F34</f>
        <v>0</v>
      </c>
      <c r="F34" s="94">
        <f>'2018-19_working'!G34+'2018-19_working'!H34</f>
        <v>0</v>
      </c>
      <c r="G34" s="94">
        <f>'2018-19_working'!I34</f>
        <v>0</v>
      </c>
      <c r="H34" s="95">
        <f t="shared" si="2"/>
        <v>7.6923076923076927E-2</v>
      </c>
      <c r="I34" s="95">
        <f t="shared" si="3"/>
        <v>0</v>
      </c>
      <c r="J34" s="94"/>
      <c r="K34" s="94">
        <f>'2018-19_working'!K34+'2018-19_working'!L34</f>
        <v>52</v>
      </c>
      <c r="L34" s="94">
        <f>'2018-19_working'!M34</f>
        <v>0</v>
      </c>
      <c r="M34" s="94">
        <f>'2018-19_working'!N34</f>
        <v>0</v>
      </c>
      <c r="N34" s="94">
        <f>'2018-19_working'!O34</f>
        <v>0</v>
      </c>
      <c r="O34" s="94">
        <f>'2018-19_working'!P34+'2018-19_working'!Q34</f>
        <v>0</v>
      </c>
      <c r="P34" s="94">
        <f>'2018-19_working'!R34</f>
        <v>1</v>
      </c>
      <c r="Q34" s="95">
        <f t="shared" si="4"/>
        <v>0</v>
      </c>
      <c r="R34" s="95">
        <f t="shared" si="5"/>
        <v>1.8867924528301886E-2</v>
      </c>
      <c r="S34" s="94"/>
      <c r="T34" s="94">
        <f t="shared" si="6"/>
        <v>64</v>
      </c>
      <c r="U34" s="94">
        <f t="shared" si="7"/>
        <v>1</v>
      </c>
      <c r="V34" s="94">
        <f t="shared" si="8"/>
        <v>0</v>
      </c>
      <c r="W34" s="94">
        <f t="shared" si="9"/>
        <v>0</v>
      </c>
      <c r="X34" s="94">
        <f t="shared" si="10"/>
        <v>0</v>
      </c>
      <c r="Y34" s="94">
        <f t="shared" si="11"/>
        <v>1</v>
      </c>
      <c r="Z34" s="95">
        <f t="shared" si="12"/>
        <v>1.5384615384615385E-2</v>
      </c>
      <c r="AA34" s="95">
        <f t="shared" si="13"/>
        <v>1.5151515151515152E-2</v>
      </c>
      <c r="AB34" s="94"/>
      <c r="AC34" s="94">
        <f>'2018-19_working'!T34+'2018-19_working'!U34</f>
        <v>4</v>
      </c>
      <c r="AD34" s="94">
        <f>'2018-19_working'!V34</f>
        <v>0</v>
      </c>
      <c r="AE34" s="94">
        <f>'2018-19_working'!W34</f>
        <v>0</v>
      </c>
      <c r="AF34" s="94">
        <f>'2018-19_working'!X34</f>
        <v>0</v>
      </c>
      <c r="AG34" s="94">
        <f>'2018-19_working'!Y34+'2018-19_working'!Z34</f>
        <v>0</v>
      </c>
      <c r="AH34" s="94">
        <f>'2018-19_working'!AA34</f>
        <v>0</v>
      </c>
      <c r="AI34" s="95">
        <f t="shared" si="14"/>
        <v>0</v>
      </c>
      <c r="AJ34" s="95">
        <f t="shared" si="15"/>
        <v>0</v>
      </c>
      <c r="AK34" s="94"/>
      <c r="AL34" s="94">
        <f>'2018-19_working'!AC34+'2018-19_working'!AD34</f>
        <v>8</v>
      </c>
      <c r="AM34" s="94">
        <f>'2018-19_working'!AE34</f>
        <v>0</v>
      </c>
      <c r="AN34" s="94">
        <f>'2018-19_working'!AF34</f>
        <v>0</v>
      </c>
      <c r="AO34" s="94">
        <f>'2018-19_working'!AG34</f>
        <v>1</v>
      </c>
      <c r="AP34" s="94">
        <f>'2018-19_working'!AH34+'2018-19_working'!AI34</f>
        <v>0</v>
      </c>
      <c r="AQ34" s="94">
        <f>'2018-19_working'!AJ34</f>
        <v>1</v>
      </c>
      <c r="AR34" s="95">
        <f t="shared" si="16"/>
        <v>0.1111111111111111</v>
      </c>
      <c r="AS34" s="95">
        <f t="shared" si="17"/>
        <v>0.1</v>
      </c>
      <c r="AT34" s="94"/>
      <c r="AU34" s="94">
        <f t="shared" si="18"/>
        <v>76</v>
      </c>
      <c r="AV34" s="94">
        <f t="shared" si="19"/>
        <v>1</v>
      </c>
      <c r="AW34" s="94">
        <f t="shared" si="20"/>
        <v>0</v>
      </c>
      <c r="AX34" s="94">
        <f t="shared" si="21"/>
        <v>1</v>
      </c>
      <c r="AY34" s="94">
        <f t="shared" si="22"/>
        <v>0</v>
      </c>
      <c r="AZ34" s="94">
        <f t="shared" si="23"/>
        <v>2</v>
      </c>
      <c r="BA34" s="95">
        <f t="shared" si="24"/>
        <v>2.564102564102564E-2</v>
      </c>
      <c r="BB34" s="95">
        <f t="shared" si="25"/>
        <v>2.5000000000000001E-2</v>
      </c>
    </row>
    <row r="35" spans="1:54" x14ac:dyDescent="0.3">
      <c r="A35" s="8" t="s">
        <v>42</v>
      </c>
      <c r="B35" s="94">
        <f>'2018-19_working'!B35+'2018-19_working'!C35</f>
        <v>25</v>
      </c>
      <c r="C35" s="94">
        <f>'2018-19_working'!D35</f>
        <v>1</v>
      </c>
      <c r="D35" s="94">
        <f>'2018-19_working'!E35</f>
        <v>0</v>
      </c>
      <c r="E35" s="94">
        <f>'2018-19_working'!F35</f>
        <v>0</v>
      </c>
      <c r="F35" s="94">
        <f>'2018-19_working'!G35+'2018-19_working'!H35</f>
        <v>0</v>
      </c>
      <c r="G35" s="94">
        <f>'2018-19_working'!I35</f>
        <v>4</v>
      </c>
      <c r="H35" s="95">
        <f t="shared" si="2"/>
        <v>3.8461538461538464E-2</v>
      </c>
      <c r="I35" s="95">
        <f t="shared" si="3"/>
        <v>0.13333333333333333</v>
      </c>
      <c r="J35" s="94"/>
      <c r="K35" s="94">
        <f>'2018-19_working'!K35+'2018-19_working'!L35</f>
        <v>32</v>
      </c>
      <c r="L35" s="94">
        <f>'2018-19_working'!M35</f>
        <v>0</v>
      </c>
      <c r="M35" s="94">
        <f>'2018-19_working'!N35</f>
        <v>0</v>
      </c>
      <c r="N35" s="94">
        <f>'2018-19_working'!O35</f>
        <v>0</v>
      </c>
      <c r="O35" s="94">
        <f>'2018-19_working'!P35+'2018-19_working'!Q35</f>
        <v>0</v>
      </c>
      <c r="P35" s="94">
        <f>'2018-19_working'!R35</f>
        <v>6</v>
      </c>
      <c r="Q35" s="95">
        <f t="shared" si="4"/>
        <v>0</v>
      </c>
      <c r="R35" s="95">
        <f t="shared" si="5"/>
        <v>0.15789473684210525</v>
      </c>
      <c r="S35" s="94"/>
      <c r="T35" s="94">
        <f t="shared" si="6"/>
        <v>57</v>
      </c>
      <c r="U35" s="94">
        <f t="shared" si="7"/>
        <v>1</v>
      </c>
      <c r="V35" s="94">
        <f t="shared" si="8"/>
        <v>0</v>
      </c>
      <c r="W35" s="94">
        <f t="shared" si="9"/>
        <v>0</v>
      </c>
      <c r="X35" s="94">
        <f t="shared" si="10"/>
        <v>0</v>
      </c>
      <c r="Y35" s="94">
        <f t="shared" si="11"/>
        <v>10</v>
      </c>
      <c r="Z35" s="95">
        <f t="shared" si="12"/>
        <v>1.7241379310344827E-2</v>
      </c>
      <c r="AA35" s="95">
        <f t="shared" si="13"/>
        <v>0.14705882352941177</v>
      </c>
      <c r="AB35" s="94"/>
      <c r="AC35" s="94">
        <f>'2018-19_working'!T35+'2018-19_working'!U35</f>
        <v>2</v>
      </c>
      <c r="AD35" s="94">
        <f>'2018-19_working'!V35</f>
        <v>0</v>
      </c>
      <c r="AE35" s="94">
        <f>'2018-19_working'!W35</f>
        <v>0</v>
      </c>
      <c r="AF35" s="94">
        <f>'2018-19_working'!X35</f>
        <v>0</v>
      </c>
      <c r="AG35" s="94">
        <f>'2018-19_working'!Y35+'2018-19_working'!Z35</f>
        <v>0</v>
      </c>
      <c r="AH35" s="94">
        <f>'2018-19_working'!AA35</f>
        <v>0</v>
      </c>
      <c r="AI35" s="95">
        <f t="shared" si="14"/>
        <v>0</v>
      </c>
      <c r="AJ35" s="95">
        <f t="shared" si="15"/>
        <v>0</v>
      </c>
      <c r="AK35" s="94"/>
      <c r="AL35" s="94">
        <f>'2018-19_working'!AC35+'2018-19_working'!AD35</f>
        <v>6</v>
      </c>
      <c r="AM35" s="94">
        <f>'2018-19_working'!AE35</f>
        <v>0</v>
      </c>
      <c r="AN35" s="94">
        <f>'2018-19_working'!AF35</f>
        <v>0</v>
      </c>
      <c r="AO35" s="94">
        <f>'2018-19_working'!AG35</f>
        <v>0</v>
      </c>
      <c r="AP35" s="94">
        <f>'2018-19_working'!AH35+'2018-19_working'!AI35</f>
        <v>0</v>
      </c>
      <c r="AQ35" s="94">
        <f>'2018-19_working'!AJ35</f>
        <v>4</v>
      </c>
      <c r="AR35" s="95">
        <f t="shared" si="16"/>
        <v>0</v>
      </c>
      <c r="AS35" s="95">
        <f t="shared" si="17"/>
        <v>0.4</v>
      </c>
      <c r="AT35" s="94"/>
      <c r="AU35" s="94">
        <f t="shared" si="18"/>
        <v>65</v>
      </c>
      <c r="AV35" s="94">
        <f t="shared" si="19"/>
        <v>1</v>
      </c>
      <c r="AW35" s="94">
        <f t="shared" si="20"/>
        <v>0</v>
      </c>
      <c r="AX35" s="94">
        <f t="shared" si="21"/>
        <v>0</v>
      </c>
      <c r="AY35" s="94">
        <f t="shared" si="22"/>
        <v>0</v>
      </c>
      <c r="AZ35" s="94">
        <f t="shared" si="23"/>
        <v>14</v>
      </c>
      <c r="BA35" s="95">
        <f t="shared" si="24"/>
        <v>1.5151515151515152E-2</v>
      </c>
      <c r="BB35" s="95">
        <f t="shared" si="25"/>
        <v>0.17499999999999999</v>
      </c>
    </row>
    <row r="36" spans="1:54" x14ac:dyDescent="0.3">
      <c r="A36" s="8" t="s">
        <v>43</v>
      </c>
      <c r="B36" s="94">
        <f>'2018-19_working'!B36+'2018-19_working'!C36</f>
        <v>0</v>
      </c>
      <c r="C36" s="94">
        <f>'2018-19_working'!D36</f>
        <v>0</v>
      </c>
      <c r="D36" s="94">
        <f>'2018-19_working'!E36</f>
        <v>0</v>
      </c>
      <c r="E36" s="94">
        <f>'2018-19_working'!F36</f>
        <v>0</v>
      </c>
      <c r="F36" s="94">
        <f>'2018-19_working'!G36+'2018-19_working'!H36</f>
        <v>0</v>
      </c>
      <c r="G36" s="94">
        <f>'2018-19_working'!I36</f>
        <v>0</v>
      </c>
      <c r="H36" s="95" t="str">
        <f t="shared" si="2"/>
        <v>-</v>
      </c>
      <c r="I36" s="95" t="str">
        <f t="shared" si="3"/>
        <v>-</v>
      </c>
      <c r="J36" s="94"/>
      <c r="K36" s="94">
        <f>'2018-19_working'!K36+'2018-19_working'!L36</f>
        <v>0</v>
      </c>
      <c r="L36" s="94">
        <f>'2018-19_working'!M36</f>
        <v>0</v>
      </c>
      <c r="M36" s="94">
        <f>'2018-19_working'!N36</f>
        <v>0</v>
      </c>
      <c r="N36" s="94">
        <f>'2018-19_working'!O36</f>
        <v>0</v>
      </c>
      <c r="O36" s="94">
        <f>'2018-19_working'!P36+'2018-19_working'!Q36</f>
        <v>0</v>
      </c>
      <c r="P36" s="94">
        <f>'2018-19_working'!R36</f>
        <v>0</v>
      </c>
      <c r="Q36" s="95" t="str">
        <f t="shared" si="4"/>
        <v>-</v>
      </c>
      <c r="R36" s="95" t="str">
        <f t="shared" si="5"/>
        <v>-</v>
      </c>
      <c r="S36" s="94"/>
      <c r="T36" s="94">
        <f t="shared" si="6"/>
        <v>0</v>
      </c>
      <c r="U36" s="94">
        <f t="shared" si="7"/>
        <v>0</v>
      </c>
      <c r="V36" s="94">
        <f t="shared" si="8"/>
        <v>0</v>
      </c>
      <c r="W36" s="94">
        <f t="shared" si="9"/>
        <v>0</v>
      </c>
      <c r="X36" s="94">
        <f t="shared" si="10"/>
        <v>0</v>
      </c>
      <c r="Y36" s="94">
        <f t="shared" si="11"/>
        <v>0</v>
      </c>
      <c r="Z36" s="95" t="str">
        <f t="shared" si="12"/>
        <v>-</v>
      </c>
      <c r="AA36" s="95" t="str">
        <f t="shared" si="13"/>
        <v>-</v>
      </c>
      <c r="AB36" s="94"/>
      <c r="AC36" s="94">
        <f>'2018-19_working'!T36+'2018-19_working'!U36</f>
        <v>5</v>
      </c>
      <c r="AD36" s="94">
        <f>'2018-19_working'!V36</f>
        <v>0</v>
      </c>
      <c r="AE36" s="94">
        <f>'2018-19_working'!W36</f>
        <v>0</v>
      </c>
      <c r="AF36" s="94">
        <f>'2018-19_working'!X36</f>
        <v>0</v>
      </c>
      <c r="AG36" s="94">
        <f>'2018-19_working'!Y36+'2018-19_working'!Z36</f>
        <v>2</v>
      </c>
      <c r="AH36" s="94">
        <f>'2018-19_working'!AA36</f>
        <v>0</v>
      </c>
      <c r="AI36" s="95">
        <f t="shared" si="14"/>
        <v>0.2857142857142857</v>
      </c>
      <c r="AJ36" s="95">
        <f t="shared" si="15"/>
        <v>0</v>
      </c>
      <c r="AK36" s="94"/>
      <c r="AL36" s="94">
        <f>'2018-19_working'!AC36+'2018-19_working'!AD36</f>
        <v>1</v>
      </c>
      <c r="AM36" s="94">
        <f>'2018-19_working'!AE36</f>
        <v>0</v>
      </c>
      <c r="AN36" s="94">
        <f>'2018-19_working'!AF36</f>
        <v>0</v>
      </c>
      <c r="AO36" s="94">
        <f>'2018-19_working'!AG36</f>
        <v>0</v>
      </c>
      <c r="AP36" s="94">
        <f>'2018-19_working'!AH36+'2018-19_working'!AI36</f>
        <v>0</v>
      </c>
      <c r="AQ36" s="94">
        <f>'2018-19_working'!AJ36</f>
        <v>0</v>
      </c>
      <c r="AR36" s="95">
        <f t="shared" si="16"/>
        <v>0</v>
      </c>
      <c r="AS36" s="95">
        <f t="shared" si="17"/>
        <v>0</v>
      </c>
      <c r="AT36" s="94"/>
      <c r="AU36" s="94">
        <f t="shared" si="18"/>
        <v>6</v>
      </c>
      <c r="AV36" s="94">
        <f t="shared" si="19"/>
        <v>0</v>
      </c>
      <c r="AW36" s="94">
        <f t="shared" si="20"/>
        <v>0</v>
      </c>
      <c r="AX36" s="94">
        <f t="shared" si="21"/>
        <v>0</v>
      </c>
      <c r="AY36" s="94">
        <f t="shared" si="22"/>
        <v>2</v>
      </c>
      <c r="AZ36" s="94">
        <f t="shared" si="23"/>
        <v>0</v>
      </c>
      <c r="BA36" s="95">
        <f t="shared" si="24"/>
        <v>0.25</v>
      </c>
      <c r="BB36" s="95">
        <f t="shared" si="25"/>
        <v>0</v>
      </c>
    </row>
    <row r="37" spans="1:54" x14ac:dyDescent="0.3">
      <c r="A37" s="8" t="s">
        <v>44</v>
      </c>
      <c r="B37" s="94">
        <f>'2018-19_working'!B37+'2018-19_working'!C37</f>
        <v>25</v>
      </c>
      <c r="C37" s="94">
        <f>'2018-19_working'!D37</f>
        <v>0</v>
      </c>
      <c r="D37" s="94">
        <f>'2018-19_working'!E37</f>
        <v>0</v>
      </c>
      <c r="E37" s="94">
        <f>'2018-19_working'!F37</f>
        <v>0</v>
      </c>
      <c r="F37" s="94">
        <f>'2018-19_working'!G37+'2018-19_working'!H37</f>
        <v>0</v>
      </c>
      <c r="G37" s="94">
        <f>'2018-19_working'!I37</f>
        <v>5</v>
      </c>
      <c r="H37" s="95">
        <f t="shared" si="2"/>
        <v>0</v>
      </c>
      <c r="I37" s="95">
        <f t="shared" si="3"/>
        <v>0.16666666666666666</v>
      </c>
      <c r="J37" s="94"/>
      <c r="K37" s="94">
        <f>'2018-19_working'!K37+'2018-19_working'!L37</f>
        <v>41</v>
      </c>
      <c r="L37" s="94">
        <f>'2018-19_working'!M37</f>
        <v>0</v>
      </c>
      <c r="M37" s="94">
        <f>'2018-19_working'!N37</f>
        <v>0</v>
      </c>
      <c r="N37" s="94">
        <f>'2018-19_working'!O37</f>
        <v>0</v>
      </c>
      <c r="O37" s="94">
        <f>'2018-19_working'!P37+'2018-19_working'!Q37</f>
        <v>0</v>
      </c>
      <c r="P37" s="94">
        <f>'2018-19_working'!R37</f>
        <v>0</v>
      </c>
      <c r="Q37" s="95">
        <f t="shared" si="4"/>
        <v>0</v>
      </c>
      <c r="R37" s="95">
        <f t="shared" si="5"/>
        <v>0</v>
      </c>
      <c r="S37" s="94"/>
      <c r="T37" s="94">
        <f t="shared" si="6"/>
        <v>66</v>
      </c>
      <c r="U37" s="94">
        <f t="shared" si="7"/>
        <v>0</v>
      </c>
      <c r="V37" s="94">
        <f t="shared" si="8"/>
        <v>0</v>
      </c>
      <c r="W37" s="94">
        <f t="shared" si="9"/>
        <v>0</v>
      </c>
      <c r="X37" s="94">
        <f t="shared" si="10"/>
        <v>0</v>
      </c>
      <c r="Y37" s="94">
        <f t="shared" si="11"/>
        <v>5</v>
      </c>
      <c r="Z37" s="95">
        <f t="shared" si="12"/>
        <v>0</v>
      </c>
      <c r="AA37" s="95">
        <f t="shared" si="13"/>
        <v>7.0422535211267609E-2</v>
      </c>
      <c r="AB37" s="94"/>
      <c r="AC37" s="94">
        <f>'2018-19_working'!T37+'2018-19_working'!U37</f>
        <v>4</v>
      </c>
      <c r="AD37" s="94">
        <f>'2018-19_working'!V37</f>
        <v>0</v>
      </c>
      <c r="AE37" s="94">
        <f>'2018-19_working'!W37</f>
        <v>0</v>
      </c>
      <c r="AF37" s="94">
        <f>'2018-19_working'!X37</f>
        <v>0</v>
      </c>
      <c r="AG37" s="94">
        <f>'2018-19_working'!Y37+'2018-19_working'!Z37</f>
        <v>0</v>
      </c>
      <c r="AH37" s="94">
        <f>'2018-19_working'!AA37</f>
        <v>0</v>
      </c>
      <c r="AI37" s="95">
        <f t="shared" si="14"/>
        <v>0</v>
      </c>
      <c r="AJ37" s="95">
        <f t="shared" si="15"/>
        <v>0</v>
      </c>
      <c r="AK37" s="94"/>
      <c r="AL37" s="94">
        <f>'2018-19_working'!AC37+'2018-19_working'!AD37</f>
        <v>18</v>
      </c>
      <c r="AM37" s="94">
        <f>'2018-19_working'!AE37</f>
        <v>0</v>
      </c>
      <c r="AN37" s="94">
        <f>'2018-19_working'!AF37</f>
        <v>0</v>
      </c>
      <c r="AO37" s="94">
        <f>'2018-19_working'!AG37</f>
        <v>0</v>
      </c>
      <c r="AP37" s="94">
        <f>'2018-19_working'!AH37+'2018-19_working'!AI37</f>
        <v>0</v>
      </c>
      <c r="AQ37" s="94">
        <f>'2018-19_working'!AJ37</f>
        <v>0</v>
      </c>
      <c r="AR37" s="95">
        <f t="shared" si="16"/>
        <v>0</v>
      </c>
      <c r="AS37" s="95">
        <f t="shared" si="17"/>
        <v>0</v>
      </c>
      <c r="AT37" s="94"/>
      <c r="AU37" s="94">
        <f t="shared" si="18"/>
        <v>88</v>
      </c>
      <c r="AV37" s="94">
        <f t="shared" si="19"/>
        <v>0</v>
      </c>
      <c r="AW37" s="94">
        <f t="shared" si="20"/>
        <v>0</v>
      </c>
      <c r="AX37" s="94">
        <f t="shared" si="21"/>
        <v>0</v>
      </c>
      <c r="AY37" s="94">
        <f t="shared" si="22"/>
        <v>0</v>
      </c>
      <c r="AZ37" s="94">
        <f t="shared" si="23"/>
        <v>5</v>
      </c>
      <c r="BA37" s="95">
        <f t="shared" si="24"/>
        <v>0</v>
      </c>
      <c r="BB37" s="95">
        <f t="shared" si="25"/>
        <v>5.3763440860215055E-2</v>
      </c>
    </row>
    <row r="38" spans="1:54" x14ac:dyDescent="0.3">
      <c r="A38" s="8" t="s">
        <v>45</v>
      </c>
      <c r="B38" s="94">
        <f>'2018-19_working'!B38+'2018-19_working'!C38</f>
        <v>1</v>
      </c>
      <c r="C38" s="94">
        <f>'2018-19_working'!D38</f>
        <v>0</v>
      </c>
      <c r="D38" s="94">
        <f>'2018-19_working'!E38</f>
        <v>0</v>
      </c>
      <c r="E38" s="94">
        <f>'2018-19_working'!F38</f>
        <v>0</v>
      </c>
      <c r="F38" s="94">
        <f>'2018-19_working'!G38+'2018-19_working'!H38</f>
        <v>0</v>
      </c>
      <c r="G38" s="94">
        <f>'2018-19_working'!I38</f>
        <v>8</v>
      </c>
      <c r="H38" s="95">
        <f t="shared" si="2"/>
        <v>0</v>
      </c>
      <c r="I38" s="95">
        <f t="shared" si="3"/>
        <v>0.88888888888888884</v>
      </c>
      <c r="J38" s="94"/>
      <c r="K38" s="94">
        <f>'2018-19_working'!K38+'2018-19_working'!L38</f>
        <v>0</v>
      </c>
      <c r="L38" s="94">
        <f>'2018-19_working'!M38</f>
        <v>0</v>
      </c>
      <c r="M38" s="94">
        <f>'2018-19_working'!N38</f>
        <v>0</v>
      </c>
      <c r="N38" s="94">
        <f>'2018-19_working'!O38</f>
        <v>0</v>
      </c>
      <c r="O38" s="94">
        <f>'2018-19_working'!P38+'2018-19_working'!Q38</f>
        <v>0</v>
      </c>
      <c r="P38" s="94">
        <f>'2018-19_working'!R38</f>
        <v>48</v>
      </c>
      <c r="Q38" s="95" t="str">
        <f t="shared" si="4"/>
        <v>-</v>
      </c>
      <c r="R38" s="95">
        <f t="shared" si="5"/>
        <v>1</v>
      </c>
      <c r="S38" s="94"/>
      <c r="T38" s="94">
        <f t="shared" si="6"/>
        <v>1</v>
      </c>
      <c r="U38" s="94">
        <f t="shared" si="7"/>
        <v>0</v>
      </c>
      <c r="V38" s="94">
        <f t="shared" si="8"/>
        <v>0</v>
      </c>
      <c r="W38" s="94">
        <f t="shared" si="9"/>
        <v>0</v>
      </c>
      <c r="X38" s="94">
        <f t="shared" si="10"/>
        <v>0</v>
      </c>
      <c r="Y38" s="94">
        <f t="shared" si="11"/>
        <v>56</v>
      </c>
      <c r="Z38" s="95">
        <f t="shared" si="12"/>
        <v>0</v>
      </c>
      <c r="AA38" s="95">
        <f t="shared" si="13"/>
        <v>0.98245614035087714</v>
      </c>
      <c r="AB38" s="94"/>
      <c r="AC38" s="94">
        <f>'2018-19_working'!T38+'2018-19_working'!U38</f>
        <v>3</v>
      </c>
      <c r="AD38" s="94">
        <f>'2018-19_working'!V38</f>
        <v>0</v>
      </c>
      <c r="AE38" s="94">
        <f>'2018-19_working'!W38</f>
        <v>0</v>
      </c>
      <c r="AF38" s="94">
        <f>'2018-19_working'!X38</f>
        <v>0</v>
      </c>
      <c r="AG38" s="94">
        <f>'2018-19_working'!Y38+'2018-19_working'!Z38</f>
        <v>0</v>
      </c>
      <c r="AH38" s="94">
        <f>'2018-19_working'!AA38</f>
        <v>1</v>
      </c>
      <c r="AI38" s="95">
        <f t="shared" si="14"/>
        <v>0</v>
      </c>
      <c r="AJ38" s="95">
        <f t="shared" si="15"/>
        <v>0.25</v>
      </c>
      <c r="AK38" s="94"/>
      <c r="AL38" s="94">
        <f>'2018-19_working'!AC38+'2018-19_working'!AD38</f>
        <v>3</v>
      </c>
      <c r="AM38" s="94">
        <f>'2018-19_working'!AE38</f>
        <v>0</v>
      </c>
      <c r="AN38" s="94">
        <f>'2018-19_working'!AF38</f>
        <v>0</v>
      </c>
      <c r="AO38" s="94">
        <f>'2018-19_working'!AG38</f>
        <v>0</v>
      </c>
      <c r="AP38" s="94">
        <f>'2018-19_working'!AH38+'2018-19_working'!AI38</f>
        <v>0</v>
      </c>
      <c r="AQ38" s="94">
        <f>'2018-19_working'!AJ38</f>
        <v>6</v>
      </c>
      <c r="AR38" s="95">
        <f t="shared" si="16"/>
        <v>0</v>
      </c>
      <c r="AS38" s="95">
        <f t="shared" si="17"/>
        <v>0.66666666666666663</v>
      </c>
      <c r="AT38" s="94"/>
      <c r="AU38" s="94">
        <f t="shared" si="18"/>
        <v>7</v>
      </c>
      <c r="AV38" s="94">
        <f t="shared" si="19"/>
        <v>0</v>
      </c>
      <c r="AW38" s="94">
        <f t="shared" si="20"/>
        <v>0</v>
      </c>
      <c r="AX38" s="94">
        <f t="shared" si="21"/>
        <v>0</v>
      </c>
      <c r="AY38" s="94">
        <f t="shared" si="22"/>
        <v>0</v>
      </c>
      <c r="AZ38" s="94">
        <f t="shared" si="23"/>
        <v>63</v>
      </c>
      <c r="BA38" s="95">
        <f t="shared" si="24"/>
        <v>0</v>
      </c>
      <c r="BB38" s="95">
        <f t="shared" si="25"/>
        <v>0.9</v>
      </c>
    </row>
    <row r="39" spans="1:54" x14ac:dyDescent="0.3">
      <c r="A39" s="8" t="s">
        <v>46</v>
      </c>
      <c r="B39" s="94">
        <f>'2018-19_working'!B39+'2018-19_working'!C39</f>
        <v>9</v>
      </c>
      <c r="C39" s="94">
        <f>'2018-19_working'!D39</f>
        <v>0</v>
      </c>
      <c r="D39" s="94">
        <f>'2018-19_working'!E39</f>
        <v>0</v>
      </c>
      <c r="E39" s="94">
        <f>'2018-19_working'!F39</f>
        <v>0</v>
      </c>
      <c r="F39" s="94">
        <f>'2018-19_working'!G39+'2018-19_working'!H39</f>
        <v>0</v>
      </c>
      <c r="G39" s="94">
        <f>'2018-19_working'!I39</f>
        <v>0</v>
      </c>
      <c r="H39" s="95">
        <f t="shared" si="2"/>
        <v>0</v>
      </c>
      <c r="I39" s="95">
        <f t="shared" si="3"/>
        <v>0</v>
      </c>
      <c r="J39" s="94"/>
      <c r="K39" s="94">
        <f>'2018-19_working'!K39+'2018-19_working'!L39</f>
        <v>17</v>
      </c>
      <c r="L39" s="94">
        <f>'2018-19_working'!M39</f>
        <v>0</v>
      </c>
      <c r="M39" s="94">
        <f>'2018-19_working'!N39</f>
        <v>0</v>
      </c>
      <c r="N39" s="94">
        <f>'2018-19_working'!O39</f>
        <v>0</v>
      </c>
      <c r="O39" s="94">
        <f>'2018-19_working'!P39+'2018-19_working'!Q39</f>
        <v>0</v>
      </c>
      <c r="P39" s="94">
        <f>'2018-19_working'!R39</f>
        <v>2</v>
      </c>
      <c r="Q39" s="95">
        <f t="shared" si="4"/>
        <v>0</v>
      </c>
      <c r="R39" s="95">
        <f t="shared" si="5"/>
        <v>0.10526315789473684</v>
      </c>
      <c r="S39" s="94"/>
      <c r="T39" s="94">
        <f t="shared" si="6"/>
        <v>26</v>
      </c>
      <c r="U39" s="94">
        <f t="shared" si="7"/>
        <v>0</v>
      </c>
      <c r="V39" s="94">
        <f t="shared" si="8"/>
        <v>0</v>
      </c>
      <c r="W39" s="94">
        <f t="shared" si="9"/>
        <v>0</v>
      </c>
      <c r="X39" s="94">
        <f t="shared" si="10"/>
        <v>0</v>
      </c>
      <c r="Y39" s="94">
        <f t="shared" si="11"/>
        <v>2</v>
      </c>
      <c r="Z39" s="95">
        <f t="shared" si="12"/>
        <v>0</v>
      </c>
      <c r="AA39" s="95">
        <f t="shared" si="13"/>
        <v>7.1428571428571425E-2</v>
      </c>
      <c r="AB39" s="94"/>
      <c r="AC39" s="94">
        <f>'2018-19_working'!T39+'2018-19_working'!U39</f>
        <v>0</v>
      </c>
      <c r="AD39" s="94">
        <f>'2018-19_working'!V39</f>
        <v>0</v>
      </c>
      <c r="AE39" s="94">
        <f>'2018-19_working'!W39</f>
        <v>0</v>
      </c>
      <c r="AF39" s="94">
        <f>'2018-19_working'!X39</f>
        <v>0</v>
      </c>
      <c r="AG39" s="94">
        <f>'2018-19_working'!Y39+'2018-19_working'!Z39</f>
        <v>0</v>
      </c>
      <c r="AH39" s="94">
        <f>'2018-19_working'!AA39</f>
        <v>0</v>
      </c>
      <c r="AI39" s="95" t="str">
        <f t="shared" si="14"/>
        <v>-</v>
      </c>
      <c r="AJ39" s="95" t="str">
        <f t="shared" si="15"/>
        <v>-</v>
      </c>
      <c r="AK39" s="94"/>
      <c r="AL39" s="94">
        <f>'2018-19_working'!AC39+'2018-19_working'!AD39</f>
        <v>1</v>
      </c>
      <c r="AM39" s="94">
        <f>'2018-19_working'!AE39</f>
        <v>0</v>
      </c>
      <c r="AN39" s="94">
        <f>'2018-19_working'!AF39</f>
        <v>0</v>
      </c>
      <c r="AO39" s="94">
        <f>'2018-19_working'!AG39</f>
        <v>0</v>
      </c>
      <c r="AP39" s="94">
        <f>'2018-19_working'!AH39+'2018-19_working'!AI39</f>
        <v>0</v>
      </c>
      <c r="AQ39" s="94">
        <f>'2018-19_working'!AJ39</f>
        <v>0</v>
      </c>
      <c r="AR39" s="95">
        <f t="shared" si="16"/>
        <v>0</v>
      </c>
      <c r="AS39" s="95">
        <f t="shared" si="17"/>
        <v>0</v>
      </c>
      <c r="AT39" s="94"/>
      <c r="AU39" s="94">
        <f t="shared" si="18"/>
        <v>27</v>
      </c>
      <c r="AV39" s="94">
        <f t="shared" si="19"/>
        <v>0</v>
      </c>
      <c r="AW39" s="94">
        <f t="shared" si="20"/>
        <v>0</v>
      </c>
      <c r="AX39" s="94">
        <f t="shared" si="21"/>
        <v>0</v>
      </c>
      <c r="AY39" s="94">
        <f t="shared" si="22"/>
        <v>0</v>
      </c>
      <c r="AZ39" s="94">
        <f t="shared" si="23"/>
        <v>2</v>
      </c>
      <c r="BA39" s="95">
        <f t="shared" si="24"/>
        <v>0</v>
      </c>
      <c r="BB39" s="95">
        <f t="shared" si="25"/>
        <v>6.8965517241379309E-2</v>
      </c>
    </row>
    <row r="40" spans="1:54" x14ac:dyDescent="0.3">
      <c r="A40" s="8" t="s">
        <v>47</v>
      </c>
      <c r="B40" s="94">
        <f>'2018-19_working'!B40+'2018-19_working'!C40</f>
        <v>24</v>
      </c>
      <c r="C40" s="94">
        <f>'2018-19_working'!D40</f>
        <v>5</v>
      </c>
      <c r="D40" s="94">
        <f>'2018-19_working'!E40</f>
        <v>1</v>
      </c>
      <c r="E40" s="94">
        <f>'2018-19_working'!F40</f>
        <v>0</v>
      </c>
      <c r="F40" s="94">
        <f>'2018-19_working'!G40+'2018-19_working'!H40</f>
        <v>0</v>
      </c>
      <c r="G40" s="94">
        <f>'2018-19_working'!I40</f>
        <v>0</v>
      </c>
      <c r="H40" s="95">
        <f t="shared" si="2"/>
        <v>0.2</v>
      </c>
      <c r="I40" s="95">
        <f t="shared" si="3"/>
        <v>0</v>
      </c>
      <c r="J40" s="94"/>
      <c r="K40" s="94">
        <f>'2018-19_working'!K40+'2018-19_working'!L40</f>
        <v>25</v>
      </c>
      <c r="L40" s="94">
        <f>'2018-19_working'!M40</f>
        <v>0</v>
      </c>
      <c r="M40" s="94">
        <f>'2018-19_working'!N40</f>
        <v>0</v>
      </c>
      <c r="N40" s="94">
        <f>'2018-19_working'!O40</f>
        <v>0</v>
      </c>
      <c r="O40" s="94">
        <f>'2018-19_working'!P40+'2018-19_working'!Q40</f>
        <v>0</v>
      </c>
      <c r="P40" s="94">
        <f>'2018-19_working'!R40</f>
        <v>0</v>
      </c>
      <c r="Q40" s="95">
        <f t="shared" si="4"/>
        <v>0</v>
      </c>
      <c r="R40" s="95">
        <f t="shared" si="5"/>
        <v>0</v>
      </c>
      <c r="S40" s="94"/>
      <c r="T40" s="94">
        <f t="shared" si="6"/>
        <v>49</v>
      </c>
      <c r="U40" s="94">
        <f t="shared" si="7"/>
        <v>5</v>
      </c>
      <c r="V40" s="94">
        <f t="shared" si="8"/>
        <v>1</v>
      </c>
      <c r="W40" s="94">
        <f t="shared" si="9"/>
        <v>0</v>
      </c>
      <c r="X40" s="94">
        <f t="shared" si="10"/>
        <v>0</v>
      </c>
      <c r="Y40" s="94">
        <f t="shared" si="11"/>
        <v>0</v>
      </c>
      <c r="Z40" s="95">
        <f t="shared" si="12"/>
        <v>0.10909090909090909</v>
      </c>
      <c r="AA40" s="95">
        <f t="shared" si="13"/>
        <v>0</v>
      </c>
      <c r="AB40" s="94"/>
      <c r="AC40" s="94">
        <f>'2018-19_working'!T40+'2018-19_working'!U40</f>
        <v>0</v>
      </c>
      <c r="AD40" s="94">
        <f>'2018-19_working'!V40</f>
        <v>0</v>
      </c>
      <c r="AE40" s="94">
        <f>'2018-19_working'!W40</f>
        <v>0</v>
      </c>
      <c r="AF40" s="94">
        <f>'2018-19_working'!X40</f>
        <v>0</v>
      </c>
      <c r="AG40" s="94">
        <f>'2018-19_working'!Y40+'2018-19_working'!Z40</f>
        <v>0</v>
      </c>
      <c r="AH40" s="94">
        <f>'2018-19_working'!AA40</f>
        <v>0</v>
      </c>
      <c r="AI40" s="95" t="str">
        <f t="shared" si="14"/>
        <v>-</v>
      </c>
      <c r="AJ40" s="95" t="str">
        <f t="shared" si="15"/>
        <v>-</v>
      </c>
      <c r="AK40" s="94"/>
      <c r="AL40" s="94">
        <f>'2018-19_working'!AC40+'2018-19_working'!AD40</f>
        <v>3</v>
      </c>
      <c r="AM40" s="94">
        <f>'2018-19_working'!AE40</f>
        <v>0</v>
      </c>
      <c r="AN40" s="94">
        <f>'2018-19_working'!AF40</f>
        <v>0</v>
      </c>
      <c r="AO40" s="94">
        <f>'2018-19_working'!AG40</f>
        <v>1</v>
      </c>
      <c r="AP40" s="94">
        <f>'2018-19_working'!AH40+'2018-19_working'!AI40</f>
        <v>0</v>
      </c>
      <c r="AQ40" s="94">
        <f>'2018-19_working'!AJ40</f>
        <v>5</v>
      </c>
      <c r="AR40" s="95">
        <f t="shared" si="16"/>
        <v>0.25</v>
      </c>
      <c r="AS40" s="95">
        <f t="shared" si="17"/>
        <v>0.55555555555555558</v>
      </c>
      <c r="AT40" s="94"/>
      <c r="AU40" s="94">
        <f t="shared" si="18"/>
        <v>52</v>
      </c>
      <c r="AV40" s="94">
        <f t="shared" si="19"/>
        <v>5</v>
      </c>
      <c r="AW40" s="94">
        <f t="shared" si="20"/>
        <v>1</v>
      </c>
      <c r="AX40" s="94">
        <f t="shared" si="21"/>
        <v>1</v>
      </c>
      <c r="AY40" s="94">
        <f t="shared" si="22"/>
        <v>0</v>
      </c>
      <c r="AZ40" s="94">
        <f t="shared" si="23"/>
        <v>5</v>
      </c>
      <c r="BA40" s="95">
        <f t="shared" si="24"/>
        <v>0.11864406779661017</v>
      </c>
      <c r="BB40" s="95">
        <f t="shared" si="25"/>
        <v>7.8125E-2</v>
      </c>
    </row>
    <row r="41" spans="1:54" x14ac:dyDescent="0.3">
      <c r="A41" s="8" t="s">
        <v>48</v>
      </c>
      <c r="B41" s="94">
        <f>'2018-19_working'!B41+'2018-19_working'!C41</f>
        <v>2</v>
      </c>
      <c r="C41" s="94">
        <f>'2018-19_working'!D41</f>
        <v>0</v>
      </c>
      <c r="D41" s="94">
        <f>'2018-19_working'!E41</f>
        <v>0</v>
      </c>
      <c r="E41" s="94">
        <f>'2018-19_working'!F41</f>
        <v>0</v>
      </c>
      <c r="F41" s="94">
        <f>'2018-19_working'!G41+'2018-19_working'!H41</f>
        <v>0</v>
      </c>
      <c r="G41" s="94">
        <f>'2018-19_working'!I41</f>
        <v>6</v>
      </c>
      <c r="H41" s="95">
        <f t="shared" si="2"/>
        <v>0</v>
      </c>
      <c r="I41" s="95">
        <f t="shared" si="3"/>
        <v>0.75</v>
      </c>
      <c r="J41" s="94"/>
      <c r="K41" s="94">
        <f>'2018-19_working'!K41+'2018-19_working'!L41</f>
        <v>35</v>
      </c>
      <c r="L41" s="94">
        <f>'2018-19_working'!M41</f>
        <v>1</v>
      </c>
      <c r="M41" s="94">
        <f>'2018-19_working'!N41</f>
        <v>0</v>
      </c>
      <c r="N41" s="94">
        <f>'2018-19_working'!O41</f>
        <v>1</v>
      </c>
      <c r="O41" s="94">
        <f>'2018-19_working'!P41+'2018-19_working'!Q41</f>
        <v>0</v>
      </c>
      <c r="P41" s="94">
        <f>'2018-19_working'!R41</f>
        <v>19</v>
      </c>
      <c r="Q41" s="95">
        <f t="shared" si="4"/>
        <v>5.4054054054054057E-2</v>
      </c>
      <c r="R41" s="95">
        <f t="shared" si="5"/>
        <v>0.3392857142857143</v>
      </c>
      <c r="S41" s="94"/>
      <c r="T41" s="94">
        <f t="shared" si="6"/>
        <v>37</v>
      </c>
      <c r="U41" s="94">
        <f t="shared" si="7"/>
        <v>1</v>
      </c>
      <c r="V41" s="94">
        <f t="shared" si="8"/>
        <v>0</v>
      </c>
      <c r="W41" s="94">
        <f t="shared" si="9"/>
        <v>1</v>
      </c>
      <c r="X41" s="94">
        <f t="shared" si="10"/>
        <v>0</v>
      </c>
      <c r="Y41" s="94">
        <f t="shared" si="11"/>
        <v>25</v>
      </c>
      <c r="Z41" s="95">
        <f t="shared" si="12"/>
        <v>5.128205128205128E-2</v>
      </c>
      <c r="AA41" s="95">
        <f t="shared" si="13"/>
        <v>0.390625</v>
      </c>
      <c r="AB41" s="94"/>
      <c r="AC41" s="94">
        <f>'2018-19_working'!T41+'2018-19_working'!U41</f>
        <v>0</v>
      </c>
      <c r="AD41" s="94">
        <f>'2018-19_working'!V41</f>
        <v>0</v>
      </c>
      <c r="AE41" s="94">
        <f>'2018-19_working'!W41</f>
        <v>0</v>
      </c>
      <c r="AF41" s="94">
        <f>'2018-19_working'!X41</f>
        <v>0</v>
      </c>
      <c r="AG41" s="94">
        <f>'2018-19_working'!Y41+'2018-19_working'!Z41</f>
        <v>0</v>
      </c>
      <c r="AH41" s="94">
        <f>'2018-19_working'!AA41</f>
        <v>0</v>
      </c>
      <c r="AI41" s="95" t="str">
        <f t="shared" si="14"/>
        <v>-</v>
      </c>
      <c r="AJ41" s="95" t="str">
        <f t="shared" si="15"/>
        <v>-</v>
      </c>
      <c r="AK41" s="94"/>
      <c r="AL41" s="94">
        <f>'2018-19_working'!AC41+'2018-19_working'!AD41</f>
        <v>8</v>
      </c>
      <c r="AM41" s="94">
        <f>'2018-19_working'!AE41</f>
        <v>0</v>
      </c>
      <c r="AN41" s="94">
        <f>'2018-19_working'!AF41</f>
        <v>0</v>
      </c>
      <c r="AO41" s="94">
        <f>'2018-19_working'!AG41</f>
        <v>0</v>
      </c>
      <c r="AP41" s="94">
        <f>'2018-19_working'!AH41+'2018-19_working'!AI41</f>
        <v>0</v>
      </c>
      <c r="AQ41" s="94">
        <f>'2018-19_working'!AJ41</f>
        <v>1</v>
      </c>
      <c r="AR41" s="95">
        <f t="shared" si="16"/>
        <v>0</v>
      </c>
      <c r="AS41" s="95">
        <f t="shared" si="17"/>
        <v>0.1111111111111111</v>
      </c>
      <c r="AT41" s="94"/>
      <c r="AU41" s="94">
        <f t="shared" si="18"/>
        <v>45</v>
      </c>
      <c r="AV41" s="94">
        <f t="shared" si="19"/>
        <v>1</v>
      </c>
      <c r="AW41" s="94">
        <f t="shared" si="20"/>
        <v>0</v>
      </c>
      <c r="AX41" s="94">
        <f t="shared" si="21"/>
        <v>1</v>
      </c>
      <c r="AY41" s="94">
        <f t="shared" si="22"/>
        <v>0</v>
      </c>
      <c r="AZ41" s="94">
        <f t="shared" si="23"/>
        <v>26</v>
      </c>
      <c r="BA41" s="95">
        <f t="shared" si="24"/>
        <v>4.2553191489361701E-2</v>
      </c>
      <c r="BB41" s="95">
        <f t="shared" si="25"/>
        <v>0.35616438356164382</v>
      </c>
    </row>
    <row r="42" spans="1:54" x14ac:dyDescent="0.3">
      <c r="A42" s="8" t="s">
        <v>49</v>
      </c>
      <c r="B42" s="94">
        <f>'2018-19_working'!B42+'2018-19_working'!C42</f>
        <v>11</v>
      </c>
      <c r="C42" s="94">
        <f>'2018-19_working'!D42</f>
        <v>0</v>
      </c>
      <c r="D42" s="94">
        <f>'2018-19_working'!E42</f>
        <v>0</v>
      </c>
      <c r="E42" s="94">
        <f>'2018-19_working'!F42</f>
        <v>0</v>
      </c>
      <c r="F42" s="94">
        <f>'2018-19_working'!G42+'2018-19_working'!H42</f>
        <v>1</v>
      </c>
      <c r="G42" s="94">
        <f>'2018-19_working'!I42</f>
        <v>0</v>
      </c>
      <c r="H42" s="95">
        <f t="shared" si="2"/>
        <v>8.3333333333333329E-2</v>
      </c>
      <c r="I42" s="95">
        <f t="shared" si="3"/>
        <v>0</v>
      </c>
      <c r="J42" s="94"/>
      <c r="K42" s="94">
        <f>'2018-19_working'!K42+'2018-19_working'!L42</f>
        <v>21</v>
      </c>
      <c r="L42" s="94">
        <f>'2018-19_working'!M42</f>
        <v>0</v>
      </c>
      <c r="M42" s="94">
        <f>'2018-19_working'!N42</f>
        <v>0</v>
      </c>
      <c r="N42" s="94">
        <f>'2018-19_working'!O42</f>
        <v>0</v>
      </c>
      <c r="O42" s="94">
        <f>'2018-19_working'!P42+'2018-19_working'!Q42</f>
        <v>1</v>
      </c>
      <c r="P42" s="94">
        <f>'2018-19_working'!R42</f>
        <v>6</v>
      </c>
      <c r="Q42" s="95">
        <f t="shared" si="4"/>
        <v>4.5454545454545456E-2</v>
      </c>
      <c r="R42" s="95">
        <f t="shared" si="5"/>
        <v>0.21428571428571427</v>
      </c>
      <c r="S42" s="94"/>
      <c r="T42" s="94">
        <f t="shared" si="6"/>
        <v>32</v>
      </c>
      <c r="U42" s="94">
        <f t="shared" si="7"/>
        <v>0</v>
      </c>
      <c r="V42" s="94">
        <f t="shared" si="8"/>
        <v>0</v>
      </c>
      <c r="W42" s="94">
        <f t="shared" si="9"/>
        <v>0</v>
      </c>
      <c r="X42" s="94">
        <f t="shared" si="10"/>
        <v>2</v>
      </c>
      <c r="Y42" s="94">
        <f t="shared" si="11"/>
        <v>6</v>
      </c>
      <c r="Z42" s="95">
        <f t="shared" si="12"/>
        <v>5.8823529411764705E-2</v>
      </c>
      <c r="AA42" s="95">
        <f t="shared" si="13"/>
        <v>0.15</v>
      </c>
      <c r="AB42" s="94"/>
      <c r="AC42" s="94">
        <f>'2018-19_working'!T42+'2018-19_working'!U42</f>
        <v>1</v>
      </c>
      <c r="AD42" s="94">
        <f>'2018-19_working'!V42</f>
        <v>0</v>
      </c>
      <c r="AE42" s="94">
        <f>'2018-19_working'!W42</f>
        <v>0</v>
      </c>
      <c r="AF42" s="94">
        <f>'2018-19_working'!X42</f>
        <v>0</v>
      </c>
      <c r="AG42" s="94">
        <f>'2018-19_working'!Y42+'2018-19_working'!Z42</f>
        <v>0</v>
      </c>
      <c r="AH42" s="94">
        <f>'2018-19_working'!AA42</f>
        <v>1</v>
      </c>
      <c r="AI42" s="95">
        <f t="shared" si="14"/>
        <v>0</v>
      </c>
      <c r="AJ42" s="95">
        <f t="shared" si="15"/>
        <v>0.5</v>
      </c>
      <c r="AK42" s="94"/>
      <c r="AL42" s="94">
        <f>'2018-19_working'!AC42+'2018-19_working'!AD42</f>
        <v>6</v>
      </c>
      <c r="AM42" s="94">
        <f>'2018-19_working'!AE42</f>
        <v>0</v>
      </c>
      <c r="AN42" s="94">
        <f>'2018-19_working'!AF42</f>
        <v>0</v>
      </c>
      <c r="AO42" s="94">
        <f>'2018-19_working'!AG42</f>
        <v>0</v>
      </c>
      <c r="AP42" s="94">
        <f>'2018-19_working'!AH42+'2018-19_working'!AI42</f>
        <v>1</v>
      </c>
      <c r="AQ42" s="94">
        <f>'2018-19_working'!AJ42</f>
        <v>1</v>
      </c>
      <c r="AR42" s="95">
        <f t="shared" si="16"/>
        <v>0.14285714285714285</v>
      </c>
      <c r="AS42" s="95">
        <f t="shared" si="17"/>
        <v>0.125</v>
      </c>
      <c r="AT42" s="94"/>
      <c r="AU42" s="94">
        <f t="shared" si="18"/>
        <v>39</v>
      </c>
      <c r="AV42" s="94">
        <f t="shared" si="19"/>
        <v>0</v>
      </c>
      <c r="AW42" s="94">
        <f t="shared" si="20"/>
        <v>0</v>
      </c>
      <c r="AX42" s="94">
        <f t="shared" si="21"/>
        <v>0</v>
      </c>
      <c r="AY42" s="94">
        <f t="shared" si="22"/>
        <v>3</v>
      </c>
      <c r="AZ42" s="94">
        <f t="shared" si="23"/>
        <v>8</v>
      </c>
      <c r="BA42" s="95">
        <f t="shared" si="24"/>
        <v>7.1428571428571425E-2</v>
      </c>
      <c r="BB42" s="95">
        <f t="shared" si="25"/>
        <v>0.16</v>
      </c>
    </row>
    <row r="43" spans="1:54" x14ac:dyDescent="0.3">
      <c r="A43" s="8" t="s">
        <v>50</v>
      </c>
      <c r="B43" s="94">
        <f>'2018-19_working'!B43+'2018-19_working'!C43</f>
        <v>12</v>
      </c>
      <c r="C43" s="94">
        <f>'2018-19_working'!D43</f>
        <v>0</v>
      </c>
      <c r="D43" s="94">
        <f>'2018-19_working'!E43</f>
        <v>0</v>
      </c>
      <c r="E43" s="94">
        <f>'2018-19_working'!F43</f>
        <v>1</v>
      </c>
      <c r="F43" s="94">
        <f>'2018-19_working'!G43+'2018-19_working'!H43</f>
        <v>0</v>
      </c>
      <c r="G43" s="94">
        <f>'2018-19_working'!I43</f>
        <v>0</v>
      </c>
      <c r="H43" s="95">
        <f t="shared" si="2"/>
        <v>7.6923076923076927E-2</v>
      </c>
      <c r="I43" s="95">
        <f t="shared" si="3"/>
        <v>0</v>
      </c>
      <c r="J43" s="94"/>
      <c r="K43" s="94">
        <f>'2018-19_working'!K43+'2018-19_working'!L43</f>
        <v>42</v>
      </c>
      <c r="L43" s="94">
        <f>'2018-19_working'!M43</f>
        <v>0</v>
      </c>
      <c r="M43" s="94">
        <f>'2018-19_working'!N43</f>
        <v>0</v>
      </c>
      <c r="N43" s="94">
        <f>'2018-19_working'!O43</f>
        <v>2</v>
      </c>
      <c r="O43" s="94">
        <f>'2018-19_working'!P43+'2018-19_working'!Q43</f>
        <v>0</v>
      </c>
      <c r="P43" s="94">
        <f>'2018-19_working'!R43</f>
        <v>0</v>
      </c>
      <c r="Q43" s="95">
        <f t="shared" si="4"/>
        <v>4.5454545454545456E-2</v>
      </c>
      <c r="R43" s="95">
        <f t="shared" si="5"/>
        <v>0</v>
      </c>
      <c r="S43" s="94"/>
      <c r="T43" s="94">
        <f t="shared" si="6"/>
        <v>54</v>
      </c>
      <c r="U43" s="94">
        <f t="shared" si="7"/>
        <v>0</v>
      </c>
      <c r="V43" s="94">
        <f t="shared" si="8"/>
        <v>0</v>
      </c>
      <c r="W43" s="94">
        <f t="shared" si="9"/>
        <v>3</v>
      </c>
      <c r="X43" s="94">
        <f t="shared" si="10"/>
        <v>0</v>
      </c>
      <c r="Y43" s="94">
        <f t="shared" si="11"/>
        <v>0</v>
      </c>
      <c r="Z43" s="95">
        <f t="shared" si="12"/>
        <v>5.2631578947368418E-2</v>
      </c>
      <c r="AA43" s="95">
        <f t="shared" si="13"/>
        <v>0</v>
      </c>
      <c r="AB43" s="94"/>
      <c r="AC43" s="94">
        <f>'2018-19_working'!T43+'2018-19_working'!U43</f>
        <v>0</v>
      </c>
      <c r="AD43" s="94">
        <f>'2018-19_working'!V43</f>
        <v>0</v>
      </c>
      <c r="AE43" s="94">
        <f>'2018-19_working'!W43</f>
        <v>0</v>
      </c>
      <c r="AF43" s="94">
        <f>'2018-19_working'!X43</f>
        <v>0</v>
      </c>
      <c r="AG43" s="94">
        <f>'2018-19_working'!Y43+'2018-19_working'!Z43</f>
        <v>0</v>
      </c>
      <c r="AH43" s="94">
        <f>'2018-19_working'!AA43</f>
        <v>0</v>
      </c>
      <c r="AI43" s="95" t="str">
        <f t="shared" si="14"/>
        <v>-</v>
      </c>
      <c r="AJ43" s="95" t="str">
        <f t="shared" si="15"/>
        <v>-</v>
      </c>
      <c r="AK43" s="94"/>
      <c r="AL43" s="94">
        <f>'2018-19_working'!AC43+'2018-19_working'!AD43</f>
        <v>24</v>
      </c>
      <c r="AM43" s="94">
        <f>'2018-19_working'!AE43</f>
        <v>0</v>
      </c>
      <c r="AN43" s="94">
        <f>'2018-19_working'!AF43</f>
        <v>0</v>
      </c>
      <c r="AO43" s="94">
        <f>'2018-19_working'!AG43</f>
        <v>0</v>
      </c>
      <c r="AP43" s="94">
        <f>'2018-19_working'!AH43+'2018-19_working'!AI43</f>
        <v>0</v>
      </c>
      <c r="AQ43" s="94">
        <f>'2018-19_working'!AJ43</f>
        <v>0</v>
      </c>
      <c r="AR43" s="95">
        <f t="shared" si="16"/>
        <v>0</v>
      </c>
      <c r="AS43" s="95">
        <f t="shared" si="17"/>
        <v>0</v>
      </c>
      <c r="AT43" s="94"/>
      <c r="AU43" s="94">
        <f t="shared" si="18"/>
        <v>78</v>
      </c>
      <c r="AV43" s="94">
        <f t="shared" si="19"/>
        <v>0</v>
      </c>
      <c r="AW43" s="94">
        <f t="shared" si="20"/>
        <v>0</v>
      </c>
      <c r="AX43" s="94">
        <f t="shared" si="21"/>
        <v>3</v>
      </c>
      <c r="AY43" s="94">
        <f t="shared" si="22"/>
        <v>0</v>
      </c>
      <c r="AZ43" s="94">
        <f t="shared" si="23"/>
        <v>0</v>
      </c>
      <c r="BA43" s="95">
        <f t="shared" si="24"/>
        <v>3.7037037037037035E-2</v>
      </c>
      <c r="BB43" s="95">
        <f t="shared" si="25"/>
        <v>0</v>
      </c>
    </row>
    <row r="44" spans="1:54" x14ac:dyDescent="0.3">
      <c r="A44" s="8" t="s">
        <v>51</v>
      </c>
      <c r="B44" s="94">
        <f>'2018-19_working'!B44+'2018-19_working'!C44</f>
        <v>2</v>
      </c>
      <c r="C44" s="94">
        <f>'2018-19_working'!D44</f>
        <v>1</v>
      </c>
      <c r="D44" s="94">
        <f>'2018-19_working'!E44</f>
        <v>0</v>
      </c>
      <c r="E44" s="94">
        <f>'2018-19_working'!F44</f>
        <v>0</v>
      </c>
      <c r="F44" s="94">
        <f>'2018-19_working'!G44+'2018-19_working'!H44</f>
        <v>0</v>
      </c>
      <c r="G44" s="94">
        <f>'2018-19_working'!I44</f>
        <v>5</v>
      </c>
      <c r="H44" s="95">
        <f t="shared" si="2"/>
        <v>0.33333333333333331</v>
      </c>
      <c r="I44" s="95">
        <f t="shared" si="3"/>
        <v>0.625</v>
      </c>
      <c r="J44" s="94"/>
      <c r="K44" s="94">
        <f>'2018-19_working'!K44+'2018-19_working'!L44</f>
        <v>15</v>
      </c>
      <c r="L44" s="94">
        <f>'2018-19_working'!M44</f>
        <v>0</v>
      </c>
      <c r="M44" s="94">
        <f>'2018-19_working'!N44</f>
        <v>0</v>
      </c>
      <c r="N44" s="94">
        <f>'2018-19_working'!O44</f>
        <v>0</v>
      </c>
      <c r="O44" s="94">
        <f>'2018-19_working'!P44+'2018-19_working'!Q44</f>
        <v>0</v>
      </c>
      <c r="P44" s="94">
        <f>'2018-19_working'!R44</f>
        <v>31</v>
      </c>
      <c r="Q44" s="95">
        <f t="shared" si="4"/>
        <v>0</v>
      </c>
      <c r="R44" s="95">
        <f t="shared" si="5"/>
        <v>0.67391304347826086</v>
      </c>
      <c r="S44" s="94"/>
      <c r="T44" s="94">
        <f t="shared" si="6"/>
        <v>17</v>
      </c>
      <c r="U44" s="94">
        <f t="shared" si="7"/>
        <v>1</v>
      </c>
      <c r="V44" s="94">
        <f t="shared" si="8"/>
        <v>0</v>
      </c>
      <c r="W44" s="94">
        <f t="shared" si="9"/>
        <v>0</v>
      </c>
      <c r="X44" s="94">
        <f t="shared" si="10"/>
        <v>0</v>
      </c>
      <c r="Y44" s="94">
        <f t="shared" si="11"/>
        <v>36</v>
      </c>
      <c r="Z44" s="95">
        <f t="shared" si="12"/>
        <v>5.5555555555555552E-2</v>
      </c>
      <c r="AA44" s="95">
        <f t="shared" si="13"/>
        <v>0.66666666666666663</v>
      </c>
      <c r="AB44" s="94"/>
      <c r="AC44" s="94">
        <f>'2018-19_working'!T44+'2018-19_working'!U44</f>
        <v>0</v>
      </c>
      <c r="AD44" s="94">
        <f>'2018-19_working'!V44</f>
        <v>0</v>
      </c>
      <c r="AE44" s="94">
        <f>'2018-19_working'!W44</f>
        <v>0</v>
      </c>
      <c r="AF44" s="94">
        <f>'2018-19_working'!X44</f>
        <v>0</v>
      </c>
      <c r="AG44" s="94">
        <f>'2018-19_working'!Y44+'2018-19_working'!Z44</f>
        <v>0</v>
      </c>
      <c r="AH44" s="94">
        <f>'2018-19_working'!AA44</f>
        <v>0</v>
      </c>
      <c r="AI44" s="95" t="str">
        <f t="shared" si="14"/>
        <v>-</v>
      </c>
      <c r="AJ44" s="95" t="str">
        <f t="shared" si="15"/>
        <v>-</v>
      </c>
      <c r="AK44" s="94"/>
      <c r="AL44" s="94">
        <f>'2018-19_working'!AC44+'2018-19_working'!AD44</f>
        <v>4</v>
      </c>
      <c r="AM44" s="94">
        <f>'2018-19_working'!AE44</f>
        <v>0</v>
      </c>
      <c r="AN44" s="94">
        <f>'2018-19_working'!AF44</f>
        <v>0</v>
      </c>
      <c r="AO44" s="94">
        <f>'2018-19_working'!AG44</f>
        <v>0</v>
      </c>
      <c r="AP44" s="94">
        <f>'2018-19_working'!AH44+'2018-19_working'!AI44</f>
        <v>0</v>
      </c>
      <c r="AQ44" s="94">
        <f>'2018-19_working'!AJ44</f>
        <v>2</v>
      </c>
      <c r="AR44" s="95">
        <f t="shared" si="16"/>
        <v>0</v>
      </c>
      <c r="AS44" s="95">
        <f t="shared" si="17"/>
        <v>0.33333333333333331</v>
      </c>
      <c r="AT44" s="94"/>
      <c r="AU44" s="94">
        <f t="shared" si="18"/>
        <v>21</v>
      </c>
      <c r="AV44" s="94">
        <f t="shared" si="19"/>
        <v>1</v>
      </c>
      <c r="AW44" s="94">
        <f t="shared" si="20"/>
        <v>0</v>
      </c>
      <c r="AX44" s="94">
        <f t="shared" si="21"/>
        <v>0</v>
      </c>
      <c r="AY44" s="94">
        <f t="shared" si="22"/>
        <v>0</v>
      </c>
      <c r="AZ44" s="94">
        <f t="shared" si="23"/>
        <v>38</v>
      </c>
      <c r="BA44" s="95">
        <f t="shared" si="24"/>
        <v>4.5454545454545456E-2</v>
      </c>
      <c r="BB44" s="95">
        <f t="shared" si="25"/>
        <v>0.6333333333333333</v>
      </c>
    </row>
    <row r="45" spans="1:54" x14ac:dyDescent="0.3">
      <c r="A45" s="8" t="s">
        <v>52</v>
      </c>
      <c r="B45" s="94">
        <f>'2018-19_working'!B45+'2018-19_working'!C45</f>
        <v>30</v>
      </c>
      <c r="C45" s="94">
        <f>'2018-19_working'!D45</f>
        <v>0</v>
      </c>
      <c r="D45" s="94">
        <f>'2018-19_working'!E45</f>
        <v>0</v>
      </c>
      <c r="E45" s="94">
        <f>'2018-19_working'!F45</f>
        <v>0</v>
      </c>
      <c r="F45" s="94">
        <f>'2018-19_working'!G45+'2018-19_working'!H45</f>
        <v>0</v>
      </c>
      <c r="G45" s="94">
        <f>'2018-19_working'!I45</f>
        <v>0</v>
      </c>
      <c r="H45" s="95">
        <f t="shared" si="2"/>
        <v>0</v>
      </c>
      <c r="I45" s="95">
        <f t="shared" si="3"/>
        <v>0</v>
      </c>
      <c r="J45" s="94"/>
      <c r="K45" s="94">
        <f>'2018-19_working'!K45+'2018-19_working'!L45</f>
        <v>7</v>
      </c>
      <c r="L45" s="94">
        <f>'2018-19_working'!M45</f>
        <v>0</v>
      </c>
      <c r="M45" s="94">
        <f>'2018-19_working'!N45</f>
        <v>0</v>
      </c>
      <c r="N45" s="94">
        <f>'2018-19_working'!O45</f>
        <v>0</v>
      </c>
      <c r="O45" s="94">
        <f>'2018-19_working'!P45+'2018-19_working'!Q45</f>
        <v>0</v>
      </c>
      <c r="P45" s="94">
        <f>'2018-19_working'!R45</f>
        <v>0</v>
      </c>
      <c r="Q45" s="95">
        <f t="shared" si="4"/>
        <v>0</v>
      </c>
      <c r="R45" s="95">
        <f t="shared" si="5"/>
        <v>0</v>
      </c>
      <c r="S45" s="94"/>
      <c r="T45" s="94">
        <f t="shared" si="6"/>
        <v>37</v>
      </c>
      <c r="U45" s="94">
        <f t="shared" si="7"/>
        <v>0</v>
      </c>
      <c r="V45" s="94">
        <f t="shared" si="8"/>
        <v>0</v>
      </c>
      <c r="W45" s="94">
        <f t="shared" si="9"/>
        <v>0</v>
      </c>
      <c r="X45" s="94">
        <f t="shared" si="10"/>
        <v>0</v>
      </c>
      <c r="Y45" s="94">
        <f t="shared" si="11"/>
        <v>0</v>
      </c>
      <c r="Z45" s="95">
        <f t="shared" si="12"/>
        <v>0</v>
      </c>
      <c r="AA45" s="95">
        <f t="shared" si="13"/>
        <v>0</v>
      </c>
      <c r="AB45" s="94"/>
      <c r="AC45" s="94">
        <f>'2018-19_working'!T45+'2018-19_working'!U45</f>
        <v>4</v>
      </c>
      <c r="AD45" s="94">
        <f>'2018-19_working'!V45</f>
        <v>0</v>
      </c>
      <c r="AE45" s="94">
        <f>'2018-19_working'!W45</f>
        <v>0</v>
      </c>
      <c r="AF45" s="94">
        <f>'2018-19_working'!X45</f>
        <v>0</v>
      </c>
      <c r="AG45" s="94">
        <f>'2018-19_working'!Y45+'2018-19_working'!Z45</f>
        <v>0</v>
      </c>
      <c r="AH45" s="94">
        <f>'2018-19_working'!AA45</f>
        <v>0</v>
      </c>
      <c r="AI45" s="95">
        <f t="shared" si="14"/>
        <v>0</v>
      </c>
      <c r="AJ45" s="95">
        <f t="shared" si="15"/>
        <v>0</v>
      </c>
      <c r="AK45" s="94"/>
      <c r="AL45" s="94">
        <f>'2018-19_working'!AC45+'2018-19_working'!AD45</f>
        <v>16</v>
      </c>
      <c r="AM45" s="94">
        <f>'2018-19_working'!AE45</f>
        <v>0</v>
      </c>
      <c r="AN45" s="94">
        <f>'2018-19_working'!AF45</f>
        <v>0</v>
      </c>
      <c r="AO45" s="94">
        <f>'2018-19_working'!AG45</f>
        <v>0</v>
      </c>
      <c r="AP45" s="94">
        <f>'2018-19_working'!AH45+'2018-19_working'!AI45</f>
        <v>0</v>
      </c>
      <c r="AQ45" s="94">
        <f>'2018-19_working'!AJ45</f>
        <v>0</v>
      </c>
      <c r="AR45" s="95">
        <f t="shared" si="16"/>
        <v>0</v>
      </c>
      <c r="AS45" s="95">
        <f t="shared" si="17"/>
        <v>0</v>
      </c>
      <c r="AT45" s="94"/>
      <c r="AU45" s="94">
        <f t="shared" si="18"/>
        <v>57</v>
      </c>
      <c r="AV45" s="94">
        <f t="shared" si="19"/>
        <v>0</v>
      </c>
      <c r="AW45" s="94">
        <f t="shared" si="20"/>
        <v>0</v>
      </c>
      <c r="AX45" s="94">
        <f t="shared" si="21"/>
        <v>0</v>
      </c>
      <c r="AY45" s="94">
        <f t="shared" si="22"/>
        <v>0</v>
      </c>
      <c r="AZ45" s="94">
        <f t="shared" si="23"/>
        <v>0</v>
      </c>
      <c r="BA45" s="95">
        <f t="shared" si="24"/>
        <v>0</v>
      </c>
      <c r="BB45" s="95">
        <f t="shared" si="25"/>
        <v>0</v>
      </c>
    </row>
    <row r="46" spans="1:54" x14ac:dyDescent="0.3">
      <c r="A46" s="8" t="s">
        <v>53</v>
      </c>
      <c r="B46" s="94">
        <f>'2018-19_working'!B46+'2018-19_working'!C46</f>
        <v>9</v>
      </c>
      <c r="C46" s="94">
        <f>'2018-19_working'!D46</f>
        <v>0</v>
      </c>
      <c r="D46" s="94">
        <f>'2018-19_working'!E46</f>
        <v>0</v>
      </c>
      <c r="E46" s="94">
        <f>'2018-19_working'!F46</f>
        <v>0</v>
      </c>
      <c r="F46" s="94">
        <f>'2018-19_working'!G46+'2018-19_working'!H46</f>
        <v>0</v>
      </c>
      <c r="G46" s="94">
        <f>'2018-19_working'!I46</f>
        <v>4</v>
      </c>
      <c r="H46" s="95">
        <f t="shared" si="2"/>
        <v>0</v>
      </c>
      <c r="I46" s="95">
        <f t="shared" si="3"/>
        <v>0.30769230769230771</v>
      </c>
      <c r="J46" s="94"/>
      <c r="K46" s="94">
        <f>'2018-19_working'!K46+'2018-19_working'!L46</f>
        <v>15</v>
      </c>
      <c r="L46" s="94">
        <f>'2018-19_working'!M46</f>
        <v>0</v>
      </c>
      <c r="M46" s="94">
        <f>'2018-19_working'!N46</f>
        <v>0</v>
      </c>
      <c r="N46" s="94">
        <f>'2018-19_working'!O46</f>
        <v>0</v>
      </c>
      <c r="O46" s="94">
        <f>'2018-19_working'!P46+'2018-19_working'!Q46</f>
        <v>0</v>
      </c>
      <c r="P46" s="94">
        <f>'2018-19_working'!R46</f>
        <v>4</v>
      </c>
      <c r="Q46" s="95">
        <f t="shared" si="4"/>
        <v>0</v>
      </c>
      <c r="R46" s="95">
        <f t="shared" si="5"/>
        <v>0.21052631578947367</v>
      </c>
      <c r="S46" s="94"/>
      <c r="T46" s="94">
        <f t="shared" si="6"/>
        <v>24</v>
      </c>
      <c r="U46" s="94">
        <f t="shared" si="7"/>
        <v>0</v>
      </c>
      <c r="V46" s="94">
        <f t="shared" si="8"/>
        <v>0</v>
      </c>
      <c r="W46" s="94">
        <f t="shared" si="9"/>
        <v>0</v>
      </c>
      <c r="X46" s="94">
        <f t="shared" si="10"/>
        <v>0</v>
      </c>
      <c r="Y46" s="94">
        <f t="shared" si="11"/>
        <v>8</v>
      </c>
      <c r="Z46" s="95">
        <f t="shared" si="12"/>
        <v>0</v>
      </c>
      <c r="AA46" s="95">
        <f t="shared" si="13"/>
        <v>0.25</v>
      </c>
      <c r="AB46" s="94"/>
      <c r="AC46" s="94">
        <f>'2018-19_working'!T46+'2018-19_working'!U46</f>
        <v>1</v>
      </c>
      <c r="AD46" s="94">
        <f>'2018-19_working'!V46</f>
        <v>0</v>
      </c>
      <c r="AE46" s="94">
        <f>'2018-19_working'!W46</f>
        <v>0</v>
      </c>
      <c r="AF46" s="94">
        <f>'2018-19_working'!X46</f>
        <v>0</v>
      </c>
      <c r="AG46" s="94">
        <f>'2018-19_working'!Y46+'2018-19_working'!Z46</f>
        <v>0</v>
      </c>
      <c r="AH46" s="94">
        <f>'2018-19_working'!AA46</f>
        <v>0</v>
      </c>
      <c r="AI46" s="95">
        <f t="shared" si="14"/>
        <v>0</v>
      </c>
      <c r="AJ46" s="95">
        <f t="shared" si="15"/>
        <v>0</v>
      </c>
      <c r="AK46" s="94"/>
      <c r="AL46" s="94">
        <f>'2018-19_working'!AC46+'2018-19_working'!AD46</f>
        <v>10</v>
      </c>
      <c r="AM46" s="94">
        <f>'2018-19_working'!AE46</f>
        <v>0</v>
      </c>
      <c r="AN46" s="94">
        <f>'2018-19_working'!AF46</f>
        <v>1</v>
      </c>
      <c r="AO46" s="94">
        <f>'2018-19_working'!AG46</f>
        <v>0</v>
      </c>
      <c r="AP46" s="94">
        <f>'2018-19_working'!AH46+'2018-19_working'!AI46</f>
        <v>0</v>
      </c>
      <c r="AQ46" s="94">
        <f>'2018-19_working'!AJ46</f>
        <v>2</v>
      </c>
      <c r="AR46" s="95">
        <f t="shared" si="16"/>
        <v>9.0909090909090912E-2</v>
      </c>
      <c r="AS46" s="95">
        <f t="shared" si="17"/>
        <v>0.15384615384615385</v>
      </c>
      <c r="AT46" s="94"/>
      <c r="AU46" s="94">
        <f t="shared" si="18"/>
        <v>35</v>
      </c>
      <c r="AV46" s="94">
        <f t="shared" si="19"/>
        <v>0</v>
      </c>
      <c r="AW46" s="94">
        <f t="shared" si="20"/>
        <v>1</v>
      </c>
      <c r="AX46" s="94">
        <f t="shared" si="21"/>
        <v>0</v>
      </c>
      <c r="AY46" s="94">
        <f t="shared" si="22"/>
        <v>0</v>
      </c>
      <c r="AZ46" s="94">
        <f t="shared" si="23"/>
        <v>10</v>
      </c>
      <c r="BA46" s="95">
        <f t="shared" si="24"/>
        <v>2.7777777777777776E-2</v>
      </c>
      <c r="BB46" s="95">
        <f t="shared" si="25"/>
        <v>0.21739130434782608</v>
      </c>
    </row>
    <row r="47" spans="1:54" x14ac:dyDescent="0.3">
      <c r="A47" s="8" t="s">
        <v>54</v>
      </c>
      <c r="B47" s="94">
        <f>'2018-19_working'!B47+'2018-19_working'!C47</f>
        <v>13</v>
      </c>
      <c r="C47" s="94">
        <f>'2018-19_working'!D47</f>
        <v>0</v>
      </c>
      <c r="D47" s="94">
        <f>'2018-19_working'!E47</f>
        <v>0</v>
      </c>
      <c r="E47" s="94">
        <f>'2018-19_working'!F47</f>
        <v>0</v>
      </c>
      <c r="F47" s="94">
        <f>'2018-19_working'!G47+'2018-19_working'!H47</f>
        <v>0</v>
      </c>
      <c r="G47" s="94">
        <f>'2018-19_working'!I47</f>
        <v>4</v>
      </c>
      <c r="H47" s="95">
        <f t="shared" si="2"/>
        <v>0</v>
      </c>
      <c r="I47" s="95">
        <f t="shared" si="3"/>
        <v>0.23529411764705882</v>
      </c>
      <c r="J47" s="94"/>
      <c r="K47" s="94">
        <f>'2018-19_working'!K47+'2018-19_working'!L47</f>
        <v>28</v>
      </c>
      <c r="L47" s="94">
        <f>'2018-19_working'!M47</f>
        <v>0</v>
      </c>
      <c r="M47" s="94">
        <f>'2018-19_working'!N47</f>
        <v>0</v>
      </c>
      <c r="N47" s="94">
        <f>'2018-19_working'!O47</f>
        <v>0</v>
      </c>
      <c r="O47" s="94">
        <f>'2018-19_working'!P47+'2018-19_working'!Q47</f>
        <v>0</v>
      </c>
      <c r="P47" s="94">
        <f>'2018-19_working'!R47</f>
        <v>14</v>
      </c>
      <c r="Q47" s="95">
        <f t="shared" si="4"/>
        <v>0</v>
      </c>
      <c r="R47" s="95">
        <f t="shared" si="5"/>
        <v>0.33333333333333331</v>
      </c>
      <c r="S47" s="94"/>
      <c r="T47" s="94">
        <f t="shared" si="6"/>
        <v>41</v>
      </c>
      <c r="U47" s="94">
        <f t="shared" si="7"/>
        <v>0</v>
      </c>
      <c r="V47" s="94">
        <f t="shared" si="8"/>
        <v>0</v>
      </c>
      <c r="W47" s="94">
        <f t="shared" si="9"/>
        <v>0</v>
      </c>
      <c r="X47" s="94">
        <f t="shared" si="10"/>
        <v>0</v>
      </c>
      <c r="Y47" s="94">
        <f t="shared" si="11"/>
        <v>18</v>
      </c>
      <c r="Z47" s="95">
        <f t="shared" si="12"/>
        <v>0</v>
      </c>
      <c r="AA47" s="95">
        <f t="shared" si="13"/>
        <v>0.30508474576271188</v>
      </c>
      <c r="AB47" s="94"/>
      <c r="AC47" s="94">
        <f>'2018-19_working'!T47+'2018-19_working'!U47</f>
        <v>0</v>
      </c>
      <c r="AD47" s="94">
        <f>'2018-19_working'!V47</f>
        <v>0</v>
      </c>
      <c r="AE47" s="94">
        <f>'2018-19_working'!W47</f>
        <v>0</v>
      </c>
      <c r="AF47" s="94">
        <f>'2018-19_working'!X47</f>
        <v>0</v>
      </c>
      <c r="AG47" s="94">
        <f>'2018-19_working'!Y47+'2018-19_working'!Z47</f>
        <v>0</v>
      </c>
      <c r="AH47" s="94">
        <f>'2018-19_working'!AA47</f>
        <v>0</v>
      </c>
      <c r="AI47" s="95" t="str">
        <f t="shared" si="14"/>
        <v>-</v>
      </c>
      <c r="AJ47" s="95" t="str">
        <f t="shared" si="15"/>
        <v>-</v>
      </c>
      <c r="AK47" s="94"/>
      <c r="AL47" s="94">
        <f>'2018-19_working'!AC47+'2018-19_working'!AD47</f>
        <v>1</v>
      </c>
      <c r="AM47" s="94">
        <f>'2018-19_working'!AE47</f>
        <v>0</v>
      </c>
      <c r="AN47" s="94">
        <f>'2018-19_working'!AF47</f>
        <v>0</v>
      </c>
      <c r="AO47" s="94">
        <f>'2018-19_working'!AG47</f>
        <v>0</v>
      </c>
      <c r="AP47" s="94">
        <f>'2018-19_working'!AH47+'2018-19_working'!AI47</f>
        <v>0</v>
      </c>
      <c r="AQ47" s="94">
        <f>'2018-19_working'!AJ47</f>
        <v>10</v>
      </c>
      <c r="AR47" s="95">
        <f t="shared" si="16"/>
        <v>0</v>
      </c>
      <c r="AS47" s="95">
        <f t="shared" si="17"/>
        <v>0.90909090909090906</v>
      </c>
      <c r="AT47" s="94"/>
      <c r="AU47" s="94">
        <f t="shared" si="18"/>
        <v>42</v>
      </c>
      <c r="AV47" s="94">
        <f t="shared" si="19"/>
        <v>0</v>
      </c>
      <c r="AW47" s="94">
        <f t="shared" si="20"/>
        <v>0</v>
      </c>
      <c r="AX47" s="94">
        <f t="shared" si="21"/>
        <v>0</v>
      </c>
      <c r="AY47" s="94">
        <f t="shared" si="22"/>
        <v>0</v>
      </c>
      <c r="AZ47" s="94">
        <f t="shared" si="23"/>
        <v>28</v>
      </c>
      <c r="BA47" s="95">
        <f t="shared" si="24"/>
        <v>0</v>
      </c>
      <c r="BB47" s="95">
        <f t="shared" si="25"/>
        <v>0.4</v>
      </c>
    </row>
    <row r="48" spans="1:54" x14ac:dyDescent="0.3">
      <c r="A48" s="8" t="s">
        <v>55</v>
      </c>
      <c r="B48" s="94">
        <f>'2018-19_working'!B48+'2018-19_working'!C48</f>
        <v>0</v>
      </c>
      <c r="C48" s="94">
        <f>'2018-19_working'!D48</f>
        <v>0</v>
      </c>
      <c r="D48" s="94">
        <f>'2018-19_working'!E48</f>
        <v>0</v>
      </c>
      <c r="E48" s="94">
        <f>'2018-19_working'!F48</f>
        <v>0</v>
      </c>
      <c r="F48" s="94">
        <f>'2018-19_working'!G48+'2018-19_working'!H48</f>
        <v>0</v>
      </c>
      <c r="G48" s="94">
        <f>'2018-19_working'!I48</f>
        <v>0</v>
      </c>
      <c r="H48" s="95" t="str">
        <f t="shared" si="2"/>
        <v>-</v>
      </c>
      <c r="I48" s="95" t="str">
        <f t="shared" si="3"/>
        <v>-</v>
      </c>
      <c r="J48" s="94"/>
      <c r="K48" s="94">
        <f>'2018-19_working'!K48+'2018-19_working'!L48</f>
        <v>2</v>
      </c>
      <c r="L48" s="94">
        <f>'2018-19_working'!M48</f>
        <v>0</v>
      </c>
      <c r="M48" s="94">
        <f>'2018-19_working'!N48</f>
        <v>0</v>
      </c>
      <c r="N48" s="94">
        <f>'2018-19_working'!O48</f>
        <v>1</v>
      </c>
      <c r="O48" s="94">
        <f>'2018-19_working'!P48+'2018-19_working'!Q48</f>
        <v>0</v>
      </c>
      <c r="P48" s="94">
        <f>'2018-19_working'!R48</f>
        <v>0</v>
      </c>
      <c r="Q48" s="95">
        <f t="shared" si="4"/>
        <v>0.33333333333333331</v>
      </c>
      <c r="R48" s="95">
        <f t="shared" si="5"/>
        <v>0</v>
      </c>
      <c r="S48" s="94"/>
      <c r="T48" s="94">
        <f t="shared" si="6"/>
        <v>2</v>
      </c>
      <c r="U48" s="94">
        <f t="shared" si="7"/>
        <v>0</v>
      </c>
      <c r="V48" s="94">
        <f t="shared" si="8"/>
        <v>0</v>
      </c>
      <c r="W48" s="94">
        <f t="shared" si="9"/>
        <v>1</v>
      </c>
      <c r="X48" s="94">
        <f t="shared" si="10"/>
        <v>0</v>
      </c>
      <c r="Y48" s="94">
        <f t="shared" si="11"/>
        <v>0</v>
      </c>
      <c r="Z48" s="95">
        <f t="shared" si="12"/>
        <v>0.33333333333333331</v>
      </c>
      <c r="AA48" s="95">
        <f t="shared" si="13"/>
        <v>0</v>
      </c>
      <c r="AB48" s="94"/>
      <c r="AC48" s="94">
        <f>'2018-19_working'!T48+'2018-19_working'!U48</f>
        <v>0</v>
      </c>
      <c r="AD48" s="94">
        <f>'2018-19_working'!V48</f>
        <v>0</v>
      </c>
      <c r="AE48" s="94">
        <f>'2018-19_working'!W48</f>
        <v>0</v>
      </c>
      <c r="AF48" s="94">
        <f>'2018-19_working'!X48</f>
        <v>0</v>
      </c>
      <c r="AG48" s="94">
        <f>'2018-19_working'!Y48+'2018-19_working'!Z48</f>
        <v>0</v>
      </c>
      <c r="AH48" s="94">
        <f>'2018-19_working'!AA48</f>
        <v>0</v>
      </c>
      <c r="AI48" s="95" t="str">
        <f t="shared" si="14"/>
        <v>-</v>
      </c>
      <c r="AJ48" s="95" t="str">
        <f t="shared" si="15"/>
        <v>-</v>
      </c>
      <c r="AK48" s="94"/>
      <c r="AL48" s="94">
        <f>'2018-19_working'!AC48+'2018-19_working'!AD48</f>
        <v>1</v>
      </c>
      <c r="AM48" s="94">
        <f>'2018-19_working'!AE48</f>
        <v>0</v>
      </c>
      <c r="AN48" s="94">
        <f>'2018-19_working'!AF48</f>
        <v>0</v>
      </c>
      <c r="AO48" s="94">
        <f>'2018-19_working'!AG48</f>
        <v>0</v>
      </c>
      <c r="AP48" s="94">
        <f>'2018-19_working'!AH48+'2018-19_working'!AI48</f>
        <v>0</v>
      </c>
      <c r="AQ48" s="94">
        <f>'2018-19_working'!AJ48</f>
        <v>0</v>
      </c>
      <c r="AR48" s="95">
        <f t="shared" si="16"/>
        <v>0</v>
      </c>
      <c r="AS48" s="95">
        <f t="shared" si="17"/>
        <v>0</v>
      </c>
      <c r="AT48" s="94"/>
      <c r="AU48" s="94">
        <f t="shared" si="18"/>
        <v>3</v>
      </c>
      <c r="AV48" s="94">
        <f t="shared" si="19"/>
        <v>0</v>
      </c>
      <c r="AW48" s="94">
        <f t="shared" si="20"/>
        <v>0</v>
      </c>
      <c r="AX48" s="94">
        <f t="shared" si="21"/>
        <v>1</v>
      </c>
      <c r="AY48" s="94">
        <f t="shared" si="22"/>
        <v>0</v>
      </c>
      <c r="AZ48" s="94">
        <f t="shared" si="23"/>
        <v>0</v>
      </c>
      <c r="BA48" s="95">
        <f t="shared" si="24"/>
        <v>0.25</v>
      </c>
      <c r="BB48" s="95">
        <f t="shared" si="25"/>
        <v>0</v>
      </c>
    </row>
    <row r="49" spans="1:54" x14ac:dyDescent="0.3">
      <c r="A49" s="8" t="s">
        <v>56</v>
      </c>
      <c r="B49" s="94">
        <f>'2018-19_working'!B49+'2018-19_working'!C49</f>
        <v>644</v>
      </c>
      <c r="C49" s="94">
        <f>'2018-19_working'!D49</f>
        <v>38</v>
      </c>
      <c r="D49" s="94">
        <f>'2018-19_working'!E49</f>
        <v>11</v>
      </c>
      <c r="E49" s="94">
        <f>'2018-19_working'!F49</f>
        <v>22</v>
      </c>
      <c r="F49" s="94">
        <f>'2018-19_working'!G49+'2018-19_working'!H49</f>
        <v>10</v>
      </c>
      <c r="G49" s="94">
        <f>'2018-19_working'!I49</f>
        <v>84</v>
      </c>
      <c r="H49" s="95">
        <f t="shared" si="2"/>
        <v>0.11172413793103449</v>
      </c>
      <c r="I49" s="95">
        <f t="shared" si="3"/>
        <v>0.103831891223733</v>
      </c>
      <c r="J49" s="94"/>
      <c r="K49" s="94">
        <f>'2018-19_working'!K49+'2018-19_working'!L49</f>
        <v>42</v>
      </c>
      <c r="L49" s="94">
        <f>'2018-19_working'!M49</f>
        <v>2</v>
      </c>
      <c r="M49" s="94">
        <f>'2018-19_working'!N49</f>
        <v>0</v>
      </c>
      <c r="N49" s="94">
        <f>'2018-19_working'!O49</f>
        <v>2</v>
      </c>
      <c r="O49" s="94">
        <f>'2018-19_working'!P49+'2018-19_working'!Q49</f>
        <v>1</v>
      </c>
      <c r="P49" s="94">
        <f>'2018-19_working'!R49</f>
        <v>1</v>
      </c>
      <c r="Q49" s="95">
        <f t="shared" si="4"/>
        <v>0.10638297872340426</v>
      </c>
      <c r="R49" s="95">
        <f t="shared" si="5"/>
        <v>2.0833333333333332E-2</v>
      </c>
      <c r="S49" s="94"/>
      <c r="T49" s="94">
        <f t="shared" si="6"/>
        <v>686</v>
      </c>
      <c r="U49" s="94">
        <f t="shared" si="7"/>
        <v>40</v>
      </c>
      <c r="V49" s="94">
        <f t="shared" si="8"/>
        <v>11</v>
      </c>
      <c r="W49" s="94">
        <f t="shared" si="9"/>
        <v>24</v>
      </c>
      <c r="X49" s="94">
        <f t="shared" si="10"/>
        <v>11</v>
      </c>
      <c r="Y49" s="94">
        <f t="shared" si="11"/>
        <v>85</v>
      </c>
      <c r="Z49" s="95">
        <f t="shared" si="12"/>
        <v>0.11139896373056994</v>
      </c>
      <c r="AA49" s="95">
        <f t="shared" si="13"/>
        <v>9.9183197199533252E-2</v>
      </c>
      <c r="AB49" s="94"/>
      <c r="AC49" s="94">
        <f>'2018-19_working'!T49+'2018-19_working'!U49</f>
        <v>21</v>
      </c>
      <c r="AD49" s="94">
        <f>'2018-19_working'!V49</f>
        <v>1</v>
      </c>
      <c r="AE49" s="94">
        <f>'2018-19_working'!W49</f>
        <v>0</v>
      </c>
      <c r="AF49" s="94">
        <f>'2018-19_working'!X49</f>
        <v>0</v>
      </c>
      <c r="AG49" s="94">
        <f>'2018-19_working'!Y49+'2018-19_working'!Z49</f>
        <v>0</v>
      </c>
      <c r="AH49" s="94">
        <f>'2018-19_working'!AA49</f>
        <v>0</v>
      </c>
      <c r="AI49" s="95">
        <f t="shared" si="14"/>
        <v>4.5454545454545456E-2</v>
      </c>
      <c r="AJ49" s="95">
        <f t="shared" si="15"/>
        <v>0</v>
      </c>
      <c r="AK49" s="94"/>
      <c r="AL49" s="94">
        <f>'2018-19_working'!AC49+'2018-19_working'!AD49</f>
        <v>251</v>
      </c>
      <c r="AM49" s="94">
        <f>'2018-19_working'!AE49</f>
        <v>6</v>
      </c>
      <c r="AN49" s="94">
        <f>'2018-19_working'!AF49</f>
        <v>17</v>
      </c>
      <c r="AO49" s="94">
        <f>'2018-19_working'!AG49</f>
        <v>19</v>
      </c>
      <c r="AP49" s="94">
        <f>'2018-19_working'!AH49+'2018-19_working'!AI49</f>
        <v>11</v>
      </c>
      <c r="AQ49" s="94">
        <f>'2018-19_working'!AJ49</f>
        <v>30</v>
      </c>
      <c r="AR49" s="95">
        <f t="shared" si="16"/>
        <v>0.17434210526315788</v>
      </c>
      <c r="AS49" s="95">
        <f t="shared" si="17"/>
        <v>8.9820359281437126E-2</v>
      </c>
      <c r="AT49" s="94"/>
      <c r="AU49" s="94">
        <f t="shared" si="18"/>
        <v>958</v>
      </c>
      <c r="AV49" s="94">
        <f t="shared" si="19"/>
        <v>47</v>
      </c>
      <c r="AW49" s="94">
        <f t="shared" si="20"/>
        <v>28</v>
      </c>
      <c r="AX49" s="94">
        <f t="shared" si="21"/>
        <v>43</v>
      </c>
      <c r="AY49" s="94">
        <f t="shared" si="22"/>
        <v>22</v>
      </c>
      <c r="AZ49" s="94">
        <f t="shared" si="23"/>
        <v>115</v>
      </c>
      <c r="BA49" s="95">
        <f t="shared" si="24"/>
        <v>0.12750455373406194</v>
      </c>
      <c r="BB49" s="95">
        <f t="shared" si="25"/>
        <v>9.4806265457543282E-2</v>
      </c>
    </row>
    <row r="50" spans="1:54" x14ac:dyDescent="0.3">
      <c r="A50" s="8" t="s">
        <v>57</v>
      </c>
      <c r="B50" s="94">
        <f>'2018-19_working'!B50+'2018-19_working'!C50</f>
        <v>52</v>
      </c>
      <c r="C50" s="94">
        <f>'2018-19_working'!D50</f>
        <v>4</v>
      </c>
      <c r="D50" s="94">
        <f>'2018-19_working'!E50</f>
        <v>2</v>
      </c>
      <c r="E50" s="94">
        <f>'2018-19_working'!F50</f>
        <v>0</v>
      </c>
      <c r="F50" s="94">
        <f>'2018-19_working'!G50+'2018-19_working'!H50</f>
        <v>0</v>
      </c>
      <c r="G50" s="94">
        <f>'2018-19_working'!I50</f>
        <v>67</v>
      </c>
      <c r="H50" s="95">
        <f t="shared" si="2"/>
        <v>0.10344827586206896</v>
      </c>
      <c r="I50" s="95">
        <f t="shared" si="3"/>
        <v>0.53600000000000003</v>
      </c>
      <c r="J50" s="94"/>
      <c r="K50" s="94">
        <f>'2018-19_working'!K50+'2018-19_working'!L50</f>
        <v>0</v>
      </c>
      <c r="L50" s="94">
        <f>'2018-19_working'!M50</f>
        <v>0</v>
      </c>
      <c r="M50" s="94">
        <f>'2018-19_working'!N50</f>
        <v>0</v>
      </c>
      <c r="N50" s="94">
        <f>'2018-19_working'!O50</f>
        <v>0</v>
      </c>
      <c r="O50" s="94">
        <f>'2018-19_working'!P50+'2018-19_working'!Q50</f>
        <v>0</v>
      </c>
      <c r="P50" s="94">
        <f>'2018-19_working'!R50</f>
        <v>0</v>
      </c>
      <c r="Q50" s="95" t="str">
        <f t="shared" si="4"/>
        <v>-</v>
      </c>
      <c r="R50" s="95" t="str">
        <f t="shared" si="5"/>
        <v>-</v>
      </c>
      <c r="S50" s="94"/>
      <c r="T50" s="94">
        <f t="shared" si="6"/>
        <v>52</v>
      </c>
      <c r="U50" s="94">
        <f t="shared" si="7"/>
        <v>4</v>
      </c>
      <c r="V50" s="94">
        <f t="shared" si="8"/>
        <v>2</v>
      </c>
      <c r="W50" s="94">
        <f t="shared" si="9"/>
        <v>0</v>
      </c>
      <c r="X50" s="94">
        <f t="shared" si="10"/>
        <v>0</v>
      </c>
      <c r="Y50" s="94">
        <f t="shared" si="11"/>
        <v>67</v>
      </c>
      <c r="Z50" s="95">
        <f t="shared" si="12"/>
        <v>0.10344827586206896</v>
      </c>
      <c r="AA50" s="95">
        <f t="shared" si="13"/>
        <v>0.53600000000000003</v>
      </c>
      <c r="AB50" s="94"/>
      <c r="AC50" s="94">
        <f>'2018-19_working'!T50+'2018-19_working'!U50</f>
        <v>0</v>
      </c>
      <c r="AD50" s="94">
        <f>'2018-19_working'!V50</f>
        <v>0</v>
      </c>
      <c r="AE50" s="94">
        <f>'2018-19_working'!W50</f>
        <v>0</v>
      </c>
      <c r="AF50" s="94">
        <f>'2018-19_working'!X50</f>
        <v>0</v>
      </c>
      <c r="AG50" s="94">
        <f>'2018-19_working'!Y50+'2018-19_working'!Z50</f>
        <v>0</v>
      </c>
      <c r="AH50" s="94">
        <f>'2018-19_working'!AA50</f>
        <v>0</v>
      </c>
      <c r="AI50" s="95" t="str">
        <f t="shared" si="14"/>
        <v>-</v>
      </c>
      <c r="AJ50" s="95" t="str">
        <f t="shared" si="15"/>
        <v>-</v>
      </c>
      <c r="AK50" s="94"/>
      <c r="AL50" s="94">
        <f>'2018-19_working'!AC50+'2018-19_working'!AD50</f>
        <v>41</v>
      </c>
      <c r="AM50" s="94">
        <f>'2018-19_working'!AE50</f>
        <v>0</v>
      </c>
      <c r="AN50" s="94">
        <f>'2018-19_working'!AF50</f>
        <v>1</v>
      </c>
      <c r="AO50" s="94">
        <f>'2018-19_working'!AG50</f>
        <v>0</v>
      </c>
      <c r="AP50" s="94">
        <f>'2018-19_working'!AH50+'2018-19_working'!AI50</f>
        <v>1</v>
      </c>
      <c r="AQ50" s="94">
        <f>'2018-19_working'!AJ50</f>
        <v>16</v>
      </c>
      <c r="AR50" s="95">
        <f t="shared" si="16"/>
        <v>4.6511627906976744E-2</v>
      </c>
      <c r="AS50" s="95">
        <f t="shared" si="17"/>
        <v>0.2711864406779661</v>
      </c>
      <c r="AT50" s="94"/>
      <c r="AU50" s="94">
        <f t="shared" si="18"/>
        <v>93</v>
      </c>
      <c r="AV50" s="94">
        <f t="shared" si="19"/>
        <v>4</v>
      </c>
      <c r="AW50" s="94">
        <f t="shared" si="20"/>
        <v>3</v>
      </c>
      <c r="AX50" s="94">
        <f t="shared" si="21"/>
        <v>0</v>
      </c>
      <c r="AY50" s="94">
        <f t="shared" si="22"/>
        <v>1</v>
      </c>
      <c r="AZ50" s="94">
        <f t="shared" si="23"/>
        <v>83</v>
      </c>
      <c r="BA50" s="95">
        <f t="shared" si="24"/>
        <v>7.9207920792079209E-2</v>
      </c>
      <c r="BB50" s="95">
        <f t="shared" si="25"/>
        <v>0.45108695652173914</v>
      </c>
    </row>
    <row r="51" spans="1:54" x14ac:dyDescent="0.3">
      <c r="A51" s="8" t="s">
        <v>58</v>
      </c>
      <c r="B51" s="94">
        <f>'2018-19_working'!B51+'2018-19_working'!C51</f>
        <v>45</v>
      </c>
      <c r="C51" s="94">
        <f>'2018-19_working'!D51</f>
        <v>3</v>
      </c>
      <c r="D51" s="94">
        <f>'2018-19_working'!E51</f>
        <v>0</v>
      </c>
      <c r="E51" s="94">
        <f>'2018-19_working'!F51</f>
        <v>0</v>
      </c>
      <c r="F51" s="94">
        <f>'2018-19_working'!G51+'2018-19_working'!H51</f>
        <v>1</v>
      </c>
      <c r="G51" s="94">
        <f>'2018-19_working'!I51</f>
        <v>2</v>
      </c>
      <c r="H51" s="95">
        <f t="shared" si="2"/>
        <v>8.1632653061224483E-2</v>
      </c>
      <c r="I51" s="95">
        <f t="shared" si="3"/>
        <v>3.9215686274509803E-2</v>
      </c>
      <c r="J51" s="94"/>
      <c r="K51" s="94">
        <f>'2018-19_working'!K51+'2018-19_working'!L51</f>
        <v>21</v>
      </c>
      <c r="L51" s="94">
        <f>'2018-19_working'!M51</f>
        <v>2</v>
      </c>
      <c r="M51" s="94">
        <f>'2018-19_working'!N51</f>
        <v>0</v>
      </c>
      <c r="N51" s="94">
        <f>'2018-19_working'!O51</f>
        <v>0</v>
      </c>
      <c r="O51" s="94">
        <f>'2018-19_working'!P51+'2018-19_working'!Q51</f>
        <v>1</v>
      </c>
      <c r="P51" s="94">
        <f>'2018-19_working'!R51</f>
        <v>1</v>
      </c>
      <c r="Q51" s="95">
        <f t="shared" si="4"/>
        <v>0.125</v>
      </c>
      <c r="R51" s="95">
        <f t="shared" si="5"/>
        <v>0.04</v>
      </c>
      <c r="S51" s="94"/>
      <c r="T51" s="94">
        <f t="shared" si="6"/>
        <v>66</v>
      </c>
      <c r="U51" s="94">
        <f t="shared" si="7"/>
        <v>5</v>
      </c>
      <c r="V51" s="94">
        <f t="shared" si="8"/>
        <v>0</v>
      </c>
      <c r="W51" s="94">
        <f t="shared" si="9"/>
        <v>0</v>
      </c>
      <c r="X51" s="94">
        <f t="shared" si="10"/>
        <v>2</v>
      </c>
      <c r="Y51" s="94">
        <f t="shared" si="11"/>
        <v>3</v>
      </c>
      <c r="Z51" s="95">
        <f t="shared" si="12"/>
        <v>9.5890410958904104E-2</v>
      </c>
      <c r="AA51" s="95">
        <f t="shared" si="13"/>
        <v>3.9473684210526314E-2</v>
      </c>
      <c r="AB51" s="94"/>
      <c r="AC51" s="94">
        <f>'2018-19_working'!T51+'2018-19_working'!U51</f>
        <v>7</v>
      </c>
      <c r="AD51" s="94">
        <f>'2018-19_working'!V51</f>
        <v>0</v>
      </c>
      <c r="AE51" s="94">
        <f>'2018-19_working'!W51</f>
        <v>0</v>
      </c>
      <c r="AF51" s="94">
        <f>'2018-19_working'!X51</f>
        <v>0</v>
      </c>
      <c r="AG51" s="94">
        <f>'2018-19_working'!Y51+'2018-19_working'!Z51</f>
        <v>0</v>
      </c>
      <c r="AH51" s="94">
        <f>'2018-19_working'!AA51</f>
        <v>0</v>
      </c>
      <c r="AI51" s="95">
        <f t="shared" si="14"/>
        <v>0</v>
      </c>
      <c r="AJ51" s="95">
        <f t="shared" si="15"/>
        <v>0</v>
      </c>
      <c r="AK51" s="94"/>
      <c r="AL51" s="94">
        <f>'2018-19_working'!AC51+'2018-19_working'!AD51</f>
        <v>49</v>
      </c>
      <c r="AM51" s="94">
        <f>'2018-19_working'!AE51</f>
        <v>0</v>
      </c>
      <c r="AN51" s="94">
        <f>'2018-19_working'!AF51</f>
        <v>0</v>
      </c>
      <c r="AO51" s="94">
        <f>'2018-19_working'!AG51</f>
        <v>1</v>
      </c>
      <c r="AP51" s="94">
        <f>'2018-19_working'!AH51+'2018-19_working'!AI51</f>
        <v>0</v>
      </c>
      <c r="AQ51" s="94">
        <f>'2018-19_working'!AJ51</f>
        <v>5</v>
      </c>
      <c r="AR51" s="95">
        <f t="shared" si="16"/>
        <v>0.02</v>
      </c>
      <c r="AS51" s="95">
        <f t="shared" si="17"/>
        <v>9.0909090909090912E-2</v>
      </c>
      <c r="AT51" s="94"/>
      <c r="AU51" s="94">
        <f t="shared" si="18"/>
        <v>122</v>
      </c>
      <c r="AV51" s="94">
        <f t="shared" si="19"/>
        <v>5</v>
      </c>
      <c r="AW51" s="94">
        <f t="shared" si="20"/>
        <v>0</v>
      </c>
      <c r="AX51" s="94">
        <f t="shared" si="21"/>
        <v>1</v>
      </c>
      <c r="AY51" s="94">
        <f t="shared" si="22"/>
        <v>2</v>
      </c>
      <c r="AZ51" s="94">
        <f t="shared" si="23"/>
        <v>8</v>
      </c>
      <c r="BA51" s="95">
        <f t="shared" si="24"/>
        <v>6.1538461538461542E-2</v>
      </c>
      <c r="BB51" s="95">
        <f t="shared" si="25"/>
        <v>5.7971014492753624E-2</v>
      </c>
    </row>
    <row r="52" spans="1:54" x14ac:dyDescent="0.3">
      <c r="A52" s="8" t="s">
        <v>59</v>
      </c>
      <c r="B52" s="94">
        <f>'2018-19_working'!B52+'2018-19_working'!C52</f>
        <v>17</v>
      </c>
      <c r="C52" s="94">
        <f>'2018-19_working'!D52</f>
        <v>3</v>
      </c>
      <c r="D52" s="94">
        <f>'2018-19_working'!E52</f>
        <v>0</v>
      </c>
      <c r="E52" s="94">
        <f>'2018-19_working'!F52</f>
        <v>2</v>
      </c>
      <c r="F52" s="94">
        <f>'2018-19_working'!G52+'2018-19_working'!H52</f>
        <v>1</v>
      </c>
      <c r="G52" s="94">
        <f>'2018-19_working'!I52</f>
        <v>0</v>
      </c>
      <c r="H52" s="95">
        <f t="shared" si="2"/>
        <v>0.2608695652173913</v>
      </c>
      <c r="I52" s="95">
        <f t="shared" si="3"/>
        <v>0</v>
      </c>
      <c r="J52" s="94"/>
      <c r="K52" s="94">
        <f>'2018-19_working'!K52+'2018-19_working'!L52</f>
        <v>1</v>
      </c>
      <c r="L52" s="94">
        <f>'2018-19_working'!M52</f>
        <v>0</v>
      </c>
      <c r="M52" s="94">
        <f>'2018-19_working'!N52</f>
        <v>0</v>
      </c>
      <c r="N52" s="94">
        <f>'2018-19_working'!O52</f>
        <v>0</v>
      </c>
      <c r="O52" s="94">
        <f>'2018-19_working'!P52+'2018-19_working'!Q52</f>
        <v>0</v>
      </c>
      <c r="P52" s="94">
        <f>'2018-19_working'!R52</f>
        <v>0</v>
      </c>
      <c r="Q52" s="95">
        <f t="shared" si="4"/>
        <v>0</v>
      </c>
      <c r="R52" s="95">
        <f t="shared" si="5"/>
        <v>0</v>
      </c>
      <c r="S52" s="94"/>
      <c r="T52" s="94">
        <f t="shared" si="6"/>
        <v>18</v>
      </c>
      <c r="U52" s="94">
        <f t="shared" si="7"/>
        <v>3</v>
      </c>
      <c r="V52" s="94">
        <f t="shared" si="8"/>
        <v>0</v>
      </c>
      <c r="W52" s="94">
        <f t="shared" si="9"/>
        <v>2</v>
      </c>
      <c r="X52" s="94">
        <f t="shared" si="10"/>
        <v>1</v>
      </c>
      <c r="Y52" s="94">
        <f t="shared" si="11"/>
        <v>0</v>
      </c>
      <c r="Z52" s="95">
        <f t="shared" si="12"/>
        <v>0.25</v>
      </c>
      <c r="AA52" s="95">
        <f t="shared" si="13"/>
        <v>0</v>
      </c>
      <c r="AB52" s="94"/>
      <c r="AC52" s="94">
        <f>'2018-19_working'!T52+'2018-19_working'!U52</f>
        <v>0</v>
      </c>
      <c r="AD52" s="94">
        <f>'2018-19_working'!V52</f>
        <v>0</v>
      </c>
      <c r="AE52" s="94">
        <f>'2018-19_working'!W52</f>
        <v>0</v>
      </c>
      <c r="AF52" s="94">
        <f>'2018-19_working'!X52</f>
        <v>0</v>
      </c>
      <c r="AG52" s="94">
        <f>'2018-19_working'!Y52+'2018-19_working'!Z52</f>
        <v>0</v>
      </c>
      <c r="AH52" s="94">
        <f>'2018-19_working'!AA52</f>
        <v>0</v>
      </c>
      <c r="AI52" s="95" t="str">
        <f t="shared" si="14"/>
        <v>-</v>
      </c>
      <c r="AJ52" s="95" t="str">
        <f t="shared" si="15"/>
        <v>-</v>
      </c>
      <c r="AK52" s="94"/>
      <c r="AL52" s="94">
        <f>'2018-19_working'!AC52+'2018-19_working'!AD52</f>
        <v>16</v>
      </c>
      <c r="AM52" s="94">
        <f>'2018-19_working'!AE52</f>
        <v>0</v>
      </c>
      <c r="AN52" s="94">
        <f>'2018-19_working'!AF52</f>
        <v>0</v>
      </c>
      <c r="AO52" s="94">
        <f>'2018-19_working'!AG52</f>
        <v>1</v>
      </c>
      <c r="AP52" s="94">
        <f>'2018-19_working'!AH52+'2018-19_working'!AI52</f>
        <v>0</v>
      </c>
      <c r="AQ52" s="94">
        <f>'2018-19_working'!AJ52</f>
        <v>0</v>
      </c>
      <c r="AR52" s="95">
        <f t="shared" si="16"/>
        <v>5.8823529411764705E-2</v>
      </c>
      <c r="AS52" s="95">
        <f t="shared" si="17"/>
        <v>0</v>
      </c>
      <c r="AT52" s="94"/>
      <c r="AU52" s="94">
        <f t="shared" si="18"/>
        <v>34</v>
      </c>
      <c r="AV52" s="94">
        <f t="shared" si="19"/>
        <v>3</v>
      </c>
      <c r="AW52" s="94">
        <f t="shared" si="20"/>
        <v>0</v>
      </c>
      <c r="AX52" s="94">
        <f t="shared" si="21"/>
        <v>3</v>
      </c>
      <c r="AY52" s="94">
        <f t="shared" si="22"/>
        <v>1</v>
      </c>
      <c r="AZ52" s="94">
        <f t="shared" si="23"/>
        <v>0</v>
      </c>
      <c r="BA52" s="95">
        <f t="shared" si="24"/>
        <v>0.17073170731707318</v>
      </c>
      <c r="BB52" s="95">
        <f t="shared" si="25"/>
        <v>0</v>
      </c>
    </row>
    <row r="53" spans="1:54" x14ac:dyDescent="0.3">
      <c r="A53" s="8" t="s">
        <v>60</v>
      </c>
      <c r="B53" s="94">
        <f>'2018-19_working'!B53+'2018-19_working'!C53</f>
        <v>25</v>
      </c>
      <c r="C53" s="94">
        <f>'2018-19_working'!D53</f>
        <v>0</v>
      </c>
      <c r="D53" s="94">
        <f>'2018-19_working'!E53</f>
        <v>1</v>
      </c>
      <c r="E53" s="94">
        <f>'2018-19_working'!F53</f>
        <v>0</v>
      </c>
      <c r="F53" s="94">
        <f>'2018-19_working'!G53+'2018-19_working'!H53</f>
        <v>0</v>
      </c>
      <c r="G53" s="94">
        <f>'2018-19_working'!I53</f>
        <v>0</v>
      </c>
      <c r="H53" s="95">
        <f t="shared" si="2"/>
        <v>3.8461538461538464E-2</v>
      </c>
      <c r="I53" s="95">
        <f t="shared" si="3"/>
        <v>0</v>
      </c>
      <c r="J53" s="94"/>
      <c r="K53" s="94">
        <f>'2018-19_working'!K53+'2018-19_working'!L53</f>
        <v>0</v>
      </c>
      <c r="L53" s="94">
        <f>'2018-19_working'!M53</f>
        <v>0</v>
      </c>
      <c r="M53" s="94">
        <f>'2018-19_working'!N53</f>
        <v>0</v>
      </c>
      <c r="N53" s="94">
        <f>'2018-19_working'!O53</f>
        <v>0</v>
      </c>
      <c r="O53" s="94">
        <f>'2018-19_working'!P53+'2018-19_working'!Q53</f>
        <v>0</v>
      </c>
      <c r="P53" s="94">
        <f>'2018-19_working'!R53</f>
        <v>0</v>
      </c>
      <c r="Q53" s="95" t="str">
        <f t="shared" si="4"/>
        <v>-</v>
      </c>
      <c r="R53" s="95" t="str">
        <f t="shared" si="5"/>
        <v>-</v>
      </c>
      <c r="S53" s="94"/>
      <c r="T53" s="94">
        <f t="shared" si="6"/>
        <v>25</v>
      </c>
      <c r="U53" s="94">
        <f t="shared" si="7"/>
        <v>0</v>
      </c>
      <c r="V53" s="94">
        <f t="shared" si="8"/>
        <v>1</v>
      </c>
      <c r="W53" s="94">
        <f t="shared" si="9"/>
        <v>0</v>
      </c>
      <c r="X53" s="94">
        <f t="shared" si="10"/>
        <v>0</v>
      </c>
      <c r="Y53" s="94">
        <f t="shared" si="11"/>
        <v>0</v>
      </c>
      <c r="Z53" s="95">
        <f t="shared" si="12"/>
        <v>3.8461538461538464E-2</v>
      </c>
      <c r="AA53" s="95">
        <f t="shared" si="13"/>
        <v>0</v>
      </c>
      <c r="AB53" s="94"/>
      <c r="AC53" s="94">
        <f>'2018-19_working'!T53+'2018-19_working'!U53</f>
        <v>5</v>
      </c>
      <c r="AD53" s="94">
        <f>'2018-19_working'!V53</f>
        <v>0</v>
      </c>
      <c r="AE53" s="94">
        <f>'2018-19_working'!W53</f>
        <v>0</v>
      </c>
      <c r="AF53" s="94">
        <f>'2018-19_working'!X53</f>
        <v>0</v>
      </c>
      <c r="AG53" s="94">
        <f>'2018-19_working'!Y53+'2018-19_working'!Z53</f>
        <v>0</v>
      </c>
      <c r="AH53" s="94">
        <f>'2018-19_working'!AA53</f>
        <v>0</v>
      </c>
      <c r="AI53" s="95">
        <f t="shared" si="14"/>
        <v>0</v>
      </c>
      <c r="AJ53" s="95">
        <f t="shared" si="15"/>
        <v>0</v>
      </c>
      <c r="AK53" s="94"/>
      <c r="AL53" s="94">
        <f>'2018-19_working'!AC53+'2018-19_working'!AD53</f>
        <v>30</v>
      </c>
      <c r="AM53" s="94">
        <f>'2018-19_working'!AE53</f>
        <v>0</v>
      </c>
      <c r="AN53" s="94">
        <f>'2018-19_working'!AF53</f>
        <v>0</v>
      </c>
      <c r="AO53" s="94">
        <f>'2018-19_working'!AG53</f>
        <v>1</v>
      </c>
      <c r="AP53" s="94">
        <f>'2018-19_working'!AH53+'2018-19_working'!AI53</f>
        <v>0</v>
      </c>
      <c r="AQ53" s="94">
        <f>'2018-19_working'!AJ53</f>
        <v>0</v>
      </c>
      <c r="AR53" s="95">
        <f t="shared" si="16"/>
        <v>3.2258064516129031E-2</v>
      </c>
      <c r="AS53" s="95">
        <f t="shared" si="17"/>
        <v>0</v>
      </c>
      <c r="AT53" s="94"/>
      <c r="AU53" s="94">
        <f t="shared" si="18"/>
        <v>60</v>
      </c>
      <c r="AV53" s="94">
        <f t="shared" si="19"/>
        <v>0</v>
      </c>
      <c r="AW53" s="94">
        <f t="shared" si="20"/>
        <v>1</v>
      </c>
      <c r="AX53" s="94">
        <f t="shared" si="21"/>
        <v>1</v>
      </c>
      <c r="AY53" s="94">
        <f t="shared" si="22"/>
        <v>0</v>
      </c>
      <c r="AZ53" s="94">
        <f t="shared" si="23"/>
        <v>0</v>
      </c>
      <c r="BA53" s="95">
        <f t="shared" si="24"/>
        <v>3.2258064516129031E-2</v>
      </c>
      <c r="BB53" s="95">
        <f t="shared" si="25"/>
        <v>0</v>
      </c>
    </row>
    <row r="54" spans="1:54" x14ac:dyDescent="0.3">
      <c r="A54" s="8" t="s">
        <v>61</v>
      </c>
      <c r="B54" s="94">
        <f>'2018-19_working'!B54+'2018-19_working'!C54</f>
        <v>66</v>
      </c>
      <c r="C54" s="94">
        <f>'2018-19_working'!D54</f>
        <v>8</v>
      </c>
      <c r="D54" s="94">
        <f>'2018-19_working'!E54</f>
        <v>5</v>
      </c>
      <c r="E54" s="94">
        <f>'2018-19_working'!F54</f>
        <v>8</v>
      </c>
      <c r="F54" s="94">
        <f>'2018-19_working'!G54+'2018-19_working'!H54</f>
        <v>0</v>
      </c>
      <c r="G54" s="94">
        <f>'2018-19_working'!I54</f>
        <v>3</v>
      </c>
      <c r="H54" s="95">
        <f t="shared" si="2"/>
        <v>0.2413793103448276</v>
      </c>
      <c r="I54" s="95">
        <f t="shared" si="3"/>
        <v>3.3333333333333333E-2</v>
      </c>
      <c r="J54" s="94"/>
      <c r="K54" s="94">
        <f>'2018-19_working'!K54+'2018-19_working'!L54</f>
        <v>0</v>
      </c>
      <c r="L54" s="94">
        <f>'2018-19_working'!M54</f>
        <v>0</v>
      </c>
      <c r="M54" s="94">
        <f>'2018-19_working'!N54</f>
        <v>0</v>
      </c>
      <c r="N54" s="94">
        <f>'2018-19_working'!O54</f>
        <v>0</v>
      </c>
      <c r="O54" s="94">
        <f>'2018-19_working'!P54+'2018-19_working'!Q54</f>
        <v>0</v>
      </c>
      <c r="P54" s="94">
        <f>'2018-19_working'!R54</f>
        <v>0</v>
      </c>
      <c r="Q54" s="95" t="str">
        <f t="shared" si="4"/>
        <v>-</v>
      </c>
      <c r="R54" s="95" t="str">
        <f t="shared" si="5"/>
        <v>-</v>
      </c>
      <c r="S54" s="94"/>
      <c r="T54" s="94">
        <f t="shared" si="6"/>
        <v>66</v>
      </c>
      <c r="U54" s="94">
        <f t="shared" si="7"/>
        <v>8</v>
      </c>
      <c r="V54" s="94">
        <f t="shared" si="8"/>
        <v>5</v>
      </c>
      <c r="W54" s="94">
        <f t="shared" si="9"/>
        <v>8</v>
      </c>
      <c r="X54" s="94">
        <f t="shared" si="10"/>
        <v>0</v>
      </c>
      <c r="Y54" s="94">
        <f t="shared" si="11"/>
        <v>3</v>
      </c>
      <c r="Z54" s="95">
        <f t="shared" si="12"/>
        <v>0.2413793103448276</v>
      </c>
      <c r="AA54" s="95">
        <f t="shared" si="13"/>
        <v>3.3333333333333333E-2</v>
      </c>
      <c r="AB54" s="94"/>
      <c r="AC54" s="94">
        <f>'2018-19_working'!T54+'2018-19_working'!U54</f>
        <v>0</v>
      </c>
      <c r="AD54" s="94">
        <f>'2018-19_working'!V54</f>
        <v>0</v>
      </c>
      <c r="AE54" s="94">
        <f>'2018-19_working'!W54</f>
        <v>0</v>
      </c>
      <c r="AF54" s="94">
        <f>'2018-19_working'!X54</f>
        <v>0</v>
      </c>
      <c r="AG54" s="94">
        <f>'2018-19_working'!Y54+'2018-19_working'!Z54</f>
        <v>0</v>
      </c>
      <c r="AH54" s="94">
        <f>'2018-19_working'!AA54</f>
        <v>0</v>
      </c>
      <c r="AI54" s="95" t="str">
        <f t="shared" si="14"/>
        <v>-</v>
      </c>
      <c r="AJ54" s="95" t="str">
        <f t="shared" si="15"/>
        <v>-</v>
      </c>
      <c r="AK54" s="94"/>
      <c r="AL54" s="94">
        <f>'2018-19_working'!AC54+'2018-19_working'!AD54</f>
        <v>12</v>
      </c>
      <c r="AM54" s="94">
        <f>'2018-19_working'!AE54</f>
        <v>2</v>
      </c>
      <c r="AN54" s="94">
        <f>'2018-19_working'!AF54</f>
        <v>3</v>
      </c>
      <c r="AO54" s="94">
        <f>'2018-19_working'!AG54</f>
        <v>1</v>
      </c>
      <c r="AP54" s="94">
        <f>'2018-19_working'!AH54+'2018-19_working'!AI54</f>
        <v>0</v>
      </c>
      <c r="AQ54" s="94">
        <f>'2018-19_working'!AJ54</f>
        <v>2</v>
      </c>
      <c r="AR54" s="95">
        <f t="shared" si="16"/>
        <v>0.33333333333333331</v>
      </c>
      <c r="AS54" s="95">
        <f t="shared" si="17"/>
        <v>0.1</v>
      </c>
      <c r="AT54" s="94"/>
      <c r="AU54" s="94">
        <f t="shared" si="18"/>
        <v>78</v>
      </c>
      <c r="AV54" s="94">
        <f t="shared" si="19"/>
        <v>10</v>
      </c>
      <c r="AW54" s="94">
        <f t="shared" si="20"/>
        <v>8</v>
      </c>
      <c r="AX54" s="94">
        <f t="shared" si="21"/>
        <v>9</v>
      </c>
      <c r="AY54" s="94">
        <f t="shared" si="22"/>
        <v>0</v>
      </c>
      <c r="AZ54" s="94">
        <f t="shared" si="23"/>
        <v>5</v>
      </c>
      <c r="BA54" s="95">
        <f t="shared" si="24"/>
        <v>0.25714285714285712</v>
      </c>
      <c r="BB54" s="95">
        <f t="shared" si="25"/>
        <v>4.5454545454545456E-2</v>
      </c>
    </row>
    <row r="55" spans="1:54" x14ac:dyDescent="0.3">
      <c r="A55" s="8" t="s">
        <v>62</v>
      </c>
      <c r="B55" s="94">
        <f>'2018-19_working'!B55+'2018-19_working'!C55</f>
        <v>62</v>
      </c>
      <c r="C55" s="94">
        <f>'2018-19_working'!D55</f>
        <v>2</v>
      </c>
      <c r="D55" s="94">
        <f>'2018-19_working'!E55</f>
        <v>1</v>
      </c>
      <c r="E55" s="94">
        <f>'2018-19_working'!F55</f>
        <v>1</v>
      </c>
      <c r="F55" s="94">
        <f>'2018-19_working'!G55+'2018-19_working'!H55</f>
        <v>0</v>
      </c>
      <c r="G55" s="94">
        <f>'2018-19_working'!I55</f>
        <v>0</v>
      </c>
      <c r="H55" s="95">
        <f t="shared" si="2"/>
        <v>6.0606060606060608E-2</v>
      </c>
      <c r="I55" s="95">
        <f t="shared" si="3"/>
        <v>0</v>
      </c>
      <c r="J55" s="94"/>
      <c r="K55" s="94">
        <f>'2018-19_working'!K55+'2018-19_working'!L55</f>
        <v>20</v>
      </c>
      <c r="L55" s="94">
        <f>'2018-19_working'!M55</f>
        <v>0</v>
      </c>
      <c r="M55" s="94">
        <f>'2018-19_working'!N55</f>
        <v>0</v>
      </c>
      <c r="N55" s="94">
        <f>'2018-19_working'!O55</f>
        <v>2</v>
      </c>
      <c r="O55" s="94">
        <f>'2018-19_working'!P55+'2018-19_working'!Q55</f>
        <v>0</v>
      </c>
      <c r="P55" s="94">
        <f>'2018-19_working'!R55</f>
        <v>0</v>
      </c>
      <c r="Q55" s="95">
        <f t="shared" si="4"/>
        <v>9.0909090909090912E-2</v>
      </c>
      <c r="R55" s="95">
        <f t="shared" si="5"/>
        <v>0</v>
      </c>
      <c r="S55" s="94"/>
      <c r="T55" s="94">
        <f t="shared" si="6"/>
        <v>82</v>
      </c>
      <c r="U55" s="94">
        <f t="shared" si="7"/>
        <v>2</v>
      </c>
      <c r="V55" s="94">
        <f t="shared" si="8"/>
        <v>1</v>
      </c>
      <c r="W55" s="94">
        <f t="shared" si="9"/>
        <v>3</v>
      </c>
      <c r="X55" s="94">
        <f t="shared" si="10"/>
        <v>0</v>
      </c>
      <c r="Y55" s="94">
        <f t="shared" si="11"/>
        <v>0</v>
      </c>
      <c r="Z55" s="95">
        <f t="shared" si="12"/>
        <v>6.8181818181818177E-2</v>
      </c>
      <c r="AA55" s="95">
        <f t="shared" si="13"/>
        <v>0</v>
      </c>
      <c r="AB55" s="94"/>
      <c r="AC55" s="94">
        <f>'2018-19_working'!T55+'2018-19_working'!U55</f>
        <v>4</v>
      </c>
      <c r="AD55" s="94">
        <f>'2018-19_working'!V55</f>
        <v>1</v>
      </c>
      <c r="AE55" s="94">
        <f>'2018-19_working'!W55</f>
        <v>0</v>
      </c>
      <c r="AF55" s="94">
        <f>'2018-19_working'!X55</f>
        <v>0</v>
      </c>
      <c r="AG55" s="94">
        <f>'2018-19_working'!Y55+'2018-19_working'!Z55</f>
        <v>0</v>
      </c>
      <c r="AH55" s="94">
        <f>'2018-19_working'!AA55</f>
        <v>0</v>
      </c>
      <c r="AI55" s="95">
        <f t="shared" si="14"/>
        <v>0.2</v>
      </c>
      <c r="AJ55" s="95">
        <f t="shared" si="15"/>
        <v>0</v>
      </c>
      <c r="AK55" s="94"/>
      <c r="AL55" s="94">
        <f>'2018-19_working'!AC55+'2018-19_working'!AD55</f>
        <v>33</v>
      </c>
      <c r="AM55" s="94">
        <f>'2018-19_working'!AE55</f>
        <v>0</v>
      </c>
      <c r="AN55" s="94">
        <f>'2018-19_working'!AF55</f>
        <v>6</v>
      </c>
      <c r="AO55" s="94">
        <f>'2018-19_working'!AG55</f>
        <v>1</v>
      </c>
      <c r="AP55" s="94">
        <f>'2018-19_working'!AH55+'2018-19_working'!AI55</f>
        <v>0</v>
      </c>
      <c r="AQ55" s="94">
        <f>'2018-19_working'!AJ55</f>
        <v>4</v>
      </c>
      <c r="AR55" s="95">
        <f t="shared" si="16"/>
        <v>0.17499999999999999</v>
      </c>
      <c r="AS55" s="95">
        <f t="shared" si="17"/>
        <v>9.0909090909090912E-2</v>
      </c>
      <c r="AT55" s="94"/>
      <c r="AU55" s="94">
        <f t="shared" si="18"/>
        <v>119</v>
      </c>
      <c r="AV55" s="94">
        <f t="shared" si="19"/>
        <v>3</v>
      </c>
      <c r="AW55" s="94">
        <f t="shared" si="20"/>
        <v>7</v>
      </c>
      <c r="AX55" s="94">
        <f t="shared" si="21"/>
        <v>4</v>
      </c>
      <c r="AY55" s="94">
        <f t="shared" si="22"/>
        <v>0</v>
      </c>
      <c r="AZ55" s="94">
        <f t="shared" si="23"/>
        <v>4</v>
      </c>
      <c r="BA55" s="95">
        <f t="shared" si="24"/>
        <v>0.10526315789473684</v>
      </c>
      <c r="BB55" s="95">
        <f t="shared" si="25"/>
        <v>2.9197080291970802E-2</v>
      </c>
    </row>
    <row r="56" spans="1:54" x14ac:dyDescent="0.3">
      <c r="A56" s="8" t="s">
        <v>63</v>
      </c>
      <c r="B56" s="94">
        <f>'2018-19_working'!B56+'2018-19_working'!C56</f>
        <v>377</v>
      </c>
      <c r="C56" s="94">
        <f>'2018-19_working'!D56</f>
        <v>18</v>
      </c>
      <c r="D56" s="94">
        <f>'2018-19_working'!E56</f>
        <v>2</v>
      </c>
      <c r="E56" s="94">
        <f>'2018-19_working'!F56</f>
        <v>11</v>
      </c>
      <c r="F56" s="94">
        <f>'2018-19_working'!G56+'2018-19_working'!H56</f>
        <v>8</v>
      </c>
      <c r="G56" s="94">
        <f>'2018-19_working'!I56</f>
        <v>12</v>
      </c>
      <c r="H56" s="95">
        <f t="shared" si="2"/>
        <v>9.375E-2</v>
      </c>
      <c r="I56" s="95">
        <f t="shared" si="3"/>
        <v>2.8037383177570093E-2</v>
      </c>
      <c r="J56" s="94"/>
      <c r="K56" s="94">
        <f>'2018-19_working'!K56+'2018-19_working'!L56</f>
        <v>0</v>
      </c>
      <c r="L56" s="94">
        <f>'2018-19_working'!M56</f>
        <v>0</v>
      </c>
      <c r="M56" s="94">
        <f>'2018-19_working'!N56</f>
        <v>0</v>
      </c>
      <c r="N56" s="94">
        <f>'2018-19_working'!O56</f>
        <v>0</v>
      </c>
      <c r="O56" s="94">
        <f>'2018-19_working'!P56+'2018-19_working'!Q56</f>
        <v>0</v>
      </c>
      <c r="P56" s="94">
        <f>'2018-19_working'!R56</f>
        <v>0</v>
      </c>
      <c r="Q56" s="95" t="str">
        <f t="shared" si="4"/>
        <v>-</v>
      </c>
      <c r="R56" s="95" t="str">
        <f t="shared" si="5"/>
        <v>-</v>
      </c>
      <c r="S56" s="94"/>
      <c r="T56" s="94">
        <f t="shared" si="6"/>
        <v>377</v>
      </c>
      <c r="U56" s="94">
        <f t="shared" si="7"/>
        <v>18</v>
      </c>
      <c r="V56" s="94">
        <f t="shared" si="8"/>
        <v>2</v>
      </c>
      <c r="W56" s="94">
        <f t="shared" si="9"/>
        <v>11</v>
      </c>
      <c r="X56" s="94">
        <f t="shared" si="10"/>
        <v>8</v>
      </c>
      <c r="Y56" s="94">
        <f t="shared" si="11"/>
        <v>12</v>
      </c>
      <c r="Z56" s="95">
        <f t="shared" si="12"/>
        <v>9.375E-2</v>
      </c>
      <c r="AA56" s="95">
        <f t="shared" si="13"/>
        <v>2.8037383177570093E-2</v>
      </c>
      <c r="AB56" s="94"/>
      <c r="AC56" s="94">
        <f>'2018-19_working'!T56+'2018-19_working'!U56</f>
        <v>5</v>
      </c>
      <c r="AD56" s="94">
        <f>'2018-19_working'!V56</f>
        <v>0</v>
      </c>
      <c r="AE56" s="94">
        <f>'2018-19_working'!W56</f>
        <v>0</v>
      </c>
      <c r="AF56" s="94">
        <f>'2018-19_working'!X56</f>
        <v>0</v>
      </c>
      <c r="AG56" s="94">
        <f>'2018-19_working'!Y56+'2018-19_working'!Z56</f>
        <v>0</v>
      </c>
      <c r="AH56" s="94">
        <f>'2018-19_working'!AA56</f>
        <v>0</v>
      </c>
      <c r="AI56" s="95">
        <f t="shared" si="14"/>
        <v>0</v>
      </c>
      <c r="AJ56" s="95">
        <f t="shared" si="15"/>
        <v>0</v>
      </c>
      <c r="AK56" s="94"/>
      <c r="AL56" s="94">
        <f>'2018-19_working'!AC56+'2018-19_working'!AD56</f>
        <v>70</v>
      </c>
      <c r="AM56" s="94">
        <f>'2018-19_working'!AE56</f>
        <v>4</v>
      </c>
      <c r="AN56" s="94">
        <f>'2018-19_working'!AF56</f>
        <v>7</v>
      </c>
      <c r="AO56" s="94">
        <f>'2018-19_working'!AG56</f>
        <v>14</v>
      </c>
      <c r="AP56" s="94">
        <f>'2018-19_working'!AH56+'2018-19_working'!AI56</f>
        <v>10</v>
      </c>
      <c r="AQ56" s="94">
        <f>'2018-19_working'!AJ56</f>
        <v>3</v>
      </c>
      <c r="AR56" s="95">
        <f t="shared" si="16"/>
        <v>0.33333333333333331</v>
      </c>
      <c r="AS56" s="95">
        <f t="shared" si="17"/>
        <v>2.7777777777777776E-2</v>
      </c>
      <c r="AT56" s="94"/>
      <c r="AU56" s="94">
        <f t="shared" si="18"/>
        <v>452</v>
      </c>
      <c r="AV56" s="94">
        <f t="shared" si="19"/>
        <v>22</v>
      </c>
      <c r="AW56" s="94">
        <f t="shared" si="20"/>
        <v>9</v>
      </c>
      <c r="AX56" s="94">
        <f t="shared" si="21"/>
        <v>25</v>
      </c>
      <c r="AY56" s="94">
        <f t="shared" si="22"/>
        <v>18</v>
      </c>
      <c r="AZ56" s="94">
        <f t="shared" si="23"/>
        <v>15</v>
      </c>
      <c r="BA56" s="95">
        <f t="shared" si="24"/>
        <v>0.14068441064638784</v>
      </c>
      <c r="BB56" s="95">
        <f t="shared" si="25"/>
        <v>2.7726432532347505E-2</v>
      </c>
    </row>
    <row r="58" spans="1:54" x14ac:dyDescent="0.3">
      <c r="A58" s="8" t="s">
        <v>64</v>
      </c>
    </row>
    <row r="59" spans="1:54" x14ac:dyDescent="0.3">
      <c r="A59" s="8" t="s">
        <v>76</v>
      </c>
    </row>
    <row r="61" spans="1:54" x14ac:dyDescent="0.3">
      <c r="A61" s="8" t="s">
        <v>65</v>
      </c>
    </row>
    <row r="62" spans="1:54" x14ac:dyDescent="0.3">
      <c r="A62" s="8" t="s">
        <v>66</v>
      </c>
    </row>
    <row r="64" spans="1:54" x14ac:dyDescent="0.3">
      <c r="A64" s="8" t="s">
        <v>67</v>
      </c>
    </row>
    <row r="65" spans="1:1" x14ac:dyDescent="0.3">
      <c r="A65" s="8" t="s">
        <v>68</v>
      </c>
    </row>
    <row r="67" spans="1:1" x14ac:dyDescent="0.3">
      <c r="A67" s="8" t="s">
        <v>69</v>
      </c>
    </row>
    <row r="69" spans="1:1" x14ac:dyDescent="0.3">
      <c r="A69" s="8" t="s">
        <v>70</v>
      </c>
    </row>
    <row r="70" spans="1:1" x14ac:dyDescent="0.3">
      <c r="A70" s="8" t="s">
        <v>72</v>
      </c>
    </row>
  </sheetData>
  <mergeCells count="1">
    <mergeCell ref="A1:R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86AFA-B8C6-4935-9E58-2E3464DA03BA}">
  <sheetPr codeName="Sheet12"/>
  <dimension ref="A1:BB70"/>
  <sheetViews>
    <sheetView zoomScale="80" zoomScaleNormal="80" workbookViewId="0">
      <selection activeCell="F28" sqref="F28"/>
    </sheetView>
  </sheetViews>
  <sheetFormatPr defaultColWidth="9.21875" defaultRowHeight="14.4" x14ac:dyDescent="0.3"/>
  <cols>
    <col min="1" max="1" width="40.21875" style="8" customWidth="1"/>
    <col min="2" max="16384" width="9.21875" style="8"/>
  </cols>
  <sheetData>
    <row r="1" spans="1:54" customFormat="1" ht="17.399999999999999" x14ac:dyDescent="0.45">
      <c r="A1" s="154" t="s">
        <v>175</v>
      </c>
      <c r="B1" s="154"/>
      <c r="C1" s="154"/>
      <c r="D1" s="154"/>
      <c r="E1" s="154"/>
      <c r="F1" s="154"/>
      <c r="G1" s="154"/>
      <c r="H1" s="154"/>
      <c r="I1" s="154"/>
      <c r="J1" s="154"/>
      <c r="K1" s="154"/>
      <c r="L1" s="154"/>
      <c r="M1" s="154"/>
      <c r="N1" s="154"/>
      <c r="O1" s="154"/>
      <c r="P1" s="154"/>
      <c r="Q1" s="154"/>
      <c r="R1" s="154"/>
    </row>
    <row r="6" spans="1:54" x14ac:dyDescent="0.3">
      <c r="B6" s="8" t="s">
        <v>1</v>
      </c>
      <c r="K6" s="8" t="s">
        <v>84</v>
      </c>
      <c r="T6" s="8" t="s">
        <v>2</v>
      </c>
      <c r="AC6" s="8" t="s">
        <v>3</v>
      </c>
      <c r="AL6" s="8" t="s">
        <v>4</v>
      </c>
      <c r="AU6" s="8" t="s">
        <v>5</v>
      </c>
    </row>
    <row r="7" spans="1:54" ht="65.25" customHeight="1" thickBot="1" x14ac:dyDescent="0.35">
      <c r="A7" s="1" t="s">
        <v>6</v>
      </c>
      <c r="B7" s="93" t="s">
        <v>7</v>
      </c>
      <c r="C7" s="93" t="s">
        <v>8</v>
      </c>
      <c r="D7" s="93" t="s">
        <v>9</v>
      </c>
      <c r="E7" s="93" t="s">
        <v>10</v>
      </c>
      <c r="F7" s="93" t="s">
        <v>11</v>
      </c>
      <c r="G7" s="93" t="s">
        <v>12</v>
      </c>
      <c r="H7" s="93" t="s">
        <v>13</v>
      </c>
      <c r="I7" s="93" t="s">
        <v>14</v>
      </c>
      <c r="J7" s="93"/>
      <c r="K7" s="93" t="s">
        <v>7</v>
      </c>
      <c r="L7" s="93" t="s">
        <v>8</v>
      </c>
      <c r="M7" s="93" t="s">
        <v>9</v>
      </c>
      <c r="N7" s="93" t="s">
        <v>10</v>
      </c>
      <c r="O7" s="93" t="s">
        <v>11</v>
      </c>
      <c r="P7" s="93" t="s">
        <v>12</v>
      </c>
      <c r="Q7" s="93" t="s">
        <v>13</v>
      </c>
      <c r="R7" s="93" t="s">
        <v>14</v>
      </c>
      <c r="S7" s="93"/>
      <c r="T7" s="93" t="s">
        <v>7</v>
      </c>
      <c r="U7" s="93" t="s">
        <v>8</v>
      </c>
      <c r="V7" s="93" t="s">
        <v>9</v>
      </c>
      <c r="W7" s="93" t="s">
        <v>10</v>
      </c>
      <c r="X7" s="93" t="s">
        <v>11</v>
      </c>
      <c r="Y7" s="93" t="s">
        <v>12</v>
      </c>
      <c r="Z7" s="93" t="s">
        <v>13</v>
      </c>
      <c r="AA7" s="93" t="s">
        <v>14</v>
      </c>
      <c r="AB7" s="93"/>
      <c r="AC7" s="93" t="s">
        <v>7</v>
      </c>
      <c r="AD7" s="93" t="s">
        <v>8</v>
      </c>
      <c r="AE7" s="93" t="s">
        <v>9</v>
      </c>
      <c r="AF7" s="93" t="s">
        <v>10</v>
      </c>
      <c r="AG7" s="93" t="s">
        <v>11</v>
      </c>
      <c r="AH7" s="93" t="s">
        <v>12</v>
      </c>
      <c r="AI7" s="93" t="s">
        <v>13</v>
      </c>
      <c r="AJ7" s="93" t="s">
        <v>14</v>
      </c>
      <c r="AK7" s="93"/>
      <c r="AL7" s="93" t="s">
        <v>7</v>
      </c>
      <c r="AM7" s="93" t="s">
        <v>8</v>
      </c>
      <c r="AN7" s="93" t="s">
        <v>9</v>
      </c>
      <c r="AO7" s="93" t="s">
        <v>10</v>
      </c>
      <c r="AP7" s="93" t="s">
        <v>11</v>
      </c>
      <c r="AQ7" s="93" t="s">
        <v>12</v>
      </c>
      <c r="AR7" s="93" t="s">
        <v>13</v>
      </c>
      <c r="AS7" s="93" t="s">
        <v>14</v>
      </c>
      <c r="AT7" s="93"/>
      <c r="AU7" s="93" t="s">
        <v>7</v>
      </c>
      <c r="AV7" s="93" t="s">
        <v>8</v>
      </c>
      <c r="AW7" s="93" t="s">
        <v>9</v>
      </c>
      <c r="AX7" s="93" t="s">
        <v>10</v>
      </c>
      <c r="AY7" s="93" t="s">
        <v>11</v>
      </c>
      <c r="AZ7" s="93" t="s">
        <v>12</v>
      </c>
      <c r="BA7" s="93" t="s">
        <v>13</v>
      </c>
      <c r="BB7" s="93" t="s">
        <v>14</v>
      </c>
    </row>
    <row r="8" spans="1:54" x14ac:dyDescent="0.3">
      <c r="A8" s="8" t="s">
        <v>15</v>
      </c>
      <c r="B8" s="94">
        <f>'2019-20_working'!B8+'2019-20_working'!C8</f>
        <v>958</v>
      </c>
      <c r="C8" s="94">
        <f>'2019-20_working'!D8</f>
        <v>51</v>
      </c>
      <c r="D8" s="94">
        <f>'2019-20_working'!E8</f>
        <v>10</v>
      </c>
      <c r="E8" s="94">
        <f>'2019-20_working'!F8</f>
        <v>24</v>
      </c>
      <c r="F8" s="94">
        <f>'2019-20_working'!G8+'2019-20_working'!H8</f>
        <v>14</v>
      </c>
      <c r="G8" s="94">
        <f>'2019-20_working'!I8</f>
        <v>175</v>
      </c>
      <c r="H8" s="95">
        <f>IF(SUM(B8:F8)=0,"-",(SUM(C8:F8)/SUM(B8:F8)))</f>
        <v>9.3661305581835386E-2</v>
      </c>
      <c r="I8" s="95">
        <f>IF(SUM(B8:G8)=0,"-",(G8/SUM(B8:G8)))</f>
        <v>0.14204545454545456</v>
      </c>
      <c r="J8" s="94"/>
      <c r="K8" s="94">
        <f>'2019-20_working'!K8+'2019-20_working'!L8</f>
        <v>1139</v>
      </c>
      <c r="L8" s="94">
        <f>'2019-20_working'!M8</f>
        <v>10</v>
      </c>
      <c r="M8" s="94">
        <f>'2019-20_working'!N8</f>
        <v>3</v>
      </c>
      <c r="N8" s="94">
        <f>'2019-20_working'!O8</f>
        <v>5</v>
      </c>
      <c r="O8" s="94">
        <f>'2019-20_working'!P8+'2019-20_working'!Q8</f>
        <v>6</v>
      </c>
      <c r="P8" s="94">
        <f>'2019-20_working'!R8</f>
        <v>450</v>
      </c>
      <c r="Q8" s="95">
        <f>IF(SUM(K8:O8)=0,"-",(SUM(L8:O8)/SUM(K8:O8)))</f>
        <v>2.063628546861565E-2</v>
      </c>
      <c r="R8" s="95">
        <f>IF(SUM(K8:P8)=0,"-",(P8/SUM(K8:P8)))</f>
        <v>0.27898326100433973</v>
      </c>
      <c r="S8" s="94"/>
      <c r="T8" s="94">
        <f t="shared" ref="T8:Y23" si="0">B8+K8</f>
        <v>2097</v>
      </c>
      <c r="U8" s="94">
        <f t="shared" si="0"/>
        <v>61</v>
      </c>
      <c r="V8" s="94">
        <f t="shared" si="0"/>
        <v>13</v>
      </c>
      <c r="W8" s="94">
        <f t="shared" si="0"/>
        <v>29</v>
      </c>
      <c r="X8" s="94">
        <f t="shared" si="0"/>
        <v>20</v>
      </c>
      <c r="Y8" s="94">
        <f t="shared" si="0"/>
        <v>625</v>
      </c>
      <c r="Z8" s="95">
        <f>IF(SUM(T8:X8)=0,"-",(SUM(U8:X8)/SUM(T8:X8)))</f>
        <v>5.5405405405405408E-2</v>
      </c>
      <c r="AA8" s="95">
        <f>IF(SUM(T8:Y8)=0,"-",(Y8/SUM(T8:Y8)))</f>
        <v>0.21968365553602812</v>
      </c>
      <c r="AB8" s="94"/>
      <c r="AC8" s="94">
        <f>'2019-20_working'!T8+'2019-20_working'!U8</f>
        <v>101</v>
      </c>
      <c r="AD8" s="94">
        <f>'2019-20_working'!V8</f>
        <v>1</v>
      </c>
      <c r="AE8" s="94">
        <f>'2019-20_working'!W8</f>
        <v>1</v>
      </c>
      <c r="AF8" s="94">
        <f>'2019-20_working'!X8</f>
        <v>1</v>
      </c>
      <c r="AG8" s="94">
        <f>'2019-20_working'!Y8+'2019-20_working'!Z8</f>
        <v>1</v>
      </c>
      <c r="AH8" s="94">
        <f>'2019-20_working'!AA8</f>
        <v>14</v>
      </c>
      <c r="AI8" s="95">
        <f>IF(SUM(AC8:AG8)=0,"-",(SUM(AD8:AG8)/SUM(AC8:AG8)))</f>
        <v>3.8095238095238099E-2</v>
      </c>
      <c r="AJ8" s="95">
        <f>IF(SUM(AC8:AH8)=0,"-",(AH8/SUM(AC8:AH8)))</f>
        <v>0.11764705882352941</v>
      </c>
      <c r="AK8" s="94"/>
      <c r="AL8" s="94">
        <f>'2019-20_working'!AC8+'2019-20_working'!AD8</f>
        <v>749</v>
      </c>
      <c r="AM8" s="94">
        <f>'2019-20_working'!AE8</f>
        <v>16</v>
      </c>
      <c r="AN8" s="94">
        <f>'2019-20_working'!AF8</f>
        <v>26</v>
      </c>
      <c r="AO8" s="94">
        <f>'2019-20_working'!AG8</f>
        <v>28</v>
      </c>
      <c r="AP8" s="94">
        <f>'2019-20_working'!AH8+'2019-20_working'!AI8</f>
        <v>6</v>
      </c>
      <c r="AQ8" s="94">
        <f>'2019-20_working'!AJ8</f>
        <v>259</v>
      </c>
      <c r="AR8" s="95">
        <f>IF(SUM(AL8:AP8)=0,"-",(SUM(AM8:AP8)/SUM(AL8:AP8)))</f>
        <v>9.2121212121212118E-2</v>
      </c>
      <c r="AS8" s="95">
        <f>IF(SUM(AL8:AQ8)=0,"-",(AQ8/SUM(AL8:AQ8)))</f>
        <v>0.238929889298893</v>
      </c>
      <c r="AT8" s="94"/>
      <c r="AU8" s="94">
        <f t="shared" ref="AU8:AZ23" si="1">T8+AC8+AL8</f>
        <v>2947</v>
      </c>
      <c r="AV8" s="94">
        <f t="shared" si="1"/>
        <v>78</v>
      </c>
      <c r="AW8" s="94">
        <f t="shared" si="1"/>
        <v>40</v>
      </c>
      <c r="AX8" s="94">
        <f t="shared" si="1"/>
        <v>58</v>
      </c>
      <c r="AY8" s="94">
        <f t="shared" si="1"/>
        <v>27</v>
      </c>
      <c r="AZ8" s="94">
        <f t="shared" si="1"/>
        <v>898</v>
      </c>
      <c r="BA8" s="95">
        <f>IF(SUM(AU8:AY8)=0,"-",(SUM(AV8:AY8)/SUM(AU8:AY8)))</f>
        <v>6.4444444444444443E-2</v>
      </c>
      <c r="BB8" s="95">
        <f>IF(SUM(AU8:AZ8)=0,"-",(AZ8/SUM(AU8:AZ8)))</f>
        <v>0.22183794466403162</v>
      </c>
    </row>
    <row r="9" spans="1:54" x14ac:dyDescent="0.3">
      <c r="A9" s="8" t="s">
        <v>16</v>
      </c>
      <c r="B9" s="94">
        <f>'2019-20_working'!B9+'2019-20_working'!C9</f>
        <v>497</v>
      </c>
      <c r="C9" s="94">
        <f>'2019-20_working'!D9</f>
        <v>20</v>
      </c>
      <c r="D9" s="94">
        <f>'2019-20_working'!E9</f>
        <v>3</v>
      </c>
      <c r="E9" s="94">
        <f>'2019-20_working'!F9</f>
        <v>4</v>
      </c>
      <c r="F9" s="94">
        <f>'2019-20_working'!G9+'2019-20_working'!H9</f>
        <v>2</v>
      </c>
      <c r="G9" s="94">
        <f>'2019-20_working'!I9</f>
        <v>140</v>
      </c>
      <c r="H9" s="95">
        <f t="shared" ref="H9:H56" si="2">IF(SUM(B9:F9)=0,"-",(SUM(C9:F9)/SUM(B9:F9)))</f>
        <v>5.5133079847908745E-2</v>
      </c>
      <c r="I9" s="95">
        <f t="shared" ref="I9:I56" si="3">IF(SUM(B9:G9)=0,"-",(G9/SUM(B9:G9)))</f>
        <v>0.21021021021021022</v>
      </c>
      <c r="J9" s="94"/>
      <c r="K9" s="94">
        <f>'2019-20_working'!K9+'2019-20_working'!L9</f>
        <v>1065</v>
      </c>
      <c r="L9" s="94">
        <f>'2019-20_working'!M9</f>
        <v>9</v>
      </c>
      <c r="M9" s="94">
        <f>'2019-20_working'!N9</f>
        <v>3</v>
      </c>
      <c r="N9" s="94">
        <f>'2019-20_working'!O9</f>
        <v>5</v>
      </c>
      <c r="O9" s="94">
        <f>'2019-20_working'!P9+'2019-20_working'!Q9</f>
        <v>6</v>
      </c>
      <c r="P9" s="94">
        <f>'2019-20_working'!R9</f>
        <v>446</v>
      </c>
      <c r="Q9" s="95">
        <f t="shared" ref="Q9:Q56" si="4">IF(SUM(K9:O9)=0,"-",(SUM(L9:O9)/SUM(K9:O9)))</f>
        <v>2.1139705882352942E-2</v>
      </c>
      <c r="R9" s="95">
        <f t="shared" ref="R9:R56" si="5">IF(SUM(K9:P9)=0,"-",(P9/SUM(K9:P9)))</f>
        <v>0.29074315514993482</v>
      </c>
      <c r="S9" s="94"/>
      <c r="T9" s="94">
        <f t="shared" si="0"/>
        <v>1562</v>
      </c>
      <c r="U9" s="94">
        <f t="shared" si="0"/>
        <v>29</v>
      </c>
      <c r="V9" s="94">
        <f t="shared" si="0"/>
        <v>6</v>
      </c>
      <c r="W9" s="94">
        <f t="shared" si="0"/>
        <v>9</v>
      </c>
      <c r="X9" s="94">
        <f t="shared" si="0"/>
        <v>8</v>
      </c>
      <c r="Y9" s="94">
        <f t="shared" si="0"/>
        <v>586</v>
      </c>
      <c r="Z9" s="95">
        <f t="shared" ref="Z9:Z56" si="6">IF(SUM(T9:X9)=0,"-",(SUM(U9:X9)/SUM(T9:X9)))</f>
        <v>3.2218091697645598E-2</v>
      </c>
      <c r="AA9" s="95">
        <f t="shared" ref="AA9:AA56" si="7">IF(SUM(T9:Y9)=0,"-",(Y9/SUM(T9:Y9)))</f>
        <v>0.26636363636363636</v>
      </c>
      <c r="AB9" s="94"/>
      <c r="AC9" s="94">
        <f>'2019-20_working'!T9+'2019-20_working'!U9</f>
        <v>76</v>
      </c>
      <c r="AD9" s="94">
        <f>'2019-20_working'!V9</f>
        <v>0</v>
      </c>
      <c r="AE9" s="94">
        <f>'2019-20_working'!W9</f>
        <v>1</v>
      </c>
      <c r="AF9" s="94">
        <f>'2019-20_working'!X9</f>
        <v>0</v>
      </c>
      <c r="AG9" s="94">
        <f>'2019-20_working'!Y9+'2019-20_working'!Z9</f>
        <v>0</v>
      </c>
      <c r="AH9" s="94">
        <f>'2019-20_working'!AA9</f>
        <v>11</v>
      </c>
      <c r="AI9" s="95">
        <f t="shared" ref="AI9:AI56" si="8">IF(SUM(AC9:AG9)=0,"-",(SUM(AD9:AG9)/SUM(AC9:AG9)))</f>
        <v>1.2987012987012988E-2</v>
      </c>
      <c r="AJ9" s="95">
        <f t="shared" ref="AJ9:AJ56" si="9">IF(SUM(AC9:AH9)=0,"-",(AH9/SUM(AC9:AH9)))</f>
        <v>0.125</v>
      </c>
      <c r="AK9" s="94"/>
      <c r="AL9" s="94">
        <f>'2019-20_working'!AC9+'2019-20_working'!AD9</f>
        <v>567</v>
      </c>
      <c r="AM9" s="94">
        <f>'2019-20_working'!AE9</f>
        <v>11</v>
      </c>
      <c r="AN9" s="94">
        <f>'2019-20_working'!AF9</f>
        <v>12</v>
      </c>
      <c r="AO9" s="94">
        <f>'2019-20_working'!AG9</f>
        <v>9</v>
      </c>
      <c r="AP9" s="94">
        <f>'2019-20_working'!AH9+'2019-20_working'!AI9</f>
        <v>2</v>
      </c>
      <c r="AQ9" s="94">
        <f>'2019-20_working'!AJ9</f>
        <v>237</v>
      </c>
      <c r="AR9" s="95">
        <f t="shared" ref="AR9:AR56" si="10">IF(SUM(AL9:AP9)=0,"-",(SUM(AM9:AP9)/SUM(AL9:AP9)))</f>
        <v>5.6572379367720464E-2</v>
      </c>
      <c r="AS9" s="95">
        <f t="shared" ref="AS9:AS56" si="11">IF(SUM(AL9:AQ9)=0,"-",(AQ9/SUM(AL9:AQ9)))</f>
        <v>0.28281622911694509</v>
      </c>
      <c r="AT9" s="94"/>
      <c r="AU9" s="94">
        <f t="shared" si="1"/>
        <v>2205</v>
      </c>
      <c r="AV9" s="94">
        <f t="shared" si="1"/>
        <v>40</v>
      </c>
      <c r="AW9" s="94">
        <f t="shared" si="1"/>
        <v>19</v>
      </c>
      <c r="AX9" s="94">
        <f t="shared" si="1"/>
        <v>18</v>
      </c>
      <c r="AY9" s="94">
        <f t="shared" si="1"/>
        <v>10</v>
      </c>
      <c r="AZ9" s="94">
        <f t="shared" si="1"/>
        <v>834</v>
      </c>
      <c r="BA9" s="95">
        <f t="shared" ref="BA9:BA56" si="12">IF(SUM(AU9:AY9)=0,"-",(SUM(AV9:AY9)/SUM(AU9:AY9)))</f>
        <v>3.7958115183246072E-2</v>
      </c>
      <c r="BB9" s="95">
        <f t="shared" ref="BB9:BB56" si="13">IF(SUM(AU9:AZ9)=0,"-",(AZ9/SUM(AU9:AZ9)))</f>
        <v>0.2667946257197697</v>
      </c>
    </row>
    <row r="10" spans="1:54" x14ac:dyDescent="0.3">
      <c r="A10" s="8" t="s">
        <v>17</v>
      </c>
      <c r="B10" s="94">
        <f>'2019-20_working'!B10+'2019-20_working'!C10</f>
        <v>18</v>
      </c>
      <c r="C10" s="94">
        <f>'2019-20_working'!D10</f>
        <v>0</v>
      </c>
      <c r="D10" s="94">
        <f>'2019-20_working'!E10</f>
        <v>0</v>
      </c>
      <c r="E10" s="94">
        <f>'2019-20_working'!F10</f>
        <v>0</v>
      </c>
      <c r="F10" s="94">
        <f>'2019-20_working'!G10+'2019-20_working'!H10</f>
        <v>0</v>
      </c>
      <c r="G10" s="94">
        <f>'2019-20_working'!I10</f>
        <v>0</v>
      </c>
      <c r="H10" s="95">
        <f t="shared" si="2"/>
        <v>0</v>
      </c>
      <c r="I10" s="95">
        <f t="shared" si="3"/>
        <v>0</v>
      </c>
      <c r="J10" s="94"/>
      <c r="K10" s="94">
        <f>'2019-20_working'!K10+'2019-20_working'!L10</f>
        <v>16</v>
      </c>
      <c r="L10" s="94">
        <f>'2019-20_working'!M10</f>
        <v>0</v>
      </c>
      <c r="M10" s="94">
        <f>'2019-20_working'!N10</f>
        <v>0</v>
      </c>
      <c r="N10" s="94">
        <f>'2019-20_working'!O10</f>
        <v>0</v>
      </c>
      <c r="O10" s="94">
        <f>'2019-20_working'!P10+'2019-20_working'!Q10</f>
        <v>0</v>
      </c>
      <c r="P10" s="94">
        <f>'2019-20_working'!R10</f>
        <v>9</v>
      </c>
      <c r="Q10" s="95">
        <f t="shared" si="4"/>
        <v>0</v>
      </c>
      <c r="R10" s="95">
        <f t="shared" si="5"/>
        <v>0.36</v>
      </c>
      <c r="S10" s="94"/>
      <c r="T10" s="94">
        <f t="shared" si="0"/>
        <v>34</v>
      </c>
      <c r="U10" s="94">
        <f t="shared" si="0"/>
        <v>0</v>
      </c>
      <c r="V10" s="94">
        <f t="shared" si="0"/>
        <v>0</v>
      </c>
      <c r="W10" s="94">
        <f t="shared" si="0"/>
        <v>0</v>
      </c>
      <c r="X10" s="94">
        <f t="shared" si="0"/>
        <v>0</v>
      </c>
      <c r="Y10" s="94">
        <f t="shared" si="0"/>
        <v>9</v>
      </c>
      <c r="Z10" s="95">
        <f t="shared" si="6"/>
        <v>0</v>
      </c>
      <c r="AA10" s="95">
        <f t="shared" si="7"/>
        <v>0.20930232558139536</v>
      </c>
      <c r="AB10" s="94"/>
      <c r="AC10" s="94">
        <f>'2019-20_working'!T10+'2019-20_working'!U10</f>
        <v>4</v>
      </c>
      <c r="AD10" s="94">
        <f>'2019-20_working'!V10</f>
        <v>0</v>
      </c>
      <c r="AE10" s="94">
        <f>'2019-20_working'!W10</f>
        <v>0</v>
      </c>
      <c r="AF10" s="94">
        <f>'2019-20_working'!X10</f>
        <v>0</v>
      </c>
      <c r="AG10" s="94">
        <f>'2019-20_working'!Y10+'2019-20_working'!Z10</f>
        <v>0</v>
      </c>
      <c r="AH10" s="94">
        <f>'2019-20_working'!AA10</f>
        <v>0</v>
      </c>
      <c r="AI10" s="95">
        <f t="shared" si="8"/>
        <v>0</v>
      </c>
      <c r="AJ10" s="95">
        <f t="shared" si="9"/>
        <v>0</v>
      </c>
      <c r="AK10" s="94"/>
      <c r="AL10" s="94">
        <f>'2019-20_working'!AC10+'2019-20_working'!AD10</f>
        <v>22</v>
      </c>
      <c r="AM10" s="94">
        <f>'2019-20_working'!AE10</f>
        <v>1</v>
      </c>
      <c r="AN10" s="94">
        <f>'2019-20_working'!AF10</f>
        <v>0</v>
      </c>
      <c r="AO10" s="94">
        <f>'2019-20_working'!AG10</f>
        <v>0</v>
      </c>
      <c r="AP10" s="94">
        <f>'2019-20_working'!AH10+'2019-20_working'!AI10</f>
        <v>0</v>
      </c>
      <c r="AQ10" s="94">
        <f>'2019-20_working'!AJ10</f>
        <v>8</v>
      </c>
      <c r="AR10" s="95">
        <f t="shared" si="10"/>
        <v>4.3478260869565216E-2</v>
      </c>
      <c r="AS10" s="95">
        <f t="shared" si="11"/>
        <v>0.25806451612903225</v>
      </c>
      <c r="AT10" s="94"/>
      <c r="AU10" s="94">
        <f t="shared" si="1"/>
        <v>60</v>
      </c>
      <c r="AV10" s="94">
        <f t="shared" si="1"/>
        <v>1</v>
      </c>
      <c r="AW10" s="94">
        <f t="shared" si="1"/>
        <v>0</v>
      </c>
      <c r="AX10" s="94">
        <f t="shared" si="1"/>
        <v>0</v>
      </c>
      <c r="AY10" s="94">
        <f t="shared" si="1"/>
        <v>0</v>
      </c>
      <c r="AZ10" s="94">
        <f t="shared" si="1"/>
        <v>17</v>
      </c>
      <c r="BA10" s="95">
        <f t="shared" si="12"/>
        <v>1.6393442622950821E-2</v>
      </c>
      <c r="BB10" s="95">
        <f t="shared" si="13"/>
        <v>0.21794871794871795</v>
      </c>
    </row>
    <row r="11" spans="1:54" x14ac:dyDescent="0.3">
      <c r="A11" s="8" t="s">
        <v>18</v>
      </c>
      <c r="B11" s="94">
        <f>'2019-20_working'!B11+'2019-20_working'!C11</f>
        <v>20</v>
      </c>
      <c r="C11" s="94">
        <f>'2019-20_working'!D11</f>
        <v>0</v>
      </c>
      <c r="D11" s="94">
        <f>'2019-20_working'!E11</f>
        <v>1</v>
      </c>
      <c r="E11" s="94">
        <f>'2019-20_working'!F11</f>
        <v>0</v>
      </c>
      <c r="F11" s="94">
        <f>'2019-20_working'!G11+'2019-20_working'!H11</f>
        <v>0</v>
      </c>
      <c r="G11" s="94">
        <f>'2019-20_working'!I11</f>
        <v>0</v>
      </c>
      <c r="H11" s="95">
        <f t="shared" si="2"/>
        <v>4.7619047619047616E-2</v>
      </c>
      <c r="I11" s="95">
        <f t="shared" si="3"/>
        <v>0</v>
      </c>
      <c r="J11" s="94"/>
      <c r="K11" s="94">
        <f>'2019-20_working'!K11+'2019-20_working'!L11</f>
        <v>23</v>
      </c>
      <c r="L11" s="94">
        <f>'2019-20_working'!M11</f>
        <v>0</v>
      </c>
      <c r="M11" s="94">
        <f>'2019-20_working'!N11</f>
        <v>0</v>
      </c>
      <c r="N11" s="94">
        <f>'2019-20_working'!O11</f>
        <v>1</v>
      </c>
      <c r="O11" s="94">
        <f>'2019-20_working'!P11+'2019-20_working'!Q11</f>
        <v>0</v>
      </c>
      <c r="P11" s="94">
        <f>'2019-20_working'!R11</f>
        <v>2</v>
      </c>
      <c r="Q11" s="95">
        <f t="shared" si="4"/>
        <v>4.1666666666666664E-2</v>
      </c>
      <c r="R11" s="95">
        <f t="shared" si="5"/>
        <v>7.6923076923076927E-2</v>
      </c>
      <c r="S11" s="94"/>
      <c r="T11" s="94">
        <f t="shared" si="0"/>
        <v>43</v>
      </c>
      <c r="U11" s="94">
        <f t="shared" si="0"/>
        <v>0</v>
      </c>
      <c r="V11" s="94">
        <f t="shared" si="0"/>
        <v>1</v>
      </c>
      <c r="W11" s="94">
        <f t="shared" si="0"/>
        <v>1</v>
      </c>
      <c r="X11" s="94">
        <f t="shared" si="0"/>
        <v>0</v>
      </c>
      <c r="Y11" s="94">
        <f t="shared" si="0"/>
        <v>2</v>
      </c>
      <c r="Z11" s="95">
        <f t="shared" si="6"/>
        <v>4.4444444444444446E-2</v>
      </c>
      <c r="AA11" s="95">
        <f t="shared" si="7"/>
        <v>4.2553191489361701E-2</v>
      </c>
      <c r="AB11" s="94"/>
      <c r="AC11" s="94">
        <f>'2019-20_working'!T11+'2019-20_working'!U11</f>
        <v>2</v>
      </c>
      <c r="AD11" s="94">
        <f>'2019-20_working'!V11</f>
        <v>0</v>
      </c>
      <c r="AE11" s="94">
        <f>'2019-20_working'!W11</f>
        <v>0</v>
      </c>
      <c r="AF11" s="94">
        <f>'2019-20_working'!X11</f>
        <v>0</v>
      </c>
      <c r="AG11" s="94">
        <f>'2019-20_working'!Y11+'2019-20_working'!Z11</f>
        <v>0</v>
      </c>
      <c r="AH11" s="94">
        <f>'2019-20_working'!AA11</f>
        <v>1</v>
      </c>
      <c r="AI11" s="95">
        <f t="shared" si="8"/>
        <v>0</v>
      </c>
      <c r="AJ11" s="95">
        <f t="shared" si="9"/>
        <v>0.33333333333333331</v>
      </c>
      <c r="AK11" s="94"/>
      <c r="AL11" s="94">
        <f>'2019-20_working'!AC11+'2019-20_working'!AD11</f>
        <v>16</v>
      </c>
      <c r="AM11" s="94">
        <f>'2019-20_working'!AE11</f>
        <v>0</v>
      </c>
      <c r="AN11" s="94">
        <f>'2019-20_working'!AF11</f>
        <v>1</v>
      </c>
      <c r="AO11" s="94">
        <f>'2019-20_working'!AG11</f>
        <v>2</v>
      </c>
      <c r="AP11" s="94">
        <f>'2019-20_working'!AH11+'2019-20_working'!AI11</f>
        <v>0</v>
      </c>
      <c r="AQ11" s="94">
        <f>'2019-20_working'!AJ11</f>
        <v>1</v>
      </c>
      <c r="AR11" s="95">
        <f t="shared" si="10"/>
        <v>0.15789473684210525</v>
      </c>
      <c r="AS11" s="95">
        <f t="shared" si="11"/>
        <v>0.05</v>
      </c>
      <c r="AT11" s="94"/>
      <c r="AU11" s="94">
        <f t="shared" si="1"/>
        <v>61</v>
      </c>
      <c r="AV11" s="94">
        <f t="shared" si="1"/>
        <v>0</v>
      </c>
      <c r="AW11" s="94">
        <f t="shared" si="1"/>
        <v>2</v>
      </c>
      <c r="AX11" s="94">
        <f t="shared" si="1"/>
        <v>3</v>
      </c>
      <c r="AY11" s="94">
        <f t="shared" si="1"/>
        <v>0</v>
      </c>
      <c r="AZ11" s="94">
        <f t="shared" si="1"/>
        <v>4</v>
      </c>
      <c r="BA11" s="95">
        <f t="shared" si="12"/>
        <v>7.575757575757576E-2</v>
      </c>
      <c r="BB11" s="95">
        <f t="shared" si="13"/>
        <v>5.7142857142857141E-2</v>
      </c>
    </row>
    <row r="12" spans="1:54" x14ac:dyDescent="0.3">
      <c r="A12" s="8" t="s">
        <v>19</v>
      </c>
      <c r="B12" s="94">
        <f>'2019-20_working'!B12+'2019-20_working'!C12</f>
        <v>22</v>
      </c>
      <c r="C12" s="94">
        <f>'2019-20_working'!D12</f>
        <v>1</v>
      </c>
      <c r="D12" s="94">
        <f>'2019-20_working'!E12</f>
        <v>0</v>
      </c>
      <c r="E12" s="94">
        <f>'2019-20_working'!F12</f>
        <v>0</v>
      </c>
      <c r="F12" s="94">
        <f>'2019-20_working'!G12+'2019-20_working'!H12</f>
        <v>0</v>
      </c>
      <c r="G12" s="94">
        <f>'2019-20_working'!I12</f>
        <v>0</v>
      </c>
      <c r="H12" s="95">
        <f t="shared" si="2"/>
        <v>4.3478260869565216E-2</v>
      </c>
      <c r="I12" s="95">
        <f t="shared" si="3"/>
        <v>0</v>
      </c>
      <c r="J12" s="94"/>
      <c r="K12" s="94">
        <f>'2019-20_working'!K12+'2019-20_working'!L12</f>
        <v>13</v>
      </c>
      <c r="L12" s="94">
        <f>'2019-20_working'!M12</f>
        <v>0</v>
      </c>
      <c r="M12" s="94">
        <f>'2019-20_working'!N12</f>
        <v>0</v>
      </c>
      <c r="N12" s="94">
        <f>'2019-20_working'!O12</f>
        <v>0</v>
      </c>
      <c r="O12" s="94">
        <f>'2019-20_working'!P12+'2019-20_working'!Q12</f>
        <v>0</v>
      </c>
      <c r="P12" s="94">
        <f>'2019-20_working'!R12</f>
        <v>0</v>
      </c>
      <c r="Q12" s="95">
        <f t="shared" si="4"/>
        <v>0</v>
      </c>
      <c r="R12" s="95">
        <f t="shared" si="5"/>
        <v>0</v>
      </c>
      <c r="S12" s="94"/>
      <c r="T12" s="94">
        <f t="shared" si="0"/>
        <v>35</v>
      </c>
      <c r="U12" s="94">
        <f t="shared" si="0"/>
        <v>1</v>
      </c>
      <c r="V12" s="94">
        <f t="shared" si="0"/>
        <v>0</v>
      </c>
      <c r="W12" s="94">
        <f t="shared" si="0"/>
        <v>0</v>
      </c>
      <c r="X12" s="94">
        <f t="shared" si="0"/>
        <v>0</v>
      </c>
      <c r="Y12" s="94">
        <f t="shared" si="0"/>
        <v>0</v>
      </c>
      <c r="Z12" s="95">
        <f t="shared" si="6"/>
        <v>2.7777777777777776E-2</v>
      </c>
      <c r="AA12" s="95">
        <f t="shared" si="7"/>
        <v>0</v>
      </c>
      <c r="AB12" s="94"/>
      <c r="AC12" s="94">
        <f>'2019-20_working'!T12+'2019-20_working'!U12</f>
        <v>2</v>
      </c>
      <c r="AD12" s="94">
        <f>'2019-20_working'!V12</f>
        <v>0</v>
      </c>
      <c r="AE12" s="94">
        <f>'2019-20_working'!W12</f>
        <v>0</v>
      </c>
      <c r="AF12" s="94">
        <f>'2019-20_working'!X12</f>
        <v>0</v>
      </c>
      <c r="AG12" s="94">
        <f>'2019-20_working'!Y12+'2019-20_working'!Z12</f>
        <v>0</v>
      </c>
      <c r="AH12" s="94">
        <f>'2019-20_working'!AA12</f>
        <v>1</v>
      </c>
      <c r="AI12" s="95">
        <f t="shared" si="8"/>
        <v>0</v>
      </c>
      <c r="AJ12" s="95">
        <f t="shared" si="9"/>
        <v>0.33333333333333331</v>
      </c>
      <c r="AK12" s="94"/>
      <c r="AL12" s="94">
        <f>'2019-20_working'!AC12+'2019-20_working'!AD12</f>
        <v>26</v>
      </c>
      <c r="AM12" s="94">
        <f>'2019-20_working'!AE12</f>
        <v>0</v>
      </c>
      <c r="AN12" s="94">
        <f>'2019-20_working'!AF12</f>
        <v>1</v>
      </c>
      <c r="AO12" s="94">
        <f>'2019-20_working'!AG12</f>
        <v>1</v>
      </c>
      <c r="AP12" s="94">
        <f>'2019-20_working'!AH12+'2019-20_working'!AI12</f>
        <v>0</v>
      </c>
      <c r="AQ12" s="94">
        <f>'2019-20_working'!AJ12</f>
        <v>0</v>
      </c>
      <c r="AR12" s="95">
        <f t="shared" si="10"/>
        <v>7.1428571428571425E-2</v>
      </c>
      <c r="AS12" s="95">
        <f t="shared" si="11"/>
        <v>0</v>
      </c>
      <c r="AT12" s="94"/>
      <c r="AU12" s="94">
        <f t="shared" si="1"/>
        <v>63</v>
      </c>
      <c r="AV12" s="94">
        <f t="shared" si="1"/>
        <v>1</v>
      </c>
      <c r="AW12" s="94">
        <f t="shared" si="1"/>
        <v>1</v>
      </c>
      <c r="AX12" s="94">
        <f t="shared" si="1"/>
        <v>1</v>
      </c>
      <c r="AY12" s="94">
        <f t="shared" si="1"/>
        <v>0</v>
      </c>
      <c r="AZ12" s="94">
        <f t="shared" si="1"/>
        <v>1</v>
      </c>
      <c r="BA12" s="95">
        <f t="shared" si="12"/>
        <v>4.5454545454545456E-2</v>
      </c>
      <c r="BB12" s="95">
        <f t="shared" si="13"/>
        <v>1.4925373134328358E-2</v>
      </c>
    </row>
    <row r="13" spans="1:54" x14ac:dyDescent="0.3">
      <c r="A13" s="8" t="s">
        <v>20</v>
      </c>
      <c r="B13" s="94">
        <f>'2019-20_working'!B13+'2019-20_working'!C13</f>
        <v>17</v>
      </c>
      <c r="C13" s="94">
        <f>'2019-20_working'!D13</f>
        <v>0</v>
      </c>
      <c r="D13" s="94">
        <f>'2019-20_working'!E13</f>
        <v>0</v>
      </c>
      <c r="E13" s="94">
        <f>'2019-20_working'!F13</f>
        <v>0</v>
      </c>
      <c r="F13" s="94">
        <f>'2019-20_working'!G13+'2019-20_working'!H13</f>
        <v>0</v>
      </c>
      <c r="G13" s="94">
        <f>'2019-20_working'!I13</f>
        <v>4</v>
      </c>
      <c r="H13" s="95">
        <f t="shared" si="2"/>
        <v>0</v>
      </c>
      <c r="I13" s="95">
        <f t="shared" si="3"/>
        <v>0.19047619047619047</v>
      </c>
      <c r="J13" s="94"/>
      <c r="K13" s="94">
        <f>'2019-20_working'!K13+'2019-20_working'!L13</f>
        <v>19</v>
      </c>
      <c r="L13" s="94">
        <f>'2019-20_working'!M13</f>
        <v>0</v>
      </c>
      <c r="M13" s="94">
        <f>'2019-20_working'!N13</f>
        <v>0</v>
      </c>
      <c r="N13" s="94">
        <f>'2019-20_working'!O13</f>
        <v>0</v>
      </c>
      <c r="O13" s="94">
        <f>'2019-20_working'!P13+'2019-20_working'!Q13</f>
        <v>0</v>
      </c>
      <c r="P13" s="94">
        <f>'2019-20_working'!R13</f>
        <v>2</v>
      </c>
      <c r="Q13" s="95">
        <f t="shared" si="4"/>
        <v>0</v>
      </c>
      <c r="R13" s="95">
        <f t="shared" si="5"/>
        <v>9.5238095238095233E-2</v>
      </c>
      <c r="S13" s="94"/>
      <c r="T13" s="94">
        <f t="shared" si="0"/>
        <v>36</v>
      </c>
      <c r="U13" s="94">
        <f t="shared" si="0"/>
        <v>0</v>
      </c>
      <c r="V13" s="94">
        <f t="shared" si="0"/>
        <v>0</v>
      </c>
      <c r="W13" s="94">
        <f t="shared" si="0"/>
        <v>0</v>
      </c>
      <c r="X13" s="94">
        <f t="shared" si="0"/>
        <v>0</v>
      </c>
      <c r="Y13" s="94">
        <f t="shared" si="0"/>
        <v>6</v>
      </c>
      <c r="Z13" s="95">
        <f t="shared" si="6"/>
        <v>0</v>
      </c>
      <c r="AA13" s="95">
        <f t="shared" si="7"/>
        <v>0.14285714285714285</v>
      </c>
      <c r="AB13" s="94"/>
      <c r="AC13" s="94">
        <f>'2019-20_working'!T13+'2019-20_working'!U13</f>
        <v>0</v>
      </c>
      <c r="AD13" s="94">
        <f>'2019-20_working'!V13</f>
        <v>0</v>
      </c>
      <c r="AE13" s="94">
        <f>'2019-20_working'!W13</f>
        <v>0</v>
      </c>
      <c r="AF13" s="94">
        <f>'2019-20_working'!X13</f>
        <v>0</v>
      </c>
      <c r="AG13" s="94">
        <f>'2019-20_working'!Y13+'2019-20_working'!Z13</f>
        <v>0</v>
      </c>
      <c r="AH13" s="94">
        <f>'2019-20_working'!AA13</f>
        <v>0</v>
      </c>
      <c r="AI13" s="95" t="str">
        <f t="shared" si="8"/>
        <v>-</v>
      </c>
      <c r="AJ13" s="95" t="str">
        <f t="shared" si="9"/>
        <v>-</v>
      </c>
      <c r="AK13" s="94"/>
      <c r="AL13" s="94">
        <f>'2019-20_working'!AC13+'2019-20_working'!AD13</f>
        <v>15</v>
      </c>
      <c r="AM13" s="94">
        <f>'2019-20_working'!AE13</f>
        <v>1</v>
      </c>
      <c r="AN13" s="94">
        <f>'2019-20_working'!AF13</f>
        <v>2</v>
      </c>
      <c r="AO13" s="94">
        <f>'2019-20_working'!AG13</f>
        <v>3</v>
      </c>
      <c r="AP13" s="94">
        <f>'2019-20_working'!AH13+'2019-20_working'!AI13</f>
        <v>0</v>
      </c>
      <c r="AQ13" s="94">
        <f>'2019-20_working'!AJ13</f>
        <v>4</v>
      </c>
      <c r="AR13" s="95">
        <f t="shared" si="10"/>
        <v>0.2857142857142857</v>
      </c>
      <c r="AS13" s="95">
        <f t="shared" si="11"/>
        <v>0.16</v>
      </c>
      <c r="AT13" s="94"/>
      <c r="AU13" s="94">
        <f t="shared" si="1"/>
        <v>51</v>
      </c>
      <c r="AV13" s="94">
        <f t="shared" si="1"/>
        <v>1</v>
      </c>
      <c r="AW13" s="94">
        <f t="shared" si="1"/>
        <v>2</v>
      </c>
      <c r="AX13" s="94">
        <f t="shared" si="1"/>
        <v>3</v>
      </c>
      <c r="AY13" s="94">
        <f t="shared" si="1"/>
        <v>0</v>
      </c>
      <c r="AZ13" s="94">
        <f t="shared" si="1"/>
        <v>10</v>
      </c>
      <c r="BA13" s="95">
        <f t="shared" si="12"/>
        <v>0.10526315789473684</v>
      </c>
      <c r="BB13" s="95">
        <f t="shared" si="13"/>
        <v>0.14925373134328357</v>
      </c>
    </row>
    <row r="14" spans="1:54" x14ac:dyDescent="0.3">
      <c r="A14" s="8" t="s">
        <v>21</v>
      </c>
      <c r="B14" s="94">
        <f>'2019-20_working'!B14+'2019-20_working'!C14</f>
        <v>7</v>
      </c>
      <c r="C14" s="94">
        <f>'2019-20_working'!D14</f>
        <v>1</v>
      </c>
      <c r="D14" s="94">
        <f>'2019-20_working'!E14</f>
        <v>0</v>
      </c>
      <c r="E14" s="94">
        <f>'2019-20_working'!F14</f>
        <v>0</v>
      </c>
      <c r="F14" s="94">
        <f>'2019-20_working'!G14+'2019-20_working'!H14</f>
        <v>0</v>
      </c>
      <c r="G14" s="94">
        <f>'2019-20_working'!I14</f>
        <v>0</v>
      </c>
      <c r="H14" s="95">
        <f t="shared" si="2"/>
        <v>0.125</v>
      </c>
      <c r="I14" s="95">
        <f t="shared" si="3"/>
        <v>0</v>
      </c>
      <c r="J14" s="94"/>
      <c r="K14" s="94">
        <f>'2019-20_working'!K14+'2019-20_working'!L14</f>
        <v>35</v>
      </c>
      <c r="L14" s="94">
        <f>'2019-20_working'!M14</f>
        <v>0</v>
      </c>
      <c r="M14" s="94">
        <f>'2019-20_working'!N14</f>
        <v>0</v>
      </c>
      <c r="N14" s="94">
        <f>'2019-20_working'!O14</f>
        <v>0</v>
      </c>
      <c r="O14" s="94">
        <f>'2019-20_working'!P14+'2019-20_working'!Q14</f>
        <v>1</v>
      </c>
      <c r="P14" s="94">
        <f>'2019-20_working'!R14</f>
        <v>0</v>
      </c>
      <c r="Q14" s="95">
        <f t="shared" si="4"/>
        <v>2.7777777777777776E-2</v>
      </c>
      <c r="R14" s="95">
        <f t="shared" si="5"/>
        <v>0</v>
      </c>
      <c r="S14" s="94"/>
      <c r="T14" s="94">
        <f t="shared" si="0"/>
        <v>42</v>
      </c>
      <c r="U14" s="94">
        <f t="shared" si="0"/>
        <v>1</v>
      </c>
      <c r="V14" s="94">
        <f t="shared" si="0"/>
        <v>0</v>
      </c>
      <c r="W14" s="94">
        <f t="shared" si="0"/>
        <v>0</v>
      </c>
      <c r="X14" s="94">
        <f t="shared" si="0"/>
        <v>1</v>
      </c>
      <c r="Y14" s="94">
        <f t="shared" si="0"/>
        <v>0</v>
      </c>
      <c r="Z14" s="95">
        <f t="shared" si="6"/>
        <v>4.5454545454545456E-2</v>
      </c>
      <c r="AA14" s="95">
        <f t="shared" si="7"/>
        <v>0</v>
      </c>
      <c r="AB14" s="94"/>
      <c r="AC14" s="94">
        <f>'2019-20_working'!T14+'2019-20_working'!U14</f>
        <v>3</v>
      </c>
      <c r="AD14" s="94">
        <f>'2019-20_working'!V14</f>
        <v>0</v>
      </c>
      <c r="AE14" s="94">
        <f>'2019-20_working'!W14</f>
        <v>1</v>
      </c>
      <c r="AF14" s="94">
        <f>'2019-20_working'!X14</f>
        <v>0</v>
      </c>
      <c r="AG14" s="94">
        <f>'2019-20_working'!Y14+'2019-20_working'!Z14</f>
        <v>0</v>
      </c>
      <c r="AH14" s="94">
        <f>'2019-20_working'!AA14</f>
        <v>1</v>
      </c>
      <c r="AI14" s="95">
        <f t="shared" si="8"/>
        <v>0.25</v>
      </c>
      <c r="AJ14" s="95">
        <f t="shared" si="9"/>
        <v>0.2</v>
      </c>
      <c r="AK14" s="94"/>
      <c r="AL14" s="94">
        <f>'2019-20_working'!AC14+'2019-20_working'!AD14</f>
        <v>14</v>
      </c>
      <c r="AM14" s="94">
        <f>'2019-20_working'!AE14</f>
        <v>0</v>
      </c>
      <c r="AN14" s="94">
        <f>'2019-20_working'!AF14</f>
        <v>1</v>
      </c>
      <c r="AO14" s="94">
        <f>'2019-20_working'!AG14</f>
        <v>0</v>
      </c>
      <c r="AP14" s="94">
        <f>'2019-20_working'!AH14+'2019-20_working'!AI14</f>
        <v>0</v>
      </c>
      <c r="AQ14" s="94">
        <f>'2019-20_working'!AJ14</f>
        <v>3</v>
      </c>
      <c r="AR14" s="95">
        <f t="shared" si="10"/>
        <v>6.6666666666666666E-2</v>
      </c>
      <c r="AS14" s="95">
        <f t="shared" si="11"/>
        <v>0.16666666666666666</v>
      </c>
      <c r="AT14" s="94"/>
      <c r="AU14" s="94">
        <f t="shared" si="1"/>
        <v>59</v>
      </c>
      <c r="AV14" s="94">
        <f t="shared" si="1"/>
        <v>1</v>
      </c>
      <c r="AW14" s="94">
        <f t="shared" si="1"/>
        <v>2</v>
      </c>
      <c r="AX14" s="94">
        <f t="shared" si="1"/>
        <v>0</v>
      </c>
      <c r="AY14" s="94">
        <f t="shared" si="1"/>
        <v>1</v>
      </c>
      <c r="AZ14" s="94">
        <f t="shared" si="1"/>
        <v>4</v>
      </c>
      <c r="BA14" s="95">
        <f t="shared" si="12"/>
        <v>6.3492063492063489E-2</v>
      </c>
      <c r="BB14" s="95">
        <f t="shared" si="13"/>
        <v>5.9701492537313432E-2</v>
      </c>
    </row>
    <row r="15" spans="1:54" x14ac:dyDescent="0.3">
      <c r="A15" s="8" t="s">
        <v>22</v>
      </c>
      <c r="B15" s="94">
        <f>'2019-20_working'!B15+'2019-20_working'!C15</f>
        <v>23</v>
      </c>
      <c r="C15" s="94">
        <f>'2019-20_working'!D15</f>
        <v>0</v>
      </c>
      <c r="D15" s="94">
        <f>'2019-20_working'!E15</f>
        <v>0</v>
      </c>
      <c r="E15" s="94">
        <f>'2019-20_working'!F15</f>
        <v>0</v>
      </c>
      <c r="F15" s="94">
        <f>'2019-20_working'!G15+'2019-20_working'!H15</f>
        <v>0</v>
      </c>
      <c r="G15" s="94">
        <f>'2019-20_working'!I15</f>
        <v>0</v>
      </c>
      <c r="H15" s="95">
        <f t="shared" si="2"/>
        <v>0</v>
      </c>
      <c r="I15" s="95">
        <f t="shared" si="3"/>
        <v>0</v>
      </c>
      <c r="J15" s="94"/>
      <c r="K15" s="94">
        <f>'2019-20_working'!K15+'2019-20_working'!L15</f>
        <v>35</v>
      </c>
      <c r="L15" s="94">
        <f>'2019-20_working'!M15</f>
        <v>0</v>
      </c>
      <c r="M15" s="94">
        <f>'2019-20_working'!N15</f>
        <v>0</v>
      </c>
      <c r="N15" s="94">
        <f>'2019-20_working'!O15</f>
        <v>0</v>
      </c>
      <c r="O15" s="94">
        <f>'2019-20_working'!P15+'2019-20_working'!Q15</f>
        <v>0</v>
      </c>
      <c r="P15" s="94">
        <f>'2019-20_working'!R15</f>
        <v>4</v>
      </c>
      <c r="Q15" s="95">
        <f t="shared" si="4"/>
        <v>0</v>
      </c>
      <c r="R15" s="95">
        <f t="shared" si="5"/>
        <v>0.10256410256410256</v>
      </c>
      <c r="S15" s="94"/>
      <c r="T15" s="94">
        <f t="shared" si="0"/>
        <v>58</v>
      </c>
      <c r="U15" s="94">
        <f t="shared" si="0"/>
        <v>0</v>
      </c>
      <c r="V15" s="94">
        <f t="shared" si="0"/>
        <v>0</v>
      </c>
      <c r="W15" s="94">
        <f t="shared" si="0"/>
        <v>0</v>
      </c>
      <c r="X15" s="94">
        <f t="shared" si="0"/>
        <v>0</v>
      </c>
      <c r="Y15" s="94">
        <f t="shared" si="0"/>
        <v>4</v>
      </c>
      <c r="Z15" s="95">
        <f t="shared" si="6"/>
        <v>0</v>
      </c>
      <c r="AA15" s="95">
        <f t="shared" si="7"/>
        <v>6.4516129032258063E-2</v>
      </c>
      <c r="AB15" s="94"/>
      <c r="AC15" s="94">
        <f>'2019-20_working'!T15+'2019-20_working'!U15</f>
        <v>0</v>
      </c>
      <c r="AD15" s="94">
        <f>'2019-20_working'!V15</f>
        <v>0</v>
      </c>
      <c r="AE15" s="94">
        <f>'2019-20_working'!W15</f>
        <v>0</v>
      </c>
      <c r="AF15" s="94">
        <f>'2019-20_working'!X15</f>
        <v>0</v>
      </c>
      <c r="AG15" s="94">
        <f>'2019-20_working'!Y15+'2019-20_working'!Z15</f>
        <v>0</v>
      </c>
      <c r="AH15" s="94">
        <f>'2019-20_working'!AA15</f>
        <v>0</v>
      </c>
      <c r="AI15" s="95" t="str">
        <f t="shared" si="8"/>
        <v>-</v>
      </c>
      <c r="AJ15" s="95" t="str">
        <f t="shared" si="9"/>
        <v>-</v>
      </c>
      <c r="AK15" s="94"/>
      <c r="AL15" s="94">
        <f>'2019-20_working'!AC15+'2019-20_working'!AD15</f>
        <v>30</v>
      </c>
      <c r="AM15" s="94">
        <f>'2019-20_working'!AE15</f>
        <v>1</v>
      </c>
      <c r="AN15" s="94">
        <f>'2019-20_working'!AF15</f>
        <v>0</v>
      </c>
      <c r="AO15" s="94">
        <f>'2019-20_working'!AG15</f>
        <v>0</v>
      </c>
      <c r="AP15" s="94">
        <f>'2019-20_working'!AH15+'2019-20_working'!AI15</f>
        <v>0</v>
      </c>
      <c r="AQ15" s="94">
        <f>'2019-20_working'!AJ15</f>
        <v>0</v>
      </c>
      <c r="AR15" s="95">
        <f t="shared" si="10"/>
        <v>3.2258064516129031E-2</v>
      </c>
      <c r="AS15" s="95">
        <f t="shared" si="11"/>
        <v>0</v>
      </c>
      <c r="AT15" s="94"/>
      <c r="AU15" s="94">
        <f t="shared" si="1"/>
        <v>88</v>
      </c>
      <c r="AV15" s="94">
        <f t="shared" si="1"/>
        <v>1</v>
      </c>
      <c r="AW15" s="94">
        <f t="shared" si="1"/>
        <v>0</v>
      </c>
      <c r="AX15" s="94">
        <f t="shared" si="1"/>
        <v>0</v>
      </c>
      <c r="AY15" s="94">
        <f t="shared" si="1"/>
        <v>0</v>
      </c>
      <c r="AZ15" s="94">
        <f t="shared" si="1"/>
        <v>4</v>
      </c>
      <c r="BA15" s="95">
        <f t="shared" si="12"/>
        <v>1.1235955056179775E-2</v>
      </c>
      <c r="BB15" s="95">
        <f t="shared" si="13"/>
        <v>4.3010752688172046E-2</v>
      </c>
    </row>
    <row r="16" spans="1:54" x14ac:dyDescent="0.3">
      <c r="A16" s="8" t="s">
        <v>23</v>
      </c>
      <c r="B16" s="94">
        <f>'2019-20_working'!B16+'2019-20_working'!C16</f>
        <v>31</v>
      </c>
      <c r="C16" s="94">
        <f>'2019-20_working'!D16</f>
        <v>0</v>
      </c>
      <c r="D16" s="94">
        <f>'2019-20_working'!E16</f>
        <v>0</v>
      </c>
      <c r="E16" s="94">
        <f>'2019-20_working'!F16</f>
        <v>0</v>
      </c>
      <c r="F16" s="94">
        <f>'2019-20_working'!G16+'2019-20_working'!H16</f>
        <v>1</v>
      </c>
      <c r="G16" s="94">
        <f>'2019-20_working'!I16</f>
        <v>0</v>
      </c>
      <c r="H16" s="95">
        <f t="shared" si="2"/>
        <v>3.125E-2</v>
      </c>
      <c r="I16" s="95">
        <f t="shared" si="3"/>
        <v>0</v>
      </c>
      <c r="J16" s="94"/>
      <c r="K16" s="94">
        <f>'2019-20_working'!K16+'2019-20_working'!L16</f>
        <v>7</v>
      </c>
      <c r="L16" s="94">
        <f>'2019-20_working'!M16</f>
        <v>0</v>
      </c>
      <c r="M16" s="94">
        <f>'2019-20_working'!N16</f>
        <v>0</v>
      </c>
      <c r="N16" s="94">
        <f>'2019-20_working'!O16</f>
        <v>0</v>
      </c>
      <c r="O16" s="94">
        <f>'2019-20_working'!P16+'2019-20_working'!Q16</f>
        <v>0</v>
      </c>
      <c r="P16" s="94">
        <f>'2019-20_working'!R16</f>
        <v>0</v>
      </c>
      <c r="Q16" s="95">
        <f t="shared" si="4"/>
        <v>0</v>
      </c>
      <c r="R16" s="95">
        <f t="shared" si="5"/>
        <v>0</v>
      </c>
      <c r="S16" s="94"/>
      <c r="T16" s="94">
        <f t="shared" si="0"/>
        <v>38</v>
      </c>
      <c r="U16" s="94">
        <f t="shared" si="0"/>
        <v>0</v>
      </c>
      <c r="V16" s="94">
        <f t="shared" si="0"/>
        <v>0</v>
      </c>
      <c r="W16" s="94">
        <f t="shared" si="0"/>
        <v>0</v>
      </c>
      <c r="X16" s="94">
        <f t="shared" si="0"/>
        <v>1</v>
      </c>
      <c r="Y16" s="94">
        <f t="shared" si="0"/>
        <v>0</v>
      </c>
      <c r="Z16" s="95">
        <f t="shared" si="6"/>
        <v>2.564102564102564E-2</v>
      </c>
      <c r="AA16" s="95">
        <f t="shared" si="7"/>
        <v>0</v>
      </c>
      <c r="AB16" s="94"/>
      <c r="AC16" s="94">
        <f>'2019-20_working'!T16+'2019-20_working'!U16</f>
        <v>4</v>
      </c>
      <c r="AD16" s="94">
        <f>'2019-20_working'!V16</f>
        <v>0</v>
      </c>
      <c r="AE16" s="94">
        <f>'2019-20_working'!W16</f>
        <v>0</v>
      </c>
      <c r="AF16" s="94">
        <f>'2019-20_working'!X16</f>
        <v>0</v>
      </c>
      <c r="AG16" s="94">
        <f>'2019-20_working'!Y16+'2019-20_working'!Z16</f>
        <v>0</v>
      </c>
      <c r="AH16" s="94">
        <f>'2019-20_working'!AA16</f>
        <v>0</v>
      </c>
      <c r="AI16" s="95">
        <f t="shared" si="8"/>
        <v>0</v>
      </c>
      <c r="AJ16" s="95">
        <f t="shared" si="9"/>
        <v>0</v>
      </c>
      <c r="AK16" s="94"/>
      <c r="AL16" s="94">
        <f>'2019-20_working'!AC16+'2019-20_working'!AD16</f>
        <v>8</v>
      </c>
      <c r="AM16" s="94">
        <f>'2019-20_working'!AE16</f>
        <v>0</v>
      </c>
      <c r="AN16" s="94">
        <f>'2019-20_working'!AF16</f>
        <v>0</v>
      </c>
      <c r="AO16" s="94">
        <f>'2019-20_working'!AG16</f>
        <v>0</v>
      </c>
      <c r="AP16" s="94">
        <f>'2019-20_working'!AH16+'2019-20_working'!AI16</f>
        <v>0</v>
      </c>
      <c r="AQ16" s="94">
        <f>'2019-20_working'!AJ16</f>
        <v>0</v>
      </c>
      <c r="AR16" s="95">
        <f t="shared" si="10"/>
        <v>0</v>
      </c>
      <c r="AS16" s="95">
        <f t="shared" si="11"/>
        <v>0</v>
      </c>
      <c r="AT16" s="94"/>
      <c r="AU16" s="94">
        <f t="shared" si="1"/>
        <v>50</v>
      </c>
      <c r="AV16" s="94">
        <f t="shared" si="1"/>
        <v>0</v>
      </c>
      <c r="AW16" s="94">
        <f t="shared" si="1"/>
        <v>0</v>
      </c>
      <c r="AX16" s="94">
        <f t="shared" si="1"/>
        <v>0</v>
      </c>
      <c r="AY16" s="94">
        <f t="shared" si="1"/>
        <v>1</v>
      </c>
      <c r="AZ16" s="94">
        <f t="shared" si="1"/>
        <v>0</v>
      </c>
      <c r="BA16" s="95">
        <f t="shared" si="12"/>
        <v>1.9607843137254902E-2</v>
      </c>
      <c r="BB16" s="95">
        <f t="shared" si="13"/>
        <v>0</v>
      </c>
    </row>
    <row r="17" spans="1:54" x14ac:dyDescent="0.3">
      <c r="A17" s="8" t="s">
        <v>24</v>
      </c>
      <c r="B17" s="94">
        <f>'2019-20_working'!B17+'2019-20_working'!C17</f>
        <v>0</v>
      </c>
      <c r="C17" s="94">
        <f>'2019-20_working'!D17</f>
        <v>0</v>
      </c>
      <c r="D17" s="94">
        <f>'2019-20_working'!E17</f>
        <v>0</v>
      </c>
      <c r="E17" s="94">
        <f>'2019-20_working'!F17</f>
        <v>0</v>
      </c>
      <c r="F17" s="94">
        <f>'2019-20_working'!G17+'2019-20_working'!H17</f>
        <v>0</v>
      </c>
      <c r="G17" s="94">
        <f>'2019-20_working'!I17</f>
        <v>7</v>
      </c>
      <c r="H17" s="95" t="str">
        <f t="shared" si="2"/>
        <v>-</v>
      </c>
      <c r="I17" s="95">
        <f t="shared" si="3"/>
        <v>1</v>
      </c>
      <c r="J17" s="94"/>
      <c r="K17" s="94">
        <f>'2019-20_working'!K17+'2019-20_working'!L17</f>
        <v>2</v>
      </c>
      <c r="L17" s="94">
        <f>'2019-20_working'!M17</f>
        <v>0</v>
      </c>
      <c r="M17" s="94">
        <f>'2019-20_working'!N17</f>
        <v>0</v>
      </c>
      <c r="N17" s="94">
        <f>'2019-20_working'!O17</f>
        <v>0</v>
      </c>
      <c r="O17" s="94">
        <f>'2019-20_working'!P17+'2019-20_working'!Q17</f>
        <v>0</v>
      </c>
      <c r="P17" s="94">
        <f>'2019-20_working'!R17</f>
        <v>38</v>
      </c>
      <c r="Q17" s="95">
        <f t="shared" si="4"/>
        <v>0</v>
      </c>
      <c r="R17" s="95">
        <f t="shared" si="5"/>
        <v>0.95</v>
      </c>
      <c r="S17" s="94"/>
      <c r="T17" s="94">
        <f t="shared" si="0"/>
        <v>2</v>
      </c>
      <c r="U17" s="94">
        <f t="shared" si="0"/>
        <v>0</v>
      </c>
      <c r="V17" s="94">
        <f t="shared" si="0"/>
        <v>0</v>
      </c>
      <c r="W17" s="94">
        <f t="shared" si="0"/>
        <v>0</v>
      </c>
      <c r="X17" s="94">
        <f t="shared" si="0"/>
        <v>0</v>
      </c>
      <c r="Y17" s="94">
        <f t="shared" si="0"/>
        <v>45</v>
      </c>
      <c r="Z17" s="95">
        <f t="shared" si="6"/>
        <v>0</v>
      </c>
      <c r="AA17" s="95">
        <f t="shared" si="7"/>
        <v>0.95744680851063835</v>
      </c>
      <c r="AB17" s="94"/>
      <c r="AC17" s="94">
        <f>'2019-20_working'!T17+'2019-20_working'!U17</f>
        <v>0</v>
      </c>
      <c r="AD17" s="94">
        <f>'2019-20_working'!V17</f>
        <v>0</v>
      </c>
      <c r="AE17" s="94">
        <f>'2019-20_working'!W17</f>
        <v>0</v>
      </c>
      <c r="AF17" s="94">
        <f>'2019-20_working'!X17</f>
        <v>0</v>
      </c>
      <c r="AG17" s="94">
        <f>'2019-20_working'!Y17+'2019-20_working'!Z17</f>
        <v>0</v>
      </c>
      <c r="AH17" s="94">
        <f>'2019-20_working'!AA17</f>
        <v>1</v>
      </c>
      <c r="AI17" s="95" t="str">
        <f t="shared" si="8"/>
        <v>-</v>
      </c>
      <c r="AJ17" s="95">
        <f t="shared" si="9"/>
        <v>1</v>
      </c>
      <c r="AK17" s="94"/>
      <c r="AL17" s="94">
        <f>'2019-20_working'!AC17+'2019-20_working'!AD17</f>
        <v>2</v>
      </c>
      <c r="AM17" s="94">
        <f>'2019-20_working'!AE17</f>
        <v>0</v>
      </c>
      <c r="AN17" s="94">
        <f>'2019-20_working'!AF17</f>
        <v>0</v>
      </c>
      <c r="AO17" s="94">
        <f>'2019-20_working'!AG17</f>
        <v>0</v>
      </c>
      <c r="AP17" s="94">
        <f>'2019-20_working'!AH17+'2019-20_working'!AI17</f>
        <v>0</v>
      </c>
      <c r="AQ17" s="94">
        <f>'2019-20_working'!AJ17</f>
        <v>7</v>
      </c>
      <c r="AR17" s="95">
        <f t="shared" si="10"/>
        <v>0</v>
      </c>
      <c r="AS17" s="95">
        <f t="shared" si="11"/>
        <v>0.77777777777777779</v>
      </c>
      <c r="AT17" s="94"/>
      <c r="AU17" s="94">
        <f t="shared" si="1"/>
        <v>4</v>
      </c>
      <c r="AV17" s="94">
        <f t="shared" si="1"/>
        <v>0</v>
      </c>
      <c r="AW17" s="94">
        <f t="shared" si="1"/>
        <v>0</v>
      </c>
      <c r="AX17" s="94">
        <f t="shared" si="1"/>
        <v>0</v>
      </c>
      <c r="AY17" s="94">
        <f t="shared" si="1"/>
        <v>0</v>
      </c>
      <c r="AZ17" s="94">
        <f t="shared" si="1"/>
        <v>53</v>
      </c>
      <c r="BA17" s="95">
        <f t="shared" si="12"/>
        <v>0</v>
      </c>
      <c r="BB17" s="95">
        <f t="shared" si="13"/>
        <v>0.92982456140350878</v>
      </c>
    </row>
    <row r="18" spans="1:54" x14ac:dyDescent="0.3">
      <c r="A18" s="8" t="s">
        <v>25</v>
      </c>
      <c r="B18" s="94">
        <f>'2019-20_working'!B18+'2019-20_working'!C18</f>
        <v>3</v>
      </c>
      <c r="C18" s="94">
        <f>'2019-20_working'!D18</f>
        <v>0</v>
      </c>
      <c r="D18" s="94">
        <f>'2019-20_working'!E18</f>
        <v>0</v>
      </c>
      <c r="E18" s="94">
        <f>'2019-20_working'!F18</f>
        <v>0</v>
      </c>
      <c r="F18" s="94">
        <f>'2019-20_working'!G18+'2019-20_working'!H18</f>
        <v>0</v>
      </c>
      <c r="G18" s="94">
        <f>'2019-20_working'!I18</f>
        <v>9</v>
      </c>
      <c r="H18" s="95">
        <f t="shared" si="2"/>
        <v>0</v>
      </c>
      <c r="I18" s="95">
        <f t="shared" si="3"/>
        <v>0.75</v>
      </c>
      <c r="J18" s="94"/>
      <c r="K18" s="94">
        <f>'2019-20_working'!K18+'2019-20_working'!L18</f>
        <v>1</v>
      </c>
      <c r="L18" s="94">
        <f>'2019-20_working'!M18</f>
        <v>0</v>
      </c>
      <c r="M18" s="94">
        <f>'2019-20_working'!N18</f>
        <v>0</v>
      </c>
      <c r="N18" s="94">
        <f>'2019-20_working'!O18</f>
        <v>0</v>
      </c>
      <c r="O18" s="94">
        <f>'2019-20_working'!P18+'2019-20_working'!Q18</f>
        <v>0</v>
      </c>
      <c r="P18" s="94">
        <f>'2019-20_working'!R18</f>
        <v>41</v>
      </c>
      <c r="Q18" s="95">
        <f t="shared" si="4"/>
        <v>0</v>
      </c>
      <c r="R18" s="95">
        <f t="shared" si="5"/>
        <v>0.97619047619047616</v>
      </c>
      <c r="S18" s="94"/>
      <c r="T18" s="94">
        <f t="shared" si="0"/>
        <v>4</v>
      </c>
      <c r="U18" s="94">
        <f t="shared" si="0"/>
        <v>0</v>
      </c>
      <c r="V18" s="94">
        <f t="shared" si="0"/>
        <v>0</v>
      </c>
      <c r="W18" s="94">
        <f t="shared" si="0"/>
        <v>0</v>
      </c>
      <c r="X18" s="94">
        <f t="shared" si="0"/>
        <v>0</v>
      </c>
      <c r="Y18" s="94">
        <f t="shared" si="0"/>
        <v>50</v>
      </c>
      <c r="Z18" s="95">
        <f t="shared" si="6"/>
        <v>0</v>
      </c>
      <c r="AA18" s="95">
        <f t="shared" si="7"/>
        <v>0.92592592592592593</v>
      </c>
      <c r="AB18" s="94"/>
      <c r="AC18" s="94">
        <f>'2019-20_working'!T18+'2019-20_working'!U18</f>
        <v>0</v>
      </c>
      <c r="AD18" s="94">
        <f>'2019-20_working'!V18</f>
        <v>0</v>
      </c>
      <c r="AE18" s="94">
        <f>'2019-20_working'!W18</f>
        <v>0</v>
      </c>
      <c r="AF18" s="94">
        <f>'2019-20_working'!X18</f>
        <v>0</v>
      </c>
      <c r="AG18" s="94">
        <f>'2019-20_working'!Y18+'2019-20_working'!Z18</f>
        <v>0</v>
      </c>
      <c r="AH18" s="94">
        <f>'2019-20_working'!AA18</f>
        <v>0</v>
      </c>
      <c r="AI18" s="95" t="str">
        <f t="shared" si="8"/>
        <v>-</v>
      </c>
      <c r="AJ18" s="95" t="str">
        <f t="shared" si="9"/>
        <v>-</v>
      </c>
      <c r="AK18" s="94"/>
      <c r="AL18" s="94">
        <f>'2019-20_working'!AC18+'2019-20_working'!AD18</f>
        <v>11</v>
      </c>
      <c r="AM18" s="94">
        <f>'2019-20_working'!AE18</f>
        <v>0</v>
      </c>
      <c r="AN18" s="94">
        <f>'2019-20_working'!AF18</f>
        <v>1</v>
      </c>
      <c r="AO18" s="94">
        <f>'2019-20_working'!AG18</f>
        <v>0</v>
      </c>
      <c r="AP18" s="94">
        <f>'2019-20_working'!AH18+'2019-20_working'!AI18</f>
        <v>0</v>
      </c>
      <c r="AQ18" s="94">
        <f>'2019-20_working'!AJ18</f>
        <v>1</v>
      </c>
      <c r="AR18" s="95">
        <f t="shared" si="10"/>
        <v>8.3333333333333329E-2</v>
      </c>
      <c r="AS18" s="95">
        <f t="shared" si="11"/>
        <v>7.6923076923076927E-2</v>
      </c>
      <c r="AT18" s="94"/>
      <c r="AU18" s="94">
        <f t="shared" si="1"/>
        <v>15</v>
      </c>
      <c r="AV18" s="94">
        <f t="shared" si="1"/>
        <v>0</v>
      </c>
      <c r="AW18" s="94">
        <f t="shared" si="1"/>
        <v>1</v>
      </c>
      <c r="AX18" s="94">
        <f t="shared" si="1"/>
        <v>0</v>
      </c>
      <c r="AY18" s="94">
        <f t="shared" si="1"/>
        <v>0</v>
      </c>
      <c r="AZ18" s="94">
        <f t="shared" si="1"/>
        <v>51</v>
      </c>
      <c r="BA18" s="95">
        <f t="shared" si="12"/>
        <v>6.25E-2</v>
      </c>
      <c r="BB18" s="95">
        <f t="shared" si="13"/>
        <v>0.76119402985074625</v>
      </c>
    </row>
    <row r="19" spans="1:54" x14ac:dyDescent="0.3">
      <c r="A19" s="8" t="s">
        <v>26</v>
      </c>
      <c r="B19" s="94">
        <f>'2019-20_working'!B19+'2019-20_working'!C19</f>
        <v>16</v>
      </c>
      <c r="C19" s="94">
        <f>'2019-20_working'!D19</f>
        <v>0</v>
      </c>
      <c r="D19" s="94">
        <f>'2019-20_working'!E19</f>
        <v>0</v>
      </c>
      <c r="E19" s="94">
        <f>'2019-20_working'!F19</f>
        <v>0</v>
      </c>
      <c r="F19" s="94">
        <f>'2019-20_working'!G19+'2019-20_working'!H19</f>
        <v>0</v>
      </c>
      <c r="G19" s="94">
        <f>'2019-20_working'!I19</f>
        <v>0</v>
      </c>
      <c r="H19" s="95">
        <f t="shared" si="2"/>
        <v>0</v>
      </c>
      <c r="I19" s="95">
        <f t="shared" si="3"/>
        <v>0</v>
      </c>
      <c r="J19" s="94"/>
      <c r="K19" s="94">
        <f>'2019-20_working'!K19+'2019-20_working'!L19</f>
        <v>42</v>
      </c>
      <c r="L19" s="94">
        <f>'2019-20_working'!M19</f>
        <v>0</v>
      </c>
      <c r="M19" s="94">
        <f>'2019-20_working'!N19</f>
        <v>0</v>
      </c>
      <c r="N19" s="94">
        <f>'2019-20_working'!O19</f>
        <v>0</v>
      </c>
      <c r="O19" s="94">
        <f>'2019-20_working'!P19+'2019-20_working'!Q19</f>
        <v>0</v>
      </c>
      <c r="P19" s="94">
        <f>'2019-20_working'!R19</f>
        <v>0</v>
      </c>
      <c r="Q19" s="95">
        <f t="shared" si="4"/>
        <v>0</v>
      </c>
      <c r="R19" s="95">
        <f t="shared" si="5"/>
        <v>0</v>
      </c>
      <c r="S19" s="94"/>
      <c r="T19" s="94">
        <f t="shared" si="0"/>
        <v>58</v>
      </c>
      <c r="U19" s="94">
        <f t="shared" si="0"/>
        <v>0</v>
      </c>
      <c r="V19" s="94">
        <f t="shared" si="0"/>
        <v>0</v>
      </c>
      <c r="W19" s="94">
        <f t="shared" si="0"/>
        <v>0</v>
      </c>
      <c r="X19" s="94">
        <f t="shared" si="0"/>
        <v>0</v>
      </c>
      <c r="Y19" s="94">
        <f t="shared" si="0"/>
        <v>0</v>
      </c>
      <c r="Z19" s="95">
        <f t="shared" si="6"/>
        <v>0</v>
      </c>
      <c r="AA19" s="95">
        <f t="shared" si="7"/>
        <v>0</v>
      </c>
      <c r="AB19" s="94"/>
      <c r="AC19" s="94">
        <f>'2019-20_working'!T19+'2019-20_working'!U19</f>
        <v>6</v>
      </c>
      <c r="AD19" s="94">
        <f>'2019-20_working'!V19</f>
        <v>0</v>
      </c>
      <c r="AE19" s="94">
        <f>'2019-20_working'!W19</f>
        <v>0</v>
      </c>
      <c r="AF19" s="94">
        <f>'2019-20_working'!X19</f>
        <v>0</v>
      </c>
      <c r="AG19" s="94">
        <f>'2019-20_working'!Y19+'2019-20_working'!Z19</f>
        <v>0</v>
      </c>
      <c r="AH19" s="94">
        <f>'2019-20_working'!AA19</f>
        <v>0</v>
      </c>
      <c r="AI19" s="95">
        <f t="shared" si="8"/>
        <v>0</v>
      </c>
      <c r="AJ19" s="95">
        <f t="shared" si="9"/>
        <v>0</v>
      </c>
      <c r="AK19" s="94"/>
      <c r="AL19" s="94">
        <f>'2019-20_working'!AC19+'2019-20_working'!AD19</f>
        <v>12</v>
      </c>
      <c r="AM19" s="94">
        <f>'2019-20_working'!AE19</f>
        <v>2</v>
      </c>
      <c r="AN19" s="94">
        <f>'2019-20_working'!AF19</f>
        <v>0</v>
      </c>
      <c r="AO19" s="94">
        <f>'2019-20_working'!AG19</f>
        <v>0</v>
      </c>
      <c r="AP19" s="94">
        <f>'2019-20_working'!AH19+'2019-20_working'!AI19</f>
        <v>0</v>
      </c>
      <c r="AQ19" s="94">
        <f>'2019-20_working'!AJ19</f>
        <v>1</v>
      </c>
      <c r="AR19" s="95">
        <f t="shared" si="10"/>
        <v>0.14285714285714285</v>
      </c>
      <c r="AS19" s="95">
        <f t="shared" si="11"/>
        <v>6.6666666666666666E-2</v>
      </c>
      <c r="AT19" s="94"/>
      <c r="AU19" s="94">
        <f t="shared" si="1"/>
        <v>76</v>
      </c>
      <c r="AV19" s="94">
        <f t="shared" si="1"/>
        <v>2</v>
      </c>
      <c r="AW19" s="94">
        <f t="shared" si="1"/>
        <v>0</v>
      </c>
      <c r="AX19" s="94">
        <f t="shared" si="1"/>
        <v>0</v>
      </c>
      <c r="AY19" s="94">
        <f t="shared" si="1"/>
        <v>0</v>
      </c>
      <c r="AZ19" s="94">
        <f t="shared" si="1"/>
        <v>1</v>
      </c>
      <c r="BA19" s="95">
        <f t="shared" si="12"/>
        <v>2.564102564102564E-2</v>
      </c>
      <c r="BB19" s="95">
        <f t="shared" si="13"/>
        <v>1.2658227848101266E-2</v>
      </c>
    </row>
    <row r="20" spans="1:54" x14ac:dyDescent="0.3">
      <c r="A20" s="8" t="s">
        <v>27</v>
      </c>
      <c r="B20" s="94">
        <f>'2019-20_working'!B20+'2019-20_working'!C20</f>
        <v>9</v>
      </c>
      <c r="C20" s="94">
        <f>'2019-20_working'!D20</f>
        <v>0</v>
      </c>
      <c r="D20" s="94">
        <f>'2019-20_working'!E20</f>
        <v>0</v>
      </c>
      <c r="E20" s="94">
        <f>'2019-20_working'!F20</f>
        <v>0</v>
      </c>
      <c r="F20" s="94">
        <f>'2019-20_working'!G20+'2019-20_working'!H20</f>
        <v>0</v>
      </c>
      <c r="G20" s="94">
        <f>'2019-20_working'!I20</f>
        <v>0</v>
      </c>
      <c r="H20" s="95">
        <f t="shared" si="2"/>
        <v>0</v>
      </c>
      <c r="I20" s="95">
        <f t="shared" si="3"/>
        <v>0</v>
      </c>
      <c r="J20" s="94"/>
      <c r="K20" s="94">
        <f>'2019-20_working'!K20+'2019-20_working'!L20</f>
        <v>127</v>
      </c>
      <c r="L20" s="94">
        <f>'2019-20_working'!M20</f>
        <v>0</v>
      </c>
      <c r="M20" s="94">
        <f>'2019-20_working'!N20</f>
        <v>0</v>
      </c>
      <c r="N20" s="94">
        <f>'2019-20_working'!O20</f>
        <v>0</v>
      </c>
      <c r="O20" s="94">
        <f>'2019-20_working'!P20+'2019-20_working'!Q20</f>
        <v>0</v>
      </c>
      <c r="P20" s="94">
        <f>'2019-20_working'!R20</f>
        <v>6</v>
      </c>
      <c r="Q20" s="95">
        <f t="shared" si="4"/>
        <v>0</v>
      </c>
      <c r="R20" s="95">
        <f t="shared" si="5"/>
        <v>4.5112781954887216E-2</v>
      </c>
      <c r="S20" s="94"/>
      <c r="T20" s="94">
        <f t="shared" si="0"/>
        <v>136</v>
      </c>
      <c r="U20" s="94">
        <f t="shared" si="0"/>
        <v>0</v>
      </c>
      <c r="V20" s="94">
        <f t="shared" si="0"/>
        <v>0</v>
      </c>
      <c r="W20" s="94">
        <f t="shared" si="0"/>
        <v>0</v>
      </c>
      <c r="X20" s="94">
        <f t="shared" si="0"/>
        <v>0</v>
      </c>
      <c r="Y20" s="94">
        <f t="shared" si="0"/>
        <v>6</v>
      </c>
      <c r="Z20" s="95">
        <f t="shared" si="6"/>
        <v>0</v>
      </c>
      <c r="AA20" s="95">
        <f t="shared" si="7"/>
        <v>4.2253521126760563E-2</v>
      </c>
      <c r="AB20" s="94"/>
      <c r="AC20" s="94">
        <f>'2019-20_working'!T20+'2019-20_working'!U20</f>
        <v>2</v>
      </c>
      <c r="AD20" s="94">
        <f>'2019-20_working'!V20</f>
        <v>0</v>
      </c>
      <c r="AE20" s="94">
        <f>'2019-20_working'!W20</f>
        <v>0</v>
      </c>
      <c r="AF20" s="94">
        <f>'2019-20_working'!X20</f>
        <v>0</v>
      </c>
      <c r="AG20" s="94">
        <f>'2019-20_working'!Y20+'2019-20_working'!Z20</f>
        <v>0</v>
      </c>
      <c r="AH20" s="94">
        <f>'2019-20_working'!AA20</f>
        <v>0</v>
      </c>
      <c r="AI20" s="95">
        <f t="shared" si="8"/>
        <v>0</v>
      </c>
      <c r="AJ20" s="95">
        <f t="shared" si="9"/>
        <v>0</v>
      </c>
      <c r="AK20" s="94"/>
      <c r="AL20" s="94">
        <f>'2019-20_working'!AC20+'2019-20_working'!AD20</f>
        <v>25</v>
      </c>
      <c r="AM20" s="94">
        <f>'2019-20_working'!AE20</f>
        <v>1</v>
      </c>
      <c r="AN20" s="94">
        <f>'2019-20_working'!AF20</f>
        <v>1</v>
      </c>
      <c r="AO20" s="94">
        <f>'2019-20_working'!AG20</f>
        <v>0</v>
      </c>
      <c r="AP20" s="94">
        <f>'2019-20_working'!AH20+'2019-20_working'!AI20</f>
        <v>0</v>
      </c>
      <c r="AQ20" s="94">
        <f>'2019-20_working'!AJ20</f>
        <v>1</v>
      </c>
      <c r="AR20" s="95">
        <f t="shared" si="10"/>
        <v>7.407407407407407E-2</v>
      </c>
      <c r="AS20" s="95">
        <f t="shared" si="11"/>
        <v>3.5714285714285712E-2</v>
      </c>
      <c r="AT20" s="94"/>
      <c r="AU20" s="94">
        <f t="shared" si="1"/>
        <v>163</v>
      </c>
      <c r="AV20" s="94">
        <f t="shared" si="1"/>
        <v>1</v>
      </c>
      <c r="AW20" s="94">
        <f t="shared" si="1"/>
        <v>1</v>
      </c>
      <c r="AX20" s="94">
        <f t="shared" si="1"/>
        <v>0</v>
      </c>
      <c r="AY20" s="94">
        <f t="shared" si="1"/>
        <v>0</v>
      </c>
      <c r="AZ20" s="94">
        <f t="shared" si="1"/>
        <v>7</v>
      </c>
      <c r="BA20" s="95">
        <f t="shared" si="12"/>
        <v>1.2121212121212121E-2</v>
      </c>
      <c r="BB20" s="95">
        <f t="shared" si="13"/>
        <v>4.0697674418604654E-2</v>
      </c>
    </row>
    <row r="21" spans="1:54" x14ac:dyDescent="0.3">
      <c r="A21" s="8" t="s">
        <v>28</v>
      </c>
      <c r="B21" s="94">
        <f>'2019-20_working'!B21+'2019-20_working'!C21</f>
        <v>10</v>
      </c>
      <c r="C21" s="94">
        <f>'2019-20_working'!D21</f>
        <v>0</v>
      </c>
      <c r="D21" s="94">
        <f>'2019-20_working'!E21</f>
        <v>0</v>
      </c>
      <c r="E21" s="94">
        <f>'2019-20_working'!F21</f>
        <v>0</v>
      </c>
      <c r="F21" s="94">
        <f>'2019-20_working'!G21+'2019-20_working'!H21</f>
        <v>0</v>
      </c>
      <c r="G21" s="94">
        <f>'2019-20_working'!I21</f>
        <v>1</v>
      </c>
      <c r="H21" s="95">
        <f t="shared" si="2"/>
        <v>0</v>
      </c>
      <c r="I21" s="95">
        <f t="shared" si="3"/>
        <v>9.0909090909090912E-2</v>
      </c>
      <c r="J21" s="94"/>
      <c r="K21" s="94">
        <f>'2019-20_working'!K21+'2019-20_working'!L21</f>
        <v>83</v>
      </c>
      <c r="L21" s="94">
        <f>'2019-20_working'!M21</f>
        <v>1</v>
      </c>
      <c r="M21" s="94">
        <f>'2019-20_working'!N21</f>
        <v>0</v>
      </c>
      <c r="N21" s="94">
        <f>'2019-20_working'!O21</f>
        <v>0</v>
      </c>
      <c r="O21" s="94">
        <f>'2019-20_working'!P21+'2019-20_working'!Q21</f>
        <v>0</v>
      </c>
      <c r="P21" s="94">
        <f>'2019-20_working'!R21</f>
        <v>15</v>
      </c>
      <c r="Q21" s="95">
        <f t="shared" si="4"/>
        <v>1.1904761904761904E-2</v>
      </c>
      <c r="R21" s="95">
        <f t="shared" si="5"/>
        <v>0.15151515151515152</v>
      </c>
      <c r="S21" s="94"/>
      <c r="T21" s="94">
        <f t="shared" si="0"/>
        <v>93</v>
      </c>
      <c r="U21" s="94">
        <f t="shared" si="0"/>
        <v>1</v>
      </c>
      <c r="V21" s="94">
        <f t="shared" si="0"/>
        <v>0</v>
      </c>
      <c r="W21" s="94">
        <f t="shared" si="0"/>
        <v>0</v>
      </c>
      <c r="X21" s="94">
        <f t="shared" si="0"/>
        <v>0</v>
      </c>
      <c r="Y21" s="94">
        <f t="shared" si="0"/>
        <v>16</v>
      </c>
      <c r="Z21" s="95">
        <f t="shared" si="6"/>
        <v>1.0638297872340425E-2</v>
      </c>
      <c r="AA21" s="95">
        <f t="shared" si="7"/>
        <v>0.14545454545454545</v>
      </c>
      <c r="AB21" s="94"/>
      <c r="AC21" s="94">
        <f>'2019-20_working'!T21+'2019-20_working'!U21</f>
        <v>5</v>
      </c>
      <c r="AD21" s="94">
        <f>'2019-20_working'!V21</f>
        <v>0</v>
      </c>
      <c r="AE21" s="94">
        <f>'2019-20_working'!W21</f>
        <v>0</v>
      </c>
      <c r="AF21" s="94">
        <f>'2019-20_working'!X21</f>
        <v>0</v>
      </c>
      <c r="AG21" s="94">
        <f>'2019-20_working'!Y21+'2019-20_working'!Z21</f>
        <v>0</v>
      </c>
      <c r="AH21" s="94">
        <f>'2019-20_working'!AA21</f>
        <v>1</v>
      </c>
      <c r="AI21" s="95">
        <f t="shared" si="8"/>
        <v>0</v>
      </c>
      <c r="AJ21" s="95">
        <f t="shared" si="9"/>
        <v>0.16666666666666666</v>
      </c>
      <c r="AK21" s="94"/>
      <c r="AL21" s="94">
        <f>'2019-20_working'!AC21+'2019-20_working'!AD21</f>
        <v>60</v>
      </c>
      <c r="AM21" s="94">
        <f>'2019-20_working'!AE21</f>
        <v>0</v>
      </c>
      <c r="AN21" s="94">
        <f>'2019-20_working'!AF21</f>
        <v>0</v>
      </c>
      <c r="AO21" s="94">
        <f>'2019-20_working'!AG21</f>
        <v>0</v>
      </c>
      <c r="AP21" s="94">
        <f>'2019-20_working'!AH21+'2019-20_working'!AI21</f>
        <v>0</v>
      </c>
      <c r="AQ21" s="94">
        <f>'2019-20_working'!AJ21</f>
        <v>8</v>
      </c>
      <c r="AR21" s="95">
        <f t="shared" si="10"/>
        <v>0</v>
      </c>
      <c r="AS21" s="95">
        <f t="shared" si="11"/>
        <v>0.11764705882352941</v>
      </c>
      <c r="AT21" s="94"/>
      <c r="AU21" s="94">
        <f t="shared" si="1"/>
        <v>158</v>
      </c>
      <c r="AV21" s="94">
        <f t="shared" si="1"/>
        <v>1</v>
      </c>
      <c r="AW21" s="94">
        <f t="shared" si="1"/>
        <v>0</v>
      </c>
      <c r="AX21" s="94">
        <f t="shared" si="1"/>
        <v>0</v>
      </c>
      <c r="AY21" s="94">
        <f t="shared" si="1"/>
        <v>0</v>
      </c>
      <c r="AZ21" s="94">
        <f t="shared" si="1"/>
        <v>25</v>
      </c>
      <c r="BA21" s="95">
        <f t="shared" si="12"/>
        <v>6.2893081761006293E-3</v>
      </c>
      <c r="BB21" s="95">
        <f t="shared" si="13"/>
        <v>0.1358695652173913</v>
      </c>
    </row>
    <row r="22" spans="1:54" x14ac:dyDescent="0.3">
      <c r="A22" s="8" t="s">
        <v>29</v>
      </c>
      <c r="B22" s="94">
        <f>'2019-20_working'!B22+'2019-20_working'!C22</f>
        <v>9</v>
      </c>
      <c r="C22" s="94">
        <f>'2019-20_working'!D22</f>
        <v>0</v>
      </c>
      <c r="D22" s="94">
        <f>'2019-20_working'!E22</f>
        <v>0</v>
      </c>
      <c r="E22" s="94">
        <f>'2019-20_working'!F22</f>
        <v>0</v>
      </c>
      <c r="F22" s="94">
        <f>'2019-20_working'!G22+'2019-20_working'!H22</f>
        <v>0</v>
      </c>
      <c r="G22" s="94">
        <f>'2019-20_working'!I22</f>
        <v>8</v>
      </c>
      <c r="H22" s="95">
        <f t="shared" si="2"/>
        <v>0</v>
      </c>
      <c r="I22" s="95">
        <f t="shared" si="3"/>
        <v>0.47058823529411764</v>
      </c>
      <c r="J22" s="94"/>
      <c r="K22" s="94">
        <f>'2019-20_working'!K22+'2019-20_working'!L22</f>
        <v>8</v>
      </c>
      <c r="L22" s="94">
        <f>'2019-20_working'!M22</f>
        <v>0</v>
      </c>
      <c r="M22" s="94">
        <f>'2019-20_working'!N22</f>
        <v>0</v>
      </c>
      <c r="N22" s="94">
        <f>'2019-20_working'!O22</f>
        <v>0</v>
      </c>
      <c r="O22" s="94">
        <f>'2019-20_working'!P22+'2019-20_working'!Q22</f>
        <v>0</v>
      </c>
      <c r="P22" s="94">
        <f>'2019-20_working'!R22</f>
        <v>20</v>
      </c>
      <c r="Q22" s="95">
        <f t="shared" si="4"/>
        <v>0</v>
      </c>
      <c r="R22" s="95">
        <f t="shared" si="5"/>
        <v>0.7142857142857143</v>
      </c>
      <c r="S22" s="94"/>
      <c r="T22" s="94">
        <f t="shared" si="0"/>
        <v>17</v>
      </c>
      <c r="U22" s="94">
        <f t="shared" si="0"/>
        <v>0</v>
      </c>
      <c r="V22" s="94">
        <f t="shared" si="0"/>
        <v>0</v>
      </c>
      <c r="W22" s="94">
        <f t="shared" si="0"/>
        <v>0</v>
      </c>
      <c r="X22" s="94">
        <f t="shared" si="0"/>
        <v>0</v>
      </c>
      <c r="Y22" s="94">
        <f t="shared" si="0"/>
        <v>28</v>
      </c>
      <c r="Z22" s="95">
        <f t="shared" si="6"/>
        <v>0</v>
      </c>
      <c r="AA22" s="95">
        <f t="shared" si="7"/>
        <v>0.62222222222222223</v>
      </c>
      <c r="AB22" s="94"/>
      <c r="AC22" s="94">
        <f>'2019-20_working'!T22+'2019-20_working'!U22</f>
        <v>0</v>
      </c>
      <c r="AD22" s="94">
        <f>'2019-20_working'!V22</f>
        <v>0</v>
      </c>
      <c r="AE22" s="94">
        <f>'2019-20_working'!W22</f>
        <v>0</v>
      </c>
      <c r="AF22" s="94">
        <f>'2019-20_working'!X22</f>
        <v>0</v>
      </c>
      <c r="AG22" s="94">
        <f>'2019-20_working'!Y22+'2019-20_working'!Z22</f>
        <v>0</v>
      </c>
      <c r="AH22" s="94">
        <f>'2019-20_working'!AA22</f>
        <v>0</v>
      </c>
      <c r="AI22" s="95" t="str">
        <f t="shared" si="8"/>
        <v>-</v>
      </c>
      <c r="AJ22" s="95" t="str">
        <f t="shared" si="9"/>
        <v>-</v>
      </c>
      <c r="AK22" s="94"/>
      <c r="AL22" s="94">
        <f>'2019-20_working'!AC22+'2019-20_working'!AD22</f>
        <v>4</v>
      </c>
      <c r="AM22" s="94">
        <f>'2019-20_working'!AE22</f>
        <v>0</v>
      </c>
      <c r="AN22" s="94">
        <f>'2019-20_working'!AF22</f>
        <v>0</v>
      </c>
      <c r="AO22" s="94">
        <f>'2019-20_working'!AG22</f>
        <v>0</v>
      </c>
      <c r="AP22" s="94">
        <f>'2019-20_working'!AH22+'2019-20_working'!AI22</f>
        <v>0</v>
      </c>
      <c r="AQ22" s="94">
        <f>'2019-20_working'!AJ22</f>
        <v>6</v>
      </c>
      <c r="AR22" s="95">
        <f t="shared" si="10"/>
        <v>0</v>
      </c>
      <c r="AS22" s="95">
        <f t="shared" si="11"/>
        <v>0.6</v>
      </c>
      <c r="AT22" s="94"/>
      <c r="AU22" s="94">
        <f t="shared" si="1"/>
        <v>21</v>
      </c>
      <c r="AV22" s="94">
        <f t="shared" si="1"/>
        <v>0</v>
      </c>
      <c r="AW22" s="94">
        <f t="shared" si="1"/>
        <v>0</v>
      </c>
      <c r="AX22" s="94">
        <f t="shared" si="1"/>
        <v>0</v>
      </c>
      <c r="AY22" s="94">
        <f t="shared" si="1"/>
        <v>0</v>
      </c>
      <c r="AZ22" s="94">
        <f t="shared" si="1"/>
        <v>34</v>
      </c>
      <c r="BA22" s="95">
        <f t="shared" si="12"/>
        <v>0</v>
      </c>
      <c r="BB22" s="95">
        <f t="shared" si="13"/>
        <v>0.61818181818181817</v>
      </c>
    </row>
    <row r="23" spans="1:54" x14ac:dyDescent="0.3">
      <c r="A23" s="8" t="s">
        <v>30</v>
      </c>
      <c r="B23" s="94">
        <f>'2019-20_working'!B23+'2019-20_working'!C23</f>
        <v>10</v>
      </c>
      <c r="C23" s="94">
        <f>'2019-20_working'!D23</f>
        <v>0</v>
      </c>
      <c r="D23" s="94">
        <f>'2019-20_working'!E23</f>
        <v>0</v>
      </c>
      <c r="E23" s="94">
        <f>'2019-20_working'!F23</f>
        <v>0</v>
      </c>
      <c r="F23" s="94">
        <f>'2019-20_working'!G23+'2019-20_working'!H23</f>
        <v>0</v>
      </c>
      <c r="G23" s="94">
        <f>'2019-20_working'!I23</f>
        <v>5</v>
      </c>
      <c r="H23" s="95">
        <f t="shared" si="2"/>
        <v>0</v>
      </c>
      <c r="I23" s="95">
        <f t="shared" si="3"/>
        <v>0.33333333333333331</v>
      </c>
      <c r="J23" s="94"/>
      <c r="K23" s="94">
        <f>'2019-20_working'!K23+'2019-20_working'!L23</f>
        <v>18</v>
      </c>
      <c r="L23" s="94">
        <f>'2019-20_working'!M23</f>
        <v>2</v>
      </c>
      <c r="M23" s="94">
        <f>'2019-20_working'!N23</f>
        <v>0</v>
      </c>
      <c r="N23" s="94">
        <f>'2019-20_working'!O23</f>
        <v>0</v>
      </c>
      <c r="O23" s="94">
        <f>'2019-20_working'!P23+'2019-20_working'!Q23</f>
        <v>0</v>
      </c>
      <c r="P23" s="94">
        <f>'2019-20_working'!R23</f>
        <v>6</v>
      </c>
      <c r="Q23" s="95">
        <f t="shared" si="4"/>
        <v>0.1</v>
      </c>
      <c r="R23" s="95">
        <f t="shared" si="5"/>
        <v>0.23076923076923078</v>
      </c>
      <c r="S23" s="94"/>
      <c r="T23" s="94">
        <f t="shared" si="0"/>
        <v>28</v>
      </c>
      <c r="U23" s="94">
        <f t="shared" si="0"/>
        <v>2</v>
      </c>
      <c r="V23" s="94">
        <f t="shared" si="0"/>
        <v>0</v>
      </c>
      <c r="W23" s="94">
        <f t="shared" si="0"/>
        <v>0</v>
      </c>
      <c r="X23" s="94">
        <f t="shared" si="0"/>
        <v>0</v>
      </c>
      <c r="Y23" s="94">
        <f t="shared" si="0"/>
        <v>11</v>
      </c>
      <c r="Z23" s="95">
        <f t="shared" si="6"/>
        <v>6.6666666666666666E-2</v>
      </c>
      <c r="AA23" s="95">
        <f t="shared" si="7"/>
        <v>0.26829268292682928</v>
      </c>
      <c r="AB23" s="94"/>
      <c r="AC23" s="94">
        <f>'2019-20_working'!T23+'2019-20_working'!U23</f>
        <v>4</v>
      </c>
      <c r="AD23" s="94">
        <f>'2019-20_working'!V23</f>
        <v>0</v>
      </c>
      <c r="AE23" s="94">
        <f>'2019-20_working'!W23</f>
        <v>0</v>
      </c>
      <c r="AF23" s="94">
        <f>'2019-20_working'!X23</f>
        <v>0</v>
      </c>
      <c r="AG23" s="94">
        <f>'2019-20_working'!Y23+'2019-20_working'!Z23</f>
        <v>0</v>
      </c>
      <c r="AH23" s="94">
        <f>'2019-20_working'!AA23</f>
        <v>0</v>
      </c>
      <c r="AI23" s="95">
        <f t="shared" si="8"/>
        <v>0</v>
      </c>
      <c r="AJ23" s="95">
        <f t="shared" si="9"/>
        <v>0</v>
      </c>
      <c r="AK23" s="94"/>
      <c r="AL23" s="94">
        <f>'2019-20_working'!AC23+'2019-20_working'!AD23</f>
        <v>16</v>
      </c>
      <c r="AM23" s="94">
        <f>'2019-20_working'!AE23</f>
        <v>1</v>
      </c>
      <c r="AN23" s="94">
        <f>'2019-20_working'!AF23</f>
        <v>0</v>
      </c>
      <c r="AO23" s="94">
        <f>'2019-20_working'!AG23</f>
        <v>0</v>
      </c>
      <c r="AP23" s="94">
        <f>'2019-20_working'!AH23+'2019-20_working'!AI23</f>
        <v>0</v>
      </c>
      <c r="AQ23" s="94">
        <f>'2019-20_working'!AJ23</f>
        <v>2</v>
      </c>
      <c r="AR23" s="95">
        <f t="shared" si="10"/>
        <v>5.8823529411764705E-2</v>
      </c>
      <c r="AS23" s="95">
        <f t="shared" si="11"/>
        <v>0.10526315789473684</v>
      </c>
      <c r="AT23" s="94"/>
      <c r="AU23" s="94">
        <f t="shared" si="1"/>
        <v>48</v>
      </c>
      <c r="AV23" s="94">
        <f t="shared" si="1"/>
        <v>3</v>
      </c>
      <c r="AW23" s="94">
        <f t="shared" si="1"/>
        <v>0</v>
      </c>
      <c r="AX23" s="94">
        <f t="shared" si="1"/>
        <v>0</v>
      </c>
      <c r="AY23" s="94">
        <f t="shared" si="1"/>
        <v>0</v>
      </c>
      <c r="AZ23" s="94">
        <f t="shared" si="1"/>
        <v>13</v>
      </c>
      <c r="BA23" s="95">
        <f t="shared" si="12"/>
        <v>5.8823529411764705E-2</v>
      </c>
      <c r="BB23" s="95">
        <f t="shared" si="13"/>
        <v>0.203125</v>
      </c>
    </row>
    <row r="24" spans="1:54" x14ac:dyDescent="0.3">
      <c r="A24" s="8" t="s">
        <v>31</v>
      </c>
      <c r="B24" s="94">
        <f>'2019-20_working'!B24+'2019-20_working'!C24</f>
        <v>24</v>
      </c>
      <c r="C24" s="94">
        <f>'2019-20_working'!D24</f>
        <v>2</v>
      </c>
      <c r="D24" s="94">
        <f>'2019-20_working'!E24</f>
        <v>0</v>
      </c>
      <c r="E24" s="94">
        <f>'2019-20_working'!F24</f>
        <v>0</v>
      </c>
      <c r="F24" s="94">
        <f>'2019-20_working'!G24+'2019-20_working'!H24</f>
        <v>0</v>
      </c>
      <c r="G24" s="94">
        <f>'2019-20_working'!I24</f>
        <v>4</v>
      </c>
      <c r="H24" s="95">
        <f t="shared" si="2"/>
        <v>7.6923076923076927E-2</v>
      </c>
      <c r="I24" s="95">
        <f t="shared" si="3"/>
        <v>0.13333333333333333</v>
      </c>
      <c r="J24" s="94"/>
      <c r="K24" s="94">
        <f>'2019-20_working'!K24+'2019-20_working'!L24</f>
        <v>44</v>
      </c>
      <c r="L24" s="94">
        <f>'2019-20_working'!M24</f>
        <v>0</v>
      </c>
      <c r="M24" s="94">
        <f>'2019-20_working'!N24</f>
        <v>0</v>
      </c>
      <c r="N24" s="94">
        <f>'2019-20_working'!O24</f>
        <v>1</v>
      </c>
      <c r="O24" s="94">
        <f>'2019-20_working'!P24+'2019-20_working'!Q24</f>
        <v>0</v>
      </c>
      <c r="P24" s="94">
        <f>'2019-20_working'!R24</f>
        <v>35</v>
      </c>
      <c r="Q24" s="95">
        <f t="shared" si="4"/>
        <v>2.2222222222222223E-2</v>
      </c>
      <c r="R24" s="95">
        <f t="shared" si="5"/>
        <v>0.4375</v>
      </c>
      <c r="S24" s="94"/>
      <c r="T24" s="94">
        <f t="shared" ref="T24:Y56" si="14">B24+K24</f>
        <v>68</v>
      </c>
      <c r="U24" s="94">
        <f t="shared" si="14"/>
        <v>2</v>
      </c>
      <c r="V24" s="94">
        <f t="shared" si="14"/>
        <v>0</v>
      </c>
      <c r="W24" s="94">
        <f t="shared" si="14"/>
        <v>1</v>
      </c>
      <c r="X24" s="94">
        <f t="shared" si="14"/>
        <v>0</v>
      </c>
      <c r="Y24" s="94">
        <f t="shared" si="14"/>
        <v>39</v>
      </c>
      <c r="Z24" s="95">
        <f t="shared" si="6"/>
        <v>4.2253521126760563E-2</v>
      </c>
      <c r="AA24" s="95">
        <f t="shared" si="7"/>
        <v>0.35454545454545455</v>
      </c>
      <c r="AB24" s="94"/>
      <c r="AC24" s="94">
        <f>'2019-20_working'!T24+'2019-20_working'!U24</f>
        <v>2</v>
      </c>
      <c r="AD24" s="94">
        <f>'2019-20_working'!V24</f>
        <v>0</v>
      </c>
      <c r="AE24" s="94">
        <f>'2019-20_working'!W24</f>
        <v>0</v>
      </c>
      <c r="AF24" s="94">
        <f>'2019-20_working'!X24</f>
        <v>0</v>
      </c>
      <c r="AG24" s="94">
        <f>'2019-20_working'!Y24+'2019-20_working'!Z24</f>
        <v>0</v>
      </c>
      <c r="AH24" s="94">
        <f>'2019-20_working'!AA24</f>
        <v>0</v>
      </c>
      <c r="AI24" s="95">
        <f t="shared" si="8"/>
        <v>0</v>
      </c>
      <c r="AJ24" s="95">
        <f t="shared" si="9"/>
        <v>0</v>
      </c>
      <c r="AK24" s="94"/>
      <c r="AL24" s="94">
        <f>'2019-20_working'!AC24+'2019-20_working'!AD24</f>
        <v>38</v>
      </c>
      <c r="AM24" s="94">
        <f>'2019-20_working'!AE24</f>
        <v>1</v>
      </c>
      <c r="AN24" s="94">
        <f>'2019-20_working'!AF24</f>
        <v>0</v>
      </c>
      <c r="AO24" s="94">
        <f>'2019-20_working'!AG24</f>
        <v>1</v>
      </c>
      <c r="AP24" s="94">
        <f>'2019-20_working'!AH24+'2019-20_working'!AI24</f>
        <v>1</v>
      </c>
      <c r="AQ24" s="94">
        <f>'2019-20_working'!AJ24</f>
        <v>19</v>
      </c>
      <c r="AR24" s="95">
        <f t="shared" si="10"/>
        <v>7.3170731707317069E-2</v>
      </c>
      <c r="AS24" s="95">
        <f t="shared" si="11"/>
        <v>0.31666666666666665</v>
      </c>
      <c r="AT24" s="94"/>
      <c r="AU24" s="94">
        <f t="shared" ref="AU24:AZ56" si="15">T24+AC24+AL24</f>
        <v>108</v>
      </c>
      <c r="AV24" s="94">
        <f t="shared" si="15"/>
        <v>3</v>
      </c>
      <c r="AW24" s="94">
        <f t="shared" si="15"/>
        <v>0</v>
      </c>
      <c r="AX24" s="94">
        <f t="shared" si="15"/>
        <v>2</v>
      </c>
      <c r="AY24" s="94">
        <f t="shared" si="15"/>
        <v>1</v>
      </c>
      <c r="AZ24" s="94">
        <f t="shared" si="15"/>
        <v>58</v>
      </c>
      <c r="BA24" s="95">
        <f t="shared" si="12"/>
        <v>5.2631578947368418E-2</v>
      </c>
      <c r="BB24" s="95">
        <f t="shared" si="13"/>
        <v>0.33720930232558138</v>
      </c>
    </row>
    <row r="25" spans="1:54" x14ac:dyDescent="0.3">
      <c r="A25" s="8" t="s">
        <v>32</v>
      </c>
      <c r="B25" s="94">
        <f>'2019-20_working'!B25+'2019-20_working'!C25</f>
        <v>7</v>
      </c>
      <c r="C25" s="94">
        <f>'2019-20_working'!D25</f>
        <v>0</v>
      </c>
      <c r="D25" s="94">
        <f>'2019-20_working'!E25</f>
        <v>0</v>
      </c>
      <c r="E25" s="94">
        <f>'2019-20_working'!F25</f>
        <v>0</v>
      </c>
      <c r="F25" s="94">
        <f>'2019-20_working'!G25+'2019-20_working'!H25</f>
        <v>0</v>
      </c>
      <c r="G25" s="94">
        <f>'2019-20_working'!I25</f>
        <v>1</v>
      </c>
      <c r="H25" s="95">
        <f t="shared" si="2"/>
        <v>0</v>
      </c>
      <c r="I25" s="95">
        <f t="shared" si="3"/>
        <v>0.125</v>
      </c>
      <c r="J25" s="94"/>
      <c r="K25" s="94">
        <f>'2019-20_working'!K25+'2019-20_working'!L25</f>
        <v>10</v>
      </c>
      <c r="L25" s="94">
        <f>'2019-20_working'!M25</f>
        <v>1</v>
      </c>
      <c r="M25" s="94">
        <f>'2019-20_working'!N25</f>
        <v>0</v>
      </c>
      <c r="N25" s="94">
        <f>'2019-20_working'!O25</f>
        <v>0</v>
      </c>
      <c r="O25" s="94">
        <f>'2019-20_working'!P25+'2019-20_working'!Q25</f>
        <v>0</v>
      </c>
      <c r="P25" s="94">
        <f>'2019-20_working'!R25</f>
        <v>25</v>
      </c>
      <c r="Q25" s="95">
        <f t="shared" si="4"/>
        <v>9.0909090909090912E-2</v>
      </c>
      <c r="R25" s="95">
        <f t="shared" si="5"/>
        <v>0.69444444444444442</v>
      </c>
      <c r="S25" s="94"/>
      <c r="T25" s="94">
        <f t="shared" si="14"/>
        <v>17</v>
      </c>
      <c r="U25" s="94">
        <f t="shared" si="14"/>
        <v>1</v>
      </c>
      <c r="V25" s="94">
        <f t="shared" si="14"/>
        <v>0</v>
      </c>
      <c r="W25" s="94">
        <f t="shared" si="14"/>
        <v>0</v>
      </c>
      <c r="X25" s="94">
        <f t="shared" si="14"/>
        <v>0</v>
      </c>
      <c r="Y25" s="94">
        <f t="shared" si="14"/>
        <v>26</v>
      </c>
      <c r="Z25" s="95">
        <f t="shared" si="6"/>
        <v>5.5555555555555552E-2</v>
      </c>
      <c r="AA25" s="95">
        <f t="shared" si="7"/>
        <v>0.59090909090909094</v>
      </c>
      <c r="AB25" s="94"/>
      <c r="AC25" s="94">
        <f>'2019-20_working'!T25+'2019-20_working'!U25</f>
        <v>2</v>
      </c>
      <c r="AD25" s="94">
        <f>'2019-20_working'!V25</f>
        <v>0</v>
      </c>
      <c r="AE25" s="94">
        <f>'2019-20_working'!W25</f>
        <v>0</v>
      </c>
      <c r="AF25" s="94">
        <f>'2019-20_working'!X25</f>
        <v>0</v>
      </c>
      <c r="AG25" s="94">
        <f>'2019-20_working'!Y25+'2019-20_working'!Z25</f>
        <v>0</v>
      </c>
      <c r="AH25" s="94">
        <f>'2019-20_working'!AA25</f>
        <v>0</v>
      </c>
      <c r="AI25" s="95">
        <f t="shared" si="8"/>
        <v>0</v>
      </c>
      <c r="AJ25" s="95">
        <f t="shared" si="9"/>
        <v>0</v>
      </c>
      <c r="AK25" s="94"/>
      <c r="AL25" s="94">
        <f>'2019-20_working'!AC25+'2019-20_working'!AD25</f>
        <v>6</v>
      </c>
      <c r="AM25" s="94">
        <f>'2019-20_working'!AE25</f>
        <v>0</v>
      </c>
      <c r="AN25" s="94">
        <f>'2019-20_working'!AF25</f>
        <v>0</v>
      </c>
      <c r="AO25" s="94">
        <f>'2019-20_working'!AG25</f>
        <v>0</v>
      </c>
      <c r="AP25" s="94">
        <f>'2019-20_working'!AH25+'2019-20_working'!AI25</f>
        <v>0</v>
      </c>
      <c r="AQ25" s="94">
        <f>'2019-20_working'!AJ25</f>
        <v>1</v>
      </c>
      <c r="AR25" s="95">
        <f t="shared" si="10"/>
        <v>0</v>
      </c>
      <c r="AS25" s="95">
        <f t="shared" si="11"/>
        <v>0.14285714285714285</v>
      </c>
      <c r="AT25" s="94"/>
      <c r="AU25" s="94">
        <f t="shared" si="15"/>
        <v>25</v>
      </c>
      <c r="AV25" s="94">
        <f t="shared" si="15"/>
        <v>1</v>
      </c>
      <c r="AW25" s="94">
        <f t="shared" si="15"/>
        <v>0</v>
      </c>
      <c r="AX25" s="94">
        <f t="shared" si="15"/>
        <v>0</v>
      </c>
      <c r="AY25" s="94">
        <f t="shared" si="15"/>
        <v>0</v>
      </c>
      <c r="AZ25" s="94">
        <f t="shared" si="15"/>
        <v>27</v>
      </c>
      <c r="BA25" s="95">
        <f t="shared" si="12"/>
        <v>3.8461538461538464E-2</v>
      </c>
      <c r="BB25" s="95">
        <f t="shared" si="13"/>
        <v>0.50943396226415094</v>
      </c>
    </row>
    <row r="26" spans="1:54" x14ac:dyDescent="0.3">
      <c r="A26" s="8" t="s">
        <v>33</v>
      </c>
      <c r="B26" s="94">
        <f>'2019-20_working'!B26+'2019-20_working'!C26</f>
        <v>27</v>
      </c>
      <c r="C26" s="94">
        <f>'2019-20_working'!D26</f>
        <v>0</v>
      </c>
      <c r="D26" s="94">
        <f>'2019-20_working'!E26</f>
        <v>0</v>
      </c>
      <c r="E26" s="94">
        <f>'2019-20_working'!F26</f>
        <v>1</v>
      </c>
      <c r="F26" s="94">
        <f>'2019-20_working'!G26+'2019-20_working'!H26</f>
        <v>1</v>
      </c>
      <c r="G26" s="94">
        <f>'2019-20_working'!I26</f>
        <v>0</v>
      </c>
      <c r="H26" s="95">
        <f t="shared" si="2"/>
        <v>6.8965517241379309E-2</v>
      </c>
      <c r="I26" s="95">
        <f t="shared" si="3"/>
        <v>0</v>
      </c>
      <c r="J26" s="94"/>
      <c r="K26" s="94">
        <f>'2019-20_working'!K26+'2019-20_working'!L26</f>
        <v>67</v>
      </c>
      <c r="L26" s="94">
        <f>'2019-20_working'!M26</f>
        <v>0</v>
      </c>
      <c r="M26" s="94">
        <f>'2019-20_working'!N26</f>
        <v>0</v>
      </c>
      <c r="N26" s="94">
        <f>'2019-20_working'!O26</f>
        <v>1</v>
      </c>
      <c r="O26" s="94">
        <f>'2019-20_working'!P26+'2019-20_working'!Q26</f>
        <v>1</v>
      </c>
      <c r="P26" s="94">
        <f>'2019-20_working'!R26</f>
        <v>1</v>
      </c>
      <c r="Q26" s="95">
        <f t="shared" si="4"/>
        <v>2.8985507246376812E-2</v>
      </c>
      <c r="R26" s="95">
        <f t="shared" si="5"/>
        <v>1.4285714285714285E-2</v>
      </c>
      <c r="S26" s="94"/>
      <c r="T26" s="94">
        <f t="shared" si="14"/>
        <v>94</v>
      </c>
      <c r="U26" s="94">
        <f t="shared" si="14"/>
        <v>0</v>
      </c>
      <c r="V26" s="94">
        <f t="shared" si="14"/>
        <v>0</v>
      </c>
      <c r="W26" s="94">
        <f t="shared" si="14"/>
        <v>2</v>
      </c>
      <c r="X26" s="94">
        <f t="shared" si="14"/>
        <v>2</v>
      </c>
      <c r="Y26" s="94">
        <f t="shared" si="14"/>
        <v>1</v>
      </c>
      <c r="Z26" s="95">
        <f t="shared" si="6"/>
        <v>4.0816326530612242E-2</v>
      </c>
      <c r="AA26" s="95">
        <f t="shared" si="7"/>
        <v>1.0101010101010102E-2</v>
      </c>
      <c r="AB26" s="94"/>
      <c r="AC26" s="94">
        <f>'2019-20_working'!T26+'2019-20_working'!U26</f>
        <v>2</v>
      </c>
      <c r="AD26" s="94">
        <f>'2019-20_working'!V26</f>
        <v>0</v>
      </c>
      <c r="AE26" s="94">
        <f>'2019-20_working'!W26</f>
        <v>0</v>
      </c>
      <c r="AF26" s="94">
        <f>'2019-20_working'!X26</f>
        <v>0</v>
      </c>
      <c r="AG26" s="94">
        <f>'2019-20_working'!Y26+'2019-20_working'!Z26</f>
        <v>0</v>
      </c>
      <c r="AH26" s="94">
        <f>'2019-20_working'!AA26</f>
        <v>0</v>
      </c>
      <c r="AI26" s="95">
        <f t="shared" si="8"/>
        <v>0</v>
      </c>
      <c r="AJ26" s="95">
        <f t="shared" si="9"/>
        <v>0</v>
      </c>
      <c r="AK26" s="94"/>
      <c r="AL26" s="94">
        <f>'2019-20_working'!AC26+'2019-20_working'!AD26</f>
        <v>48</v>
      </c>
      <c r="AM26" s="94">
        <f>'2019-20_working'!AE26</f>
        <v>1</v>
      </c>
      <c r="AN26" s="94">
        <f>'2019-20_working'!AF26</f>
        <v>1</v>
      </c>
      <c r="AO26" s="94">
        <f>'2019-20_working'!AG26</f>
        <v>0</v>
      </c>
      <c r="AP26" s="94">
        <f>'2019-20_working'!AH26+'2019-20_working'!AI26</f>
        <v>1</v>
      </c>
      <c r="AQ26" s="94">
        <f>'2019-20_working'!AJ26</f>
        <v>1</v>
      </c>
      <c r="AR26" s="95">
        <f t="shared" si="10"/>
        <v>5.8823529411764705E-2</v>
      </c>
      <c r="AS26" s="95">
        <f t="shared" si="11"/>
        <v>1.9230769230769232E-2</v>
      </c>
      <c r="AT26" s="94"/>
      <c r="AU26" s="94">
        <f t="shared" si="15"/>
        <v>144</v>
      </c>
      <c r="AV26" s="94">
        <f t="shared" si="15"/>
        <v>1</v>
      </c>
      <c r="AW26" s="94">
        <f t="shared" si="15"/>
        <v>1</v>
      </c>
      <c r="AX26" s="94">
        <f t="shared" si="15"/>
        <v>2</v>
      </c>
      <c r="AY26" s="94">
        <f t="shared" si="15"/>
        <v>3</v>
      </c>
      <c r="AZ26" s="94">
        <f t="shared" si="15"/>
        <v>2</v>
      </c>
      <c r="BA26" s="95">
        <f t="shared" si="12"/>
        <v>4.6357615894039736E-2</v>
      </c>
      <c r="BB26" s="95">
        <f t="shared" si="13"/>
        <v>1.3071895424836602E-2</v>
      </c>
    </row>
    <row r="27" spans="1:54" x14ac:dyDescent="0.3">
      <c r="A27" s="8" t="s">
        <v>34</v>
      </c>
      <c r="B27" s="94">
        <f>'2019-20_working'!B27+'2019-20_working'!C27</f>
        <v>21</v>
      </c>
      <c r="C27" s="94">
        <f>'2019-20_working'!D27</f>
        <v>0</v>
      </c>
      <c r="D27" s="94">
        <f>'2019-20_working'!E27</f>
        <v>0</v>
      </c>
      <c r="E27" s="94">
        <f>'2019-20_working'!F27</f>
        <v>0</v>
      </c>
      <c r="F27" s="94">
        <f>'2019-20_working'!G27+'2019-20_working'!H27</f>
        <v>0</v>
      </c>
      <c r="G27" s="94">
        <f>'2019-20_working'!I27</f>
        <v>2</v>
      </c>
      <c r="H27" s="95">
        <f t="shared" si="2"/>
        <v>0</v>
      </c>
      <c r="I27" s="95">
        <f t="shared" si="3"/>
        <v>8.6956521739130432E-2</v>
      </c>
      <c r="J27" s="94"/>
      <c r="K27" s="94">
        <f>'2019-20_working'!K27+'2019-20_working'!L27</f>
        <v>38</v>
      </c>
      <c r="L27" s="94">
        <f>'2019-20_working'!M27</f>
        <v>1</v>
      </c>
      <c r="M27" s="94">
        <f>'2019-20_working'!N27</f>
        <v>0</v>
      </c>
      <c r="N27" s="94">
        <f>'2019-20_working'!O27</f>
        <v>0</v>
      </c>
      <c r="O27" s="94">
        <f>'2019-20_working'!P27+'2019-20_working'!Q27</f>
        <v>1</v>
      </c>
      <c r="P27" s="94">
        <f>'2019-20_working'!R27</f>
        <v>9</v>
      </c>
      <c r="Q27" s="95">
        <f t="shared" si="4"/>
        <v>0.05</v>
      </c>
      <c r="R27" s="95">
        <f t="shared" si="5"/>
        <v>0.18367346938775511</v>
      </c>
      <c r="S27" s="94"/>
      <c r="T27" s="94">
        <f t="shared" si="14"/>
        <v>59</v>
      </c>
      <c r="U27" s="94">
        <f t="shared" si="14"/>
        <v>1</v>
      </c>
      <c r="V27" s="94">
        <f t="shared" si="14"/>
        <v>0</v>
      </c>
      <c r="W27" s="94">
        <f t="shared" si="14"/>
        <v>0</v>
      </c>
      <c r="X27" s="94">
        <f t="shared" si="14"/>
        <v>1</v>
      </c>
      <c r="Y27" s="94">
        <f t="shared" si="14"/>
        <v>11</v>
      </c>
      <c r="Z27" s="95">
        <f t="shared" si="6"/>
        <v>3.2786885245901641E-2</v>
      </c>
      <c r="AA27" s="95">
        <f t="shared" si="7"/>
        <v>0.15277777777777779</v>
      </c>
      <c r="AB27" s="94"/>
      <c r="AC27" s="94">
        <f>'2019-20_working'!T27+'2019-20_working'!U27</f>
        <v>0</v>
      </c>
      <c r="AD27" s="94">
        <f>'2019-20_working'!V27</f>
        <v>0</v>
      </c>
      <c r="AE27" s="94">
        <f>'2019-20_working'!W27</f>
        <v>0</v>
      </c>
      <c r="AF27" s="94">
        <f>'2019-20_working'!X27</f>
        <v>0</v>
      </c>
      <c r="AG27" s="94">
        <f>'2019-20_working'!Y27+'2019-20_working'!Z27</f>
        <v>0</v>
      </c>
      <c r="AH27" s="94">
        <f>'2019-20_working'!AA27</f>
        <v>0</v>
      </c>
      <c r="AI27" s="95" t="str">
        <f t="shared" si="8"/>
        <v>-</v>
      </c>
      <c r="AJ27" s="95" t="str">
        <f t="shared" si="9"/>
        <v>-</v>
      </c>
      <c r="AK27" s="94"/>
      <c r="AL27" s="94">
        <f>'2019-20_working'!AC27+'2019-20_working'!AD27</f>
        <v>20</v>
      </c>
      <c r="AM27" s="94">
        <f>'2019-20_working'!AE27</f>
        <v>0</v>
      </c>
      <c r="AN27" s="94">
        <f>'2019-20_working'!AF27</f>
        <v>0</v>
      </c>
      <c r="AO27" s="94">
        <f>'2019-20_working'!AG27</f>
        <v>0</v>
      </c>
      <c r="AP27" s="94">
        <f>'2019-20_working'!AH27+'2019-20_working'!AI27</f>
        <v>0</v>
      </c>
      <c r="AQ27" s="94">
        <f>'2019-20_working'!AJ27</f>
        <v>9</v>
      </c>
      <c r="AR27" s="95">
        <f t="shared" si="10"/>
        <v>0</v>
      </c>
      <c r="AS27" s="95">
        <f t="shared" si="11"/>
        <v>0.31034482758620691</v>
      </c>
      <c r="AT27" s="94"/>
      <c r="AU27" s="94">
        <f t="shared" si="15"/>
        <v>79</v>
      </c>
      <c r="AV27" s="94">
        <f t="shared" si="15"/>
        <v>1</v>
      </c>
      <c r="AW27" s="94">
        <f t="shared" si="15"/>
        <v>0</v>
      </c>
      <c r="AX27" s="94">
        <f t="shared" si="15"/>
        <v>0</v>
      </c>
      <c r="AY27" s="94">
        <f t="shared" si="15"/>
        <v>1</v>
      </c>
      <c r="AZ27" s="94">
        <f t="shared" si="15"/>
        <v>20</v>
      </c>
      <c r="BA27" s="95">
        <f t="shared" si="12"/>
        <v>2.4691358024691357E-2</v>
      </c>
      <c r="BB27" s="95">
        <f t="shared" si="13"/>
        <v>0.19801980198019803</v>
      </c>
    </row>
    <row r="28" spans="1:54" x14ac:dyDescent="0.3">
      <c r="A28" s="8" t="s">
        <v>35</v>
      </c>
      <c r="B28" s="94">
        <f>'2019-20_working'!B28+'2019-20_working'!C28</f>
        <v>66</v>
      </c>
      <c r="C28" s="94">
        <f>'2019-20_working'!D28</f>
        <v>6</v>
      </c>
      <c r="D28" s="94">
        <f>'2019-20_working'!E28</f>
        <v>0</v>
      </c>
      <c r="E28" s="94">
        <f>'2019-20_working'!F28</f>
        <v>2</v>
      </c>
      <c r="F28" s="94">
        <f>'2019-20_working'!G28+'2019-20_working'!H28</f>
        <v>0</v>
      </c>
      <c r="G28" s="94">
        <f>'2019-20_working'!I28</f>
        <v>0</v>
      </c>
      <c r="H28" s="95">
        <f t="shared" si="2"/>
        <v>0.10810810810810811</v>
      </c>
      <c r="I28" s="95">
        <f t="shared" si="3"/>
        <v>0</v>
      </c>
      <c r="J28" s="94"/>
      <c r="K28" s="94">
        <f>'2019-20_working'!K28+'2019-20_working'!L28</f>
        <v>22</v>
      </c>
      <c r="L28" s="94">
        <f>'2019-20_working'!M28</f>
        <v>0</v>
      </c>
      <c r="M28" s="94">
        <f>'2019-20_working'!N28</f>
        <v>0</v>
      </c>
      <c r="N28" s="94">
        <f>'2019-20_working'!O28</f>
        <v>0</v>
      </c>
      <c r="O28" s="94">
        <f>'2019-20_working'!P28+'2019-20_working'!Q28</f>
        <v>0</v>
      </c>
      <c r="P28" s="94">
        <f>'2019-20_working'!R28</f>
        <v>0</v>
      </c>
      <c r="Q28" s="95">
        <f t="shared" si="4"/>
        <v>0</v>
      </c>
      <c r="R28" s="95">
        <f t="shared" si="5"/>
        <v>0</v>
      </c>
      <c r="S28" s="94"/>
      <c r="T28" s="94">
        <f t="shared" si="14"/>
        <v>88</v>
      </c>
      <c r="U28" s="94">
        <f t="shared" si="14"/>
        <v>6</v>
      </c>
      <c r="V28" s="94">
        <f t="shared" si="14"/>
        <v>0</v>
      </c>
      <c r="W28" s="94">
        <f t="shared" si="14"/>
        <v>2</v>
      </c>
      <c r="X28" s="94">
        <f t="shared" si="14"/>
        <v>0</v>
      </c>
      <c r="Y28" s="94">
        <f t="shared" si="14"/>
        <v>0</v>
      </c>
      <c r="Z28" s="95">
        <f t="shared" si="6"/>
        <v>8.3333333333333329E-2</v>
      </c>
      <c r="AA28" s="95">
        <f t="shared" si="7"/>
        <v>0</v>
      </c>
      <c r="AB28" s="94"/>
      <c r="AC28" s="94">
        <f>'2019-20_working'!T28+'2019-20_working'!U28</f>
        <v>7</v>
      </c>
      <c r="AD28" s="94">
        <f>'2019-20_working'!V28</f>
        <v>0</v>
      </c>
      <c r="AE28" s="94">
        <f>'2019-20_working'!W28</f>
        <v>0</v>
      </c>
      <c r="AF28" s="94">
        <f>'2019-20_working'!X28</f>
        <v>0</v>
      </c>
      <c r="AG28" s="94">
        <f>'2019-20_working'!Y28+'2019-20_working'!Z28</f>
        <v>0</v>
      </c>
      <c r="AH28" s="94">
        <f>'2019-20_working'!AA28</f>
        <v>2</v>
      </c>
      <c r="AI28" s="95">
        <f t="shared" si="8"/>
        <v>0</v>
      </c>
      <c r="AJ28" s="95">
        <f t="shared" si="9"/>
        <v>0.22222222222222221</v>
      </c>
      <c r="AK28" s="94"/>
      <c r="AL28" s="94">
        <f>'2019-20_working'!AC28+'2019-20_working'!AD28</f>
        <v>24</v>
      </c>
      <c r="AM28" s="94">
        <f>'2019-20_working'!AE28</f>
        <v>0</v>
      </c>
      <c r="AN28" s="94">
        <f>'2019-20_working'!AF28</f>
        <v>1</v>
      </c>
      <c r="AO28" s="94">
        <f>'2019-20_working'!AG28</f>
        <v>1</v>
      </c>
      <c r="AP28" s="94">
        <f>'2019-20_working'!AH28+'2019-20_working'!AI28</f>
        <v>0</v>
      </c>
      <c r="AQ28" s="94">
        <f>'2019-20_working'!AJ28</f>
        <v>1</v>
      </c>
      <c r="AR28" s="95">
        <f t="shared" si="10"/>
        <v>7.6923076923076927E-2</v>
      </c>
      <c r="AS28" s="95">
        <f t="shared" si="11"/>
        <v>3.7037037037037035E-2</v>
      </c>
      <c r="AT28" s="94"/>
      <c r="AU28" s="94">
        <f t="shared" si="15"/>
        <v>119</v>
      </c>
      <c r="AV28" s="94">
        <f t="shared" si="15"/>
        <v>6</v>
      </c>
      <c r="AW28" s="94">
        <f t="shared" si="15"/>
        <v>1</v>
      </c>
      <c r="AX28" s="94">
        <f t="shared" si="15"/>
        <v>3</v>
      </c>
      <c r="AY28" s="94">
        <f t="shared" si="15"/>
        <v>0</v>
      </c>
      <c r="AZ28" s="94">
        <f t="shared" si="15"/>
        <v>3</v>
      </c>
      <c r="BA28" s="95">
        <f t="shared" si="12"/>
        <v>7.7519379844961239E-2</v>
      </c>
      <c r="BB28" s="95">
        <f t="shared" si="13"/>
        <v>2.2727272727272728E-2</v>
      </c>
    </row>
    <row r="29" spans="1:54" x14ac:dyDescent="0.3">
      <c r="A29" s="8" t="s">
        <v>36</v>
      </c>
      <c r="B29" s="94">
        <f>'2019-20_working'!B29+'2019-20_working'!C29</f>
        <v>0</v>
      </c>
      <c r="C29" s="94">
        <f>'2019-20_working'!D29</f>
        <v>0</v>
      </c>
      <c r="D29" s="94">
        <f>'2019-20_working'!E29</f>
        <v>0</v>
      </c>
      <c r="E29" s="94">
        <f>'2019-20_working'!F29</f>
        <v>0</v>
      </c>
      <c r="F29" s="94">
        <f>'2019-20_working'!G29+'2019-20_working'!H29</f>
        <v>0</v>
      </c>
      <c r="G29" s="94">
        <f>'2019-20_working'!I29</f>
        <v>0</v>
      </c>
      <c r="H29" s="95" t="str">
        <f t="shared" si="2"/>
        <v>-</v>
      </c>
      <c r="I29" s="95" t="str">
        <f t="shared" si="3"/>
        <v>-</v>
      </c>
      <c r="J29" s="94"/>
      <c r="K29" s="94">
        <f>'2019-20_working'!K29+'2019-20_working'!L29</f>
        <v>25</v>
      </c>
      <c r="L29" s="94">
        <f>'2019-20_working'!M29</f>
        <v>1</v>
      </c>
      <c r="M29" s="94">
        <f>'2019-20_working'!N29</f>
        <v>0</v>
      </c>
      <c r="N29" s="94">
        <f>'2019-20_working'!O29</f>
        <v>0</v>
      </c>
      <c r="O29" s="94">
        <f>'2019-20_working'!P29+'2019-20_working'!Q29</f>
        <v>0</v>
      </c>
      <c r="P29" s="94">
        <f>'2019-20_working'!R29</f>
        <v>0</v>
      </c>
      <c r="Q29" s="95">
        <f t="shared" si="4"/>
        <v>3.8461538461538464E-2</v>
      </c>
      <c r="R29" s="95">
        <f t="shared" si="5"/>
        <v>0</v>
      </c>
      <c r="S29" s="94"/>
      <c r="T29" s="94">
        <f t="shared" si="14"/>
        <v>25</v>
      </c>
      <c r="U29" s="94">
        <f t="shared" si="14"/>
        <v>1</v>
      </c>
      <c r="V29" s="94">
        <f t="shared" si="14"/>
        <v>0</v>
      </c>
      <c r="W29" s="94">
        <f t="shared" si="14"/>
        <v>0</v>
      </c>
      <c r="X29" s="94">
        <f t="shared" si="14"/>
        <v>0</v>
      </c>
      <c r="Y29" s="94">
        <f t="shared" si="14"/>
        <v>0</v>
      </c>
      <c r="Z29" s="95">
        <f t="shared" si="6"/>
        <v>3.8461538461538464E-2</v>
      </c>
      <c r="AA29" s="95">
        <f t="shared" si="7"/>
        <v>0</v>
      </c>
      <c r="AB29" s="94"/>
      <c r="AC29" s="94">
        <f>'2019-20_working'!T29+'2019-20_working'!U29</f>
        <v>2</v>
      </c>
      <c r="AD29" s="94">
        <f>'2019-20_working'!V29</f>
        <v>0</v>
      </c>
      <c r="AE29" s="94">
        <f>'2019-20_working'!W29</f>
        <v>0</v>
      </c>
      <c r="AF29" s="94">
        <f>'2019-20_working'!X29</f>
        <v>0</v>
      </c>
      <c r="AG29" s="94">
        <f>'2019-20_working'!Y29+'2019-20_working'!Z29</f>
        <v>0</v>
      </c>
      <c r="AH29" s="94">
        <f>'2019-20_working'!AA29</f>
        <v>0</v>
      </c>
      <c r="AI29" s="95">
        <f t="shared" si="8"/>
        <v>0</v>
      </c>
      <c r="AJ29" s="95">
        <f t="shared" si="9"/>
        <v>0</v>
      </c>
      <c r="AK29" s="94"/>
      <c r="AL29" s="94">
        <f>'2019-20_working'!AC29+'2019-20_working'!AD29</f>
        <v>16</v>
      </c>
      <c r="AM29" s="94">
        <f>'2019-20_working'!AE29</f>
        <v>0</v>
      </c>
      <c r="AN29" s="94">
        <f>'2019-20_working'!AF29</f>
        <v>0</v>
      </c>
      <c r="AO29" s="94">
        <f>'2019-20_working'!AG29</f>
        <v>0</v>
      </c>
      <c r="AP29" s="94">
        <f>'2019-20_working'!AH29+'2019-20_working'!AI29</f>
        <v>0</v>
      </c>
      <c r="AQ29" s="94">
        <f>'2019-20_working'!AJ29</f>
        <v>0</v>
      </c>
      <c r="AR29" s="95">
        <f t="shared" si="10"/>
        <v>0</v>
      </c>
      <c r="AS29" s="95">
        <f t="shared" si="11"/>
        <v>0</v>
      </c>
      <c r="AT29" s="94"/>
      <c r="AU29" s="94">
        <f t="shared" si="15"/>
        <v>43</v>
      </c>
      <c r="AV29" s="94">
        <f t="shared" si="15"/>
        <v>1</v>
      </c>
      <c r="AW29" s="94">
        <f t="shared" si="15"/>
        <v>0</v>
      </c>
      <c r="AX29" s="94">
        <f t="shared" si="15"/>
        <v>0</v>
      </c>
      <c r="AY29" s="94">
        <f t="shared" si="15"/>
        <v>0</v>
      </c>
      <c r="AZ29" s="94">
        <f t="shared" si="15"/>
        <v>0</v>
      </c>
      <c r="BA29" s="95">
        <f t="shared" si="12"/>
        <v>2.2727272727272728E-2</v>
      </c>
      <c r="BB29" s="95">
        <f t="shared" si="13"/>
        <v>0</v>
      </c>
    </row>
    <row r="30" spans="1:54" x14ac:dyDescent="0.3">
      <c r="A30" s="8" t="s">
        <v>37</v>
      </c>
      <c r="B30" s="94">
        <f>'2019-20_working'!B30+'2019-20_working'!C30</f>
        <v>0</v>
      </c>
      <c r="C30" s="94">
        <f>'2019-20_working'!D30</f>
        <v>0</v>
      </c>
      <c r="D30" s="94">
        <f>'2019-20_working'!E30</f>
        <v>0</v>
      </c>
      <c r="E30" s="94">
        <f>'2019-20_working'!F30</f>
        <v>0</v>
      </c>
      <c r="F30" s="94">
        <f>'2019-20_working'!G30+'2019-20_working'!H30</f>
        <v>0</v>
      </c>
      <c r="G30" s="94">
        <f>'2019-20_working'!I30</f>
        <v>0</v>
      </c>
      <c r="H30" s="95" t="str">
        <f t="shared" si="2"/>
        <v>-</v>
      </c>
      <c r="I30" s="95" t="str">
        <f t="shared" si="3"/>
        <v>-</v>
      </c>
      <c r="J30" s="94"/>
      <c r="K30" s="94">
        <f>'2019-20_working'!K30+'2019-20_working'!L30</f>
        <v>14</v>
      </c>
      <c r="L30" s="94">
        <f>'2019-20_working'!M30</f>
        <v>0</v>
      </c>
      <c r="M30" s="94">
        <f>'2019-20_working'!N30</f>
        <v>0</v>
      </c>
      <c r="N30" s="94">
        <f>'2019-20_working'!O30</f>
        <v>0</v>
      </c>
      <c r="O30" s="94">
        <f>'2019-20_working'!P30+'2019-20_working'!Q30</f>
        <v>0</v>
      </c>
      <c r="P30" s="94">
        <f>'2019-20_working'!R30</f>
        <v>2</v>
      </c>
      <c r="Q30" s="95">
        <f t="shared" si="4"/>
        <v>0</v>
      </c>
      <c r="R30" s="95">
        <f t="shared" si="5"/>
        <v>0.125</v>
      </c>
      <c r="S30" s="94"/>
      <c r="T30" s="94">
        <f t="shared" si="14"/>
        <v>14</v>
      </c>
      <c r="U30" s="94">
        <f t="shared" si="14"/>
        <v>0</v>
      </c>
      <c r="V30" s="94">
        <f t="shared" si="14"/>
        <v>0</v>
      </c>
      <c r="W30" s="94">
        <f t="shared" si="14"/>
        <v>0</v>
      </c>
      <c r="X30" s="94">
        <f t="shared" si="14"/>
        <v>0</v>
      </c>
      <c r="Y30" s="94">
        <f t="shared" si="14"/>
        <v>2</v>
      </c>
      <c r="Z30" s="95">
        <f t="shared" si="6"/>
        <v>0</v>
      </c>
      <c r="AA30" s="95">
        <f t="shared" si="7"/>
        <v>0.125</v>
      </c>
      <c r="AB30" s="94"/>
      <c r="AC30" s="94">
        <f>'2019-20_working'!T30+'2019-20_working'!U30</f>
        <v>0</v>
      </c>
      <c r="AD30" s="94">
        <f>'2019-20_working'!V30</f>
        <v>0</v>
      </c>
      <c r="AE30" s="94">
        <f>'2019-20_working'!W30</f>
        <v>0</v>
      </c>
      <c r="AF30" s="94">
        <f>'2019-20_working'!X30</f>
        <v>0</v>
      </c>
      <c r="AG30" s="94">
        <f>'2019-20_working'!Y30+'2019-20_working'!Z30</f>
        <v>0</v>
      </c>
      <c r="AH30" s="94">
        <f>'2019-20_working'!AA30</f>
        <v>0</v>
      </c>
      <c r="AI30" s="95" t="str">
        <f t="shared" si="8"/>
        <v>-</v>
      </c>
      <c r="AJ30" s="95" t="str">
        <f t="shared" si="9"/>
        <v>-</v>
      </c>
      <c r="AK30" s="94"/>
      <c r="AL30" s="94">
        <f>'2019-20_working'!AC30+'2019-20_working'!AD30</f>
        <v>0</v>
      </c>
      <c r="AM30" s="94">
        <f>'2019-20_working'!AE30</f>
        <v>0</v>
      </c>
      <c r="AN30" s="94">
        <f>'2019-20_working'!AF30</f>
        <v>0</v>
      </c>
      <c r="AO30" s="94">
        <f>'2019-20_working'!AG30</f>
        <v>0</v>
      </c>
      <c r="AP30" s="94">
        <f>'2019-20_working'!AH30+'2019-20_working'!AI30</f>
        <v>0</v>
      </c>
      <c r="AQ30" s="94">
        <f>'2019-20_working'!AJ30</f>
        <v>0</v>
      </c>
      <c r="AR30" s="95" t="str">
        <f t="shared" si="10"/>
        <v>-</v>
      </c>
      <c r="AS30" s="95" t="str">
        <f t="shared" si="11"/>
        <v>-</v>
      </c>
      <c r="AT30" s="94"/>
      <c r="AU30" s="94">
        <f t="shared" si="15"/>
        <v>14</v>
      </c>
      <c r="AV30" s="94">
        <f t="shared" si="15"/>
        <v>0</v>
      </c>
      <c r="AW30" s="94">
        <f t="shared" si="15"/>
        <v>0</v>
      </c>
      <c r="AX30" s="94">
        <f t="shared" si="15"/>
        <v>0</v>
      </c>
      <c r="AY30" s="94">
        <f t="shared" si="15"/>
        <v>0</v>
      </c>
      <c r="AZ30" s="94">
        <f t="shared" si="15"/>
        <v>2</v>
      </c>
      <c r="BA30" s="95">
        <f t="shared" si="12"/>
        <v>0</v>
      </c>
      <c r="BB30" s="95">
        <f t="shared" si="13"/>
        <v>0.125</v>
      </c>
    </row>
    <row r="31" spans="1:54" x14ac:dyDescent="0.3">
      <c r="A31" s="8" t="s">
        <v>38</v>
      </c>
      <c r="B31" s="94">
        <f>'2019-20_working'!B31+'2019-20_working'!C31</f>
        <v>4</v>
      </c>
      <c r="C31" s="94">
        <f>'2019-20_working'!D31</f>
        <v>0</v>
      </c>
      <c r="D31" s="94">
        <f>'2019-20_working'!E31</f>
        <v>0</v>
      </c>
      <c r="E31" s="94">
        <f>'2019-20_working'!F31</f>
        <v>0</v>
      </c>
      <c r="F31" s="94">
        <f>'2019-20_working'!G31+'2019-20_working'!H31</f>
        <v>0</v>
      </c>
      <c r="G31" s="94">
        <f>'2019-20_working'!I31</f>
        <v>14</v>
      </c>
      <c r="H31" s="95">
        <f t="shared" si="2"/>
        <v>0</v>
      </c>
      <c r="I31" s="95">
        <f t="shared" si="3"/>
        <v>0.77777777777777779</v>
      </c>
      <c r="J31" s="94"/>
      <c r="K31" s="94">
        <f>'2019-20_working'!K31+'2019-20_working'!L31</f>
        <v>6</v>
      </c>
      <c r="L31" s="94">
        <f>'2019-20_working'!M31</f>
        <v>0</v>
      </c>
      <c r="M31" s="94">
        <f>'2019-20_working'!N31</f>
        <v>0</v>
      </c>
      <c r="N31" s="94">
        <f>'2019-20_working'!O31</f>
        <v>0</v>
      </c>
      <c r="O31" s="94">
        <f>'2019-20_working'!P31+'2019-20_working'!Q31</f>
        <v>0</v>
      </c>
      <c r="P31" s="94">
        <f>'2019-20_working'!R31</f>
        <v>92</v>
      </c>
      <c r="Q31" s="95">
        <f t="shared" si="4"/>
        <v>0</v>
      </c>
      <c r="R31" s="95">
        <f t="shared" si="5"/>
        <v>0.93877551020408168</v>
      </c>
      <c r="S31" s="94"/>
      <c r="T31" s="94">
        <f t="shared" si="14"/>
        <v>10</v>
      </c>
      <c r="U31" s="94">
        <f t="shared" si="14"/>
        <v>0</v>
      </c>
      <c r="V31" s="94">
        <f t="shared" si="14"/>
        <v>0</v>
      </c>
      <c r="W31" s="94">
        <f t="shared" si="14"/>
        <v>0</v>
      </c>
      <c r="X31" s="94">
        <f t="shared" si="14"/>
        <v>0</v>
      </c>
      <c r="Y31" s="94">
        <f t="shared" si="14"/>
        <v>106</v>
      </c>
      <c r="Z31" s="95">
        <f t="shared" si="6"/>
        <v>0</v>
      </c>
      <c r="AA31" s="95">
        <f t="shared" si="7"/>
        <v>0.91379310344827591</v>
      </c>
      <c r="AB31" s="94"/>
      <c r="AC31" s="94">
        <f>'2019-20_working'!T31+'2019-20_working'!U31</f>
        <v>0</v>
      </c>
      <c r="AD31" s="94">
        <f>'2019-20_working'!V31</f>
        <v>0</v>
      </c>
      <c r="AE31" s="94">
        <f>'2019-20_working'!W31</f>
        <v>0</v>
      </c>
      <c r="AF31" s="94">
        <f>'2019-20_working'!X31</f>
        <v>0</v>
      </c>
      <c r="AG31" s="94">
        <f>'2019-20_working'!Y31+'2019-20_working'!Z31</f>
        <v>0</v>
      </c>
      <c r="AH31" s="94">
        <f>'2019-20_working'!AA31</f>
        <v>0</v>
      </c>
      <c r="AI31" s="95" t="str">
        <f t="shared" si="8"/>
        <v>-</v>
      </c>
      <c r="AJ31" s="95" t="str">
        <f t="shared" si="9"/>
        <v>-</v>
      </c>
      <c r="AK31" s="94"/>
      <c r="AL31" s="94">
        <f>'2019-20_working'!AC31+'2019-20_working'!AD31</f>
        <v>12</v>
      </c>
      <c r="AM31" s="94">
        <f>'2019-20_working'!AE31</f>
        <v>1</v>
      </c>
      <c r="AN31" s="94">
        <f>'2019-20_working'!AF31</f>
        <v>0</v>
      </c>
      <c r="AO31" s="94">
        <f>'2019-20_working'!AG31</f>
        <v>0</v>
      </c>
      <c r="AP31" s="94">
        <f>'2019-20_working'!AH31+'2019-20_working'!AI31</f>
        <v>0</v>
      </c>
      <c r="AQ31" s="94">
        <f>'2019-20_working'!AJ31</f>
        <v>32</v>
      </c>
      <c r="AR31" s="95">
        <f t="shared" si="10"/>
        <v>7.6923076923076927E-2</v>
      </c>
      <c r="AS31" s="95">
        <f t="shared" si="11"/>
        <v>0.71111111111111114</v>
      </c>
      <c r="AT31" s="94"/>
      <c r="AU31" s="94">
        <f t="shared" si="15"/>
        <v>22</v>
      </c>
      <c r="AV31" s="94">
        <f t="shared" si="15"/>
        <v>1</v>
      </c>
      <c r="AW31" s="94">
        <f t="shared" si="15"/>
        <v>0</v>
      </c>
      <c r="AX31" s="94">
        <f t="shared" si="15"/>
        <v>0</v>
      </c>
      <c r="AY31" s="94">
        <f t="shared" si="15"/>
        <v>0</v>
      </c>
      <c r="AZ31" s="94">
        <f t="shared" si="15"/>
        <v>138</v>
      </c>
      <c r="BA31" s="95">
        <f t="shared" si="12"/>
        <v>4.3478260869565216E-2</v>
      </c>
      <c r="BB31" s="95">
        <f t="shared" si="13"/>
        <v>0.8571428571428571</v>
      </c>
    </row>
    <row r="32" spans="1:54" x14ac:dyDescent="0.3">
      <c r="A32" s="8" t="s">
        <v>39</v>
      </c>
      <c r="B32" s="94">
        <f>'2019-20_working'!B32+'2019-20_working'!C32</f>
        <v>16</v>
      </c>
      <c r="C32" s="94">
        <f>'2019-20_working'!D32</f>
        <v>1</v>
      </c>
      <c r="D32" s="94">
        <f>'2019-20_working'!E32</f>
        <v>1</v>
      </c>
      <c r="E32" s="94">
        <f>'2019-20_working'!F32</f>
        <v>0</v>
      </c>
      <c r="F32" s="94">
        <f>'2019-20_working'!G32+'2019-20_working'!H32</f>
        <v>0</v>
      </c>
      <c r="G32" s="94">
        <f>'2019-20_working'!I32</f>
        <v>0</v>
      </c>
      <c r="H32" s="95">
        <f t="shared" si="2"/>
        <v>0.1111111111111111</v>
      </c>
      <c r="I32" s="95">
        <f t="shared" si="3"/>
        <v>0</v>
      </c>
      <c r="J32" s="94"/>
      <c r="K32" s="94">
        <f>'2019-20_working'!K32+'2019-20_working'!L32</f>
        <v>67</v>
      </c>
      <c r="L32" s="94">
        <f>'2019-20_working'!M32</f>
        <v>0</v>
      </c>
      <c r="M32" s="94">
        <f>'2019-20_working'!N32</f>
        <v>0</v>
      </c>
      <c r="N32" s="94">
        <f>'2019-20_working'!O32</f>
        <v>0</v>
      </c>
      <c r="O32" s="94">
        <f>'2019-20_working'!P32+'2019-20_working'!Q32</f>
        <v>0</v>
      </c>
      <c r="P32" s="94">
        <f>'2019-20_working'!R32</f>
        <v>5</v>
      </c>
      <c r="Q32" s="95">
        <f t="shared" si="4"/>
        <v>0</v>
      </c>
      <c r="R32" s="95">
        <f t="shared" si="5"/>
        <v>6.9444444444444448E-2</v>
      </c>
      <c r="S32" s="94"/>
      <c r="T32" s="94">
        <f t="shared" si="14"/>
        <v>83</v>
      </c>
      <c r="U32" s="94">
        <f t="shared" si="14"/>
        <v>1</v>
      </c>
      <c r="V32" s="94">
        <f t="shared" si="14"/>
        <v>1</v>
      </c>
      <c r="W32" s="94">
        <f t="shared" si="14"/>
        <v>0</v>
      </c>
      <c r="X32" s="94">
        <f t="shared" si="14"/>
        <v>0</v>
      </c>
      <c r="Y32" s="94">
        <f t="shared" si="14"/>
        <v>5</v>
      </c>
      <c r="Z32" s="95">
        <f t="shared" si="6"/>
        <v>2.3529411764705882E-2</v>
      </c>
      <c r="AA32" s="95">
        <f t="shared" si="7"/>
        <v>5.5555555555555552E-2</v>
      </c>
      <c r="AB32" s="94"/>
      <c r="AC32" s="94">
        <f>'2019-20_working'!T32+'2019-20_working'!U32</f>
        <v>0</v>
      </c>
      <c r="AD32" s="94">
        <f>'2019-20_working'!V32</f>
        <v>0</v>
      </c>
      <c r="AE32" s="94">
        <f>'2019-20_working'!W32</f>
        <v>0</v>
      </c>
      <c r="AF32" s="94">
        <f>'2019-20_working'!X32</f>
        <v>0</v>
      </c>
      <c r="AG32" s="94">
        <f>'2019-20_working'!Y32+'2019-20_working'!Z32</f>
        <v>0</v>
      </c>
      <c r="AH32" s="94">
        <f>'2019-20_working'!AA32</f>
        <v>0</v>
      </c>
      <c r="AI32" s="95" t="str">
        <f t="shared" si="8"/>
        <v>-</v>
      </c>
      <c r="AJ32" s="95" t="str">
        <f t="shared" si="9"/>
        <v>-</v>
      </c>
      <c r="AK32" s="94"/>
      <c r="AL32" s="94">
        <f>'2019-20_working'!AC32+'2019-20_working'!AD32</f>
        <v>18</v>
      </c>
      <c r="AM32" s="94">
        <f>'2019-20_working'!AE32</f>
        <v>0</v>
      </c>
      <c r="AN32" s="94">
        <f>'2019-20_working'!AF32</f>
        <v>0</v>
      </c>
      <c r="AO32" s="94">
        <f>'2019-20_working'!AG32</f>
        <v>0</v>
      </c>
      <c r="AP32" s="94">
        <f>'2019-20_working'!AH32+'2019-20_working'!AI32</f>
        <v>0</v>
      </c>
      <c r="AQ32" s="94">
        <f>'2019-20_working'!AJ32</f>
        <v>0</v>
      </c>
      <c r="AR32" s="95">
        <f t="shared" si="10"/>
        <v>0</v>
      </c>
      <c r="AS32" s="95">
        <f t="shared" si="11"/>
        <v>0</v>
      </c>
      <c r="AT32" s="94"/>
      <c r="AU32" s="94">
        <f t="shared" si="15"/>
        <v>101</v>
      </c>
      <c r="AV32" s="94">
        <f t="shared" si="15"/>
        <v>1</v>
      </c>
      <c r="AW32" s="94">
        <f t="shared" si="15"/>
        <v>1</v>
      </c>
      <c r="AX32" s="94">
        <f t="shared" si="15"/>
        <v>0</v>
      </c>
      <c r="AY32" s="94">
        <f t="shared" si="15"/>
        <v>0</v>
      </c>
      <c r="AZ32" s="94">
        <f t="shared" si="15"/>
        <v>5</v>
      </c>
      <c r="BA32" s="95">
        <f t="shared" si="12"/>
        <v>1.9417475728155338E-2</v>
      </c>
      <c r="BB32" s="95">
        <f t="shared" si="13"/>
        <v>4.6296296296296294E-2</v>
      </c>
    </row>
    <row r="33" spans="1:54" x14ac:dyDescent="0.3">
      <c r="A33" s="8" t="s">
        <v>40</v>
      </c>
      <c r="B33" s="94">
        <f>'2019-20_working'!B33+'2019-20_working'!C33</f>
        <v>14</v>
      </c>
      <c r="C33" s="94">
        <f>'2019-20_working'!D33</f>
        <v>4</v>
      </c>
      <c r="D33" s="94">
        <f>'2019-20_working'!E33</f>
        <v>0</v>
      </c>
      <c r="E33" s="94">
        <f>'2019-20_working'!F33</f>
        <v>0</v>
      </c>
      <c r="F33" s="94">
        <f>'2019-20_working'!G33+'2019-20_working'!H33</f>
        <v>0</v>
      </c>
      <c r="G33" s="94">
        <f>'2019-20_working'!I33</f>
        <v>4</v>
      </c>
      <c r="H33" s="95">
        <f t="shared" si="2"/>
        <v>0.22222222222222221</v>
      </c>
      <c r="I33" s="95">
        <f t="shared" si="3"/>
        <v>0.18181818181818182</v>
      </c>
      <c r="J33" s="94"/>
      <c r="K33" s="94">
        <f>'2019-20_working'!K33+'2019-20_working'!L33</f>
        <v>15</v>
      </c>
      <c r="L33" s="94">
        <f>'2019-20_working'!M33</f>
        <v>0</v>
      </c>
      <c r="M33" s="94">
        <f>'2019-20_working'!N33</f>
        <v>0</v>
      </c>
      <c r="N33" s="94">
        <f>'2019-20_working'!O33</f>
        <v>0</v>
      </c>
      <c r="O33" s="94">
        <f>'2019-20_working'!P33+'2019-20_working'!Q33</f>
        <v>0</v>
      </c>
      <c r="P33" s="94">
        <f>'2019-20_working'!R33</f>
        <v>6</v>
      </c>
      <c r="Q33" s="95">
        <f t="shared" si="4"/>
        <v>0</v>
      </c>
      <c r="R33" s="95">
        <f t="shared" si="5"/>
        <v>0.2857142857142857</v>
      </c>
      <c r="S33" s="94"/>
      <c r="T33" s="94">
        <f t="shared" si="14"/>
        <v>29</v>
      </c>
      <c r="U33" s="94">
        <f t="shared" si="14"/>
        <v>4</v>
      </c>
      <c r="V33" s="94">
        <f t="shared" si="14"/>
        <v>0</v>
      </c>
      <c r="W33" s="94">
        <f t="shared" si="14"/>
        <v>0</v>
      </c>
      <c r="X33" s="94">
        <f t="shared" si="14"/>
        <v>0</v>
      </c>
      <c r="Y33" s="94">
        <f t="shared" si="14"/>
        <v>10</v>
      </c>
      <c r="Z33" s="95">
        <f t="shared" si="6"/>
        <v>0.12121212121212122</v>
      </c>
      <c r="AA33" s="95">
        <f t="shared" si="7"/>
        <v>0.23255813953488372</v>
      </c>
      <c r="AB33" s="94"/>
      <c r="AC33" s="94">
        <f>'2019-20_working'!T33+'2019-20_working'!U33</f>
        <v>2</v>
      </c>
      <c r="AD33" s="94">
        <f>'2019-20_working'!V33</f>
        <v>0</v>
      </c>
      <c r="AE33" s="94">
        <f>'2019-20_working'!W33</f>
        <v>0</v>
      </c>
      <c r="AF33" s="94">
        <f>'2019-20_working'!X33</f>
        <v>0</v>
      </c>
      <c r="AG33" s="94">
        <f>'2019-20_working'!Y33+'2019-20_working'!Z33</f>
        <v>0</v>
      </c>
      <c r="AH33" s="94">
        <f>'2019-20_working'!AA33</f>
        <v>0</v>
      </c>
      <c r="AI33" s="95">
        <f t="shared" si="8"/>
        <v>0</v>
      </c>
      <c r="AJ33" s="95">
        <f t="shared" si="9"/>
        <v>0</v>
      </c>
      <c r="AK33" s="94"/>
      <c r="AL33" s="94">
        <f>'2019-20_working'!AC33+'2019-20_working'!AD33</f>
        <v>6</v>
      </c>
      <c r="AM33" s="94">
        <f>'2019-20_working'!AE33</f>
        <v>0</v>
      </c>
      <c r="AN33" s="94">
        <f>'2019-20_working'!AF33</f>
        <v>2</v>
      </c>
      <c r="AO33" s="94">
        <f>'2019-20_working'!AG33</f>
        <v>0</v>
      </c>
      <c r="AP33" s="94">
        <f>'2019-20_working'!AH33+'2019-20_working'!AI33</f>
        <v>0</v>
      </c>
      <c r="AQ33" s="94">
        <f>'2019-20_working'!AJ33</f>
        <v>6</v>
      </c>
      <c r="AR33" s="95">
        <f t="shared" si="10"/>
        <v>0.25</v>
      </c>
      <c r="AS33" s="95">
        <f t="shared" si="11"/>
        <v>0.42857142857142855</v>
      </c>
      <c r="AT33" s="94"/>
      <c r="AU33" s="94">
        <f t="shared" si="15"/>
        <v>37</v>
      </c>
      <c r="AV33" s="94">
        <f t="shared" si="15"/>
        <v>4</v>
      </c>
      <c r="AW33" s="94">
        <f t="shared" si="15"/>
        <v>2</v>
      </c>
      <c r="AX33" s="94">
        <f t="shared" si="15"/>
        <v>0</v>
      </c>
      <c r="AY33" s="94">
        <f t="shared" si="15"/>
        <v>0</v>
      </c>
      <c r="AZ33" s="94">
        <f t="shared" si="15"/>
        <v>16</v>
      </c>
      <c r="BA33" s="95">
        <f t="shared" si="12"/>
        <v>0.13953488372093023</v>
      </c>
      <c r="BB33" s="95">
        <f t="shared" si="13"/>
        <v>0.2711864406779661</v>
      </c>
    </row>
    <row r="34" spans="1:54" x14ac:dyDescent="0.3">
      <c r="A34" s="8" t="s">
        <v>41</v>
      </c>
      <c r="B34" s="94">
        <f>'2019-20_working'!B34+'2019-20_working'!C34</f>
        <v>10</v>
      </c>
      <c r="C34" s="94">
        <f>'2019-20_working'!D34</f>
        <v>1</v>
      </c>
      <c r="D34" s="94">
        <f>'2019-20_working'!E34</f>
        <v>0</v>
      </c>
      <c r="E34" s="94">
        <f>'2019-20_working'!F34</f>
        <v>0</v>
      </c>
      <c r="F34" s="94">
        <f>'2019-20_working'!G34+'2019-20_working'!H34</f>
        <v>0</v>
      </c>
      <c r="G34" s="94">
        <f>'2019-20_working'!I34</f>
        <v>0</v>
      </c>
      <c r="H34" s="95">
        <f t="shared" si="2"/>
        <v>9.0909090909090912E-2</v>
      </c>
      <c r="I34" s="95">
        <f t="shared" si="3"/>
        <v>0</v>
      </c>
      <c r="J34" s="94"/>
      <c r="K34" s="94">
        <f>'2019-20_working'!K34+'2019-20_working'!L34</f>
        <v>64</v>
      </c>
      <c r="L34" s="94">
        <f>'2019-20_working'!M34</f>
        <v>1</v>
      </c>
      <c r="M34" s="94">
        <f>'2019-20_working'!N34</f>
        <v>0</v>
      </c>
      <c r="N34" s="94">
        <f>'2019-20_working'!O34</f>
        <v>0</v>
      </c>
      <c r="O34" s="94">
        <f>'2019-20_working'!P34+'2019-20_working'!Q34</f>
        <v>0</v>
      </c>
      <c r="P34" s="94">
        <f>'2019-20_working'!R34</f>
        <v>0</v>
      </c>
      <c r="Q34" s="95">
        <f t="shared" si="4"/>
        <v>1.5384615384615385E-2</v>
      </c>
      <c r="R34" s="95">
        <f t="shared" si="5"/>
        <v>0</v>
      </c>
      <c r="S34" s="94"/>
      <c r="T34" s="94">
        <f t="shared" si="14"/>
        <v>74</v>
      </c>
      <c r="U34" s="94">
        <f t="shared" si="14"/>
        <v>2</v>
      </c>
      <c r="V34" s="94">
        <f t="shared" si="14"/>
        <v>0</v>
      </c>
      <c r="W34" s="94">
        <f t="shared" si="14"/>
        <v>0</v>
      </c>
      <c r="X34" s="94">
        <f t="shared" si="14"/>
        <v>0</v>
      </c>
      <c r="Y34" s="94">
        <f t="shared" si="14"/>
        <v>0</v>
      </c>
      <c r="Z34" s="95">
        <f t="shared" si="6"/>
        <v>2.6315789473684209E-2</v>
      </c>
      <c r="AA34" s="95">
        <f t="shared" si="7"/>
        <v>0</v>
      </c>
      <c r="AB34" s="94"/>
      <c r="AC34" s="94">
        <f>'2019-20_working'!T34+'2019-20_working'!U34</f>
        <v>4</v>
      </c>
      <c r="AD34" s="94">
        <f>'2019-20_working'!V34</f>
        <v>0</v>
      </c>
      <c r="AE34" s="94">
        <f>'2019-20_working'!W34</f>
        <v>0</v>
      </c>
      <c r="AF34" s="94">
        <f>'2019-20_working'!X34</f>
        <v>0</v>
      </c>
      <c r="AG34" s="94">
        <f>'2019-20_working'!Y34+'2019-20_working'!Z34</f>
        <v>0</v>
      </c>
      <c r="AH34" s="94">
        <f>'2019-20_working'!AA34</f>
        <v>0</v>
      </c>
      <c r="AI34" s="95">
        <f t="shared" si="8"/>
        <v>0</v>
      </c>
      <c r="AJ34" s="95">
        <f t="shared" si="9"/>
        <v>0</v>
      </c>
      <c r="AK34" s="94"/>
      <c r="AL34" s="94">
        <f>'2019-20_working'!AC34+'2019-20_working'!AD34</f>
        <v>6</v>
      </c>
      <c r="AM34" s="94">
        <f>'2019-20_working'!AE34</f>
        <v>0</v>
      </c>
      <c r="AN34" s="94">
        <f>'2019-20_working'!AF34</f>
        <v>0</v>
      </c>
      <c r="AO34" s="94">
        <f>'2019-20_working'!AG34</f>
        <v>0</v>
      </c>
      <c r="AP34" s="94">
        <f>'2019-20_working'!AH34+'2019-20_working'!AI34</f>
        <v>0</v>
      </c>
      <c r="AQ34" s="94">
        <f>'2019-20_working'!AJ34</f>
        <v>0</v>
      </c>
      <c r="AR34" s="95">
        <f t="shared" si="10"/>
        <v>0</v>
      </c>
      <c r="AS34" s="95">
        <f t="shared" si="11"/>
        <v>0</v>
      </c>
      <c r="AT34" s="94"/>
      <c r="AU34" s="94">
        <f t="shared" si="15"/>
        <v>84</v>
      </c>
      <c r="AV34" s="94">
        <f t="shared" si="15"/>
        <v>2</v>
      </c>
      <c r="AW34" s="94">
        <f t="shared" si="15"/>
        <v>0</v>
      </c>
      <c r="AX34" s="94">
        <f t="shared" si="15"/>
        <v>0</v>
      </c>
      <c r="AY34" s="94">
        <f t="shared" si="15"/>
        <v>0</v>
      </c>
      <c r="AZ34" s="94">
        <f t="shared" si="15"/>
        <v>0</v>
      </c>
      <c r="BA34" s="95">
        <f t="shared" si="12"/>
        <v>2.3255813953488372E-2</v>
      </c>
      <c r="BB34" s="95">
        <f t="shared" si="13"/>
        <v>0</v>
      </c>
    </row>
    <row r="35" spans="1:54" x14ac:dyDescent="0.3">
      <c r="A35" s="8" t="s">
        <v>42</v>
      </c>
      <c r="B35" s="94">
        <f>'2019-20_working'!B35+'2019-20_working'!C35</f>
        <v>0</v>
      </c>
      <c r="C35" s="94">
        <f>'2019-20_working'!D35</f>
        <v>0</v>
      </c>
      <c r="D35" s="94">
        <f>'2019-20_working'!E35</f>
        <v>0</v>
      </c>
      <c r="E35" s="94">
        <f>'2019-20_working'!F35</f>
        <v>0</v>
      </c>
      <c r="F35" s="94">
        <f>'2019-20_working'!G35+'2019-20_working'!H35</f>
        <v>0</v>
      </c>
      <c r="G35" s="94">
        <f>'2019-20_working'!I35</f>
        <v>11</v>
      </c>
      <c r="H35" s="95" t="str">
        <f t="shared" si="2"/>
        <v>-</v>
      </c>
      <c r="I35" s="95">
        <f t="shared" si="3"/>
        <v>1</v>
      </c>
      <c r="J35" s="94"/>
      <c r="K35" s="94">
        <f>'2019-20_working'!K35+'2019-20_working'!L35</f>
        <v>38</v>
      </c>
      <c r="L35" s="94">
        <f>'2019-20_working'!M35</f>
        <v>0</v>
      </c>
      <c r="M35" s="94">
        <f>'2019-20_working'!N35</f>
        <v>0</v>
      </c>
      <c r="N35" s="94">
        <f>'2019-20_working'!O35</f>
        <v>2</v>
      </c>
      <c r="O35" s="94">
        <f>'2019-20_working'!P35+'2019-20_working'!Q35</f>
        <v>0</v>
      </c>
      <c r="P35" s="94">
        <f>'2019-20_working'!R35</f>
        <v>3</v>
      </c>
      <c r="Q35" s="95">
        <f t="shared" si="4"/>
        <v>0.05</v>
      </c>
      <c r="R35" s="95">
        <f t="shared" si="5"/>
        <v>6.9767441860465115E-2</v>
      </c>
      <c r="S35" s="94"/>
      <c r="T35" s="94">
        <f t="shared" si="14"/>
        <v>38</v>
      </c>
      <c r="U35" s="94">
        <f t="shared" si="14"/>
        <v>0</v>
      </c>
      <c r="V35" s="94">
        <f t="shared" si="14"/>
        <v>0</v>
      </c>
      <c r="W35" s="94">
        <f t="shared" si="14"/>
        <v>2</v>
      </c>
      <c r="X35" s="94">
        <f t="shared" si="14"/>
        <v>0</v>
      </c>
      <c r="Y35" s="94">
        <f t="shared" si="14"/>
        <v>14</v>
      </c>
      <c r="Z35" s="95">
        <f t="shared" si="6"/>
        <v>0.05</v>
      </c>
      <c r="AA35" s="95">
        <f t="shared" si="7"/>
        <v>0.25925925925925924</v>
      </c>
      <c r="AB35" s="94"/>
      <c r="AC35" s="94">
        <f>'2019-20_working'!T35+'2019-20_working'!U35</f>
        <v>1</v>
      </c>
      <c r="AD35" s="94">
        <f>'2019-20_working'!V35</f>
        <v>0</v>
      </c>
      <c r="AE35" s="94">
        <f>'2019-20_working'!W35</f>
        <v>0</v>
      </c>
      <c r="AF35" s="94">
        <f>'2019-20_working'!X35</f>
        <v>0</v>
      </c>
      <c r="AG35" s="94">
        <f>'2019-20_working'!Y35+'2019-20_working'!Z35</f>
        <v>0</v>
      </c>
      <c r="AH35" s="94">
        <f>'2019-20_working'!AA35</f>
        <v>0</v>
      </c>
      <c r="AI35" s="95">
        <f t="shared" si="8"/>
        <v>0</v>
      </c>
      <c r="AJ35" s="95">
        <f t="shared" si="9"/>
        <v>0</v>
      </c>
      <c r="AK35" s="94"/>
      <c r="AL35" s="94">
        <f>'2019-20_working'!AC35+'2019-20_working'!AD35</f>
        <v>4</v>
      </c>
      <c r="AM35" s="94">
        <f>'2019-20_working'!AE35</f>
        <v>0</v>
      </c>
      <c r="AN35" s="94">
        <f>'2019-20_working'!AF35</f>
        <v>0</v>
      </c>
      <c r="AO35" s="94">
        <f>'2019-20_working'!AG35</f>
        <v>0</v>
      </c>
      <c r="AP35" s="94">
        <f>'2019-20_working'!AH35+'2019-20_working'!AI35</f>
        <v>0</v>
      </c>
      <c r="AQ35" s="94">
        <f>'2019-20_working'!AJ35</f>
        <v>79</v>
      </c>
      <c r="AR35" s="95">
        <f t="shared" si="10"/>
        <v>0</v>
      </c>
      <c r="AS35" s="95">
        <f t="shared" si="11"/>
        <v>0.95180722891566261</v>
      </c>
      <c r="AT35" s="94"/>
      <c r="AU35" s="94">
        <f t="shared" si="15"/>
        <v>43</v>
      </c>
      <c r="AV35" s="94">
        <f t="shared" si="15"/>
        <v>0</v>
      </c>
      <c r="AW35" s="94">
        <f t="shared" si="15"/>
        <v>0</v>
      </c>
      <c r="AX35" s="94">
        <f t="shared" si="15"/>
        <v>2</v>
      </c>
      <c r="AY35" s="94">
        <f t="shared" si="15"/>
        <v>0</v>
      </c>
      <c r="AZ35" s="94">
        <f t="shared" si="15"/>
        <v>93</v>
      </c>
      <c r="BA35" s="95">
        <f t="shared" si="12"/>
        <v>4.4444444444444446E-2</v>
      </c>
      <c r="BB35" s="95">
        <f t="shared" si="13"/>
        <v>0.67391304347826086</v>
      </c>
    </row>
    <row r="36" spans="1:54" x14ac:dyDescent="0.3">
      <c r="A36" s="8" t="s">
        <v>43</v>
      </c>
      <c r="B36" s="94">
        <f>'2019-20_working'!B36+'2019-20_working'!C36</f>
        <v>0</v>
      </c>
      <c r="C36" s="94">
        <f>'2019-20_working'!D36</f>
        <v>0</v>
      </c>
      <c r="D36" s="94">
        <f>'2019-20_working'!E36</f>
        <v>0</v>
      </c>
      <c r="E36" s="94">
        <f>'2019-20_working'!F36</f>
        <v>0</v>
      </c>
      <c r="F36" s="94">
        <f>'2019-20_working'!G36+'2019-20_working'!H36</f>
        <v>0</v>
      </c>
      <c r="G36" s="94">
        <f>'2019-20_working'!I36</f>
        <v>0</v>
      </c>
      <c r="H36" s="95" t="str">
        <f t="shared" si="2"/>
        <v>-</v>
      </c>
      <c r="I36" s="95" t="str">
        <f t="shared" si="3"/>
        <v>-</v>
      </c>
      <c r="J36" s="94"/>
      <c r="K36" s="94">
        <f>'2019-20_working'!K36+'2019-20_working'!L36</f>
        <v>0</v>
      </c>
      <c r="L36" s="94">
        <f>'2019-20_working'!M36</f>
        <v>0</v>
      </c>
      <c r="M36" s="94">
        <f>'2019-20_working'!N36</f>
        <v>0</v>
      </c>
      <c r="N36" s="94">
        <f>'2019-20_working'!O36</f>
        <v>0</v>
      </c>
      <c r="O36" s="94">
        <f>'2019-20_working'!P36+'2019-20_working'!Q36</f>
        <v>0</v>
      </c>
      <c r="P36" s="94">
        <f>'2019-20_working'!R36</f>
        <v>0</v>
      </c>
      <c r="Q36" s="95" t="str">
        <f t="shared" si="4"/>
        <v>-</v>
      </c>
      <c r="R36" s="95" t="str">
        <f t="shared" si="5"/>
        <v>-</v>
      </c>
      <c r="S36" s="94"/>
      <c r="T36" s="94">
        <f t="shared" si="14"/>
        <v>0</v>
      </c>
      <c r="U36" s="94">
        <f t="shared" si="14"/>
        <v>0</v>
      </c>
      <c r="V36" s="94">
        <f t="shared" si="14"/>
        <v>0</v>
      </c>
      <c r="W36" s="94">
        <f t="shared" si="14"/>
        <v>0</v>
      </c>
      <c r="X36" s="94">
        <f t="shared" si="14"/>
        <v>0</v>
      </c>
      <c r="Y36" s="94">
        <f t="shared" si="14"/>
        <v>0</v>
      </c>
      <c r="Z36" s="95" t="str">
        <f t="shared" si="6"/>
        <v>-</v>
      </c>
      <c r="AA36" s="95" t="str">
        <f t="shared" si="7"/>
        <v>-</v>
      </c>
      <c r="AB36" s="94"/>
      <c r="AC36" s="94">
        <f>'2019-20_working'!T36+'2019-20_working'!U36</f>
        <v>11</v>
      </c>
      <c r="AD36" s="94">
        <f>'2019-20_working'!V36</f>
        <v>0</v>
      </c>
      <c r="AE36" s="94">
        <f>'2019-20_working'!W36</f>
        <v>0</v>
      </c>
      <c r="AF36" s="94">
        <f>'2019-20_working'!X36</f>
        <v>0</v>
      </c>
      <c r="AG36" s="94">
        <f>'2019-20_working'!Y36+'2019-20_working'!Z36</f>
        <v>0</v>
      </c>
      <c r="AH36" s="94">
        <f>'2019-20_working'!AA36</f>
        <v>0</v>
      </c>
      <c r="AI36" s="95">
        <f t="shared" si="8"/>
        <v>0</v>
      </c>
      <c r="AJ36" s="95">
        <f t="shared" si="9"/>
        <v>0</v>
      </c>
      <c r="AK36" s="94"/>
      <c r="AL36" s="94">
        <f>'2019-20_working'!AC36+'2019-20_working'!AD36</f>
        <v>0</v>
      </c>
      <c r="AM36" s="94">
        <f>'2019-20_working'!AE36</f>
        <v>0</v>
      </c>
      <c r="AN36" s="94">
        <f>'2019-20_working'!AF36</f>
        <v>0</v>
      </c>
      <c r="AO36" s="94">
        <f>'2019-20_working'!AG36</f>
        <v>0</v>
      </c>
      <c r="AP36" s="94">
        <f>'2019-20_working'!AH36+'2019-20_working'!AI36</f>
        <v>0</v>
      </c>
      <c r="AQ36" s="94">
        <f>'2019-20_working'!AJ36</f>
        <v>0</v>
      </c>
      <c r="AR36" s="95" t="str">
        <f t="shared" si="10"/>
        <v>-</v>
      </c>
      <c r="AS36" s="95" t="str">
        <f t="shared" si="11"/>
        <v>-</v>
      </c>
      <c r="AT36" s="94"/>
      <c r="AU36" s="94">
        <f t="shared" si="15"/>
        <v>11</v>
      </c>
      <c r="AV36" s="94">
        <f t="shared" si="15"/>
        <v>0</v>
      </c>
      <c r="AW36" s="94">
        <f t="shared" si="15"/>
        <v>0</v>
      </c>
      <c r="AX36" s="94">
        <f t="shared" si="15"/>
        <v>0</v>
      </c>
      <c r="AY36" s="94">
        <f t="shared" si="15"/>
        <v>0</v>
      </c>
      <c r="AZ36" s="94">
        <f t="shared" si="15"/>
        <v>0</v>
      </c>
      <c r="BA36" s="95">
        <f t="shared" si="12"/>
        <v>0</v>
      </c>
      <c r="BB36" s="95">
        <f t="shared" si="13"/>
        <v>0</v>
      </c>
    </row>
    <row r="37" spans="1:54" x14ac:dyDescent="0.3">
      <c r="A37" s="8" t="s">
        <v>44</v>
      </c>
      <c r="B37" s="94">
        <f>'2019-20_working'!B37+'2019-20_working'!C37</f>
        <v>18</v>
      </c>
      <c r="C37" s="94">
        <f>'2019-20_working'!D37</f>
        <v>2</v>
      </c>
      <c r="D37" s="94">
        <f>'2019-20_working'!E37</f>
        <v>0</v>
      </c>
      <c r="E37" s="94">
        <f>'2019-20_working'!F37</f>
        <v>0</v>
      </c>
      <c r="F37" s="94">
        <f>'2019-20_working'!G37+'2019-20_working'!H37</f>
        <v>0</v>
      </c>
      <c r="G37" s="94">
        <f>'2019-20_working'!I37</f>
        <v>1</v>
      </c>
      <c r="H37" s="95">
        <f t="shared" si="2"/>
        <v>0.1</v>
      </c>
      <c r="I37" s="95">
        <f t="shared" si="3"/>
        <v>4.7619047619047616E-2</v>
      </c>
      <c r="J37" s="94"/>
      <c r="K37" s="94">
        <f>'2019-20_working'!K37+'2019-20_working'!L37</f>
        <v>35</v>
      </c>
      <c r="L37" s="94">
        <f>'2019-20_working'!M37</f>
        <v>0</v>
      </c>
      <c r="M37" s="94">
        <f>'2019-20_working'!N37</f>
        <v>1</v>
      </c>
      <c r="N37" s="94">
        <f>'2019-20_working'!O37</f>
        <v>0</v>
      </c>
      <c r="O37" s="94">
        <f>'2019-20_working'!P37+'2019-20_working'!Q37</f>
        <v>0</v>
      </c>
      <c r="P37" s="94">
        <f>'2019-20_working'!R37</f>
        <v>7</v>
      </c>
      <c r="Q37" s="95">
        <f t="shared" si="4"/>
        <v>2.7777777777777776E-2</v>
      </c>
      <c r="R37" s="95">
        <f t="shared" si="5"/>
        <v>0.16279069767441862</v>
      </c>
      <c r="S37" s="94"/>
      <c r="T37" s="94">
        <f t="shared" si="14"/>
        <v>53</v>
      </c>
      <c r="U37" s="94">
        <f t="shared" si="14"/>
        <v>2</v>
      </c>
      <c r="V37" s="94">
        <f t="shared" si="14"/>
        <v>1</v>
      </c>
      <c r="W37" s="94">
        <f t="shared" si="14"/>
        <v>0</v>
      </c>
      <c r="X37" s="94">
        <f t="shared" si="14"/>
        <v>0</v>
      </c>
      <c r="Y37" s="94">
        <f t="shared" si="14"/>
        <v>8</v>
      </c>
      <c r="Z37" s="95">
        <f t="shared" si="6"/>
        <v>5.3571428571428568E-2</v>
      </c>
      <c r="AA37" s="95">
        <f t="shared" si="7"/>
        <v>0.125</v>
      </c>
      <c r="AB37" s="94"/>
      <c r="AC37" s="94">
        <f>'2019-20_working'!T37+'2019-20_working'!U37</f>
        <v>3</v>
      </c>
      <c r="AD37" s="94">
        <f>'2019-20_working'!V37</f>
        <v>0</v>
      </c>
      <c r="AE37" s="94">
        <f>'2019-20_working'!W37</f>
        <v>0</v>
      </c>
      <c r="AF37" s="94">
        <f>'2019-20_working'!X37</f>
        <v>0</v>
      </c>
      <c r="AG37" s="94">
        <f>'2019-20_working'!Y37+'2019-20_working'!Z37</f>
        <v>0</v>
      </c>
      <c r="AH37" s="94">
        <f>'2019-20_working'!AA37</f>
        <v>0</v>
      </c>
      <c r="AI37" s="95">
        <f t="shared" si="8"/>
        <v>0</v>
      </c>
      <c r="AJ37" s="95">
        <f t="shared" si="9"/>
        <v>0</v>
      </c>
      <c r="AK37" s="94"/>
      <c r="AL37" s="94">
        <f>'2019-20_working'!AC37+'2019-20_working'!AD37</f>
        <v>5</v>
      </c>
      <c r="AM37" s="94">
        <f>'2019-20_working'!AE37</f>
        <v>1</v>
      </c>
      <c r="AN37" s="94">
        <f>'2019-20_working'!AF37</f>
        <v>0</v>
      </c>
      <c r="AO37" s="94">
        <f>'2019-20_working'!AG37</f>
        <v>0</v>
      </c>
      <c r="AP37" s="94">
        <f>'2019-20_working'!AH37+'2019-20_working'!AI37</f>
        <v>0</v>
      </c>
      <c r="AQ37" s="94">
        <f>'2019-20_working'!AJ37</f>
        <v>0</v>
      </c>
      <c r="AR37" s="95">
        <f t="shared" si="10"/>
        <v>0.16666666666666666</v>
      </c>
      <c r="AS37" s="95">
        <f t="shared" si="11"/>
        <v>0</v>
      </c>
      <c r="AT37" s="94"/>
      <c r="AU37" s="94">
        <f t="shared" si="15"/>
        <v>61</v>
      </c>
      <c r="AV37" s="94">
        <f t="shared" si="15"/>
        <v>3</v>
      </c>
      <c r="AW37" s="94">
        <f t="shared" si="15"/>
        <v>1</v>
      </c>
      <c r="AX37" s="94">
        <f t="shared" si="15"/>
        <v>0</v>
      </c>
      <c r="AY37" s="94">
        <f t="shared" si="15"/>
        <v>0</v>
      </c>
      <c r="AZ37" s="94">
        <f t="shared" si="15"/>
        <v>8</v>
      </c>
      <c r="BA37" s="95">
        <f t="shared" si="12"/>
        <v>6.1538461538461542E-2</v>
      </c>
      <c r="BB37" s="95">
        <f t="shared" si="13"/>
        <v>0.1095890410958904</v>
      </c>
    </row>
    <row r="38" spans="1:54" x14ac:dyDescent="0.3">
      <c r="A38" s="8" t="s">
        <v>45</v>
      </c>
      <c r="B38" s="94">
        <f>'2019-20_working'!B38+'2019-20_working'!C38</f>
        <v>13</v>
      </c>
      <c r="C38" s="94">
        <f>'2019-20_working'!D38</f>
        <v>0</v>
      </c>
      <c r="D38" s="94">
        <f>'2019-20_working'!E38</f>
        <v>0</v>
      </c>
      <c r="E38" s="94">
        <f>'2019-20_working'!F38</f>
        <v>0</v>
      </c>
      <c r="F38" s="94">
        <f>'2019-20_working'!G38+'2019-20_working'!H38</f>
        <v>0</v>
      </c>
      <c r="G38" s="94">
        <f>'2019-20_working'!I38</f>
        <v>25</v>
      </c>
      <c r="H38" s="95">
        <f t="shared" si="2"/>
        <v>0</v>
      </c>
      <c r="I38" s="95">
        <f t="shared" si="3"/>
        <v>0.65789473684210531</v>
      </c>
      <c r="J38" s="94"/>
      <c r="K38" s="94">
        <f>'2019-20_working'!K38+'2019-20_working'!L38</f>
        <v>14</v>
      </c>
      <c r="L38" s="94">
        <f>'2019-20_working'!M38</f>
        <v>0</v>
      </c>
      <c r="M38" s="94">
        <f>'2019-20_working'!N38</f>
        <v>0</v>
      </c>
      <c r="N38" s="94">
        <f>'2019-20_working'!O38</f>
        <v>0</v>
      </c>
      <c r="O38" s="94">
        <f>'2019-20_working'!P38+'2019-20_working'!Q38</f>
        <v>0</v>
      </c>
      <c r="P38" s="94">
        <f>'2019-20_working'!R38</f>
        <v>31</v>
      </c>
      <c r="Q38" s="95">
        <f t="shared" si="4"/>
        <v>0</v>
      </c>
      <c r="R38" s="95">
        <f t="shared" si="5"/>
        <v>0.68888888888888888</v>
      </c>
      <c r="S38" s="94"/>
      <c r="T38" s="94">
        <f t="shared" si="14"/>
        <v>27</v>
      </c>
      <c r="U38" s="94">
        <f t="shared" si="14"/>
        <v>0</v>
      </c>
      <c r="V38" s="94">
        <f t="shared" si="14"/>
        <v>0</v>
      </c>
      <c r="W38" s="94">
        <f t="shared" si="14"/>
        <v>0</v>
      </c>
      <c r="X38" s="94">
        <f t="shared" si="14"/>
        <v>0</v>
      </c>
      <c r="Y38" s="94">
        <f t="shared" si="14"/>
        <v>56</v>
      </c>
      <c r="Z38" s="95">
        <f t="shared" si="6"/>
        <v>0</v>
      </c>
      <c r="AA38" s="95">
        <f t="shared" si="7"/>
        <v>0.67469879518072284</v>
      </c>
      <c r="AB38" s="94"/>
      <c r="AC38" s="94">
        <f>'2019-20_working'!T38+'2019-20_working'!U38</f>
        <v>1</v>
      </c>
      <c r="AD38" s="94">
        <f>'2019-20_working'!V38</f>
        <v>0</v>
      </c>
      <c r="AE38" s="94">
        <f>'2019-20_working'!W38</f>
        <v>0</v>
      </c>
      <c r="AF38" s="94">
        <f>'2019-20_working'!X38</f>
        <v>0</v>
      </c>
      <c r="AG38" s="94">
        <f>'2019-20_working'!Y38+'2019-20_working'!Z38</f>
        <v>0</v>
      </c>
      <c r="AH38" s="94">
        <f>'2019-20_working'!AA38</f>
        <v>2</v>
      </c>
      <c r="AI38" s="95">
        <f t="shared" si="8"/>
        <v>0</v>
      </c>
      <c r="AJ38" s="95">
        <f t="shared" si="9"/>
        <v>0.66666666666666663</v>
      </c>
      <c r="AK38" s="94"/>
      <c r="AL38" s="94">
        <f>'2019-20_working'!AC38+'2019-20_working'!AD38</f>
        <v>6</v>
      </c>
      <c r="AM38" s="94">
        <f>'2019-20_working'!AE38</f>
        <v>0</v>
      </c>
      <c r="AN38" s="94">
        <f>'2019-20_working'!AF38</f>
        <v>0</v>
      </c>
      <c r="AO38" s="94">
        <f>'2019-20_working'!AG38</f>
        <v>0</v>
      </c>
      <c r="AP38" s="94">
        <f>'2019-20_working'!AH38+'2019-20_working'!AI38</f>
        <v>0</v>
      </c>
      <c r="AQ38" s="94">
        <f>'2019-20_working'!AJ38</f>
        <v>14</v>
      </c>
      <c r="AR38" s="95">
        <f t="shared" si="10"/>
        <v>0</v>
      </c>
      <c r="AS38" s="95">
        <f t="shared" si="11"/>
        <v>0.7</v>
      </c>
      <c r="AT38" s="94"/>
      <c r="AU38" s="94">
        <f t="shared" si="15"/>
        <v>34</v>
      </c>
      <c r="AV38" s="94">
        <f t="shared" si="15"/>
        <v>0</v>
      </c>
      <c r="AW38" s="94">
        <f t="shared" si="15"/>
        <v>0</v>
      </c>
      <c r="AX38" s="94">
        <f t="shared" si="15"/>
        <v>0</v>
      </c>
      <c r="AY38" s="94">
        <f t="shared" si="15"/>
        <v>0</v>
      </c>
      <c r="AZ38" s="94">
        <f t="shared" si="15"/>
        <v>72</v>
      </c>
      <c r="BA38" s="95">
        <f t="shared" si="12"/>
        <v>0</v>
      </c>
      <c r="BB38" s="95">
        <f t="shared" si="13"/>
        <v>0.67924528301886788</v>
      </c>
    </row>
    <row r="39" spans="1:54" x14ac:dyDescent="0.3">
      <c r="A39" s="8" t="s">
        <v>46</v>
      </c>
      <c r="B39" s="94">
        <f>'2019-20_working'!B39+'2019-20_working'!C39</f>
        <v>0</v>
      </c>
      <c r="C39" s="94">
        <f>'2019-20_working'!D39</f>
        <v>0</v>
      </c>
      <c r="D39" s="94">
        <f>'2019-20_working'!E39</f>
        <v>0</v>
      </c>
      <c r="E39" s="94">
        <f>'2019-20_working'!F39</f>
        <v>0</v>
      </c>
      <c r="F39" s="94">
        <f>'2019-20_working'!G39+'2019-20_working'!H39</f>
        <v>0</v>
      </c>
      <c r="G39" s="94">
        <f>'2019-20_working'!I39</f>
        <v>13</v>
      </c>
      <c r="H39" s="95" t="str">
        <f t="shared" si="2"/>
        <v>-</v>
      </c>
      <c r="I39" s="95">
        <f t="shared" si="3"/>
        <v>1</v>
      </c>
      <c r="J39" s="94"/>
      <c r="K39" s="94">
        <f>'2019-20_working'!K39+'2019-20_working'!L39</f>
        <v>0</v>
      </c>
      <c r="L39" s="94">
        <f>'2019-20_working'!M39</f>
        <v>0</v>
      </c>
      <c r="M39" s="94">
        <f>'2019-20_working'!N39</f>
        <v>0</v>
      </c>
      <c r="N39" s="94">
        <f>'2019-20_working'!O39</f>
        <v>0</v>
      </c>
      <c r="O39" s="94">
        <f>'2019-20_working'!P39+'2019-20_working'!Q39</f>
        <v>0</v>
      </c>
      <c r="P39" s="94">
        <f>'2019-20_working'!R39</f>
        <v>14</v>
      </c>
      <c r="Q39" s="95" t="str">
        <f t="shared" si="4"/>
        <v>-</v>
      </c>
      <c r="R39" s="95">
        <f t="shared" si="5"/>
        <v>1</v>
      </c>
      <c r="S39" s="94"/>
      <c r="T39" s="94">
        <f t="shared" si="14"/>
        <v>0</v>
      </c>
      <c r="U39" s="94">
        <f t="shared" si="14"/>
        <v>0</v>
      </c>
      <c r="V39" s="94">
        <f t="shared" si="14"/>
        <v>0</v>
      </c>
      <c r="W39" s="94">
        <f t="shared" si="14"/>
        <v>0</v>
      </c>
      <c r="X39" s="94">
        <f t="shared" si="14"/>
        <v>0</v>
      </c>
      <c r="Y39" s="94">
        <f t="shared" si="14"/>
        <v>27</v>
      </c>
      <c r="Z39" s="95" t="str">
        <f t="shared" si="6"/>
        <v>-</v>
      </c>
      <c r="AA39" s="95">
        <f t="shared" si="7"/>
        <v>1</v>
      </c>
      <c r="AB39" s="94"/>
      <c r="AC39" s="94">
        <f>'2019-20_working'!T39+'2019-20_working'!U39</f>
        <v>1</v>
      </c>
      <c r="AD39" s="94">
        <f>'2019-20_working'!V39</f>
        <v>0</v>
      </c>
      <c r="AE39" s="94">
        <f>'2019-20_working'!W39</f>
        <v>0</v>
      </c>
      <c r="AF39" s="94">
        <f>'2019-20_working'!X39</f>
        <v>0</v>
      </c>
      <c r="AG39" s="94">
        <f>'2019-20_working'!Y39+'2019-20_working'!Z39</f>
        <v>0</v>
      </c>
      <c r="AH39" s="94">
        <f>'2019-20_working'!AA39</f>
        <v>0</v>
      </c>
      <c r="AI39" s="95">
        <f t="shared" si="8"/>
        <v>0</v>
      </c>
      <c r="AJ39" s="95">
        <f t="shared" si="9"/>
        <v>0</v>
      </c>
      <c r="AK39" s="94"/>
      <c r="AL39" s="94">
        <f>'2019-20_working'!AC39+'2019-20_working'!AD39</f>
        <v>3</v>
      </c>
      <c r="AM39" s="94">
        <f>'2019-20_working'!AE39</f>
        <v>0</v>
      </c>
      <c r="AN39" s="94">
        <f>'2019-20_working'!AF39</f>
        <v>0</v>
      </c>
      <c r="AO39" s="94">
        <f>'2019-20_working'!AG39</f>
        <v>0</v>
      </c>
      <c r="AP39" s="94">
        <f>'2019-20_working'!AH39+'2019-20_working'!AI39</f>
        <v>0</v>
      </c>
      <c r="AQ39" s="94">
        <f>'2019-20_working'!AJ39</f>
        <v>0</v>
      </c>
      <c r="AR39" s="95">
        <f t="shared" si="10"/>
        <v>0</v>
      </c>
      <c r="AS39" s="95">
        <f t="shared" si="11"/>
        <v>0</v>
      </c>
      <c r="AT39" s="94"/>
      <c r="AU39" s="94">
        <f t="shared" si="15"/>
        <v>4</v>
      </c>
      <c r="AV39" s="94">
        <f t="shared" si="15"/>
        <v>0</v>
      </c>
      <c r="AW39" s="94">
        <f t="shared" si="15"/>
        <v>0</v>
      </c>
      <c r="AX39" s="94">
        <f t="shared" si="15"/>
        <v>0</v>
      </c>
      <c r="AY39" s="94">
        <f t="shared" si="15"/>
        <v>0</v>
      </c>
      <c r="AZ39" s="94">
        <f t="shared" si="15"/>
        <v>27</v>
      </c>
      <c r="BA39" s="95">
        <f t="shared" si="12"/>
        <v>0</v>
      </c>
      <c r="BB39" s="95">
        <f t="shared" si="13"/>
        <v>0.87096774193548387</v>
      </c>
    </row>
    <row r="40" spans="1:54" x14ac:dyDescent="0.3">
      <c r="A40" s="8" t="s">
        <v>47</v>
      </c>
      <c r="B40" s="94">
        <f>'2019-20_working'!B40+'2019-20_working'!C40</f>
        <v>6</v>
      </c>
      <c r="C40" s="94">
        <f>'2019-20_working'!D40</f>
        <v>1</v>
      </c>
      <c r="D40" s="94">
        <f>'2019-20_working'!E40</f>
        <v>0</v>
      </c>
      <c r="E40" s="94">
        <f>'2019-20_working'!F40</f>
        <v>1</v>
      </c>
      <c r="F40" s="94">
        <f>'2019-20_working'!G40+'2019-20_working'!H40</f>
        <v>0</v>
      </c>
      <c r="G40" s="94">
        <f>'2019-20_working'!I40</f>
        <v>0</v>
      </c>
      <c r="H40" s="95">
        <f t="shared" si="2"/>
        <v>0.25</v>
      </c>
      <c r="I40" s="95">
        <f t="shared" si="3"/>
        <v>0</v>
      </c>
      <c r="J40" s="94"/>
      <c r="K40" s="94">
        <f>'2019-20_working'!K40+'2019-20_working'!L40</f>
        <v>14</v>
      </c>
      <c r="L40" s="94">
        <f>'2019-20_working'!M40</f>
        <v>1</v>
      </c>
      <c r="M40" s="94">
        <f>'2019-20_working'!N40</f>
        <v>0</v>
      </c>
      <c r="N40" s="94">
        <f>'2019-20_working'!O40</f>
        <v>0</v>
      </c>
      <c r="O40" s="94">
        <f>'2019-20_working'!P40+'2019-20_working'!Q40</f>
        <v>0</v>
      </c>
      <c r="P40" s="94">
        <f>'2019-20_working'!R40</f>
        <v>0</v>
      </c>
      <c r="Q40" s="95">
        <f t="shared" si="4"/>
        <v>6.6666666666666666E-2</v>
      </c>
      <c r="R40" s="95">
        <f t="shared" si="5"/>
        <v>0</v>
      </c>
      <c r="S40" s="94"/>
      <c r="T40" s="94">
        <f t="shared" si="14"/>
        <v>20</v>
      </c>
      <c r="U40" s="94">
        <f t="shared" si="14"/>
        <v>2</v>
      </c>
      <c r="V40" s="94">
        <f t="shared" si="14"/>
        <v>0</v>
      </c>
      <c r="W40" s="94">
        <f t="shared" si="14"/>
        <v>1</v>
      </c>
      <c r="X40" s="94">
        <f t="shared" si="14"/>
        <v>0</v>
      </c>
      <c r="Y40" s="94">
        <f t="shared" si="14"/>
        <v>0</v>
      </c>
      <c r="Z40" s="95">
        <f t="shared" si="6"/>
        <v>0.13043478260869565</v>
      </c>
      <c r="AA40" s="95">
        <f t="shared" si="7"/>
        <v>0</v>
      </c>
      <c r="AB40" s="94"/>
      <c r="AC40" s="94">
        <f>'2019-20_working'!T40+'2019-20_working'!U40</f>
        <v>0</v>
      </c>
      <c r="AD40" s="94">
        <f>'2019-20_working'!V40</f>
        <v>0</v>
      </c>
      <c r="AE40" s="94">
        <f>'2019-20_working'!W40</f>
        <v>0</v>
      </c>
      <c r="AF40" s="94">
        <f>'2019-20_working'!X40</f>
        <v>0</v>
      </c>
      <c r="AG40" s="94">
        <f>'2019-20_working'!Y40+'2019-20_working'!Z40</f>
        <v>0</v>
      </c>
      <c r="AH40" s="94">
        <f>'2019-20_working'!AA40</f>
        <v>0</v>
      </c>
      <c r="AI40" s="95" t="str">
        <f t="shared" si="8"/>
        <v>-</v>
      </c>
      <c r="AJ40" s="95" t="str">
        <f t="shared" si="9"/>
        <v>-</v>
      </c>
      <c r="AK40" s="94"/>
      <c r="AL40" s="94">
        <f>'2019-20_working'!AC40+'2019-20_working'!AD40</f>
        <v>15</v>
      </c>
      <c r="AM40" s="94">
        <f>'2019-20_working'!AE40</f>
        <v>0</v>
      </c>
      <c r="AN40" s="94">
        <f>'2019-20_working'!AF40</f>
        <v>1</v>
      </c>
      <c r="AO40" s="94">
        <f>'2019-20_working'!AG40</f>
        <v>0</v>
      </c>
      <c r="AP40" s="94">
        <f>'2019-20_working'!AH40+'2019-20_working'!AI40</f>
        <v>0</v>
      </c>
      <c r="AQ40" s="94">
        <f>'2019-20_working'!AJ40</f>
        <v>7</v>
      </c>
      <c r="AR40" s="95">
        <f t="shared" si="10"/>
        <v>6.25E-2</v>
      </c>
      <c r="AS40" s="95">
        <f t="shared" si="11"/>
        <v>0.30434782608695654</v>
      </c>
      <c r="AT40" s="94"/>
      <c r="AU40" s="94">
        <f t="shared" si="15"/>
        <v>35</v>
      </c>
      <c r="AV40" s="94">
        <f t="shared" si="15"/>
        <v>2</v>
      </c>
      <c r="AW40" s="94">
        <f t="shared" si="15"/>
        <v>1</v>
      </c>
      <c r="AX40" s="94">
        <f t="shared" si="15"/>
        <v>1</v>
      </c>
      <c r="AY40" s="94">
        <f t="shared" si="15"/>
        <v>0</v>
      </c>
      <c r="AZ40" s="94">
        <f t="shared" si="15"/>
        <v>7</v>
      </c>
      <c r="BA40" s="95">
        <f t="shared" si="12"/>
        <v>0.10256410256410256</v>
      </c>
      <c r="BB40" s="95">
        <f t="shared" si="13"/>
        <v>0.15217391304347827</v>
      </c>
    </row>
    <row r="41" spans="1:54" x14ac:dyDescent="0.3">
      <c r="A41" s="8" t="s">
        <v>48</v>
      </c>
      <c r="B41" s="94">
        <f>'2019-20_working'!B41+'2019-20_working'!C41</f>
        <v>14</v>
      </c>
      <c r="C41" s="94">
        <f>'2019-20_working'!D41</f>
        <v>0</v>
      </c>
      <c r="D41" s="94">
        <f>'2019-20_working'!E41</f>
        <v>0</v>
      </c>
      <c r="E41" s="94">
        <f>'2019-20_working'!F41</f>
        <v>0</v>
      </c>
      <c r="F41" s="94">
        <f>'2019-20_working'!G41+'2019-20_working'!H41</f>
        <v>0</v>
      </c>
      <c r="G41" s="94">
        <f>'2019-20_working'!I41</f>
        <v>4</v>
      </c>
      <c r="H41" s="95">
        <f t="shared" si="2"/>
        <v>0</v>
      </c>
      <c r="I41" s="95">
        <f t="shared" si="3"/>
        <v>0.22222222222222221</v>
      </c>
      <c r="J41" s="94"/>
      <c r="K41" s="94">
        <f>'2019-20_working'!K41+'2019-20_working'!L41</f>
        <v>53</v>
      </c>
      <c r="L41" s="94">
        <f>'2019-20_working'!M41</f>
        <v>1</v>
      </c>
      <c r="M41" s="94">
        <f>'2019-20_working'!N41</f>
        <v>0</v>
      </c>
      <c r="N41" s="94">
        <f>'2019-20_working'!O41</f>
        <v>0</v>
      </c>
      <c r="O41" s="94">
        <f>'2019-20_working'!P41+'2019-20_working'!Q41</f>
        <v>1</v>
      </c>
      <c r="P41" s="94">
        <f>'2019-20_working'!R41</f>
        <v>5</v>
      </c>
      <c r="Q41" s="95">
        <f t="shared" si="4"/>
        <v>3.6363636363636362E-2</v>
      </c>
      <c r="R41" s="95">
        <f t="shared" si="5"/>
        <v>8.3333333333333329E-2</v>
      </c>
      <c r="S41" s="94"/>
      <c r="T41" s="94">
        <f t="shared" si="14"/>
        <v>67</v>
      </c>
      <c r="U41" s="94">
        <f t="shared" si="14"/>
        <v>1</v>
      </c>
      <c r="V41" s="94">
        <f t="shared" si="14"/>
        <v>0</v>
      </c>
      <c r="W41" s="94">
        <f t="shared" si="14"/>
        <v>0</v>
      </c>
      <c r="X41" s="94">
        <f t="shared" si="14"/>
        <v>1</v>
      </c>
      <c r="Y41" s="94">
        <f t="shared" si="14"/>
        <v>9</v>
      </c>
      <c r="Z41" s="95">
        <f t="shared" si="6"/>
        <v>2.8985507246376812E-2</v>
      </c>
      <c r="AA41" s="95">
        <f t="shared" si="7"/>
        <v>0.11538461538461539</v>
      </c>
      <c r="AB41" s="94"/>
      <c r="AC41" s="94">
        <f>'2019-20_working'!T41+'2019-20_working'!U41</f>
        <v>0</v>
      </c>
      <c r="AD41" s="94">
        <f>'2019-20_working'!V41</f>
        <v>0</v>
      </c>
      <c r="AE41" s="94">
        <f>'2019-20_working'!W41</f>
        <v>0</v>
      </c>
      <c r="AF41" s="94">
        <f>'2019-20_working'!X41</f>
        <v>0</v>
      </c>
      <c r="AG41" s="94">
        <f>'2019-20_working'!Y41+'2019-20_working'!Z41</f>
        <v>0</v>
      </c>
      <c r="AH41" s="94">
        <f>'2019-20_working'!AA41</f>
        <v>0</v>
      </c>
      <c r="AI41" s="95" t="str">
        <f t="shared" si="8"/>
        <v>-</v>
      </c>
      <c r="AJ41" s="95" t="str">
        <f t="shared" si="9"/>
        <v>-</v>
      </c>
      <c r="AK41" s="94"/>
      <c r="AL41" s="94">
        <f>'2019-20_working'!AC41+'2019-20_working'!AD41</f>
        <v>13</v>
      </c>
      <c r="AM41" s="94">
        <f>'2019-20_working'!AE41</f>
        <v>0</v>
      </c>
      <c r="AN41" s="94">
        <f>'2019-20_working'!AF41</f>
        <v>0</v>
      </c>
      <c r="AO41" s="94">
        <f>'2019-20_working'!AG41</f>
        <v>0</v>
      </c>
      <c r="AP41" s="94">
        <f>'2019-20_working'!AH41+'2019-20_working'!AI41</f>
        <v>0</v>
      </c>
      <c r="AQ41" s="94">
        <f>'2019-20_working'!AJ41</f>
        <v>2</v>
      </c>
      <c r="AR41" s="95">
        <f t="shared" si="10"/>
        <v>0</v>
      </c>
      <c r="AS41" s="95">
        <f t="shared" si="11"/>
        <v>0.13333333333333333</v>
      </c>
      <c r="AT41" s="94"/>
      <c r="AU41" s="94">
        <f t="shared" si="15"/>
        <v>80</v>
      </c>
      <c r="AV41" s="94">
        <f t="shared" si="15"/>
        <v>1</v>
      </c>
      <c r="AW41" s="94">
        <f t="shared" si="15"/>
        <v>0</v>
      </c>
      <c r="AX41" s="94">
        <f t="shared" si="15"/>
        <v>0</v>
      </c>
      <c r="AY41" s="94">
        <f t="shared" si="15"/>
        <v>1</v>
      </c>
      <c r="AZ41" s="94">
        <f t="shared" si="15"/>
        <v>11</v>
      </c>
      <c r="BA41" s="95">
        <f t="shared" si="12"/>
        <v>2.4390243902439025E-2</v>
      </c>
      <c r="BB41" s="95">
        <f t="shared" si="13"/>
        <v>0.11827956989247312</v>
      </c>
    </row>
    <row r="42" spans="1:54" x14ac:dyDescent="0.3">
      <c r="A42" s="8" t="s">
        <v>49</v>
      </c>
      <c r="B42" s="94">
        <f>'2019-20_working'!B42+'2019-20_working'!C42</f>
        <v>7</v>
      </c>
      <c r="C42" s="94">
        <f>'2019-20_working'!D42</f>
        <v>1</v>
      </c>
      <c r="D42" s="94">
        <f>'2019-20_working'!E42</f>
        <v>0</v>
      </c>
      <c r="E42" s="94">
        <f>'2019-20_working'!F42</f>
        <v>0</v>
      </c>
      <c r="F42" s="94">
        <f>'2019-20_working'!G42+'2019-20_working'!H42</f>
        <v>0</v>
      </c>
      <c r="G42" s="94">
        <f>'2019-20_working'!I42</f>
        <v>2</v>
      </c>
      <c r="H42" s="95">
        <f t="shared" si="2"/>
        <v>0.125</v>
      </c>
      <c r="I42" s="95">
        <f t="shared" si="3"/>
        <v>0.2</v>
      </c>
      <c r="J42" s="94"/>
      <c r="K42" s="94">
        <f>'2019-20_working'!K42+'2019-20_working'!L42</f>
        <v>14</v>
      </c>
      <c r="L42" s="94">
        <f>'2019-20_working'!M42</f>
        <v>0</v>
      </c>
      <c r="M42" s="94">
        <f>'2019-20_working'!N42</f>
        <v>1</v>
      </c>
      <c r="N42" s="94">
        <f>'2019-20_working'!O42</f>
        <v>0</v>
      </c>
      <c r="O42" s="94">
        <f>'2019-20_working'!P42+'2019-20_working'!Q42</f>
        <v>1</v>
      </c>
      <c r="P42" s="94">
        <f>'2019-20_working'!R42</f>
        <v>9</v>
      </c>
      <c r="Q42" s="95">
        <f t="shared" si="4"/>
        <v>0.125</v>
      </c>
      <c r="R42" s="95">
        <f t="shared" si="5"/>
        <v>0.36</v>
      </c>
      <c r="S42" s="94"/>
      <c r="T42" s="94">
        <f t="shared" si="14"/>
        <v>21</v>
      </c>
      <c r="U42" s="94">
        <f t="shared" si="14"/>
        <v>1</v>
      </c>
      <c r="V42" s="94">
        <f t="shared" si="14"/>
        <v>1</v>
      </c>
      <c r="W42" s="94">
        <f t="shared" si="14"/>
        <v>0</v>
      </c>
      <c r="X42" s="94">
        <f t="shared" si="14"/>
        <v>1</v>
      </c>
      <c r="Y42" s="94">
        <f t="shared" si="14"/>
        <v>11</v>
      </c>
      <c r="Z42" s="95">
        <f t="shared" si="6"/>
        <v>0.125</v>
      </c>
      <c r="AA42" s="95">
        <f t="shared" si="7"/>
        <v>0.31428571428571428</v>
      </c>
      <c r="AB42" s="94"/>
      <c r="AC42" s="94">
        <f>'2019-20_working'!T42+'2019-20_working'!U42</f>
        <v>1</v>
      </c>
      <c r="AD42" s="94">
        <f>'2019-20_working'!V42</f>
        <v>0</v>
      </c>
      <c r="AE42" s="94">
        <f>'2019-20_working'!W42</f>
        <v>0</v>
      </c>
      <c r="AF42" s="94">
        <f>'2019-20_working'!X42</f>
        <v>0</v>
      </c>
      <c r="AG42" s="94">
        <f>'2019-20_working'!Y42+'2019-20_working'!Z42</f>
        <v>0</v>
      </c>
      <c r="AH42" s="94">
        <f>'2019-20_working'!AA42</f>
        <v>2</v>
      </c>
      <c r="AI42" s="95">
        <f t="shared" si="8"/>
        <v>0</v>
      </c>
      <c r="AJ42" s="95">
        <f t="shared" si="9"/>
        <v>0.66666666666666663</v>
      </c>
      <c r="AK42" s="94"/>
      <c r="AL42" s="94">
        <f>'2019-20_working'!AC42+'2019-20_working'!AD42</f>
        <v>7</v>
      </c>
      <c r="AM42" s="94">
        <f>'2019-20_working'!AE42</f>
        <v>0</v>
      </c>
      <c r="AN42" s="94">
        <f>'2019-20_working'!AF42</f>
        <v>0</v>
      </c>
      <c r="AO42" s="94">
        <f>'2019-20_working'!AG42</f>
        <v>0</v>
      </c>
      <c r="AP42" s="94">
        <f>'2019-20_working'!AH42+'2019-20_working'!AI42</f>
        <v>0</v>
      </c>
      <c r="AQ42" s="94">
        <f>'2019-20_working'!AJ42</f>
        <v>5</v>
      </c>
      <c r="AR42" s="95">
        <f t="shared" si="10"/>
        <v>0</v>
      </c>
      <c r="AS42" s="95">
        <f t="shared" si="11"/>
        <v>0.41666666666666669</v>
      </c>
      <c r="AT42" s="94"/>
      <c r="AU42" s="94">
        <f t="shared" si="15"/>
        <v>29</v>
      </c>
      <c r="AV42" s="94">
        <f t="shared" si="15"/>
        <v>1</v>
      </c>
      <c r="AW42" s="94">
        <f t="shared" si="15"/>
        <v>1</v>
      </c>
      <c r="AX42" s="94">
        <f t="shared" si="15"/>
        <v>0</v>
      </c>
      <c r="AY42" s="94">
        <f t="shared" si="15"/>
        <v>1</v>
      </c>
      <c r="AZ42" s="94">
        <f t="shared" si="15"/>
        <v>18</v>
      </c>
      <c r="BA42" s="95">
        <f t="shared" si="12"/>
        <v>9.375E-2</v>
      </c>
      <c r="BB42" s="95">
        <f t="shared" si="13"/>
        <v>0.36</v>
      </c>
    </row>
    <row r="43" spans="1:54" x14ac:dyDescent="0.3">
      <c r="A43" s="8" t="s">
        <v>50</v>
      </c>
      <c r="B43" s="94">
        <f>'2019-20_working'!B43+'2019-20_working'!C43</f>
        <v>3</v>
      </c>
      <c r="C43" s="94">
        <f>'2019-20_working'!D43</f>
        <v>0</v>
      </c>
      <c r="D43" s="94">
        <f>'2019-20_working'!E43</f>
        <v>0</v>
      </c>
      <c r="E43" s="94">
        <f>'2019-20_working'!F43</f>
        <v>0</v>
      </c>
      <c r="F43" s="94">
        <f>'2019-20_working'!G43+'2019-20_working'!H43</f>
        <v>0</v>
      </c>
      <c r="G43" s="94">
        <f>'2019-20_working'!I43</f>
        <v>0</v>
      </c>
      <c r="H43" s="95">
        <f t="shared" si="2"/>
        <v>0</v>
      </c>
      <c r="I43" s="95">
        <f t="shared" si="3"/>
        <v>0</v>
      </c>
      <c r="J43" s="94"/>
      <c r="K43" s="94">
        <f>'2019-20_working'!K43+'2019-20_working'!L43</f>
        <v>43</v>
      </c>
      <c r="L43" s="94">
        <f>'2019-20_working'!M43</f>
        <v>0</v>
      </c>
      <c r="M43" s="94">
        <f>'2019-20_working'!N43</f>
        <v>1</v>
      </c>
      <c r="N43" s="94">
        <f>'2019-20_working'!O43</f>
        <v>0</v>
      </c>
      <c r="O43" s="94">
        <f>'2019-20_working'!P43+'2019-20_working'!Q43</f>
        <v>0</v>
      </c>
      <c r="P43" s="94">
        <f>'2019-20_working'!R43</f>
        <v>0</v>
      </c>
      <c r="Q43" s="95">
        <f t="shared" si="4"/>
        <v>2.2727272727272728E-2</v>
      </c>
      <c r="R43" s="95">
        <f t="shared" si="5"/>
        <v>0</v>
      </c>
      <c r="S43" s="94"/>
      <c r="T43" s="94">
        <f t="shared" si="14"/>
        <v>46</v>
      </c>
      <c r="U43" s="94">
        <f t="shared" si="14"/>
        <v>0</v>
      </c>
      <c r="V43" s="94">
        <f t="shared" si="14"/>
        <v>1</v>
      </c>
      <c r="W43" s="94">
        <f t="shared" si="14"/>
        <v>0</v>
      </c>
      <c r="X43" s="94">
        <f t="shared" si="14"/>
        <v>0</v>
      </c>
      <c r="Y43" s="94">
        <f t="shared" si="14"/>
        <v>0</v>
      </c>
      <c r="Z43" s="95">
        <f t="shared" si="6"/>
        <v>2.1276595744680851E-2</v>
      </c>
      <c r="AA43" s="95">
        <f t="shared" si="7"/>
        <v>0</v>
      </c>
      <c r="AB43" s="94"/>
      <c r="AC43" s="94">
        <f>'2019-20_working'!T43+'2019-20_working'!U43</f>
        <v>0</v>
      </c>
      <c r="AD43" s="94">
        <f>'2019-20_working'!V43</f>
        <v>0</v>
      </c>
      <c r="AE43" s="94">
        <f>'2019-20_working'!W43</f>
        <v>0</v>
      </c>
      <c r="AF43" s="94">
        <f>'2019-20_working'!X43</f>
        <v>0</v>
      </c>
      <c r="AG43" s="94">
        <f>'2019-20_working'!Y43+'2019-20_working'!Z43</f>
        <v>0</v>
      </c>
      <c r="AH43" s="94">
        <f>'2019-20_working'!AA43</f>
        <v>0</v>
      </c>
      <c r="AI43" s="95" t="str">
        <f t="shared" si="8"/>
        <v>-</v>
      </c>
      <c r="AJ43" s="95" t="str">
        <f t="shared" si="9"/>
        <v>-</v>
      </c>
      <c r="AK43" s="94"/>
      <c r="AL43" s="94">
        <f>'2019-20_working'!AC43+'2019-20_working'!AD43</f>
        <v>25</v>
      </c>
      <c r="AM43" s="94">
        <f>'2019-20_working'!AE43</f>
        <v>0</v>
      </c>
      <c r="AN43" s="94">
        <f>'2019-20_working'!AF43</f>
        <v>0</v>
      </c>
      <c r="AO43" s="94">
        <f>'2019-20_working'!AG43</f>
        <v>0</v>
      </c>
      <c r="AP43" s="94">
        <f>'2019-20_working'!AH43+'2019-20_working'!AI43</f>
        <v>0</v>
      </c>
      <c r="AQ43" s="94">
        <f>'2019-20_working'!AJ43</f>
        <v>0</v>
      </c>
      <c r="AR43" s="95">
        <f t="shared" si="10"/>
        <v>0</v>
      </c>
      <c r="AS43" s="95">
        <f t="shared" si="11"/>
        <v>0</v>
      </c>
      <c r="AT43" s="94"/>
      <c r="AU43" s="94">
        <f t="shared" si="15"/>
        <v>71</v>
      </c>
      <c r="AV43" s="94">
        <f t="shared" si="15"/>
        <v>0</v>
      </c>
      <c r="AW43" s="94">
        <f t="shared" si="15"/>
        <v>1</v>
      </c>
      <c r="AX43" s="94">
        <f t="shared" si="15"/>
        <v>0</v>
      </c>
      <c r="AY43" s="94">
        <f t="shared" si="15"/>
        <v>0</v>
      </c>
      <c r="AZ43" s="94">
        <f t="shared" si="15"/>
        <v>0</v>
      </c>
      <c r="BA43" s="95">
        <f t="shared" si="12"/>
        <v>1.3888888888888888E-2</v>
      </c>
      <c r="BB43" s="95">
        <f t="shared" si="13"/>
        <v>0</v>
      </c>
    </row>
    <row r="44" spans="1:54" x14ac:dyDescent="0.3">
      <c r="A44" s="8" t="s">
        <v>51</v>
      </c>
      <c r="B44" s="94">
        <f>'2019-20_working'!B44+'2019-20_working'!C44</f>
        <v>2</v>
      </c>
      <c r="C44" s="94">
        <f>'2019-20_working'!D44</f>
        <v>0</v>
      </c>
      <c r="D44" s="94">
        <f>'2019-20_working'!E44</f>
        <v>0</v>
      </c>
      <c r="E44" s="94">
        <f>'2019-20_working'!F44</f>
        <v>0</v>
      </c>
      <c r="F44" s="94">
        <f>'2019-20_working'!G44+'2019-20_working'!H44</f>
        <v>0</v>
      </c>
      <c r="G44" s="94">
        <f>'2019-20_working'!I44</f>
        <v>4</v>
      </c>
      <c r="H44" s="95">
        <f t="shared" si="2"/>
        <v>0</v>
      </c>
      <c r="I44" s="95">
        <f t="shared" si="3"/>
        <v>0.66666666666666663</v>
      </c>
      <c r="J44" s="94"/>
      <c r="K44" s="94">
        <f>'2019-20_working'!K44+'2019-20_working'!L44</f>
        <v>1</v>
      </c>
      <c r="L44" s="94">
        <f>'2019-20_working'!M44</f>
        <v>0</v>
      </c>
      <c r="M44" s="94">
        <f>'2019-20_working'!N44</f>
        <v>0</v>
      </c>
      <c r="N44" s="94">
        <f>'2019-20_working'!O44</f>
        <v>0</v>
      </c>
      <c r="O44" s="94">
        <f>'2019-20_working'!P44+'2019-20_working'!Q44</f>
        <v>0</v>
      </c>
      <c r="P44" s="94">
        <f>'2019-20_working'!R44</f>
        <v>42</v>
      </c>
      <c r="Q44" s="95">
        <f t="shared" si="4"/>
        <v>0</v>
      </c>
      <c r="R44" s="95">
        <f t="shared" si="5"/>
        <v>0.97674418604651159</v>
      </c>
      <c r="S44" s="94"/>
      <c r="T44" s="94">
        <f t="shared" si="14"/>
        <v>3</v>
      </c>
      <c r="U44" s="94">
        <f t="shared" si="14"/>
        <v>0</v>
      </c>
      <c r="V44" s="94">
        <f t="shared" si="14"/>
        <v>0</v>
      </c>
      <c r="W44" s="94">
        <f t="shared" si="14"/>
        <v>0</v>
      </c>
      <c r="X44" s="94">
        <f t="shared" si="14"/>
        <v>0</v>
      </c>
      <c r="Y44" s="94">
        <f t="shared" si="14"/>
        <v>46</v>
      </c>
      <c r="Z44" s="95">
        <f t="shared" si="6"/>
        <v>0</v>
      </c>
      <c r="AA44" s="95">
        <f t="shared" si="7"/>
        <v>0.93877551020408168</v>
      </c>
      <c r="AB44" s="94"/>
      <c r="AC44" s="94">
        <f>'2019-20_working'!T44+'2019-20_working'!U44</f>
        <v>0</v>
      </c>
      <c r="AD44" s="94">
        <f>'2019-20_working'!V44</f>
        <v>0</v>
      </c>
      <c r="AE44" s="94">
        <f>'2019-20_working'!W44</f>
        <v>0</v>
      </c>
      <c r="AF44" s="94">
        <f>'2019-20_working'!X44</f>
        <v>0</v>
      </c>
      <c r="AG44" s="94">
        <f>'2019-20_working'!Y44+'2019-20_working'!Z44</f>
        <v>0</v>
      </c>
      <c r="AH44" s="94">
        <f>'2019-20_working'!AA44</f>
        <v>0</v>
      </c>
      <c r="AI44" s="95" t="str">
        <f t="shared" si="8"/>
        <v>-</v>
      </c>
      <c r="AJ44" s="95" t="str">
        <f t="shared" si="9"/>
        <v>-</v>
      </c>
      <c r="AK44" s="94"/>
      <c r="AL44" s="94">
        <f>'2019-20_working'!AC44+'2019-20_working'!AD44</f>
        <v>4</v>
      </c>
      <c r="AM44" s="94">
        <f>'2019-20_working'!AE44</f>
        <v>0</v>
      </c>
      <c r="AN44" s="94">
        <f>'2019-20_working'!AF44</f>
        <v>0</v>
      </c>
      <c r="AO44" s="94">
        <f>'2019-20_working'!AG44</f>
        <v>0</v>
      </c>
      <c r="AP44" s="94">
        <f>'2019-20_working'!AH44+'2019-20_working'!AI44</f>
        <v>0</v>
      </c>
      <c r="AQ44" s="94">
        <f>'2019-20_working'!AJ44</f>
        <v>2</v>
      </c>
      <c r="AR44" s="95">
        <f t="shared" si="10"/>
        <v>0</v>
      </c>
      <c r="AS44" s="95">
        <f t="shared" si="11"/>
        <v>0.33333333333333331</v>
      </c>
      <c r="AT44" s="94"/>
      <c r="AU44" s="94">
        <f t="shared" si="15"/>
        <v>7</v>
      </c>
      <c r="AV44" s="94">
        <f t="shared" si="15"/>
        <v>0</v>
      </c>
      <c r="AW44" s="94">
        <f t="shared" si="15"/>
        <v>0</v>
      </c>
      <c r="AX44" s="94">
        <f t="shared" si="15"/>
        <v>0</v>
      </c>
      <c r="AY44" s="94">
        <f t="shared" si="15"/>
        <v>0</v>
      </c>
      <c r="AZ44" s="94">
        <f t="shared" si="15"/>
        <v>48</v>
      </c>
      <c r="BA44" s="95">
        <f t="shared" si="12"/>
        <v>0</v>
      </c>
      <c r="BB44" s="95">
        <f t="shared" si="13"/>
        <v>0.87272727272727268</v>
      </c>
    </row>
    <row r="45" spans="1:54" x14ac:dyDescent="0.3">
      <c r="A45" s="8" t="s">
        <v>52</v>
      </c>
      <c r="B45" s="94">
        <f>'2019-20_working'!B45+'2019-20_working'!C45</f>
        <v>35</v>
      </c>
      <c r="C45" s="94">
        <f>'2019-20_working'!D45</f>
        <v>0</v>
      </c>
      <c r="D45" s="94">
        <f>'2019-20_working'!E45</f>
        <v>0</v>
      </c>
      <c r="E45" s="94">
        <f>'2019-20_working'!F45</f>
        <v>0</v>
      </c>
      <c r="F45" s="94">
        <f>'2019-20_working'!G45+'2019-20_working'!H45</f>
        <v>0</v>
      </c>
      <c r="G45" s="94">
        <f>'2019-20_working'!I45</f>
        <v>0</v>
      </c>
      <c r="H45" s="95">
        <f t="shared" si="2"/>
        <v>0</v>
      </c>
      <c r="I45" s="95">
        <f t="shared" si="3"/>
        <v>0</v>
      </c>
      <c r="J45" s="94"/>
      <c r="K45" s="94">
        <f>'2019-20_working'!K45+'2019-20_working'!L45</f>
        <v>8</v>
      </c>
      <c r="L45" s="94">
        <f>'2019-20_working'!M45</f>
        <v>0</v>
      </c>
      <c r="M45" s="94">
        <f>'2019-20_working'!N45</f>
        <v>0</v>
      </c>
      <c r="N45" s="94">
        <f>'2019-20_working'!O45</f>
        <v>0</v>
      </c>
      <c r="O45" s="94">
        <f>'2019-20_working'!P45+'2019-20_working'!Q45</f>
        <v>0</v>
      </c>
      <c r="P45" s="94">
        <f>'2019-20_working'!R45</f>
        <v>0</v>
      </c>
      <c r="Q45" s="95">
        <f t="shared" si="4"/>
        <v>0</v>
      </c>
      <c r="R45" s="95">
        <f t="shared" si="5"/>
        <v>0</v>
      </c>
      <c r="S45" s="94"/>
      <c r="T45" s="94">
        <f t="shared" si="14"/>
        <v>43</v>
      </c>
      <c r="U45" s="94">
        <f t="shared" si="14"/>
        <v>0</v>
      </c>
      <c r="V45" s="94">
        <f t="shared" si="14"/>
        <v>0</v>
      </c>
      <c r="W45" s="94">
        <f t="shared" si="14"/>
        <v>0</v>
      </c>
      <c r="X45" s="94">
        <f t="shared" si="14"/>
        <v>0</v>
      </c>
      <c r="Y45" s="94">
        <f t="shared" si="14"/>
        <v>0</v>
      </c>
      <c r="Z45" s="95">
        <f t="shared" si="6"/>
        <v>0</v>
      </c>
      <c r="AA45" s="95">
        <f t="shared" si="7"/>
        <v>0</v>
      </c>
      <c r="AB45" s="94"/>
      <c r="AC45" s="94">
        <f>'2019-20_working'!T45+'2019-20_working'!U45</f>
        <v>3</v>
      </c>
      <c r="AD45" s="94">
        <f>'2019-20_working'!V45</f>
        <v>0</v>
      </c>
      <c r="AE45" s="94">
        <f>'2019-20_working'!W45</f>
        <v>0</v>
      </c>
      <c r="AF45" s="94">
        <f>'2019-20_working'!X45</f>
        <v>0</v>
      </c>
      <c r="AG45" s="94">
        <f>'2019-20_working'!Y45+'2019-20_working'!Z45</f>
        <v>0</v>
      </c>
      <c r="AH45" s="94">
        <f>'2019-20_working'!AA45</f>
        <v>0</v>
      </c>
      <c r="AI45" s="95">
        <f t="shared" si="8"/>
        <v>0</v>
      </c>
      <c r="AJ45" s="95">
        <f t="shared" si="9"/>
        <v>0</v>
      </c>
      <c r="AK45" s="94"/>
      <c r="AL45" s="94">
        <f>'2019-20_working'!AC45+'2019-20_working'!AD45</f>
        <v>14</v>
      </c>
      <c r="AM45" s="94">
        <f>'2019-20_working'!AE45</f>
        <v>0</v>
      </c>
      <c r="AN45" s="94">
        <f>'2019-20_working'!AF45</f>
        <v>0</v>
      </c>
      <c r="AO45" s="94">
        <f>'2019-20_working'!AG45</f>
        <v>1</v>
      </c>
      <c r="AP45" s="94">
        <f>'2019-20_working'!AH45+'2019-20_working'!AI45</f>
        <v>0</v>
      </c>
      <c r="AQ45" s="94">
        <f>'2019-20_working'!AJ45</f>
        <v>1</v>
      </c>
      <c r="AR45" s="95">
        <f t="shared" si="10"/>
        <v>6.6666666666666666E-2</v>
      </c>
      <c r="AS45" s="95">
        <f t="shared" si="11"/>
        <v>6.25E-2</v>
      </c>
      <c r="AT45" s="94"/>
      <c r="AU45" s="94">
        <f t="shared" si="15"/>
        <v>60</v>
      </c>
      <c r="AV45" s="94">
        <f t="shared" si="15"/>
        <v>0</v>
      </c>
      <c r="AW45" s="94">
        <f t="shared" si="15"/>
        <v>0</v>
      </c>
      <c r="AX45" s="94">
        <f t="shared" si="15"/>
        <v>1</v>
      </c>
      <c r="AY45" s="94">
        <f t="shared" si="15"/>
        <v>0</v>
      </c>
      <c r="AZ45" s="94">
        <f t="shared" si="15"/>
        <v>1</v>
      </c>
      <c r="BA45" s="95">
        <f t="shared" si="12"/>
        <v>1.6393442622950821E-2</v>
      </c>
      <c r="BB45" s="95">
        <f t="shared" si="13"/>
        <v>1.6129032258064516E-2</v>
      </c>
    </row>
    <row r="46" spans="1:54" x14ac:dyDescent="0.3">
      <c r="A46" s="8" t="s">
        <v>53</v>
      </c>
      <c r="B46" s="94">
        <f>'2019-20_working'!B46+'2019-20_working'!C46</f>
        <v>13</v>
      </c>
      <c r="C46" s="94">
        <f>'2019-20_working'!D46</f>
        <v>0</v>
      </c>
      <c r="D46" s="94">
        <f>'2019-20_working'!E46</f>
        <v>1</v>
      </c>
      <c r="E46" s="94">
        <f>'2019-20_working'!F46</f>
        <v>0</v>
      </c>
      <c r="F46" s="94">
        <f>'2019-20_working'!G46+'2019-20_working'!H46</f>
        <v>0</v>
      </c>
      <c r="G46" s="94">
        <f>'2019-20_working'!I46</f>
        <v>10</v>
      </c>
      <c r="H46" s="95">
        <f t="shared" si="2"/>
        <v>7.1428571428571425E-2</v>
      </c>
      <c r="I46" s="95">
        <f t="shared" si="3"/>
        <v>0.41666666666666669</v>
      </c>
      <c r="J46" s="94"/>
      <c r="K46" s="94">
        <f>'2019-20_working'!K46+'2019-20_working'!L46</f>
        <v>11</v>
      </c>
      <c r="L46" s="94">
        <f>'2019-20_working'!M46</f>
        <v>0</v>
      </c>
      <c r="M46" s="94">
        <f>'2019-20_working'!N46</f>
        <v>0</v>
      </c>
      <c r="N46" s="94">
        <f>'2019-20_working'!O46</f>
        <v>0</v>
      </c>
      <c r="O46" s="94">
        <f>'2019-20_working'!P46+'2019-20_working'!Q46</f>
        <v>0</v>
      </c>
      <c r="P46" s="94">
        <f>'2019-20_working'!R46</f>
        <v>4</v>
      </c>
      <c r="Q46" s="95">
        <f t="shared" si="4"/>
        <v>0</v>
      </c>
      <c r="R46" s="95">
        <f t="shared" si="5"/>
        <v>0.26666666666666666</v>
      </c>
      <c r="S46" s="94"/>
      <c r="T46" s="94">
        <f t="shared" si="14"/>
        <v>24</v>
      </c>
      <c r="U46" s="94">
        <f t="shared" si="14"/>
        <v>0</v>
      </c>
      <c r="V46" s="94">
        <f t="shared" si="14"/>
        <v>1</v>
      </c>
      <c r="W46" s="94">
        <f t="shared" si="14"/>
        <v>0</v>
      </c>
      <c r="X46" s="94">
        <f t="shared" si="14"/>
        <v>0</v>
      </c>
      <c r="Y46" s="94">
        <f t="shared" si="14"/>
        <v>14</v>
      </c>
      <c r="Z46" s="95">
        <f t="shared" si="6"/>
        <v>0.04</v>
      </c>
      <c r="AA46" s="95">
        <f t="shared" si="7"/>
        <v>0.35897435897435898</v>
      </c>
      <c r="AB46" s="94"/>
      <c r="AC46" s="94">
        <f>'2019-20_working'!T46+'2019-20_working'!U46</f>
        <v>2</v>
      </c>
      <c r="AD46" s="94">
        <f>'2019-20_working'!V46</f>
        <v>0</v>
      </c>
      <c r="AE46" s="94">
        <f>'2019-20_working'!W46</f>
        <v>0</v>
      </c>
      <c r="AF46" s="94">
        <f>'2019-20_working'!X46</f>
        <v>0</v>
      </c>
      <c r="AG46" s="94">
        <f>'2019-20_working'!Y46+'2019-20_working'!Z46</f>
        <v>0</v>
      </c>
      <c r="AH46" s="94">
        <f>'2019-20_working'!AA46</f>
        <v>0</v>
      </c>
      <c r="AI46" s="95">
        <f t="shared" si="8"/>
        <v>0</v>
      </c>
      <c r="AJ46" s="95">
        <f t="shared" si="9"/>
        <v>0</v>
      </c>
      <c r="AK46" s="94"/>
      <c r="AL46" s="94">
        <f>'2019-20_working'!AC46+'2019-20_working'!AD46</f>
        <v>15</v>
      </c>
      <c r="AM46" s="94">
        <f>'2019-20_working'!AE46</f>
        <v>0</v>
      </c>
      <c r="AN46" s="94">
        <f>'2019-20_working'!AF46</f>
        <v>0</v>
      </c>
      <c r="AO46" s="94">
        <f>'2019-20_working'!AG46</f>
        <v>0</v>
      </c>
      <c r="AP46" s="94">
        <f>'2019-20_working'!AH46+'2019-20_working'!AI46</f>
        <v>0</v>
      </c>
      <c r="AQ46" s="94">
        <f>'2019-20_working'!AJ46</f>
        <v>3</v>
      </c>
      <c r="AR46" s="95">
        <f t="shared" si="10"/>
        <v>0</v>
      </c>
      <c r="AS46" s="95">
        <f t="shared" si="11"/>
        <v>0.16666666666666666</v>
      </c>
      <c r="AT46" s="94"/>
      <c r="AU46" s="94">
        <f t="shared" si="15"/>
        <v>41</v>
      </c>
      <c r="AV46" s="94">
        <f t="shared" si="15"/>
        <v>0</v>
      </c>
      <c r="AW46" s="94">
        <f t="shared" si="15"/>
        <v>1</v>
      </c>
      <c r="AX46" s="94">
        <f t="shared" si="15"/>
        <v>0</v>
      </c>
      <c r="AY46" s="94">
        <f t="shared" si="15"/>
        <v>0</v>
      </c>
      <c r="AZ46" s="94">
        <f t="shared" si="15"/>
        <v>17</v>
      </c>
      <c r="BA46" s="95">
        <f t="shared" si="12"/>
        <v>2.3809523809523808E-2</v>
      </c>
      <c r="BB46" s="95">
        <f t="shared" si="13"/>
        <v>0.28813559322033899</v>
      </c>
    </row>
    <row r="47" spans="1:54" x14ac:dyDescent="0.3">
      <c r="A47" s="8" t="s">
        <v>54</v>
      </c>
      <c r="B47" s="94">
        <f>'2019-20_working'!B47+'2019-20_working'!C47</f>
        <v>2</v>
      </c>
      <c r="C47" s="94">
        <f>'2019-20_working'!D47</f>
        <v>0</v>
      </c>
      <c r="D47" s="94">
        <f>'2019-20_working'!E47</f>
        <v>0</v>
      </c>
      <c r="E47" s="94">
        <f>'2019-20_working'!F47</f>
        <v>0</v>
      </c>
      <c r="F47" s="94">
        <f>'2019-20_working'!G47+'2019-20_working'!H47</f>
        <v>0</v>
      </c>
      <c r="G47" s="94">
        <f>'2019-20_working'!I47</f>
        <v>11</v>
      </c>
      <c r="H47" s="95">
        <f t="shared" si="2"/>
        <v>0</v>
      </c>
      <c r="I47" s="95">
        <f t="shared" si="3"/>
        <v>0.84615384615384615</v>
      </c>
      <c r="J47" s="94"/>
      <c r="K47" s="94">
        <f>'2019-20_working'!K47+'2019-20_working'!L47</f>
        <v>30</v>
      </c>
      <c r="L47" s="94">
        <f>'2019-20_working'!M47</f>
        <v>0</v>
      </c>
      <c r="M47" s="94">
        <f>'2019-20_working'!N47</f>
        <v>0</v>
      </c>
      <c r="N47" s="94">
        <f>'2019-20_working'!O47</f>
        <v>0</v>
      </c>
      <c r="O47" s="94">
        <f>'2019-20_working'!P47+'2019-20_working'!Q47</f>
        <v>1</v>
      </c>
      <c r="P47" s="94">
        <f>'2019-20_working'!R47</f>
        <v>13</v>
      </c>
      <c r="Q47" s="95">
        <f t="shared" si="4"/>
        <v>3.2258064516129031E-2</v>
      </c>
      <c r="R47" s="95">
        <f t="shared" si="5"/>
        <v>0.29545454545454547</v>
      </c>
      <c r="S47" s="94"/>
      <c r="T47" s="94">
        <f t="shared" si="14"/>
        <v>32</v>
      </c>
      <c r="U47" s="94">
        <f t="shared" si="14"/>
        <v>0</v>
      </c>
      <c r="V47" s="94">
        <f t="shared" si="14"/>
        <v>0</v>
      </c>
      <c r="W47" s="94">
        <f t="shared" si="14"/>
        <v>0</v>
      </c>
      <c r="X47" s="94">
        <f t="shared" si="14"/>
        <v>1</v>
      </c>
      <c r="Y47" s="94">
        <f t="shared" si="14"/>
        <v>24</v>
      </c>
      <c r="Z47" s="95">
        <f t="shared" si="6"/>
        <v>3.0303030303030304E-2</v>
      </c>
      <c r="AA47" s="95">
        <f t="shared" si="7"/>
        <v>0.42105263157894735</v>
      </c>
      <c r="AB47" s="94"/>
      <c r="AC47" s="94">
        <f>'2019-20_working'!T47+'2019-20_working'!U47</f>
        <v>0</v>
      </c>
      <c r="AD47" s="94">
        <f>'2019-20_working'!V47</f>
        <v>0</v>
      </c>
      <c r="AE47" s="94">
        <f>'2019-20_working'!W47</f>
        <v>0</v>
      </c>
      <c r="AF47" s="94">
        <f>'2019-20_working'!X47</f>
        <v>0</v>
      </c>
      <c r="AG47" s="94">
        <f>'2019-20_working'!Y47+'2019-20_working'!Z47</f>
        <v>0</v>
      </c>
      <c r="AH47" s="94">
        <f>'2019-20_working'!AA47</f>
        <v>0</v>
      </c>
      <c r="AI47" s="95" t="str">
        <f t="shared" si="8"/>
        <v>-</v>
      </c>
      <c r="AJ47" s="95" t="str">
        <f t="shared" si="9"/>
        <v>-</v>
      </c>
      <c r="AK47" s="94"/>
      <c r="AL47" s="94">
        <f>'2019-20_working'!AC47+'2019-20_working'!AD47</f>
        <v>1</v>
      </c>
      <c r="AM47" s="94">
        <f>'2019-20_working'!AE47</f>
        <v>0</v>
      </c>
      <c r="AN47" s="94">
        <f>'2019-20_working'!AF47</f>
        <v>0</v>
      </c>
      <c r="AO47" s="94">
        <f>'2019-20_working'!AG47</f>
        <v>0</v>
      </c>
      <c r="AP47" s="94">
        <f>'2019-20_working'!AH47+'2019-20_working'!AI47</f>
        <v>0</v>
      </c>
      <c r="AQ47" s="94">
        <f>'2019-20_working'!AJ47</f>
        <v>13</v>
      </c>
      <c r="AR47" s="95">
        <f t="shared" si="10"/>
        <v>0</v>
      </c>
      <c r="AS47" s="95">
        <f t="shared" si="11"/>
        <v>0.9285714285714286</v>
      </c>
      <c r="AT47" s="94"/>
      <c r="AU47" s="94">
        <f t="shared" si="15"/>
        <v>33</v>
      </c>
      <c r="AV47" s="94">
        <f t="shared" si="15"/>
        <v>0</v>
      </c>
      <c r="AW47" s="94">
        <f t="shared" si="15"/>
        <v>0</v>
      </c>
      <c r="AX47" s="94">
        <f t="shared" si="15"/>
        <v>0</v>
      </c>
      <c r="AY47" s="94">
        <f t="shared" si="15"/>
        <v>1</v>
      </c>
      <c r="AZ47" s="94">
        <f t="shared" si="15"/>
        <v>37</v>
      </c>
      <c r="BA47" s="95">
        <f t="shared" si="12"/>
        <v>2.9411764705882353E-2</v>
      </c>
      <c r="BB47" s="95">
        <f t="shared" si="13"/>
        <v>0.52112676056338025</v>
      </c>
    </row>
    <row r="48" spans="1:54" x14ac:dyDescent="0.3">
      <c r="A48" s="8" t="s">
        <v>55</v>
      </c>
      <c r="B48" s="94">
        <f>'2019-20_working'!B48+'2019-20_working'!C48</f>
        <v>0</v>
      </c>
      <c r="C48" s="94">
        <f>'2019-20_working'!D48</f>
        <v>0</v>
      </c>
      <c r="D48" s="94">
        <f>'2019-20_working'!E48</f>
        <v>0</v>
      </c>
      <c r="E48" s="94">
        <f>'2019-20_working'!F48</f>
        <v>0</v>
      </c>
      <c r="F48" s="94">
        <f>'2019-20_working'!G48+'2019-20_working'!H48</f>
        <v>0</v>
      </c>
      <c r="G48" s="94">
        <f>'2019-20_working'!I48</f>
        <v>0</v>
      </c>
      <c r="H48" s="95" t="str">
        <f t="shared" si="2"/>
        <v>-</v>
      </c>
      <c r="I48" s="95" t="str">
        <f t="shared" si="3"/>
        <v>-</v>
      </c>
      <c r="J48" s="94"/>
      <c r="K48" s="94">
        <f>'2019-20_working'!K48+'2019-20_working'!L48</f>
        <v>3</v>
      </c>
      <c r="L48" s="94">
        <f>'2019-20_working'!M48</f>
        <v>0</v>
      </c>
      <c r="M48" s="94">
        <f>'2019-20_working'!N48</f>
        <v>0</v>
      </c>
      <c r="N48" s="94">
        <f>'2019-20_working'!O48</f>
        <v>0</v>
      </c>
      <c r="O48" s="94">
        <f>'2019-20_working'!P48+'2019-20_working'!Q48</f>
        <v>0</v>
      </c>
      <c r="P48" s="94">
        <f>'2019-20_working'!R48</f>
        <v>0</v>
      </c>
      <c r="Q48" s="95">
        <f t="shared" si="4"/>
        <v>0</v>
      </c>
      <c r="R48" s="95">
        <f t="shared" si="5"/>
        <v>0</v>
      </c>
      <c r="S48" s="94"/>
      <c r="T48" s="94">
        <f t="shared" si="14"/>
        <v>3</v>
      </c>
      <c r="U48" s="94">
        <f t="shared" si="14"/>
        <v>0</v>
      </c>
      <c r="V48" s="94">
        <f t="shared" si="14"/>
        <v>0</v>
      </c>
      <c r="W48" s="94">
        <f t="shared" si="14"/>
        <v>0</v>
      </c>
      <c r="X48" s="94">
        <f t="shared" si="14"/>
        <v>0</v>
      </c>
      <c r="Y48" s="94">
        <f t="shared" si="14"/>
        <v>0</v>
      </c>
      <c r="Z48" s="95">
        <f t="shared" si="6"/>
        <v>0</v>
      </c>
      <c r="AA48" s="95">
        <f t="shared" si="7"/>
        <v>0</v>
      </c>
      <c r="AB48" s="94"/>
      <c r="AC48" s="94">
        <f>'2019-20_working'!T48+'2019-20_working'!U48</f>
        <v>0</v>
      </c>
      <c r="AD48" s="94">
        <f>'2019-20_working'!V48</f>
        <v>0</v>
      </c>
      <c r="AE48" s="94">
        <f>'2019-20_working'!W48</f>
        <v>0</v>
      </c>
      <c r="AF48" s="94">
        <f>'2019-20_working'!X48</f>
        <v>0</v>
      </c>
      <c r="AG48" s="94">
        <f>'2019-20_working'!Y48+'2019-20_working'!Z48</f>
        <v>0</v>
      </c>
      <c r="AH48" s="94">
        <f>'2019-20_working'!AA48</f>
        <v>0</v>
      </c>
      <c r="AI48" s="95" t="str">
        <f t="shared" si="8"/>
        <v>-</v>
      </c>
      <c r="AJ48" s="95" t="str">
        <f t="shared" si="9"/>
        <v>-</v>
      </c>
      <c r="AK48" s="94"/>
      <c r="AL48" s="94">
        <f>'2019-20_working'!AC48+'2019-20_working'!AD48</f>
        <v>0</v>
      </c>
      <c r="AM48" s="94">
        <f>'2019-20_working'!AE48</f>
        <v>0</v>
      </c>
      <c r="AN48" s="94">
        <f>'2019-20_working'!AF48</f>
        <v>0</v>
      </c>
      <c r="AO48" s="94">
        <f>'2019-20_working'!AG48</f>
        <v>0</v>
      </c>
      <c r="AP48" s="94">
        <f>'2019-20_working'!AH48+'2019-20_working'!AI48</f>
        <v>0</v>
      </c>
      <c r="AQ48" s="94">
        <f>'2019-20_working'!AJ48</f>
        <v>0</v>
      </c>
      <c r="AR48" s="95" t="str">
        <f t="shared" si="10"/>
        <v>-</v>
      </c>
      <c r="AS48" s="95" t="str">
        <f t="shared" si="11"/>
        <v>-</v>
      </c>
      <c r="AT48" s="94"/>
      <c r="AU48" s="94">
        <f t="shared" si="15"/>
        <v>3</v>
      </c>
      <c r="AV48" s="94">
        <f t="shared" si="15"/>
        <v>0</v>
      </c>
      <c r="AW48" s="94">
        <f t="shared" si="15"/>
        <v>0</v>
      </c>
      <c r="AX48" s="94">
        <f t="shared" si="15"/>
        <v>0</v>
      </c>
      <c r="AY48" s="94">
        <f t="shared" si="15"/>
        <v>0</v>
      </c>
      <c r="AZ48" s="94">
        <f t="shared" si="15"/>
        <v>0</v>
      </c>
      <c r="BA48" s="95">
        <f t="shared" si="12"/>
        <v>0</v>
      </c>
      <c r="BB48" s="95">
        <f t="shared" si="13"/>
        <v>0</v>
      </c>
    </row>
    <row r="49" spans="1:54" x14ac:dyDescent="0.3">
      <c r="A49" s="8" t="s">
        <v>56</v>
      </c>
      <c r="B49" s="94">
        <f>'2019-20_working'!B49+'2019-20_working'!C49</f>
        <v>461</v>
      </c>
      <c r="C49" s="94">
        <f>'2019-20_working'!D49</f>
        <v>31</v>
      </c>
      <c r="D49" s="94">
        <f>'2019-20_working'!E49</f>
        <v>7</v>
      </c>
      <c r="E49" s="94">
        <f>'2019-20_working'!F49</f>
        <v>20</v>
      </c>
      <c r="F49" s="94">
        <f>'2019-20_working'!G49+'2019-20_working'!H49</f>
        <v>12</v>
      </c>
      <c r="G49" s="94">
        <f>'2019-20_working'!I49</f>
        <v>35</v>
      </c>
      <c r="H49" s="95">
        <f t="shared" si="2"/>
        <v>0.13182674199623351</v>
      </c>
      <c r="I49" s="95">
        <f t="shared" si="3"/>
        <v>6.1837455830388695E-2</v>
      </c>
      <c r="J49" s="94"/>
      <c r="K49" s="94">
        <f>'2019-20_working'!K49+'2019-20_working'!L49</f>
        <v>74</v>
      </c>
      <c r="L49" s="94">
        <f>'2019-20_working'!M49</f>
        <v>1</v>
      </c>
      <c r="M49" s="94">
        <f>'2019-20_working'!N49</f>
        <v>0</v>
      </c>
      <c r="N49" s="94">
        <f>'2019-20_working'!O49</f>
        <v>0</v>
      </c>
      <c r="O49" s="94">
        <f>'2019-20_working'!P49+'2019-20_working'!Q49</f>
        <v>0</v>
      </c>
      <c r="P49" s="94">
        <f>'2019-20_working'!R49</f>
        <v>4</v>
      </c>
      <c r="Q49" s="95">
        <f t="shared" si="4"/>
        <v>1.3333333333333334E-2</v>
      </c>
      <c r="R49" s="95">
        <f t="shared" si="5"/>
        <v>5.0632911392405063E-2</v>
      </c>
      <c r="S49" s="94"/>
      <c r="T49" s="94">
        <f t="shared" si="14"/>
        <v>535</v>
      </c>
      <c r="U49" s="94">
        <f t="shared" si="14"/>
        <v>32</v>
      </c>
      <c r="V49" s="94">
        <f t="shared" si="14"/>
        <v>7</v>
      </c>
      <c r="W49" s="94">
        <f t="shared" si="14"/>
        <v>20</v>
      </c>
      <c r="X49" s="94">
        <f t="shared" si="14"/>
        <v>12</v>
      </c>
      <c r="Y49" s="94">
        <f t="shared" si="14"/>
        <v>39</v>
      </c>
      <c r="Z49" s="95">
        <f t="shared" si="6"/>
        <v>0.11716171617161716</v>
      </c>
      <c r="AA49" s="95">
        <f t="shared" si="7"/>
        <v>6.0465116279069767E-2</v>
      </c>
      <c r="AB49" s="94"/>
      <c r="AC49" s="94">
        <f>'2019-20_working'!T49+'2019-20_working'!U49</f>
        <v>25</v>
      </c>
      <c r="AD49" s="94">
        <f>'2019-20_working'!V49</f>
        <v>1</v>
      </c>
      <c r="AE49" s="94">
        <f>'2019-20_working'!W49</f>
        <v>0</v>
      </c>
      <c r="AF49" s="94">
        <f>'2019-20_working'!X49</f>
        <v>1</v>
      </c>
      <c r="AG49" s="94">
        <f>'2019-20_working'!Y49+'2019-20_working'!Z49</f>
        <v>1</v>
      </c>
      <c r="AH49" s="94">
        <f>'2019-20_working'!AA49</f>
        <v>3</v>
      </c>
      <c r="AI49" s="95">
        <f t="shared" si="8"/>
        <v>0.10714285714285714</v>
      </c>
      <c r="AJ49" s="95">
        <f t="shared" si="9"/>
        <v>9.6774193548387094E-2</v>
      </c>
      <c r="AK49" s="94"/>
      <c r="AL49" s="94">
        <f>'2019-20_working'!AC49+'2019-20_working'!AD49</f>
        <v>182</v>
      </c>
      <c r="AM49" s="94">
        <f>'2019-20_working'!AE49</f>
        <v>5</v>
      </c>
      <c r="AN49" s="94">
        <f>'2019-20_working'!AF49</f>
        <v>14</v>
      </c>
      <c r="AO49" s="94">
        <f>'2019-20_working'!AG49</f>
        <v>19</v>
      </c>
      <c r="AP49" s="94">
        <f>'2019-20_working'!AH49+'2019-20_working'!AI49</f>
        <v>4</v>
      </c>
      <c r="AQ49" s="94">
        <f>'2019-20_working'!AJ49</f>
        <v>22</v>
      </c>
      <c r="AR49" s="95">
        <f t="shared" si="10"/>
        <v>0.1875</v>
      </c>
      <c r="AS49" s="95">
        <f t="shared" si="11"/>
        <v>8.943089430894309E-2</v>
      </c>
      <c r="AT49" s="94"/>
      <c r="AU49" s="94">
        <f t="shared" si="15"/>
        <v>742</v>
      </c>
      <c r="AV49" s="94">
        <f t="shared" si="15"/>
        <v>38</v>
      </c>
      <c r="AW49" s="94">
        <f t="shared" si="15"/>
        <v>21</v>
      </c>
      <c r="AX49" s="94">
        <f t="shared" si="15"/>
        <v>40</v>
      </c>
      <c r="AY49" s="94">
        <f t="shared" si="15"/>
        <v>17</v>
      </c>
      <c r="AZ49" s="94">
        <f t="shared" si="15"/>
        <v>64</v>
      </c>
      <c r="BA49" s="95">
        <f t="shared" si="12"/>
        <v>0.1351981351981352</v>
      </c>
      <c r="BB49" s="95">
        <f t="shared" si="13"/>
        <v>6.9414316702819959E-2</v>
      </c>
    </row>
    <row r="50" spans="1:54" x14ac:dyDescent="0.3">
      <c r="A50" s="8" t="s">
        <v>57</v>
      </c>
      <c r="B50" s="94">
        <f>'2019-20_working'!B50+'2019-20_working'!C50</f>
        <v>58</v>
      </c>
      <c r="C50" s="94">
        <f>'2019-20_working'!D50</f>
        <v>3</v>
      </c>
      <c r="D50" s="94">
        <f>'2019-20_working'!E50</f>
        <v>0</v>
      </c>
      <c r="E50" s="94">
        <f>'2019-20_working'!F50</f>
        <v>0</v>
      </c>
      <c r="F50" s="94">
        <f>'2019-20_working'!G50+'2019-20_working'!H50</f>
        <v>1</v>
      </c>
      <c r="G50" s="94">
        <f>'2019-20_working'!I50</f>
        <v>9</v>
      </c>
      <c r="H50" s="95">
        <f t="shared" si="2"/>
        <v>6.4516129032258063E-2</v>
      </c>
      <c r="I50" s="95">
        <f t="shared" si="3"/>
        <v>0.12676056338028169</v>
      </c>
      <c r="J50" s="94"/>
      <c r="K50" s="94">
        <f>'2019-20_working'!K50+'2019-20_working'!L50</f>
        <v>0</v>
      </c>
      <c r="L50" s="94">
        <f>'2019-20_working'!M50</f>
        <v>0</v>
      </c>
      <c r="M50" s="94">
        <f>'2019-20_working'!N50</f>
        <v>0</v>
      </c>
      <c r="N50" s="94">
        <f>'2019-20_working'!O50</f>
        <v>0</v>
      </c>
      <c r="O50" s="94">
        <f>'2019-20_working'!P50+'2019-20_working'!Q50</f>
        <v>0</v>
      </c>
      <c r="P50" s="94">
        <f>'2019-20_working'!R50</f>
        <v>0</v>
      </c>
      <c r="Q50" s="95" t="str">
        <f t="shared" si="4"/>
        <v>-</v>
      </c>
      <c r="R50" s="95" t="str">
        <f t="shared" si="5"/>
        <v>-</v>
      </c>
      <c r="S50" s="94"/>
      <c r="T50" s="94">
        <f t="shared" si="14"/>
        <v>58</v>
      </c>
      <c r="U50" s="94">
        <f t="shared" si="14"/>
        <v>3</v>
      </c>
      <c r="V50" s="94">
        <f t="shared" si="14"/>
        <v>0</v>
      </c>
      <c r="W50" s="94">
        <f t="shared" si="14"/>
        <v>0</v>
      </c>
      <c r="X50" s="94">
        <f t="shared" si="14"/>
        <v>1</v>
      </c>
      <c r="Y50" s="94">
        <f t="shared" si="14"/>
        <v>9</v>
      </c>
      <c r="Z50" s="95">
        <f t="shared" si="6"/>
        <v>6.4516129032258063E-2</v>
      </c>
      <c r="AA50" s="95">
        <f t="shared" si="7"/>
        <v>0.12676056338028169</v>
      </c>
      <c r="AB50" s="94"/>
      <c r="AC50" s="94">
        <f>'2019-20_working'!T50+'2019-20_working'!U50</f>
        <v>0</v>
      </c>
      <c r="AD50" s="94">
        <f>'2019-20_working'!V50</f>
        <v>0</v>
      </c>
      <c r="AE50" s="94">
        <f>'2019-20_working'!W50</f>
        <v>0</v>
      </c>
      <c r="AF50" s="94">
        <f>'2019-20_working'!X50</f>
        <v>0</v>
      </c>
      <c r="AG50" s="94">
        <f>'2019-20_working'!Y50+'2019-20_working'!Z50</f>
        <v>0</v>
      </c>
      <c r="AH50" s="94">
        <f>'2019-20_working'!AA50</f>
        <v>0</v>
      </c>
      <c r="AI50" s="95" t="str">
        <f t="shared" si="8"/>
        <v>-</v>
      </c>
      <c r="AJ50" s="95" t="str">
        <f t="shared" si="9"/>
        <v>-</v>
      </c>
      <c r="AK50" s="94"/>
      <c r="AL50" s="94">
        <f>'2019-20_working'!AC50+'2019-20_working'!AD50</f>
        <v>4</v>
      </c>
      <c r="AM50" s="94">
        <f>'2019-20_working'!AE50</f>
        <v>0</v>
      </c>
      <c r="AN50" s="94">
        <f>'2019-20_working'!AF50</f>
        <v>0</v>
      </c>
      <c r="AO50" s="94">
        <f>'2019-20_working'!AG50</f>
        <v>0</v>
      </c>
      <c r="AP50" s="94">
        <f>'2019-20_working'!AH50+'2019-20_working'!AI50</f>
        <v>0</v>
      </c>
      <c r="AQ50" s="94">
        <f>'2019-20_working'!AJ50</f>
        <v>0</v>
      </c>
      <c r="AR50" s="95">
        <f t="shared" si="10"/>
        <v>0</v>
      </c>
      <c r="AS50" s="95">
        <f t="shared" si="11"/>
        <v>0</v>
      </c>
      <c r="AT50" s="94"/>
      <c r="AU50" s="94">
        <f t="shared" si="15"/>
        <v>62</v>
      </c>
      <c r="AV50" s="94">
        <f t="shared" si="15"/>
        <v>3</v>
      </c>
      <c r="AW50" s="94">
        <f t="shared" si="15"/>
        <v>0</v>
      </c>
      <c r="AX50" s="94">
        <f t="shared" si="15"/>
        <v>0</v>
      </c>
      <c r="AY50" s="94">
        <f t="shared" si="15"/>
        <v>1</v>
      </c>
      <c r="AZ50" s="94">
        <f t="shared" si="15"/>
        <v>9</v>
      </c>
      <c r="BA50" s="95">
        <f t="shared" si="12"/>
        <v>6.0606060606060608E-2</v>
      </c>
      <c r="BB50" s="95">
        <f t="shared" si="13"/>
        <v>0.12</v>
      </c>
    </row>
    <row r="51" spans="1:54" x14ac:dyDescent="0.3">
      <c r="A51" s="8" t="s">
        <v>58</v>
      </c>
      <c r="B51" s="94">
        <f>'2019-20_working'!B51+'2019-20_working'!C51</f>
        <v>66</v>
      </c>
      <c r="C51" s="94">
        <f>'2019-20_working'!D51</f>
        <v>2</v>
      </c>
      <c r="D51" s="94">
        <f>'2019-20_working'!E51</f>
        <v>0</v>
      </c>
      <c r="E51" s="94">
        <f>'2019-20_working'!F51</f>
        <v>0</v>
      </c>
      <c r="F51" s="94">
        <f>'2019-20_working'!G51+'2019-20_working'!H51</f>
        <v>0</v>
      </c>
      <c r="G51" s="94">
        <f>'2019-20_working'!I51</f>
        <v>5</v>
      </c>
      <c r="H51" s="95">
        <f t="shared" si="2"/>
        <v>2.9411764705882353E-2</v>
      </c>
      <c r="I51" s="95">
        <f t="shared" si="3"/>
        <v>6.8493150684931503E-2</v>
      </c>
      <c r="J51" s="94"/>
      <c r="K51" s="94">
        <f>'2019-20_working'!K51+'2019-20_working'!L51</f>
        <v>41</v>
      </c>
      <c r="L51" s="94">
        <f>'2019-20_working'!M51</f>
        <v>1</v>
      </c>
      <c r="M51" s="94">
        <f>'2019-20_working'!N51</f>
        <v>0</v>
      </c>
      <c r="N51" s="94">
        <f>'2019-20_working'!O51</f>
        <v>0</v>
      </c>
      <c r="O51" s="94">
        <f>'2019-20_working'!P51+'2019-20_working'!Q51</f>
        <v>0</v>
      </c>
      <c r="P51" s="94">
        <f>'2019-20_working'!R51</f>
        <v>3</v>
      </c>
      <c r="Q51" s="95">
        <f t="shared" si="4"/>
        <v>2.3809523809523808E-2</v>
      </c>
      <c r="R51" s="95">
        <f t="shared" si="5"/>
        <v>6.6666666666666666E-2</v>
      </c>
      <c r="S51" s="94"/>
      <c r="T51" s="94">
        <f t="shared" si="14"/>
        <v>107</v>
      </c>
      <c r="U51" s="94">
        <f t="shared" si="14"/>
        <v>3</v>
      </c>
      <c r="V51" s="94">
        <f t="shared" si="14"/>
        <v>0</v>
      </c>
      <c r="W51" s="94">
        <f t="shared" si="14"/>
        <v>0</v>
      </c>
      <c r="X51" s="94">
        <f t="shared" si="14"/>
        <v>0</v>
      </c>
      <c r="Y51" s="94">
        <f t="shared" si="14"/>
        <v>8</v>
      </c>
      <c r="Z51" s="95">
        <f t="shared" si="6"/>
        <v>2.7272727272727271E-2</v>
      </c>
      <c r="AA51" s="95">
        <f t="shared" si="7"/>
        <v>6.7796610169491525E-2</v>
      </c>
      <c r="AB51" s="94"/>
      <c r="AC51" s="94">
        <f>'2019-20_working'!T51+'2019-20_working'!U51</f>
        <v>6</v>
      </c>
      <c r="AD51" s="94">
        <f>'2019-20_working'!V51</f>
        <v>0</v>
      </c>
      <c r="AE51" s="94">
        <f>'2019-20_working'!W51</f>
        <v>0</v>
      </c>
      <c r="AF51" s="94">
        <f>'2019-20_working'!X51</f>
        <v>0</v>
      </c>
      <c r="AG51" s="94">
        <f>'2019-20_working'!Y51+'2019-20_working'!Z51</f>
        <v>0</v>
      </c>
      <c r="AH51" s="94">
        <f>'2019-20_working'!AA51</f>
        <v>0</v>
      </c>
      <c r="AI51" s="95">
        <f t="shared" si="8"/>
        <v>0</v>
      </c>
      <c r="AJ51" s="95">
        <f t="shared" si="9"/>
        <v>0</v>
      </c>
      <c r="AK51" s="94"/>
      <c r="AL51" s="94">
        <f>'2019-20_working'!AC51+'2019-20_working'!AD51</f>
        <v>10</v>
      </c>
      <c r="AM51" s="94">
        <f>'2019-20_working'!AE51</f>
        <v>0</v>
      </c>
      <c r="AN51" s="94">
        <f>'2019-20_working'!AF51</f>
        <v>0</v>
      </c>
      <c r="AO51" s="94">
        <f>'2019-20_working'!AG51</f>
        <v>1</v>
      </c>
      <c r="AP51" s="94">
        <f>'2019-20_working'!AH51+'2019-20_working'!AI51</f>
        <v>0</v>
      </c>
      <c r="AQ51" s="94">
        <f>'2019-20_working'!AJ51</f>
        <v>0</v>
      </c>
      <c r="AR51" s="95">
        <f t="shared" si="10"/>
        <v>9.0909090909090912E-2</v>
      </c>
      <c r="AS51" s="95">
        <f t="shared" si="11"/>
        <v>0</v>
      </c>
      <c r="AT51" s="94"/>
      <c r="AU51" s="94">
        <f t="shared" si="15"/>
        <v>123</v>
      </c>
      <c r="AV51" s="94">
        <f t="shared" si="15"/>
        <v>3</v>
      </c>
      <c r="AW51" s="94">
        <f t="shared" si="15"/>
        <v>0</v>
      </c>
      <c r="AX51" s="94">
        <f t="shared" si="15"/>
        <v>1</v>
      </c>
      <c r="AY51" s="94">
        <f t="shared" si="15"/>
        <v>0</v>
      </c>
      <c r="AZ51" s="94">
        <f t="shared" si="15"/>
        <v>8</v>
      </c>
      <c r="BA51" s="95">
        <f t="shared" si="12"/>
        <v>3.1496062992125984E-2</v>
      </c>
      <c r="BB51" s="95">
        <f t="shared" si="13"/>
        <v>5.9259259259259262E-2</v>
      </c>
    </row>
    <row r="52" spans="1:54" x14ac:dyDescent="0.3">
      <c r="A52" s="8" t="s">
        <v>59</v>
      </c>
      <c r="B52" s="94">
        <f>'2019-20_working'!B52+'2019-20_working'!C52</f>
        <v>0</v>
      </c>
      <c r="C52" s="94">
        <f>'2019-20_working'!D52</f>
        <v>0</v>
      </c>
      <c r="D52" s="94">
        <f>'2019-20_working'!E52</f>
        <v>0</v>
      </c>
      <c r="E52" s="94">
        <f>'2019-20_working'!F52</f>
        <v>0</v>
      </c>
      <c r="F52" s="94">
        <f>'2019-20_working'!G52+'2019-20_working'!H52</f>
        <v>0</v>
      </c>
      <c r="G52" s="94">
        <f>'2019-20_working'!I52</f>
        <v>0</v>
      </c>
      <c r="H52" s="95" t="str">
        <f t="shared" si="2"/>
        <v>-</v>
      </c>
      <c r="I52" s="95" t="str">
        <f t="shared" si="3"/>
        <v>-</v>
      </c>
      <c r="J52" s="94"/>
      <c r="K52" s="94">
        <f>'2019-20_working'!K52+'2019-20_working'!L52</f>
        <v>4</v>
      </c>
      <c r="L52" s="94">
        <f>'2019-20_working'!M52</f>
        <v>0</v>
      </c>
      <c r="M52" s="94">
        <f>'2019-20_working'!N52</f>
        <v>0</v>
      </c>
      <c r="N52" s="94">
        <f>'2019-20_working'!O52</f>
        <v>0</v>
      </c>
      <c r="O52" s="94">
        <f>'2019-20_working'!P52+'2019-20_working'!Q52</f>
        <v>0</v>
      </c>
      <c r="P52" s="94">
        <f>'2019-20_working'!R52</f>
        <v>0</v>
      </c>
      <c r="Q52" s="95">
        <f t="shared" si="4"/>
        <v>0</v>
      </c>
      <c r="R52" s="95">
        <f t="shared" si="5"/>
        <v>0</v>
      </c>
      <c r="S52" s="94"/>
      <c r="T52" s="94">
        <f t="shared" si="14"/>
        <v>4</v>
      </c>
      <c r="U52" s="94">
        <f t="shared" si="14"/>
        <v>0</v>
      </c>
      <c r="V52" s="94">
        <f t="shared" si="14"/>
        <v>0</v>
      </c>
      <c r="W52" s="94">
        <f t="shared" si="14"/>
        <v>0</v>
      </c>
      <c r="X52" s="94">
        <f t="shared" si="14"/>
        <v>0</v>
      </c>
      <c r="Y52" s="94">
        <f t="shared" si="14"/>
        <v>0</v>
      </c>
      <c r="Z52" s="95">
        <f t="shared" si="6"/>
        <v>0</v>
      </c>
      <c r="AA52" s="95">
        <f t="shared" si="7"/>
        <v>0</v>
      </c>
      <c r="AB52" s="94"/>
      <c r="AC52" s="94">
        <f>'2019-20_working'!T52+'2019-20_working'!U52</f>
        <v>1</v>
      </c>
      <c r="AD52" s="94">
        <f>'2019-20_working'!V52</f>
        <v>0</v>
      </c>
      <c r="AE52" s="94">
        <f>'2019-20_working'!W52</f>
        <v>0</v>
      </c>
      <c r="AF52" s="94">
        <f>'2019-20_working'!X52</f>
        <v>0</v>
      </c>
      <c r="AG52" s="94">
        <f>'2019-20_working'!Y52+'2019-20_working'!Z52</f>
        <v>0</v>
      </c>
      <c r="AH52" s="94">
        <f>'2019-20_working'!AA52</f>
        <v>0</v>
      </c>
      <c r="AI52" s="95">
        <f t="shared" si="8"/>
        <v>0</v>
      </c>
      <c r="AJ52" s="95">
        <f t="shared" si="9"/>
        <v>0</v>
      </c>
      <c r="AK52" s="94"/>
      <c r="AL52" s="94">
        <f>'2019-20_working'!AC52+'2019-20_working'!AD52</f>
        <v>15</v>
      </c>
      <c r="AM52" s="94">
        <f>'2019-20_working'!AE52</f>
        <v>0</v>
      </c>
      <c r="AN52" s="94">
        <f>'2019-20_working'!AF52</f>
        <v>0</v>
      </c>
      <c r="AO52" s="94">
        <f>'2019-20_working'!AG52</f>
        <v>1</v>
      </c>
      <c r="AP52" s="94">
        <f>'2019-20_working'!AH52+'2019-20_working'!AI52</f>
        <v>0</v>
      </c>
      <c r="AQ52" s="94">
        <f>'2019-20_working'!AJ52</f>
        <v>0</v>
      </c>
      <c r="AR52" s="95">
        <f t="shared" si="10"/>
        <v>6.25E-2</v>
      </c>
      <c r="AS52" s="95">
        <f t="shared" si="11"/>
        <v>0</v>
      </c>
      <c r="AT52" s="94"/>
      <c r="AU52" s="94">
        <f t="shared" si="15"/>
        <v>20</v>
      </c>
      <c r="AV52" s="94">
        <f t="shared" si="15"/>
        <v>0</v>
      </c>
      <c r="AW52" s="94">
        <f t="shared" si="15"/>
        <v>0</v>
      </c>
      <c r="AX52" s="94">
        <f t="shared" si="15"/>
        <v>1</v>
      </c>
      <c r="AY52" s="94">
        <f t="shared" si="15"/>
        <v>0</v>
      </c>
      <c r="AZ52" s="94">
        <f t="shared" si="15"/>
        <v>0</v>
      </c>
      <c r="BA52" s="95">
        <f t="shared" si="12"/>
        <v>4.7619047619047616E-2</v>
      </c>
      <c r="BB52" s="95">
        <f t="shared" si="13"/>
        <v>0</v>
      </c>
    </row>
    <row r="53" spans="1:54" x14ac:dyDescent="0.3">
      <c r="A53" s="8" t="s">
        <v>60</v>
      </c>
      <c r="B53" s="94">
        <f>'2019-20_working'!B53+'2019-20_working'!C53</f>
        <v>15</v>
      </c>
      <c r="C53" s="94">
        <f>'2019-20_working'!D53</f>
        <v>1</v>
      </c>
      <c r="D53" s="94">
        <f>'2019-20_working'!E53</f>
        <v>0</v>
      </c>
      <c r="E53" s="94">
        <f>'2019-20_working'!F53</f>
        <v>0</v>
      </c>
      <c r="F53" s="94">
        <f>'2019-20_working'!G53+'2019-20_working'!H53</f>
        <v>0</v>
      </c>
      <c r="G53" s="94">
        <f>'2019-20_working'!I53</f>
        <v>0</v>
      </c>
      <c r="H53" s="95">
        <f t="shared" si="2"/>
        <v>6.25E-2</v>
      </c>
      <c r="I53" s="95">
        <f t="shared" si="3"/>
        <v>0</v>
      </c>
      <c r="J53" s="94"/>
      <c r="K53" s="94">
        <f>'2019-20_working'!K53+'2019-20_working'!L53</f>
        <v>4</v>
      </c>
      <c r="L53" s="94">
        <f>'2019-20_working'!M53</f>
        <v>0</v>
      </c>
      <c r="M53" s="94">
        <f>'2019-20_working'!N53</f>
        <v>0</v>
      </c>
      <c r="N53" s="94">
        <f>'2019-20_working'!O53</f>
        <v>0</v>
      </c>
      <c r="O53" s="94">
        <f>'2019-20_working'!P53+'2019-20_working'!Q53</f>
        <v>0</v>
      </c>
      <c r="P53" s="94">
        <f>'2019-20_working'!R53</f>
        <v>0</v>
      </c>
      <c r="Q53" s="95">
        <f t="shared" si="4"/>
        <v>0</v>
      </c>
      <c r="R53" s="95">
        <f t="shared" si="5"/>
        <v>0</v>
      </c>
      <c r="S53" s="94"/>
      <c r="T53" s="94">
        <f t="shared" si="14"/>
        <v>19</v>
      </c>
      <c r="U53" s="94">
        <f t="shared" si="14"/>
        <v>1</v>
      </c>
      <c r="V53" s="94">
        <f t="shared" si="14"/>
        <v>0</v>
      </c>
      <c r="W53" s="94">
        <f t="shared" si="14"/>
        <v>0</v>
      </c>
      <c r="X53" s="94">
        <f t="shared" si="14"/>
        <v>0</v>
      </c>
      <c r="Y53" s="94">
        <f t="shared" si="14"/>
        <v>0</v>
      </c>
      <c r="Z53" s="95">
        <f t="shared" si="6"/>
        <v>0.05</v>
      </c>
      <c r="AA53" s="95">
        <f t="shared" si="7"/>
        <v>0</v>
      </c>
      <c r="AB53" s="94"/>
      <c r="AC53" s="94">
        <f>'2019-20_working'!T53+'2019-20_working'!U53</f>
        <v>1</v>
      </c>
      <c r="AD53" s="94">
        <f>'2019-20_working'!V53</f>
        <v>0</v>
      </c>
      <c r="AE53" s="94">
        <f>'2019-20_working'!W53</f>
        <v>0</v>
      </c>
      <c r="AF53" s="94">
        <f>'2019-20_working'!X53</f>
        <v>0</v>
      </c>
      <c r="AG53" s="94">
        <f>'2019-20_working'!Y53+'2019-20_working'!Z53</f>
        <v>0</v>
      </c>
      <c r="AH53" s="94">
        <f>'2019-20_working'!AA53</f>
        <v>0</v>
      </c>
      <c r="AI53" s="95">
        <f t="shared" si="8"/>
        <v>0</v>
      </c>
      <c r="AJ53" s="95">
        <f t="shared" si="9"/>
        <v>0</v>
      </c>
      <c r="AK53" s="94"/>
      <c r="AL53" s="94">
        <f>'2019-20_working'!AC53+'2019-20_working'!AD53</f>
        <v>26</v>
      </c>
      <c r="AM53" s="94">
        <f>'2019-20_working'!AE53</f>
        <v>0</v>
      </c>
      <c r="AN53" s="94">
        <f>'2019-20_working'!AF53</f>
        <v>0</v>
      </c>
      <c r="AO53" s="94">
        <f>'2019-20_working'!AG53</f>
        <v>0</v>
      </c>
      <c r="AP53" s="94">
        <f>'2019-20_working'!AH53+'2019-20_working'!AI53</f>
        <v>0</v>
      </c>
      <c r="AQ53" s="94">
        <f>'2019-20_working'!AJ53</f>
        <v>0</v>
      </c>
      <c r="AR53" s="95">
        <f t="shared" si="10"/>
        <v>0</v>
      </c>
      <c r="AS53" s="95">
        <f t="shared" si="11"/>
        <v>0</v>
      </c>
      <c r="AT53" s="94"/>
      <c r="AU53" s="94">
        <f t="shared" si="15"/>
        <v>46</v>
      </c>
      <c r="AV53" s="94">
        <f t="shared" si="15"/>
        <v>1</v>
      </c>
      <c r="AW53" s="94">
        <f t="shared" si="15"/>
        <v>0</v>
      </c>
      <c r="AX53" s="94">
        <f t="shared" si="15"/>
        <v>0</v>
      </c>
      <c r="AY53" s="94">
        <f t="shared" si="15"/>
        <v>0</v>
      </c>
      <c r="AZ53" s="94">
        <f t="shared" si="15"/>
        <v>0</v>
      </c>
      <c r="BA53" s="95">
        <f t="shared" si="12"/>
        <v>2.1276595744680851E-2</v>
      </c>
      <c r="BB53" s="95">
        <f t="shared" si="13"/>
        <v>0</v>
      </c>
    </row>
    <row r="54" spans="1:54" x14ac:dyDescent="0.3">
      <c r="A54" s="8" t="s">
        <v>61</v>
      </c>
      <c r="B54" s="94">
        <f>'2019-20_working'!B54+'2019-20_working'!C54</f>
        <v>52</v>
      </c>
      <c r="C54" s="94">
        <f>'2019-20_working'!D54</f>
        <v>12</v>
      </c>
      <c r="D54" s="94">
        <f>'2019-20_working'!E54</f>
        <v>2</v>
      </c>
      <c r="E54" s="94">
        <f>'2019-20_working'!F54</f>
        <v>7</v>
      </c>
      <c r="F54" s="94">
        <f>'2019-20_working'!G54+'2019-20_working'!H54</f>
        <v>1</v>
      </c>
      <c r="G54" s="94">
        <f>'2019-20_working'!I54</f>
        <v>0</v>
      </c>
      <c r="H54" s="95">
        <f t="shared" si="2"/>
        <v>0.29729729729729731</v>
      </c>
      <c r="I54" s="95">
        <f t="shared" si="3"/>
        <v>0</v>
      </c>
      <c r="J54" s="94"/>
      <c r="K54" s="94">
        <f>'2019-20_working'!K54+'2019-20_working'!L54</f>
        <v>0</v>
      </c>
      <c r="L54" s="94">
        <f>'2019-20_working'!M54</f>
        <v>0</v>
      </c>
      <c r="M54" s="94">
        <f>'2019-20_working'!N54</f>
        <v>0</v>
      </c>
      <c r="N54" s="94">
        <f>'2019-20_working'!O54</f>
        <v>0</v>
      </c>
      <c r="O54" s="94">
        <f>'2019-20_working'!P54+'2019-20_working'!Q54</f>
        <v>0</v>
      </c>
      <c r="P54" s="94">
        <f>'2019-20_working'!R54</f>
        <v>0</v>
      </c>
      <c r="Q54" s="95" t="str">
        <f t="shared" si="4"/>
        <v>-</v>
      </c>
      <c r="R54" s="95" t="str">
        <f t="shared" si="5"/>
        <v>-</v>
      </c>
      <c r="S54" s="94"/>
      <c r="T54" s="94">
        <f t="shared" si="14"/>
        <v>52</v>
      </c>
      <c r="U54" s="94">
        <f t="shared" si="14"/>
        <v>12</v>
      </c>
      <c r="V54" s="94">
        <f t="shared" si="14"/>
        <v>2</v>
      </c>
      <c r="W54" s="94">
        <f t="shared" si="14"/>
        <v>7</v>
      </c>
      <c r="X54" s="94">
        <f t="shared" si="14"/>
        <v>1</v>
      </c>
      <c r="Y54" s="94">
        <f t="shared" si="14"/>
        <v>0</v>
      </c>
      <c r="Z54" s="95">
        <f t="shared" si="6"/>
        <v>0.29729729729729731</v>
      </c>
      <c r="AA54" s="95">
        <f t="shared" si="7"/>
        <v>0</v>
      </c>
      <c r="AB54" s="94"/>
      <c r="AC54" s="94">
        <f>'2019-20_working'!T54+'2019-20_working'!U54</f>
        <v>6</v>
      </c>
      <c r="AD54" s="94">
        <f>'2019-20_working'!V54</f>
        <v>0</v>
      </c>
      <c r="AE54" s="94">
        <f>'2019-20_working'!W54</f>
        <v>0</v>
      </c>
      <c r="AF54" s="94">
        <f>'2019-20_working'!X54</f>
        <v>0</v>
      </c>
      <c r="AG54" s="94">
        <f>'2019-20_working'!Y54+'2019-20_working'!Z54</f>
        <v>0</v>
      </c>
      <c r="AH54" s="94">
        <f>'2019-20_working'!AA54</f>
        <v>3</v>
      </c>
      <c r="AI54" s="95">
        <f t="shared" si="8"/>
        <v>0</v>
      </c>
      <c r="AJ54" s="95">
        <f t="shared" si="9"/>
        <v>0.33333333333333331</v>
      </c>
      <c r="AK54" s="94"/>
      <c r="AL54" s="94">
        <f>'2019-20_working'!AC54+'2019-20_working'!AD54</f>
        <v>18</v>
      </c>
      <c r="AM54" s="94">
        <f>'2019-20_working'!AE54</f>
        <v>0</v>
      </c>
      <c r="AN54" s="94">
        <f>'2019-20_working'!AF54</f>
        <v>6</v>
      </c>
      <c r="AO54" s="94">
        <f>'2019-20_working'!AG54</f>
        <v>4</v>
      </c>
      <c r="AP54" s="94">
        <f>'2019-20_working'!AH54+'2019-20_working'!AI54</f>
        <v>0</v>
      </c>
      <c r="AQ54" s="94">
        <f>'2019-20_working'!AJ54</f>
        <v>12</v>
      </c>
      <c r="AR54" s="95">
        <f t="shared" si="10"/>
        <v>0.35714285714285715</v>
      </c>
      <c r="AS54" s="95">
        <f t="shared" si="11"/>
        <v>0.3</v>
      </c>
      <c r="AT54" s="94"/>
      <c r="AU54" s="94">
        <f t="shared" si="15"/>
        <v>76</v>
      </c>
      <c r="AV54" s="94">
        <f t="shared" si="15"/>
        <v>12</v>
      </c>
      <c r="AW54" s="94">
        <f t="shared" si="15"/>
        <v>8</v>
      </c>
      <c r="AX54" s="94">
        <f t="shared" si="15"/>
        <v>11</v>
      </c>
      <c r="AY54" s="94">
        <f t="shared" si="15"/>
        <v>1</v>
      </c>
      <c r="AZ54" s="94">
        <f t="shared" si="15"/>
        <v>15</v>
      </c>
      <c r="BA54" s="95">
        <f t="shared" si="12"/>
        <v>0.29629629629629628</v>
      </c>
      <c r="BB54" s="95">
        <f t="shared" si="13"/>
        <v>0.12195121951219512</v>
      </c>
    </row>
    <row r="55" spans="1:54" x14ac:dyDescent="0.3">
      <c r="A55" s="8" t="s">
        <v>62</v>
      </c>
      <c r="B55" s="94">
        <f>'2019-20_working'!B55+'2019-20_working'!C55</f>
        <v>24</v>
      </c>
      <c r="C55" s="94">
        <f>'2019-20_working'!D55</f>
        <v>1</v>
      </c>
      <c r="D55" s="94">
        <f>'2019-20_working'!E55</f>
        <v>0</v>
      </c>
      <c r="E55" s="94">
        <f>'2019-20_working'!F55</f>
        <v>0</v>
      </c>
      <c r="F55" s="94">
        <f>'2019-20_working'!G55+'2019-20_working'!H55</f>
        <v>2</v>
      </c>
      <c r="G55" s="94">
        <f>'2019-20_working'!I55</f>
        <v>14</v>
      </c>
      <c r="H55" s="95">
        <f t="shared" si="2"/>
        <v>0.1111111111111111</v>
      </c>
      <c r="I55" s="95">
        <f t="shared" si="3"/>
        <v>0.34146341463414637</v>
      </c>
      <c r="J55" s="94"/>
      <c r="K55" s="94">
        <f>'2019-20_working'!K55+'2019-20_working'!L55</f>
        <v>25</v>
      </c>
      <c r="L55" s="94">
        <f>'2019-20_working'!M55</f>
        <v>0</v>
      </c>
      <c r="M55" s="94">
        <f>'2019-20_working'!N55</f>
        <v>0</v>
      </c>
      <c r="N55" s="94">
        <f>'2019-20_working'!O55</f>
        <v>0</v>
      </c>
      <c r="O55" s="94">
        <f>'2019-20_working'!P55+'2019-20_working'!Q55</f>
        <v>0</v>
      </c>
      <c r="P55" s="94">
        <f>'2019-20_working'!R55</f>
        <v>1</v>
      </c>
      <c r="Q55" s="95">
        <f t="shared" si="4"/>
        <v>0</v>
      </c>
      <c r="R55" s="95">
        <f t="shared" si="5"/>
        <v>3.8461538461538464E-2</v>
      </c>
      <c r="S55" s="94"/>
      <c r="T55" s="94">
        <f t="shared" si="14"/>
        <v>49</v>
      </c>
      <c r="U55" s="94">
        <f t="shared" si="14"/>
        <v>1</v>
      </c>
      <c r="V55" s="94">
        <f t="shared" si="14"/>
        <v>0</v>
      </c>
      <c r="W55" s="94">
        <f t="shared" si="14"/>
        <v>0</v>
      </c>
      <c r="X55" s="94">
        <f t="shared" si="14"/>
        <v>2</v>
      </c>
      <c r="Y55" s="94">
        <f t="shared" si="14"/>
        <v>15</v>
      </c>
      <c r="Z55" s="95">
        <f t="shared" si="6"/>
        <v>5.7692307692307696E-2</v>
      </c>
      <c r="AA55" s="95">
        <f t="shared" si="7"/>
        <v>0.22388059701492538</v>
      </c>
      <c r="AB55" s="94"/>
      <c r="AC55" s="94">
        <f>'2019-20_working'!T55+'2019-20_working'!U55</f>
        <v>1</v>
      </c>
      <c r="AD55" s="94">
        <f>'2019-20_working'!V55</f>
        <v>0</v>
      </c>
      <c r="AE55" s="94">
        <f>'2019-20_working'!W55</f>
        <v>0</v>
      </c>
      <c r="AF55" s="94">
        <f>'2019-20_working'!X55</f>
        <v>0</v>
      </c>
      <c r="AG55" s="94">
        <f>'2019-20_working'!Y55+'2019-20_working'!Z55</f>
        <v>0</v>
      </c>
      <c r="AH55" s="94">
        <f>'2019-20_working'!AA55</f>
        <v>0</v>
      </c>
      <c r="AI55" s="95">
        <f t="shared" si="8"/>
        <v>0</v>
      </c>
      <c r="AJ55" s="95">
        <f t="shared" si="9"/>
        <v>0</v>
      </c>
      <c r="AK55" s="94"/>
      <c r="AL55" s="94">
        <f>'2019-20_working'!AC55+'2019-20_working'!AD55</f>
        <v>11</v>
      </c>
      <c r="AM55" s="94">
        <f>'2019-20_working'!AE55</f>
        <v>0</v>
      </c>
      <c r="AN55" s="94">
        <f>'2019-20_working'!AF55</f>
        <v>1</v>
      </c>
      <c r="AO55" s="94">
        <f>'2019-20_working'!AG55</f>
        <v>0</v>
      </c>
      <c r="AP55" s="94">
        <f>'2019-20_working'!AH55+'2019-20_working'!AI55</f>
        <v>0</v>
      </c>
      <c r="AQ55" s="94">
        <f>'2019-20_working'!AJ55</f>
        <v>5</v>
      </c>
      <c r="AR55" s="95">
        <f t="shared" si="10"/>
        <v>8.3333333333333329E-2</v>
      </c>
      <c r="AS55" s="95">
        <f t="shared" si="11"/>
        <v>0.29411764705882354</v>
      </c>
      <c r="AT55" s="94"/>
      <c r="AU55" s="94">
        <f t="shared" si="15"/>
        <v>61</v>
      </c>
      <c r="AV55" s="94">
        <f t="shared" si="15"/>
        <v>1</v>
      </c>
      <c r="AW55" s="94">
        <f t="shared" si="15"/>
        <v>1</v>
      </c>
      <c r="AX55" s="94">
        <f t="shared" si="15"/>
        <v>0</v>
      </c>
      <c r="AY55" s="94">
        <f t="shared" si="15"/>
        <v>2</v>
      </c>
      <c r="AZ55" s="94">
        <f t="shared" si="15"/>
        <v>20</v>
      </c>
      <c r="BA55" s="95">
        <f t="shared" si="12"/>
        <v>6.1538461538461542E-2</v>
      </c>
      <c r="BB55" s="95">
        <f t="shared" si="13"/>
        <v>0.23529411764705882</v>
      </c>
    </row>
    <row r="56" spans="1:54" x14ac:dyDescent="0.3">
      <c r="A56" s="8" t="s">
        <v>63</v>
      </c>
      <c r="B56" s="94">
        <f>'2019-20_working'!B56+'2019-20_working'!C56</f>
        <v>246</v>
      </c>
      <c r="C56" s="94">
        <f>'2019-20_working'!D56</f>
        <v>12</v>
      </c>
      <c r="D56" s="94">
        <f>'2019-20_working'!E56</f>
        <v>5</v>
      </c>
      <c r="E56" s="94">
        <f>'2019-20_working'!F56</f>
        <v>13</v>
      </c>
      <c r="F56" s="94">
        <f>'2019-20_working'!G56+'2019-20_working'!H56</f>
        <v>8</v>
      </c>
      <c r="G56" s="94">
        <f>'2019-20_working'!I56</f>
        <v>7</v>
      </c>
      <c r="H56" s="95">
        <f t="shared" si="2"/>
        <v>0.13380281690140844</v>
      </c>
      <c r="I56" s="95">
        <f t="shared" si="3"/>
        <v>2.4054982817869417E-2</v>
      </c>
      <c r="J56" s="94"/>
      <c r="K56" s="94">
        <f>'2019-20_working'!K56+'2019-20_working'!L56</f>
        <v>0</v>
      </c>
      <c r="L56" s="94">
        <f>'2019-20_working'!M56</f>
        <v>0</v>
      </c>
      <c r="M56" s="94">
        <f>'2019-20_working'!N56</f>
        <v>0</v>
      </c>
      <c r="N56" s="94">
        <f>'2019-20_working'!O56</f>
        <v>0</v>
      </c>
      <c r="O56" s="94">
        <f>'2019-20_working'!P56+'2019-20_working'!Q56</f>
        <v>0</v>
      </c>
      <c r="P56" s="94">
        <f>'2019-20_working'!R56</f>
        <v>0</v>
      </c>
      <c r="Q56" s="95" t="str">
        <f t="shared" si="4"/>
        <v>-</v>
      </c>
      <c r="R56" s="95" t="str">
        <f t="shared" si="5"/>
        <v>-</v>
      </c>
      <c r="S56" s="94"/>
      <c r="T56" s="94">
        <f t="shared" si="14"/>
        <v>246</v>
      </c>
      <c r="U56" s="94">
        <f t="shared" si="14"/>
        <v>12</v>
      </c>
      <c r="V56" s="94">
        <f t="shared" si="14"/>
        <v>5</v>
      </c>
      <c r="W56" s="94">
        <f t="shared" si="14"/>
        <v>13</v>
      </c>
      <c r="X56" s="94">
        <f t="shared" si="14"/>
        <v>8</v>
      </c>
      <c r="Y56" s="94">
        <f t="shared" si="14"/>
        <v>7</v>
      </c>
      <c r="Z56" s="95">
        <f t="shared" si="6"/>
        <v>0.13380281690140844</v>
      </c>
      <c r="AA56" s="95">
        <f t="shared" si="7"/>
        <v>2.4054982817869417E-2</v>
      </c>
      <c r="AB56" s="94"/>
      <c r="AC56" s="94">
        <f>'2019-20_working'!T56+'2019-20_working'!U56</f>
        <v>10</v>
      </c>
      <c r="AD56" s="94">
        <f>'2019-20_working'!V56</f>
        <v>1</v>
      </c>
      <c r="AE56" s="94">
        <f>'2019-20_working'!W56</f>
        <v>0</v>
      </c>
      <c r="AF56" s="94">
        <f>'2019-20_working'!X56</f>
        <v>1</v>
      </c>
      <c r="AG56" s="94">
        <f>'2019-20_working'!Y56+'2019-20_working'!Z56</f>
        <v>1</v>
      </c>
      <c r="AH56" s="94">
        <f>'2019-20_working'!AA56</f>
        <v>0</v>
      </c>
      <c r="AI56" s="95">
        <f t="shared" si="8"/>
        <v>0.23076923076923078</v>
      </c>
      <c r="AJ56" s="95">
        <f t="shared" si="9"/>
        <v>0</v>
      </c>
      <c r="AK56" s="94"/>
      <c r="AL56" s="94">
        <f>'2019-20_working'!AC56+'2019-20_working'!AD56</f>
        <v>98</v>
      </c>
      <c r="AM56" s="94">
        <f>'2019-20_working'!AE56</f>
        <v>5</v>
      </c>
      <c r="AN56" s="94">
        <f>'2019-20_working'!AF56</f>
        <v>7</v>
      </c>
      <c r="AO56" s="94">
        <f>'2019-20_working'!AG56</f>
        <v>13</v>
      </c>
      <c r="AP56" s="94">
        <f>'2019-20_working'!AH56+'2019-20_working'!AI56</f>
        <v>4</v>
      </c>
      <c r="AQ56" s="94">
        <f>'2019-20_working'!AJ56</f>
        <v>5</v>
      </c>
      <c r="AR56" s="95">
        <f t="shared" si="10"/>
        <v>0.2283464566929134</v>
      </c>
      <c r="AS56" s="95">
        <f t="shared" si="11"/>
        <v>3.787878787878788E-2</v>
      </c>
      <c r="AT56" s="94"/>
      <c r="AU56" s="94">
        <f t="shared" si="15"/>
        <v>354</v>
      </c>
      <c r="AV56" s="94">
        <f t="shared" si="15"/>
        <v>18</v>
      </c>
      <c r="AW56" s="94">
        <f t="shared" si="15"/>
        <v>12</v>
      </c>
      <c r="AX56" s="94">
        <f t="shared" si="15"/>
        <v>27</v>
      </c>
      <c r="AY56" s="94">
        <f t="shared" si="15"/>
        <v>13</v>
      </c>
      <c r="AZ56" s="94">
        <f t="shared" si="15"/>
        <v>12</v>
      </c>
      <c r="BA56" s="95">
        <f t="shared" si="12"/>
        <v>0.1650943396226415</v>
      </c>
      <c r="BB56" s="95">
        <f t="shared" si="13"/>
        <v>2.7522935779816515E-2</v>
      </c>
    </row>
    <row r="58" spans="1:54" x14ac:dyDescent="0.3">
      <c r="A58" s="8" t="s">
        <v>64</v>
      </c>
    </row>
    <row r="59" spans="1:54" x14ac:dyDescent="0.3">
      <c r="A59" s="8" t="s">
        <v>76</v>
      </c>
    </row>
    <row r="61" spans="1:54" x14ac:dyDescent="0.3">
      <c r="A61" s="8" t="s">
        <v>65</v>
      </c>
    </row>
    <row r="62" spans="1:54" x14ac:dyDescent="0.3">
      <c r="A62" s="8" t="s">
        <v>66</v>
      </c>
    </row>
    <row r="64" spans="1:54" x14ac:dyDescent="0.3">
      <c r="A64" s="8" t="s">
        <v>67</v>
      </c>
    </row>
    <row r="65" spans="1:1" x14ac:dyDescent="0.3">
      <c r="A65" s="8" t="s">
        <v>68</v>
      </c>
    </row>
    <row r="67" spans="1:1" x14ac:dyDescent="0.3">
      <c r="A67" s="8" t="s">
        <v>69</v>
      </c>
    </row>
    <row r="69" spans="1:1" x14ac:dyDescent="0.3">
      <c r="A69" s="8" t="s">
        <v>70</v>
      </c>
    </row>
    <row r="70" spans="1:1" x14ac:dyDescent="0.3">
      <c r="A70" s="8" t="s">
        <v>72</v>
      </c>
    </row>
  </sheetData>
  <mergeCells count="1">
    <mergeCell ref="A1:R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L70"/>
  <sheetViews>
    <sheetView zoomScale="80" zoomScaleNormal="80" workbookViewId="0">
      <pane xSplit="1" ySplit="7" topLeftCell="B8" activePane="bottomRight" state="frozen"/>
      <selection pane="topRight" activeCell="B1" sqref="B1"/>
      <selection pane="bottomLeft" activeCell="A8" sqref="A8"/>
      <selection pane="bottomRight" activeCell="B14" sqref="B14"/>
    </sheetView>
  </sheetViews>
  <sheetFormatPr defaultColWidth="9.21875" defaultRowHeight="14.4" x14ac:dyDescent="0.3"/>
  <cols>
    <col min="1" max="1" width="50.77734375" style="4" customWidth="1"/>
    <col min="2" max="9" width="8.77734375" style="4" customWidth="1"/>
    <col min="10" max="10" width="2.77734375" style="4" customWidth="1"/>
    <col min="11" max="18" width="8.77734375" style="4" customWidth="1"/>
    <col min="19" max="19" width="2.77734375" style="4" customWidth="1"/>
    <col min="20" max="27" width="8.77734375" style="4" customWidth="1"/>
    <col min="28" max="28" width="2.77734375" style="4" customWidth="1"/>
    <col min="29" max="36" width="8.77734375" style="4" customWidth="1"/>
    <col min="37" max="37" width="2.77734375" style="4" customWidth="1"/>
    <col min="38" max="45" width="8.77734375" style="4" customWidth="1"/>
    <col min="46" max="46" width="2.77734375" style="4" customWidth="1"/>
    <col min="47" max="54" width="8.77734375" style="4" customWidth="1"/>
    <col min="55" max="16384" width="9.21875" style="4"/>
  </cols>
  <sheetData>
    <row r="1" spans="1:64" s="1" customFormat="1" ht="23.25" customHeight="1" x14ac:dyDescent="0.45">
      <c r="A1" s="149" t="s">
        <v>86</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row>
    <row r="2" spans="1:64" s="1" customFormat="1" ht="23.25" customHeight="1" x14ac:dyDescent="0.4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row>
    <row r="3" spans="1:64" s="1" customFormat="1" ht="23.25" customHeight="1" x14ac:dyDescent="0.4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row>
    <row r="4" spans="1:64" s="1" customFormat="1" ht="23.25" customHeight="1" x14ac:dyDescent="0.45">
      <c r="A4" s="156" t="str">
        <f>FIRE1121!A3</f>
        <v>2019-20</v>
      </c>
      <c r="B4" s="156"/>
      <c r="C4" s="156"/>
      <c r="D4" s="156"/>
      <c r="E4" s="156"/>
      <c r="F4" s="156"/>
      <c r="G4" s="156"/>
      <c r="H4" s="156"/>
      <c r="I4" s="156"/>
      <c r="J4" s="156"/>
      <c r="K4" s="156"/>
      <c r="L4" s="156"/>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row>
    <row r="5" spans="1:64" s="3" customFormat="1" x14ac:dyDescent="0.3">
      <c r="A5" s="2"/>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row>
    <row r="6" spans="1:64" s="8" customFormat="1" ht="15.75" customHeight="1" thickBot="1" x14ac:dyDescent="0.35">
      <c r="A6" s="4"/>
      <c r="B6" s="151" t="s">
        <v>1</v>
      </c>
      <c r="C6" s="151"/>
      <c r="D6" s="151"/>
      <c r="E6" s="151"/>
      <c r="F6" s="151"/>
      <c r="G6" s="151"/>
      <c r="H6" s="151"/>
      <c r="I6" s="40"/>
      <c r="J6" s="39"/>
      <c r="K6" s="153" t="s">
        <v>75</v>
      </c>
      <c r="L6" s="153"/>
      <c r="M6" s="153"/>
      <c r="N6" s="153"/>
      <c r="O6" s="153"/>
      <c r="P6" s="153"/>
      <c r="Q6" s="153"/>
      <c r="R6" s="153"/>
      <c r="S6" s="39"/>
      <c r="T6" s="152" t="s">
        <v>2</v>
      </c>
      <c r="U6" s="152"/>
      <c r="V6" s="152"/>
      <c r="W6" s="152"/>
      <c r="X6" s="152"/>
      <c r="Y6" s="152"/>
      <c r="Z6" s="152"/>
      <c r="AA6" s="7"/>
      <c r="AB6" s="39"/>
      <c r="AC6" s="153" t="s">
        <v>3</v>
      </c>
      <c r="AD6" s="153"/>
      <c r="AE6" s="153"/>
      <c r="AF6" s="153"/>
      <c r="AG6" s="153"/>
      <c r="AH6" s="153"/>
      <c r="AI6" s="153"/>
      <c r="AJ6" s="40"/>
      <c r="AK6" s="39"/>
      <c r="AL6" s="153" t="s">
        <v>4</v>
      </c>
      <c r="AM6" s="153"/>
      <c r="AN6" s="153"/>
      <c r="AO6" s="153"/>
      <c r="AP6" s="153"/>
      <c r="AQ6" s="153"/>
      <c r="AR6" s="153"/>
      <c r="AS6" s="40"/>
      <c r="AT6" s="39"/>
      <c r="AU6" s="152" t="s">
        <v>5</v>
      </c>
      <c r="AV6" s="152"/>
      <c r="AW6" s="152"/>
      <c r="AX6" s="152"/>
      <c r="AY6" s="152"/>
      <c r="AZ6" s="152"/>
      <c r="BA6" s="152"/>
      <c r="BB6" s="152"/>
    </row>
    <row r="7" spans="1:64" s="15" customFormat="1" ht="58.2" thickBot="1" x14ac:dyDescent="0.35">
      <c r="A7" s="9" t="s">
        <v>6</v>
      </c>
      <c r="B7" s="10" t="s">
        <v>7</v>
      </c>
      <c r="C7" s="10" t="s">
        <v>8</v>
      </c>
      <c r="D7" s="10" t="s">
        <v>9</v>
      </c>
      <c r="E7" s="10" t="s">
        <v>10</v>
      </c>
      <c r="F7" s="10" t="s">
        <v>11</v>
      </c>
      <c r="G7" s="10" t="s">
        <v>12</v>
      </c>
      <c r="H7" s="11" t="s">
        <v>13</v>
      </c>
      <c r="I7" s="11" t="s">
        <v>14</v>
      </c>
      <c r="J7" s="41"/>
      <c r="K7" s="10" t="s">
        <v>7</v>
      </c>
      <c r="L7" s="10" t="s">
        <v>8</v>
      </c>
      <c r="M7" s="10" t="s">
        <v>9</v>
      </c>
      <c r="N7" s="10" t="s">
        <v>10</v>
      </c>
      <c r="O7" s="10" t="s">
        <v>11</v>
      </c>
      <c r="P7" s="10" t="s">
        <v>12</v>
      </c>
      <c r="Q7" s="11" t="s">
        <v>13</v>
      </c>
      <c r="R7" s="11" t="s">
        <v>14</v>
      </c>
      <c r="S7" s="41"/>
      <c r="T7" s="13" t="s">
        <v>7</v>
      </c>
      <c r="U7" s="13" t="s">
        <v>8</v>
      </c>
      <c r="V7" s="13" t="s">
        <v>9</v>
      </c>
      <c r="W7" s="13" t="s">
        <v>10</v>
      </c>
      <c r="X7" s="13" t="s">
        <v>11</v>
      </c>
      <c r="Y7" s="13" t="s">
        <v>12</v>
      </c>
      <c r="Z7" s="11" t="s">
        <v>13</v>
      </c>
      <c r="AA7" s="11" t="s">
        <v>14</v>
      </c>
      <c r="AB7" s="41"/>
      <c r="AC7" s="10" t="s">
        <v>7</v>
      </c>
      <c r="AD7" s="10" t="s">
        <v>8</v>
      </c>
      <c r="AE7" s="10" t="s">
        <v>9</v>
      </c>
      <c r="AF7" s="10" t="s">
        <v>10</v>
      </c>
      <c r="AG7" s="10" t="s">
        <v>11</v>
      </c>
      <c r="AH7" s="10" t="s">
        <v>12</v>
      </c>
      <c r="AI7" s="11" t="s">
        <v>13</v>
      </c>
      <c r="AJ7" s="11" t="s">
        <v>14</v>
      </c>
      <c r="AK7" s="41"/>
      <c r="AL7" s="10" t="s">
        <v>7</v>
      </c>
      <c r="AM7" s="10" t="s">
        <v>8</v>
      </c>
      <c r="AN7" s="10" t="s">
        <v>9</v>
      </c>
      <c r="AO7" s="10" t="s">
        <v>10</v>
      </c>
      <c r="AP7" s="10" t="s">
        <v>11</v>
      </c>
      <c r="AQ7" s="10" t="s">
        <v>12</v>
      </c>
      <c r="AR7" s="11" t="s">
        <v>13</v>
      </c>
      <c r="AS7" s="11" t="s">
        <v>14</v>
      </c>
      <c r="AT7" s="41"/>
      <c r="AU7" s="13" t="s">
        <v>7</v>
      </c>
      <c r="AV7" s="13" t="s">
        <v>8</v>
      </c>
      <c r="AW7" s="13" t="s">
        <v>9</v>
      </c>
      <c r="AX7" s="13" t="s">
        <v>10</v>
      </c>
      <c r="AY7" s="13" t="s">
        <v>11</v>
      </c>
      <c r="AZ7" s="13" t="s">
        <v>12</v>
      </c>
      <c r="BA7" s="11" t="s">
        <v>13</v>
      </c>
      <c r="BB7" s="11" t="s">
        <v>14</v>
      </c>
    </row>
    <row r="8" spans="1:64" s="8" customFormat="1" ht="15" customHeight="1" x14ac:dyDescent="0.3">
      <c r="A8" s="16" t="s">
        <v>15</v>
      </c>
      <c r="B8" s="22">
        <f t="shared" ref="B8:G8" ca="1" si="0">B9+B49</f>
        <v>958</v>
      </c>
      <c r="C8" s="22">
        <f t="shared" ca="1" si="0"/>
        <v>51</v>
      </c>
      <c r="D8" s="22">
        <f t="shared" ca="1" si="0"/>
        <v>10</v>
      </c>
      <c r="E8" s="22">
        <f t="shared" ca="1" si="0"/>
        <v>24</v>
      </c>
      <c r="F8" s="22">
        <f t="shared" ca="1" si="0"/>
        <v>14</v>
      </c>
      <c r="G8" s="22">
        <f t="shared" ca="1" si="0"/>
        <v>175</v>
      </c>
      <c r="H8" s="46">
        <f ca="1">IF(SUM(B8:F8)=0,"-",(SUM(C8:F8)/SUM(B8:F8)))</f>
        <v>9.3661305581835386E-2</v>
      </c>
      <c r="I8" s="46">
        <f ca="1">IF(SUM(B8:G8)=0,"-",(G8/SUM(B8:G8)))</f>
        <v>0.14204545454545456</v>
      </c>
      <c r="J8" s="17"/>
      <c r="K8" s="22">
        <f t="shared" ref="K8:P8" ca="1" si="1">K9+K49</f>
        <v>1139</v>
      </c>
      <c r="L8" s="22">
        <f t="shared" ca="1" si="1"/>
        <v>10</v>
      </c>
      <c r="M8" s="22">
        <f t="shared" ca="1" si="1"/>
        <v>3</v>
      </c>
      <c r="N8" s="22">
        <f t="shared" ca="1" si="1"/>
        <v>5</v>
      </c>
      <c r="O8" s="22">
        <f t="shared" ca="1" si="1"/>
        <v>6</v>
      </c>
      <c r="P8" s="22">
        <f t="shared" ca="1" si="1"/>
        <v>450</v>
      </c>
      <c r="Q8" s="46">
        <f ca="1">IF(SUM(K8:O8)=0,"-",(SUM(L8:O8)/SUM(K8:O8)))</f>
        <v>2.063628546861565E-2</v>
      </c>
      <c r="R8" s="46">
        <f ca="1">IF(SUM(K8:P8)=0,"-",(P8/SUM(K8:P8)))</f>
        <v>0.27898326100433973</v>
      </c>
      <c r="S8" s="17"/>
      <c r="T8" s="17">
        <f t="shared" ref="T8:Y8" ca="1" si="2">B8+K8</f>
        <v>2097</v>
      </c>
      <c r="U8" s="17">
        <f t="shared" ca="1" si="2"/>
        <v>61</v>
      </c>
      <c r="V8" s="17">
        <f t="shared" ca="1" si="2"/>
        <v>13</v>
      </c>
      <c r="W8" s="17">
        <f t="shared" ca="1" si="2"/>
        <v>29</v>
      </c>
      <c r="X8" s="17">
        <f t="shared" ca="1" si="2"/>
        <v>20</v>
      </c>
      <c r="Y8" s="17">
        <f t="shared" ca="1" si="2"/>
        <v>625</v>
      </c>
      <c r="Z8" s="46">
        <f ca="1">IF(SUM(T8:X8)=0,"-",(SUM(U8:X8)/SUM(T8:X8)))</f>
        <v>5.5405405405405408E-2</v>
      </c>
      <c r="AA8" s="46">
        <f ca="1">IF(SUM(T8:Y8)=0,"-",(Y8/SUM(T8:Y8)))</f>
        <v>0.21968365553602812</v>
      </c>
      <c r="AB8" s="17"/>
      <c r="AC8" s="22">
        <f t="shared" ref="AC8:AH8" ca="1" si="3">AC9+AC49</f>
        <v>101</v>
      </c>
      <c r="AD8" s="22">
        <f t="shared" ca="1" si="3"/>
        <v>1</v>
      </c>
      <c r="AE8" s="22">
        <f t="shared" ca="1" si="3"/>
        <v>1</v>
      </c>
      <c r="AF8" s="22">
        <f t="shared" ca="1" si="3"/>
        <v>1</v>
      </c>
      <c r="AG8" s="22">
        <f t="shared" ca="1" si="3"/>
        <v>1</v>
      </c>
      <c r="AH8" s="22">
        <f t="shared" ca="1" si="3"/>
        <v>14</v>
      </c>
      <c r="AI8" s="46">
        <f ca="1">IF(SUM(AC8:AG8)=0,"-",(SUM(AD8:AG8)/SUM(AC8:AG8)))</f>
        <v>3.8095238095238099E-2</v>
      </c>
      <c r="AJ8" s="46">
        <f ca="1">IF(SUM(AC8:AH8)=0,"-",(AH8/SUM(AC8:AH8)))</f>
        <v>0.11764705882352941</v>
      </c>
      <c r="AK8" s="17"/>
      <c r="AL8" s="22">
        <f t="shared" ref="AL8:AQ8" ca="1" si="4">AL9+AL49</f>
        <v>749</v>
      </c>
      <c r="AM8" s="22">
        <f t="shared" ca="1" si="4"/>
        <v>16</v>
      </c>
      <c r="AN8" s="22">
        <f t="shared" ca="1" si="4"/>
        <v>26</v>
      </c>
      <c r="AO8" s="22">
        <f t="shared" ca="1" si="4"/>
        <v>28</v>
      </c>
      <c r="AP8" s="22">
        <f t="shared" ca="1" si="4"/>
        <v>6</v>
      </c>
      <c r="AQ8" s="22">
        <f t="shared" ca="1" si="4"/>
        <v>259</v>
      </c>
      <c r="AR8" s="46">
        <f ca="1">IF(SUM(AL8:AP8)=0,"-",(SUM(AM8:AP8)/SUM(AL8:AP8)))</f>
        <v>9.2121212121212118E-2</v>
      </c>
      <c r="AS8" s="46">
        <f ca="1">IF(SUM(AL8:AQ8)=0,"-",(AQ8/SUM(AL8:AQ8)))</f>
        <v>0.238929889298893</v>
      </c>
      <c r="AT8" s="17"/>
      <c r="AU8" s="17">
        <f t="shared" ref="AU8:AZ8" ca="1" si="5">AL8+AC8+T8</f>
        <v>2947</v>
      </c>
      <c r="AV8" s="17">
        <f t="shared" ca="1" si="5"/>
        <v>78</v>
      </c>
      <c r="AW8" s="17">
        <f t="shared" ca="1" si="5"/>
        <v>40</v>
      </c>
      <c r="AX8" s="17">
        <f t="shared" ca="1" si="5"/>
        <v>58</v>
      </c>
      <c r="AY8" s="17">
        <f t="shared" ca="1" si="5"/>
        <v>27</v>
      </c>
      <c r="AZ8" s="17">
        <f t="shared" ca="1" si="5"/>
        <v>898</v>
      </c>
      <c r="BA8" s="46">
        <f ca="1">IF(SUM(AU8:AY8)=0,"-",(SUM(AV8:AY8)/SUM(AU8:AY8)))</f>
        <v>6.4444444444444443E-2</v>
      </c>
      <c r="BB8" s="46">
        <f ca="1">IF(SUM(AU8:AZ8)=0,"-",(AZ8/SUM(AU8:AZ8)))</f>
        <v>0.22183794466403162</v>
      </c>
      <c r="BC8" s="19"/>
      <c r="BD8" s="19"/>
      <c r="BE8" s="19"/>
      <c r="BF8" s="19"/>
      <c r="BG8" s="19"/>
      <c r="BH8" s="19"/>
      <c r="BI8" s="19"/>
      <c r="BJ8" s="19"/>
      <c r="BK8" s="19"/>
      <c r="BL8" s="20"/>
    </row>
    <row r="9" spans="1:64" s="8" customFormat="1" ht="15" customHeight="1" x14ac:dyDescent="0.3">
      <c r="A9" s="21" t="s">
        <v>16</v>
      </c>
      <c r="B9" s="22">
        <f t="shared" ref="B9:G9" ca="1" si="6">SUM(B10:B48)</f>
        <v>497</v>
      </c>
      <c r="C9" s="22">
        <f t="shared" ca="1" si="6"/>
        <v>20</v>
      </c>
      <c r="D9" s="22">
        <f t="shared" ca="1" si="6"/>
        <v>3</v>
      </c>
      <c r="E9" s="22">
        <f t="shared" ca="1" si="6"/>
        <v>4</v>
      </c>
      <c r="F9" s="22">
        <f t="shared" ca="1" si="6"/>
        <v>2</v>
      </c>
      <c r="G9" s="22">
        <f t="shared" ca="1" si="6"/>
        <v>140</v>
      </c>
      <c r="H9" s="46">
        <f t="shared" ref="H9:H56" ca="1" si="7">IF(SUM(B9:F9)=0,"-",(SUM(C9:F9)/SUM(B9:F9)))</f>
        <v>5.5133079847908745E-2</v>
      </c>
      <c r="I9" s="46">
        <f t="shared" ref="I9:I56" ca="1" si="8">IF(SUM(B9:G9)=0,"-",(G9/SUM(B9:G9)))</f>
        <v>0.21021021021021022</v>
      </c>
      <c r="J9" s="22"/>
      <c r="K9" s="22">
        <f t="shared" ref="K9:P9" ca="1" si="9">SUM(K10:K48)</f>
        <v>1065</v>
      </c>
      <c r="L9" s="22">
        <f t="shared" ca="1" si="9"/>
        <v>9</v>
      </c>
      <c r="M9" s="22">
        <f t="shared" ca="1" si="9"/>
        <v>3</v>
      </c>
      <c r="N9" s="22">
        <f t="shared" ca="1" si="9"/>
        <v>5</v>
      </c>
      <c r="O9" s="22">
        <f t="shared" ca="1" si="9"/>
        <v>6</v>
      </c>
      <c r="P9" s="22">
        <f t="shared" ca="1" si="9"/>
        <v>446</v>
      </c>
      <c r="Q9" s="46">
        <f t="shared" ref="Q9:Q56" ca="1" si="10">IF(SUM(K9:O9)=0,"-",(SUM(L9:O9)/SUM(K9:O9)))</f>
        <v>2.1139705882352942E-2</v>
      </c>
      <c r="R9" s="46">
        <f t="shared" ref="R9:R56" ca="1" si="11">IF(SUM(K9:P9)=0,"-",(P9/SUM(K9:P9)))</f>
        <v>0.29074315514993482</v>
      </c>
      <c r="S9" s="22"/>
      <c r="T9" s="22">
        <f t="shared" ref="T9:T56" ca="1" si="12">B9+K9</f>
        <v>1562</v>
      </c>
      <c r="U9" s="22">
        <f t="shared" ref="U9:U56" ca="1" si="13">C9+L9</f>
        <v>29</v>
      </c>
      <c r="V9" s="22">
        <f t="shared" ref="V9:V56" ca="1" si="14">D9+M9</f>
        <v>6</v>
      </c>
      <c r="W9" s="22">
        <f t="shared" ref="W9:W56" ca="1" si="15">E9+N9</f>
        <v>9</v>
      </c>
      <c r="X9" s="22">
        <f t="shared" ref="X9:X56" ca="1" si="16">F9+O9</f>
        <v>8</v>
      </c>
      <c r="Y9" s="22">
        <f t="shared" ref="Y9:Y56" ca="1" si="17">G9+P9</f>
        <v>586</v>
      </c>
      <c r="Z9" s="46">
        <f t="shared" ref="Z9:Z56" ca="1" si="18">IF(SUM(T9:X9)=0,"-",(SUM(U9:X9)/SUM(T9:X9)))</f>
        <v>3.2218091697645598E-2</v>
      </c>
      <c r="AA9" s="46">
        <f t="shared" ref="AA9:AA56" ca="1" si="19">IF(SUM(T9:Y9)=0,"-",(Y9/SUM(T9:Y9)))</f>
        <v>0.26636363636363636</v>
      </c>
      <c r="AB9" s="22"/>
      <c r="AC9" s="22">
        <f t="shared" ref="AC9:AH9" ca="1" si="20">SUM(AC10:AC48)</f>
        <v>76</v>
      </c>
      <c r="AD9" s="22">
        <f t="shared" ca="1" si="20"/>
        <v>0</v>
      </c>
      <c r="AE9" s="22">
        <f t="shared" ca="1" si="20"/>
        <v>1</v>
      </c>
      <c r="AF9" s="22">
        <f t="shared" ca="1" si="20"/>
        <v>0</v>
      </c>
      <c r="AG9" s="22">
        <f t="shared" ca="1" si="20"/>
        <v>0</v>
      </c>
      <c r="AH9" s="22">
        <f t="shared" ca="1" si="20"/>
        <v>11</v>
      </c>
      <c r="AI9" s="46">
        <f t="shared" ref="AI9:AI56" ca="1" si="21">IF(SUM(AC9:AG9)=0,"-",(SUM(AD9:AG9)/SUM(AC9:AG9)))</f>
        <v>1.2987012987012988E-2</v>
      </c>
      <c r="AJ9" s="46">
        <f t="shared" ref="AJ9:AJ56" ca="1" si="22">IF(SUM(AC9:AH9)=0,"-",(AH9/SUM(AC9:AH9)))</f>
        <v>0.125</v>
      </c>
      <c r="AK9" s="22"/>
      <c r="AL9" s="22">
        <f t="shared" ref="AL9:AQ9" ca="1" si="23">SUM(AL10:AL48)</f>
        <v>567</v>
      </c>
      <c r="AM9" s="22">
        <f t="shared" ca="1" si="23"/>
        <v>11</v>
      </c>
      <c r="AN9" s="22">
        <f t="shared" ca="1" si="23"/>
        <v>12</v>
      </c>
      <c r="AO9" s="22">
        <f t="shared" ca="1" si="23"/>
        <v>9</v>
      </c>
      <c r="AP9" s="22">
        <f t="shared" ca="1" si="23"/>
        <v>2</v>
      </c>
      <c r="AQ9" s="22">
        <f t="shared" ca="1" si="23"/>
        <v>237</v>
      </c>
      <c r="AR9" s="46">
        <f t="shared" ref="AR9:AR56" ca="1" si="24">IF(SUM(AL9:AP9)=0,"-",(SUM(AM9:AP9)/SUM(AL9:AP9)))</f>
        <v>5.6572379367720464E-2</v>
      </c>
      <c r="AS9" s="46">
        <f t="shared" ref="AS9:AS56" ca="1" si="25">IF(SUM(AL9:AQ9)=0,"-",(AQ9/SUM(AL9:AQ9)))</f>
        <v>0.28281622911694509</v>
      </c>
      <c r="AT9" s="22"/>
      <c r="AU9" s="22">
        <f t="shared" ref="AU9:AU56" ca="1" si="26">AL9+AC9+T9</f>
        <v>2205</v>
      </c>
      <c r="AV9" s="22">
        <f t="shared" ref="AV9:AV56" ca="1" si="27">AM9+AD9+U9</f>
        <v>40</v>
      </c>
      <c r="AW9" s="22">
        <f t="shared" ref="AW9:AW56" ca="1" si="28">AN9+AE9+V9</f>
        <v>19</v>
      </c>
      <c r="AX9" s="22">
        <f t="shared" ref="AX9:AX56" ca="1" si="29">AO9+AF9+W9</f>
        <v>18</v>
      </c>
      <c r="AY9" s="22">
        <f t="shared" ref="AY9:AY56" ca="1" si="30">AP9+AG9+X9</f>
        <v>10</v>
      </c>
      <c r="AZ9" s="22">
        <f t="shared" ref="AZ9:AZ56" ca="1" si="31">AQ9+AH9+Y9</f>
        <v>834</v>
      </c>
      <c r="BA9" s="46">
        <f t="shared" ref="BA9:BA56" ca="1" si="32">IF(SUM(AU9:AY9)=0,"-",(SUM(AV9:AY9)/SUM(AU9:AY9)))</f>
        <v>3.7958115183246072E-2</v>
      </c>
      <c r="BB9" s="46">
        <f t="shared" ref="BB9:BB56" ca="1" si="33">IF(SUM(AU9:AZ9)=0,"-",(AZ9/SUM(AU9:AZ9)))</f>
        <v>0.2667946257197697</v>
      </c>
      <c r="BC9" s="19"/>
      <c r="BD9" s="19"/>
      <c r="BE9" s="19"/>
      <c r="BF9" s="19"/>
      <c r="BG9" s="19"/>
      <c r="BH9" s="19"/>
      <c r="BI9" s="19"/>
      <c r="BJ9" s="19"/>
      <c r="BK9" s="19"/>
    </row>
    <row r="10" spans="1:64" s="8" customFormat="1" ht="15" customHeight="1" x14ac:dyDescent="0.3">
      <c r="A10" s="2" t="s">
        <v>17</v>
      </c>
      <c r="B10" s="24">
        <f ca="1">INDIRECT("'("&amp;$A$4&amp;")'!b10")</f>
        <v>18</v>
      </c>
      <c r="C10" s="24">
        <f ca="1">INDIRECT("'("&amp;$A$4&amp;")'!c10")</f>
        <v>0</v>
      </c>
      <c r="D10" s="24">
        <f ca="1">INDIRECT("'("&amp;$A$4&amp;")'!d10")</f>
        <v>0</v>
      </c>
      <c r="E10" s="24">
        <f ca="1">INDIRECT("'("&amp;$A$4&amp;")'!e10")</f>
        <v>0</v>
      </c>
      <c r="F10" s="24">
        <f ca="1">INDIRECT("'("&amp;$A$4&amp;")'!f10")</f>
        <v>0</v>
      </c>
      <c r="G10" s="24">
        <f ca="1">INDIRECT("'("&amp;$A$4&amp;")'!g10")</f>
        <v>0</v>
      </c>
      <c r="H10" s="46">
        <f t="shared" ca="1" si="7"/>
        <v>0</v>
      </c>
      <c r="I10" s="46">
        <f t="shared" ca="1" si="8"/>
        <v>0</v>
      </c>
      <c r="J10" s="24"/>
      <c r="K10" s="24">
        <f ca="1">INDIRECT("'("&amp;$A$4&amp;")'!k10")</f>
        <v>16</v>
      </c>
      <c r="L10" s="24">
        <f ca="1">INDIRECT("'("&amp;$A$4&amp;")'!l10")</f>
        <v>0</v>
      </c>
      <c r="M10" s="24">
        <f ca="1">INDIRECT("'("&amp;$A$4&amp;")'!m10")</f>
        <v>0</v>
      </c>
      <c r="N10" s="24">
        <f ca="1">INDIRECT("'("&amp;$A$4&amp;")'!n10")</f>
        <v>0</v>
      </c>
      <c r="O10" s="24">
        <f ca="1">INDIRECT("'("&amp;$A$4&amp;")'!o10")</f>
        <v>0</v>
      </c>
      <c r="P10" s="24">
        <f ca="1">INDIRECT("'("&amp;$A$4&amp;")'!p10")</f>
        <v>9</v>
      </c>
      <c r="Q10" s="46">
        <f t="shared" ca="1" si="10"/>
        <v>0</v>
      </c>
      <c r="R10" s="46">
        <f t="shared" ca="1" si="11"/>
        <v>0.36</v>
      </c>
      <c r="S10" s="24"/>
      <c r="T10" s="22">
        <f t="shared" ca="1" si="12"/>
        <v>34</v>
      </c>
      <c r="U10" s="22">
        <f t="shared" ca="1" si="13"/>
        <v>0</v>
      </c>
      <c r="V10" s="22">
        <f t="shared" ca="1" si="14"/>
        <v>0</v>
      </c>
      <c r="W10" s="22">
        <f t="shared" ca="1" si="15"/>
        <v>0</v>
      </c>
      <c r="X10" s="22">
        <f t="shared" ca="1" si="16"/>
        <v>0</v>
      </c>
      <c r="Y10" s="22">
        <f t="shared" ca="1" si="17"/>
        <v>9</v>
      </c>
      <c r="Z10" s="46">
        <f t="shared" ca="1" si="18"/>
        <v>0</v>
      </c>
      <c r="AA10" s="46">
        <f t="shared" ca="1" si="19"/>
        <v>0.20930232558139536</v>
      </c>
      <c r="AB10" s="24"/>
      <c r="AC10" s="24">
        <f ca="1">INDIRECT("'("&amp;$A$4&amp;")'!ac10")</f>
        <v>4</v>
      </c>
      <c r="AD10" s="24">
        <f ca="1">INDIRECT("'("&amp;$A$4&amp;")'!ad10")</f>
        <v>0</v>
      </c>
      <c r="AE10" s="24">
        <f ca="1">INDIRECT("'("&amp;$A$4&amp;")'!ae10")</f>
        <v>0</v>
      </c>
      <c r="AF10" s="24">
        <f ca="1">INDIRECT("'("&amp;$A$4&amp;")'!af10")</f>
        <v>0</v>
      </c>
      <c r="AG10" s="24">
        <f ca="1">INDIRECT("'("&amp;$A$4&amp;")'!ag10")</f>
        <v>0</v>
      </c>
      <c r="AH10" s="24">
        <f ca="1">INDIRECT("'("&amp;$A$4&amp;")'!ah10")</f>
        <v>0</v>
      </c>
      <c r="AI10" s="46">
        <f t="shared" ca="1" si="21"/>
        <v>0</v>
      </c>
      <c r="AJ10" s="46">
        <f t="shared" ca="1" si="22"/>
        <v>0</v>
      </c>
      <c r="AK10" s="24"/>
      <c r="AL10" s="24">
        <f ca="1">INDIRECT("'("&amp;$A$4&amp;")'!al10")</f>
        <v>22</v>
      </c>
      <c r="AM10" s="24">
        <f ca="1">INDIRECT("'("&amp;$A$4&amp;")'!am10")</f>
        <v>1</v>
      </c>
      <c r="AN10" s="24">
        <f ca="1">INDIRECT("'("&amp;$A$4&amp;")'!an10")</f>
        <v>0</v>
      </c>
      <c r="AO10" s="24">
        <f ca="1">INDIRECT("'("&amp;$A$4&amp;")'!ao10")</f>
        <v>0</v>
      </c>
      <c r="AP10" s="24">
        <f ca="1">INDIRECT("'("&amp;$A$4&amp;")'!ap10")</f>
        <v>0</v>
      </c>
      <c r="AQ10" s="24">
        <f ca="1">INDIRECT("'("&amp;$A$4&amp;")'!aq10")</f>
        <v>8</v>
      </c>
      <c r="AR10" s="46">
        <f t="shared" ca="1" si="24"/>
        <v>4.3478260869565216E-2</v>
      </c>
      <c r="AS10" s="46">
        <f t="shared" ca="1" si="25"/>
        <v>0.25806451612903225</v>
      </c>
      <c r="AT10" s="24"/>
      <c r="AU10" s="22">
        <f t="shared" ca="1" si="26"/>
        <v>60</v>
      </c>
      <c r="AV10" s="22">
        <f t="shared" ca="1" si="27"/>
        <v>1</v>
      </c>
      <c r="AW10" s="22">
        <f t="shared" ca="1" si="28"/>
        <v>0</v>
      </c>
      <c r="AX10" s="22">
        <f t="shared" ca="1" si="29"/>
        <v>0</v>
      </c>
      <c r="AY10" s="22">
        <f t="shared" ca="1" si="30"/>
        <v>0</v>
      </c>
      <c r="AZ10" s="22">
        <f t="shared" ca="1" si="31"/>
        <v>17</v>
      </c>
      <c r="BA10" s="46">
        <f t="shared" ca="1" si="32"/>
        <v>1.6393442622950821E-2</v>
      </c>
      <c r="BB10" s="46">
        <f t="shared" ca="1" si="33"/>
        <v>0.21794871794871795</v>
      </c>
      <c r="BC10" s="19"/>
      <c r="BD10" s="19"/>
      <c r="BE10" s="19"/>
      <c r="BF10" s="19"/>
      <c r="BG10" s="19"/>
      <c r="BH10" s="19"/>
      <c r="BI10" s="19"/>
      <c r="BJ10" s="19"/>
      <c r="BK10" s="19"/>
    </row>
    <row r="11" spans="1:64" s="8" customFormat="1" ht="15" customHeight="1" x14ac:dyDescent="0.3">
      <c r="A11" s="2" t="s">
        <v>18</v>
      </c>
      <c r="B11" s="24">
        <f ca="1">INDIRECT("'("&amp;$A$4&amp;")'!b11")</f>
        <v>20</v>
      </c>
      <c r="C11" s="24">
        <f ca="1">INDIRECT("'("&amp;$A$4&amp;")'!c11")</f>
        <v>0</v>
      </c>
      <c r="D11" s="24">
        <f ca="1">INDIRECT("'("&amp;$A$4&amp;")'!d11")</f>
        <v>1</v>
      </c>
      <c r="E11" s="24">
        <f ca="1">INDIRECT("'("&amp;$A$4&amp;")'!e11")</f>
        <v>0</v>
      </c>
      <c r="F11" s="24">
        <f ca="1">INDIRECT("'("&amp;$A$4&amp;")'!f11")</f>
        <v>0</v>
      </c>
      <c r="G11" s="24">
        <f ca="1">INDIRECT("'("&amp;$A$4&amp;")'!g11")</f>
        <v>0</v>
      </c>
      <c r="H11" s="46">
        <f t="shared" ca="1" si="7"/>
        <v>4.7619047619047616E-2</v>
      </c>
      <c r="I11" s="46">
        <f t="shared" ca="1" si="8"/>
        <v>0</v>
      </c>
      <c r="J11" s="24"/>
      <c r="K11" s="24">
        <f ca="1">INDIRECT("'("&amp;$A$4&amp;")'!k11")</f>
        <v>23</v>
      </c>
      <c r="L11" s="24">
        <f ca="1">INDIRECT("'("&amp;$A$4&amp;")'!l11")</f>
        <v>0</v>
      </c>
      <c r="M11" s="24">
        <f ca="1">INDIRECT("'("&amp;$A$4&amp;")'!m11")</f>
        <v>0</v>
      </c>
      <c r="N11" s="24">
        <f ca="1">INDIRECT("'("&amp;$A$4&amp;")'!n11")</f>
        <v>1</v>
      </c>
      <c r="O11" s="24">
        <f ca="1">INDIRECT("'("&amp;$A$4&amp;")'!o11")</f>
        <v>0</v>
      </c>
      <c r="P11" s="24">
        <f ca="1">INDIRECT("'("&amp;$A$4&amp;")'!p11")</f>
        <v>2</v>
      </c>
      <c r="Q11" s="46">
        <f t="shared" ca="1" si="10"/>
        <v>4.1666666666666664E-2</v>
      </c>
      <c r="R11" s="46">
        <f t="shared" ca="1" si="11"/>
        <v>7.6923076923076927E-2</v>
      </c>
      <c r="S11" s="24"/>
      <c r="T11" s="22">
        <f t="shared" ca="1" si="12"/>
        <v>43</v>
      </c>
      <c r="U11" s="22">
        <f t="shared" ca="1" si="13"/>
        <v>0</v>
      </c>
      <c r="V11" s="22">
        <f t="shared" ca="1" si="14"/>
        <v>1</v>
      </c>
      <c r="W11" s="22">
        <f t="shared" ca="1" si="15"/>
        <v>1</v>
      </c>
      <c r="X11" s="22">
        <f t="shared" ca="1" si="16"/>
        <v>0</v>
      </c>
      <c r="Y11" s="22">
        <f t="shared" ca="1" si="17"/>
        <v>2</v>
      </c>
      <c r="Z11" s="46">
        <f t="shared" ca="1" si="18"/>
        <v>4.4444444444444446E-2</v>
      </c>
      <c r="AA11" s="46">
        <f t="shared" ca="1" si="19"/>
        <v>4.2553191489361701E-2</v>
      </c>
      <c r="AB11" s="24"/>
      <c r="AC11" s="24">
        <f ca="1">INDIRECT("'("&amp;$A$4&amp;")'!ac11")</f>
        <v>2</v>
      </c>
      <c r="AD11" s="24">
        <f ca="1">INDIRECT("'("&amp;$A$4&amp;")'!ad11")</f>
        <v>0</v>
      </c>
      <c r="AE11" s="24">
        <f ca="1">INDIRECT("'("&amp;$A$4&amp;")'!ae11")</f>
        <v>0</v>
      </c>
      <c r="AF11" s="24">
        <f ca="1">INDIRECT("'("&amp;$A$4&amp;")'!af11")</f>
        <v>0</v>
      </c>
      <c r="AG11" s="24">
        <f ca="1">INDIRECT("'("&amp;$A$4&amp;")'!ag11")</f>
        <v>0</v>
      </c>
      <c r="AH11" s="24">
        <f ca="1">INDIRECT("'("&amp;$A$4&amp;")'!ah11")</f>
        <v>1</v>
      </c>
      <c r="AI11" s="46">
        <f t="shared" ca="1" si="21"/>
        <v>0</v>
      </c>
      <c r="AJ11" s="46">
        <f t="shared" ca="1" si="22"/>
        <v>0.33333333333333331</v>
      </c>
      <c r="AK11" s="24"/>
      <c r="AL11" s="24">
        <f ca="1">INDIRECT("'("&amp;$A$4&amp;")'!al11")</f>
        <v>16</v>
      </c>
      <c r="AM11" s="24">
        <f ca="1">INDIRECT("'("&amp;$A$4&amp;")'!am11")</f>
        <v>0</v>
      </c>
      <c r="AN11" s="24">
        <f ca="1">INDIRECT("'("&amp;$A$4&amp;")'!an11")</f>
        <v>1</v>
      </c>
      <c r="AO11" s="24">
        <f ca="1">INDIRECT("'("&amp;$A$4&amp;")'!ao11")</f>
        <v>2</v>
      </c>
      <c r="AP11" s="24">
        <f ca="1">INDIRECT("'("&amp;$A$4&amp;")'!ap11")</f>
        <v>0</v>
      </c>
      <c r="AQ11" s="24">
        <f ca="1">INDIRECT("'("&amp;$A$4&amp;")'!aq11")</f>
        <v>1</v>
      </c>
      <c r="AR11" s="46">
        <f t="shared" ca="1" si="24"/>
        <v>0.15789473684210525</v>
      </c>
      <c r="AS11" s="46">
        <f t="shared" ca="1" si="25"/>
        <v>0.05</v>
      </c>
      <c r="AT11" s="24"/>
      <c r="AU11" s="22">
        <f t="shared" ca="1" si="26"/>
        <v>61</v>
      </c>
      <c r="AV11" s="22">
        <f t="shared" ca="1" si="27"/>
        <v>0</v>
      </c>
      <c r="AW11" s="22">
        <f t="shared" ca="1" si="28"/>
        <v>2</v>
      </c>
      <c r="AX11" s="22">
        <f t="shared" ca="1" si="29"/>
        <v>3</v>
      </c>
      <c r="AY11" s="22">
        <f t="shared" ca="1" si="30"/>
        <v>0</v>
      </c>
      <c r="AZ11" s="22">
        <f t="shared" ca="1" si="31"/>
        <v>4</v>
      </c>
      <c r="BA11" s="46">
        <f t="shared" ca="1" si="32"/>
        <v>7.575757575757576E-2</v>
      </c>
      <c r="BB11" s="46">
        <f t="shared" ca="1" si="33"/>
        <v>5.7142857142857141E-2</v>
      </c>
      <c r="BC11" s="19"/>
      <c r="BD11" s="19"/>
      <c r="BE11" s="19"/>
      <c r="BF11" s="19"/>
      <c r="BG11" s="19"/>
      <c r="BH11" s="19"/>
      <c r="BI11" s="19"/>
      <c r="BJ11" s="19"/>
      <c r="BK11" s="19"/>
    </row>
    <row r="12" spans="1:64" s="8" customFormat="1" ht="15" customHeight="1" x14ac:dyDescent="0.3">
      <c r="A12" s="2" t="s">
        <v>19</v>
      </c>
      <c r="B12" s="24">
        <f ca="1">INDIRECT("'("&amp;$A$4&amp;")'!b12")</f>
        <v>22</v>
      </c>
      <c r="C12" s="24">
        <f ca="1">INDIRECT("'("&amp;$A$4&amp;")'!c12")</f>
        <v>1</v>
      </c>
      <c r="D12" s="24">
        <f ca="1">INDIRECT("'("&amp;$A$4&amp;")'!d12")</f>
        <v>0</v>
      </c>
      <c r="E12" s="24">
        <f ca="1">INDIRECT("'("&amp;$A$4&amp;")'!e12")</f>
        <v>0</v>
      </c>
      <c r="F12" s="24">
        <f ca="1">INDIRECT("'("&amp;$A$4&amp;")'!f12")</f>
        <v>0</v>
      </c>
      <c r="G12" s="24">
        <f ca="1">INDIRECT("'("&amp;$A$4&amp;")'!g12")</f>
        <v>0</v>
      </c>
      <c r="H12" s="46">
        <f t="shared" ca="1" si="7"/>
        <v>4.3478260869565216E-2</v>
      </c>
      <c r="I12" s="46">
        <f t="shared" ca="1" si="8"/>
        <v>0</v>
      </c>
      <c r="J12" s="24"/>
      <c r="K12" s="24">
        <f ca="1">INDIRECT("'("&amp;$A$4&amp;")'!k12")</f>
        <v>13</v>
      </c>
      <c r="L12" s="24">
        <f ca="1">INDIRECT("'("&amp;$A$4&amp;")'!l12")</f>
        <v>0</v>
      </c>
      <c r="M12" s="24">
        <f ca="1">INDIRECT("'("&amp;$A$4&amp;")'!m12")</f>
        <v>0</v>
      </c>
      <c r="N12" s="24">
        <f ca="1">INDIRECT("'("&amp;$A$4&amp;")'!n12")</f>
        <v>0</v>
      </c>
      <c r="O12" s="24">
        <f ca="1">INDIRECT("'("&amp;$A$4&amp;")'!o12")</f>
        <v>0</v>
      </c>
      <c r="P12" s="24">
        <f ca="1">INDIRECT("'("&amp;$A$4&amp;")'!p12")</f>
        <v>0</v>
      </c>
      <c r="Q12" s="46">
        <f t="shared" ca="1" si="10"/>
        <v>0</v>
      </c>
      <c r="R12" s="46">
        <f t="shared" ca="1" si="11"/>
        <v>0</v>
      </c>
      <c r="S12" s="24"/>
      <c r="T12" s="22">
        <f t="shared" ca="1" si="12"/>
        <v>35</v>
      </c>
      <c r="U12" s="22">
        <f t="shared" ca="1" si="13"/>
        <v>1</v>
      </c>
      <c r="V12" s="22">
        <f t="shared" ca="1" si="14"/>
        <v>0</v>
      </c>
      <c r="W12" s="22">
        <f t="shared" ca="1" si="15"/>
        <v>0</v>
      </c>
      <c r="X12" s="22">
        <f t="shared" ca="1" si="16"/>
        <v>0</v>
      </c>
      <c r="Y12" s="22">
        <f t="shared" ca="1" si="17"/>
        <v>0</v>
      </c>
      <c r="Z12" s="46">
        <f t="shared" ca="1" si="18"/>
        <v>2.7777777777777776E-2</v>
      </c>
      <c r="AA12" s="46">
        <f t="shared" ca="1" si="19"/>
        <v>0</v>
      </c>
      <c r="AB12" s="24"/>
      <c r="AC12" s="24">
        <f ca="1">INDIRECT("'("&amp;$A$4&amp;")'!ac12")</f>
        <v>2</v>
      </c>
      <c r="AD12" s="24">
        <f ca="1">INDIRECT("'("&amp;$A$4&amp;")'!ad12")</f>
        <v>0</v>
      </c>
      <c r="AE12" s="24">
        <f ca="1">INDIRECT("'("&amp;$A$4&amp;")'!ae12")</f>
        <v>0</v>
      </c>
      <c r="AF12" s="24">
        <f ca="1">INDIRECT("'("&amp;$A$4&amp;")'!af12")</f>
        <v>0</v>
      </c>
      <c r="AG12" s="24">
        <f ca="1">INDIRECT("'("&amp;$A$4&amp;")'!ag12")</f>
        <v>0</v>
      </c>
      <c r="AH12" s="24">
        <f ca="1">INDIRECT("'("&amp;$A$4&amp;")'!ah12")</f>
        <v>1</v>
      </c>
      <c r="AI12" s="46">
        <f t="shared" ca="1" si="21"/>
        <v>0</v>
      </c>
      <c r="AJ12" s="46">
        <f t="shared" ca="1" si="22"/>
        <v>0.33333333333333331</v>
      </c>
      <c r="AK12" s="24"/>
      <c r="AL12" s="24">
        <f ca="1">INDIRECT("'("&amp;$A$4&amp;")'!al12")</f>
        <v>26</v>
      </c>
      <c r="AM12" s="24">
        <f ca="1">INDIRECT("'("&amp;$A$4&amp;")'!am12")</f>
        <v>0</v>
      </c>
      <c r="AN12" s="24">
        <f ca="1">INDIRECT("'("&amp;$A$4&amp;")'!an12")</f>
        <v>1</v>
      </c>
      <c r="AO12" s="24">
        <f ca="1">INDIRECT("'("&amp;$A$4&amp;")'!ao12")</f>
        <v>1</v>
      </c>
      <c r="AP12" s="24">
        <f ca="1">INDIRECT("'("&amp;$A$4&amp;")'!ap12")</f>
        <v>0</v>
      </c>
      <c r="AQ12" s="24">
        <f ca="1">INDIRECT("'("&amp;$A$4&amp;")'!aq12")</f>
        <v>0</v>
      </c>
      <c r="AR12" s="46">
        <f t="shared" ca="1" si="24"/>
        <v>7.1428571428571425E-2</v>
      </c>
      <c r="AS12" s="46">
        <f t="shared" ca="1" si="25"/>
        <v>0</v>
      </c>
      <c r="AT12" s="24"/>
      <c r="AU12" s="22">
        <f t="shared" ca="1" si="26"/>
        <v>63</v>
      </c>
      <c r="AV12" s="22">
        <f t="shared" ca="1" si="27"/>
        <v>1</v>
      </c>
      <c r="AW12" s="22">
        <f t="shared" ca="1" si="28"/>
        <v>1</v>
      </c>
      <c r="AX12" s="22">
        <f t="shared" ca="1" si="29"/>
        <v>1</v>
      </c>
      <c r="AY12" s="22">
        <f t="shared" ca="1" si="30"/>
        <v>0</v>
      </c>
      <c r="AZ12" s="22">
        <f t="shared" ca="1" si="31"/>
        <v>1</v>
      </c>
      <c r="BA12" s="46">
        <f t="shared" ca="1" si="32"/>
        <v>4.5454545454545456E-2</v>
      </c>
      <c r="BB12" s="46">
        <f t="shared" ca="1" si="33"/>
        <v>1.4925373134328358E-2</v>
      </c>
      <c r="BC12" s="19"/>
      <c r="BD12" s="19"/>
      <c r="BE12" s="19"/>
      <c r="BF12" s="19"/>
      <c r="BG12" s="19"/>
      <c r="BH12" s="19"/>
      <c r="BI12" s="19"/>
      <c r="BJ12" s="19"/>
      <c r="BK12" s="19"/>
    </row>
    <row r="13" spans="1:64" s="8" customFormat="1" ht="15" customHeight="1" x14ac:dyDescent="0.3">
      <c r="A13" s="2" t="s">
        <v>20</v>
      </c>
      <c r="B13" s="24">
        <f ca="1">INDIRECT("'("&amp;$A$4&amp;")'!b13")</f>
        <v>17</v>
      </c>
      <c r="C13" s="24">
        <f ca="1">INDIRECT("'("&amp;$A$4&amp;")'!c13")</f>
        <v>0</v>
      </c>
      <c r="D13" s="24">
        <f ca="1">INDIRECT("'("&amp;$A$4&amp;")'!d13")</f>
        <v>0</v>
      </c>
      <c r="E13" s="24">
        <f ca="1">INDIRECT("'("&amp;$A$4&amp;")'!e13")</f>
        <v>0</v>
      </c>
      <c r="F13" s="24">
        <f ca="1">INDIRECT("'("&amp;$A$4&amp;")'!f13")</f>
        <v>0</v>
      </c>
      <c r="G13" s="24">
        <f ca="1">INDIRECT("'("&amp;$A$4&amp;")'!g13")</f>
        <v>4</v>
      </c>
      <c r="H13" s="46">
        <f t="shared" ca="1" si="7"/>
        <v>0</v>
      </c>
      <c r="I13" s="46">
        <f t="shared" ca="1" si="8"/>
        <v>0.19047619047619047</v>
      </c>
      <c r="J13" s="24"/>
      <c r="K13" s="24">
        <f ca="1">INDIRECT("'("&amp;$A$4&amp;")'!k13")</f>
        <v>19</v>
      </c>
      <c r="L13" s="24">
        <f ca="1">INDIRECT("'("&amp;$A$4&amp;")'!l13")</f>
        <v>0</v>
      </c>
      <c r="M13" s="24">
        <f ca="1">INDIRECT("'("&amp;$A$4&amp;")'!m13")</f>
        <v>0</v>
      </c>
      <c r="N13" s="24">
        <f ca="1">INDIRECT("'("&amp;$A$4&amp;")'!n13")</f>
        <v>0</v>
      </c>
      <c r="O13" s="24">
        <f ca="1">INDIRECT("'("&amp;$A$4&amp;")'!o13")</f>
        <v>0</v>
      </c>
      <c r="P13" s="24">
        <f ca="1">INDIRECT("'("&amp;$A$4&amp;")'!p13")</f>
        <v>2</v>
      </c>
      <c r="Q13" s="46">
        <f t="shared" ca="1" si="10"/>
        <v>0</v>
      </c>
      <c r="R13" s="46">
        <f t="shared" ca="1" si="11"/>
        <v>9.5238095238095233E-2</v>
      </c>
      <c r="S13" s="24"/>
      <c r="T13" s="22">
        <f t="shared" ca="1" si="12"/>
        <v>36</v>
      </c>
      <c r="U13" s="22">
        <f t="shared" ca="1" si="13"/>
        <v>0</v>
      </c>
      <c r="V13" s="22">
        <f t="shared" ca="1" si="14"/>
        <v>0</v>
      </c>
      <c r="W13" s="22">
        <f t="shared" ca="1" si="15"/>
        <v>0</v>
      </c>
      <c r="X13" s="22">
        <f t="shared" ca="1" si="16"/>
        <v>0</v>
      </c>
      <c r="Y13" s="22">
        <f t="shared" ca="1" si="17"/>
        <v>6</v>
      </c>
      <c r="Z13" s="46">
        <f t="shared" ca="1" si="18"/>
        <v>0</v>
      </c>
      <c r="AA13" s="46">
        <f t="shared" ca="1" si="19"/>
        <v>0.14285714285714285</v>
      </c>
      <c r="AB13" s="24"/>
      <c r="AC13" s="24">
        <f ca="1">INDIRECT("'("&amp;$A$4&amp;")'!ac13")</f>
        <v>0</v>
      </c>
      <c r="AD13" s="24">
        <f ca="1">INDIRECT("'("&amp;$A$4&amp;")'!ad13")</f>
        <v>0</v>
      </c>
      <c r="AE13" s="24">
        <f ca="1">INDIRECT("'("&amp;$A$4&amp;")'!ae13")</f>
        <v>0</v>
      </c>
      <c r="AF13" s="24">
        <f ca="1">INDIRECT("'("&amp;$A$4&amp;")'!af13")</f>
        <v>0</v>
      </c>
      <c r="AG13" s="24">
        <f ca="1">INDIRECT("'("&amp;$A$4&amp;")'!ag13")</f>
        <v>0</v>
      </c>
      <c r="AH13" s="24">
        <f ca="1">INDIRECT("'("&amp;$A$4&amp;")'!ah13")</f>
        <v>0</v>
      </c>
      <c r="AI13" s="46" t="str">
        <f t="shared" ca="1" si="21"/>
        <v>-</v>
      </c>
      <c r="AJ13" s="46" t="str">
        <f t="shared" ca="1" si="22"/>
        <v>-</v>
      </c>
      <c r="AK13" s="24"/>
      <c r="AL13" s="24">
        <f ca="1">INDIRECT("'("&amp;$A$4&amp;")'!al13")</f>
        <v>15</v>
      </c>
      <c r="AM13" s="24">
        <f ca="1">INDIRECT("'("&amp;$A$4&amp;")'!am13")</f>
        <v>1</v>
      </c>
      <c r="AN13" s="24">
        <f ca="1">INDIRECT("'("&amp;$A$4&amp;")'!an13")</f>
        <v>2</v>
      </c>
      <c r="AO13" s="24">
        <f ca="1">INDIRECT("'("&amp;$A$4&amp;")'!ao13")</f>
        <v>3</v>
      </c>
      <c r="AP13" s="24">
        <f ca="1">INDIRECT("'("&amp;$A$4&amp;")'!ap13")</f>
        <v>0</v>
      </c>
      <c r="AQ13" s="24">
        <f ca="1">INDIRECT("'("&amp;$A$4&amp;")'!aq13")</f>
        <v>4</v>
      </c>
      <c r="AR13" s="46">
        <f t="shared" ca="1" si="24"/>
        <v>0.2857142857142857</v>
      </c>
      <c r="AS13" s="46">
        <f t="shared" ca="1" si="25"/>
        <v>0.16</v>
      </c>
      <c r="AT13" s="24"/>
      <c r="AU13" s="22">
        <f t="shared" ca="1" si="26"/>
        <v>51</v>
      </c>
      <c r="AV13" s="22">
        <f t="shared" ca="1" si="27"/>
        <v>1</v>
      </c>
      <c r="AW13" s="22">
        <f t="shared" ca="1" si="28"/>
        <v>2</v>
      </c>
      <c r="AX13" s="22">
        <f t="shared" ca="1" si="29"/>
        <v>3</v>
      </c>
      <c r="AY13" s="22">
        <f t="shared" ca="1" si="30"/>
        <v>0</v>
      </c>
      <c r="AZ13" s="22">
        <f t="shared" ca="1" si="31"/>
        <v>10</v>
      </c>
      <c r="BA13" s="46">
        <f t="shared" ca="1" si="32"/>
        <v>0.10526315789473684</v>
      </c>
      <c r="BB13" s="46">
        <f t="shared" ca="1" si="33"/>
        <v>0.14925373134328357</v>
      </c>
      <c r="BC13" s="19"/>
      <c r="BD13" s="19"/>
      <c r="BE13" s="19"/>
      <c r="BF13" s="19"/>
      <c r="BG13" s="19"/>
      <c r="BH13" s="19"/>
      <c r="BI13" s="19"/>
      <c r="BJ13" s="19"/>
      <c r="BK13" s="19"/>
    </row>
    <row r="14" spans="1:64" s="8" customFormat="1" ht="15" customHeight="1" x14ac:dyDescent="0.3">
      <c r="A14" s="2" t="s">
        <v>21</v>
      </c>
      <c r="B14" s="24">
        <f ca="1">INDIRECT("'("&amp;$A$4&amp;")'!b14")</f>
        <v>7</v>
      </c>
      <c r="C14" s="24">
        <f ca="1">INDIRECT("'("&amp;$A$4&amp;")'!c14")</f>
        <v>1</v>
      </c>
      <c r="D14" s="24">
        <f ca="1">INDIRECT("'("&amp;$A$4&amp;")'!d14")</f>
        <v>0</v>
      </c>
      <c r="E14" s="24">
        <f ca="1">INDIRECT("'("&amp;$A$4&amp;")'!e14")</f>
        <v>0</v>
      </c>
      <c r="F14" s="24">
        <f ca="1">INDIRECT("'("&amp;$A$4&amp;")'!f14")</f>
        <v>0</v>
      </c>
      <c r="G14" s="24">
        <f ca="1">INDIRECT("'("&amp;$A$4&amp;")'!g14")</f>
        <v>0</v>
      </c>
      <c r="H14" s="46">
        <f t="shared" ca="1" si="7"/>
        <v>0.125</v>
      </c>
      <c r="I14" s="46">
        <f t="shared" ca="1" si="8"/>
        <v>0</v>
      </c>
      <c r="J14" s="24"/>
      <c r="K14" s="24">
        <f ca="1">INDIRECT("'("&amp;$A$4&amp;")'!k14")</f>
        <v>35</v>
      </c>
      <c r="L14" s="24">
        <f ca="1">INDIRECT("'("&amp;$A$4&amp;")'!l14")</f>
        <v>0</v>
      </c>
      <c r="M14" s="24">
        <f ca="1">INDIRECT("'("&amp;$A$4&amp;")'!m14")</f>
        <v>0</v>
      </c>
      <c r="N14" s="24">
        <f ca="1">INDIRECT("'("&amp;$A$4&amp;")'!n14")</f>
        <v>0</v>
      </c>
      <c r="O14" s="24">
        <f ca="1">INDIRECT("'("&amp;$A$4&amp;")'!o14")</f>
        <v>1</v>
      </c>
      <c r="P14" s="24">
        <f ca="1">INDIRECT("'("&amp;$A$4&amp;")'!p14")</f>
        <v>0</v>
      </c>
      <c r="Q14" s="46">
        <f t="shared" ca="1" si="10"/>
        <v>2.7777777777777776E-2</v>
      </c>
      <c r="R14" s="46">
        <f t="shared" ca="1" si="11"/>
        <v>0</v>
      </c>
      <c r="S14" s="24"/>
      <c r="T14" s="22">
        <f t="shared" ca="1" si="12"/>
        <v>42</v>
      </c>
      <c r="U14" s="22">
        <f t="shared" ca="1" si="13"/>
        <v>1</v>
      </c>
      <c r="V14" s="22">
        <f t="shared" ca="1" si="14"/>
        <v>0</v>
      </c>
      <c r="W14" s="22">
        <f t="shared" ca="1" si="15"/>
        <v>0</v>
      </c>
      <c r="X14" s="22">
        <f t="shared" ca="1" si="16"/>
        <v>1</v>
      </c>
      <c r="Y14" s="22">
        <f t="shared" ca="1" si="17"/>
        <v>0</v>
      </c>
      <c r="Z14" s="46">
        <f t="shared" ca="1" si="18"/>
        <v>4.5454545454545456E-2</v>
      </c>
      <c r="AA14" s="46">
        <f t="shared" ca="1" si="19"/>
        <v>0</v>
      </c>
      <c r="AB14" s="24"/>
      <c r="AC14" s="24">
        <f ca="1">INDIRECT("'("&amp;$A$4&amp;")'!ac14")</f>
        <v>3</v>
      </c>
      <c r="AD14" s="24">
        <f ca="1">INDIRECT("'("&amp;$A$4&amp;")'!ad14")</f>
        <v>0</v>
      </c>
      <c r="AE14" s="24">
        <f ca="1">INDIRECT("'("&amp;$A$4&amp;")'!ae14")</f>
        <v>1</v>
      </c>
      <c r="AF14" s="24">
        <f ca="1">INDIRECT("'("&amp;$A$4&amp;")'!af14")</f>
        <v>0</v>
      </c>
      <c r="AG14" s="24">
        <f ca="1">INDIRECT("'("&amp;$A$4&amp;")'!ag14")</f>
        <v>0</v>
      </c>
      <c r="AH14" s="24">
        <f ca="1">INDIRECT("'("&amp;$A$4&amp;")'!ah14")</f>
        <v>1</v>
      </c>
      <c r="AI14" s="46">
        <f t="shared" ca="1" si="21"/>
        <v>0.25</v>
      </c>
      <c r="AJ14" s="46">
        <f t="shared" ca="1" si="22"/>
        <v>0.2</v>
      </c>
      <c r="AK14" s="24"/>
      <c r="AL14" s="24">
        <f ca="1">INDIRECT("'("&amp;$A$4&amp;")'!al14")</f>
        <v>14</v>
      </c>
      <c r="AM14" s="24">
        <f ca="1">INDIRECT("'("&amp;$A$4&amp;")'!am14")</f>
        <v>0</v>
      </c>
      <c r="AN14" s="24">
        <f ca="1">INDIRECT("'("&amp;$A$4&amp;")'!an14")</f>
        <v>1</v>
      </c>
      <c r="AO14" s="24">
        <f ca="1">INDIRECT("'("&amp;$A$4&amp;")'!ao14")</f>
        <v>0</v>
      </c>
      <c r="AP14" s="24">
        <f ca="1">INDIRECT("'("&amp;$A$4&amp;")'!ap14")</f>
        <v>0</v>
      </c>
      <c r="AQ14" s="24">
        <f ca="1">INDIRECT("'("&amp;$A$4&amp;")'!aq14")</f>
        <v>3</v>
      </c>
      <c r="AR14" s="46">
        <f t="shared" ca="1" si="24"/>
        <v>6.6666666666666666E-2</v>
      </c>
      <c r="AS14" s="46">
        <f t="shared" ca="1" si="25"/>
        <v>0.16666666666666666</v>
      </c>
      <c r="AT14" s="24"/>
      <c r="AU14" s="22">
        <f t="shared" ca="1" si="26"/>
        <v>59</v>
      </c>
      <c r="AV14" s="22">
        <f t="shared" ca="1" si="27"/>
        <v>1</v>
      </c>
      <c r="AW14" s="22">
        <f t="shared" ca="1" si="28"/>
        <v>2</v>
      </c>
      <c r="AX14" s="22">
        <f t="shared" ca="1" si="29"/>
        <v>0</v>
      </c>
      <c r="AY14" s="22">
        <f t="shared" ca="1" si="30"/>
        <v>1</v>
      </c>
      <c r="AZ14" s="22">
        <f t="shared" ca="1" si="31"/>
        <v>4</v>
      </c>
      <c r="BA14" s="46">
        <f t="shared" ca="1" si="32"/>
        <v>6.3492063492063489E-2</v>
      </c>
      <c r="BB14" s="46">
        <f t="shared" ca="1" si="33"/>
        <v>5.9701492537313432E-2</v>
      </c>
      <c r="BC14" s="19"/>
      <c r="BD14" s="19"/>
      <c r="BE14" s="19"/>
      <c r="BF14" s="19"/>
      <c r="BG14" s="19"/>
      <c r="BH14" s="19"/>
      <c r="BI14" s="19"/>
      <c r="BJ14" s="19"/>
      <c r="BK14" s="19"/>
    </row>
    <row r="15" spans="1:64" s="8" customFormat="1" ht="15" customHeight="1" x14ac:dyDescent="0.3">
      <c r="A15" s="2" t="s">
        <v>22</v>
      </c>
      <c r="B15" s="24">
        <f ca="1">INDIRECT("'("&amp;$A$4&amp;")'!b15")</f>
        <v>23</v>
      </c>
      <c r="C15" s="24">
        <f ca="1">INDIRECT("'("&amp;$A$4&amp;")'!c15")</f>
        <v>0</v>
      </c>
      <c r="D15" s="24">
        <f ca="1">INDIRECT("'("&amp;$A$4&amp;")'!d15")</f>
        <v>0</v>
      </c>
      <c r="E15" s="24">
        <f ca="1">INDIRECT("'("&amp;$A$4&amp;")'!e15")</f>
        <v>0</v>
      </c>
      <c r="F15" s="24">
        <f ca="1">INDIRECT("'("&amp;$A$4&amp;")'!f15")</f>
        <v>0</v>
      </c>
      <c r="G15" s="24">
        <f ca="1">INDIRECT("'("&amp;$A$4&amp;")'!g15")</f>
        <v>0</v>
      </c>
      <c r="H15" s="46">
        <f t="shared" ca="1" si="7"/>
        <v>0</v>
      </c>
      <c r="I15" s="46">
        <f t="shared" ca="1" si="8"/>
        <v>0</v>
      </c>
      <c r="J15" s="24"/>
      <c r="K15" s="24">
        <f ca="1">INDIRECT("'("&amp;$A$4&amp;")'!k15")</f>
        <v>35</v>
      </c>
      <c r="L15" s="24">
        <f ca="1">INDIRECT("'("&amp;$A$4&amp;")'!l15")</f>
        <v>0</v>
      </c>
      <c r="M15" s="24">
        <f ca="1">INDIRECT("'("&amp;$A$4&amp;")'!m15")</f>
        <v>0</v>
      </c>
      <c r="N15" s="24">
        <f ca="1">INDIRECT("'("&amp;$A$4&amp;")'!n15")</f>
        <v>0</v>
      </c>
      <c r="O15" s="24">
        <f ca="1">INDIRECT("'("&amp;$A$4&amp;")'!o15")</f>
        <v>0</v>
      </c>
      <c r="P15" s="24">
        <f ca="1">INDIRECT("'("&amp;$A$4&amp;")'!p15")</f>
        <v>4</v>
      </c>
      <c r="Q15" s="46">
        <f t="shared" ca="1" si="10"/>
        <v>0</v>
      </c>
      <c r="R15" s="46">
        <f t="shared" ca="1" si="11"/>
        <v>0.10256410256410256</v>
      </c>
      <c r="S15" s="24"/>
      <c r="T15" s="22">
        <f t="shared" ca="1" si="12"/>
        <v>58</v>
      </c>
      <c r="U15" s="22">
        <f t="shared" ca="1" si="13"/>
        <v>0</v>
      </c>
      <c r="V15" s="22">
        <f t="shared" ca="1" si="14"/>
        <v>0</v>
      </c>
      <c r="W15" s="22">
        <f t="shared" ca="1" si="15"/>
        <v>0</v>
      </c>
      <c r="X15" s="22">
        <f t="shared" ca="1" si="16"/>
        <v>0</v>
      </c>
      <c r="Y15" s="22">
        <f t="shared" ca="1" si="17"/>
        <v>4</v>
      </c>
      <c r="Z15" s="46">
        <f t="shared" ca="1" si="18"/>
        <v>0</v>
      </c>
      <c r="AA15" s="46">
        <f t="shared" ca="1" si="19"/>
        <v>6.4516129032258063E-2</v>
      </c>
      <c r="AB15" s="24"/>
      <c r="AC15" s="24">
        <f ca="1">INDIRECT("'("&amp;$A$4&amp;")'!ac15")</f>
        <v>0</v>
      </c>
      <c r="AD15" s="24">
        <f ca="1">INDIRECT("'("&amp;$A$4&amp;")'!ad15")</f>
        <v>0</v>
      </c>
      <c r="AE15" s="24">
        <f ca="1">INDIRECT("'("&amp;$A$4&amp;")'!ae15")</f>
        <v>0</v>
      </c>
      <c r="AF15" s="24">
        <f ca="1">INDIRECT("'("&amp;$A$4&amp;")'!af15")</f>
        <v>0</v>
      </c>
      <c r="AG15" s="24">
        <f ca="1">INDIRECT("'("&amp;$A$4&amp;")'!ag15")</f>
        <v>0</v>
      </c>
      <c r="AH15" s="24">
        <f ca="1">INDIRECT("'("&amp;$A$4&amp;")'!ah15")</f>
        <v>0</v>
      </c>
      <c r="AI15" s="46" t="str">
        <f t="shared" ca="1" si="21"/>
        <v>-</v>
      </c>
      <c r="AJ15" s="46" t="str">
        <f t="shared" ca="1" si="22"/>
        <v>-</v>
      </c>
      <c r="AK15" s="24"/>
      <c r="AL15" s="24">
        <f ca="1">INDIRECT("'("&amp;$A$4&amp;")'!al15")</f>
        <v>30</v>
      </c>
      <c r="AM15" s="24">
        <f ca="1">INDIRECT("'("&amp;$A$4&amp;")'!am15")</f>
        <v>1</v>
      </c>
      <c r="AN15" s="24">
        <f ca="1">INDIRECT("'("&amp;$A$4&amp;")'!an15")</f>
        <v>0</v>
      </c>
      <c r="AO15" s="24">
        <f ca="1">INDIRECT("'("&amp;$A$4&amp;")'!ao15")</f>
        <v>0</v>
      </c>
      <c r="AP15" s="24">
        <f ca="1">INDIRECT("'("&amp;$A$4&amp;")'!ap15")</f>
        <v>0</v>
      </c>
      <c r="AQ15" s="24">
        <f ca="1">INDIRECT("'("&amp;$A$4&amp;")'!aq15")</f>
        <v>0</v>
      </c>
      <c r="AR15" s="46">
        <f t="shared" ca="1" si="24"/>
        <v>3.2258064516129031E-2</v>
      </c>
      <c r="AS15" s="46">
        <f t="shared" ca="1" si="25"/>
        <v>0</v>
      </c>
      <c r="AT15" s="24"/>
      <c r="AU15" s="22">
        <f t="shared" ca="1" si="26"/>
        <v>88</v>
      </c>
      <c r="AV15" s="22">
        <f t="shared" ca="1" si="27"/>
        <v>1</v>
      </c>
      <c r="AW15" s="22">
        <f t="shared" ca="1" si="28"/>
        <v>0</v>
      </c>
      <c r="AX15" s="22">
        <f t="shared" ca="1" si="29"/>
        <v>0</v>
      </c>
      <c r="AY15" s="22">
        <f t="shared" ca="1" si="30"/>
        <v>0</v>
      </c>
      <c r="AZ15" s="22">
        <f t="shared" ca="1" si="31"/>
        <v>4</v>
      </c>
      <c r="BA15" s="46">
        <f t="shared" ca="1" si="32"/>
        <v>1.1235955056179775E-2</v>
      </c>
      <c r="BB15" s="46">
        <f t="shared" ca="1" si="33"/>
        <v>4.3010752688172046E-2</v>
      </c>
      <c r="BC15" s="19"/>
      <c r="BD15" s="19"/>
      <c r="BE15" s="19"/>
      <c r="BF15" s="19"/>
      <c r="BG15" s="19"/>
      <c r="BH15" s="19"/>
      <c r="BI15" s="19"/>
      <c r="BJ15" s="19"/>
      <c r="BK15" s="19"/>
    </row>
    <row r="16" spans="1:64" s="8" customFormat="1" ht="15" customHeight="1" x14ac:dyDescent="0.3">
      <c r="A16" s="2" t="s">
        <v>23</v>
      </c>
      <c r="B16" s="24">
        <f ca="1">INDIRECT("'("&amp;$A$4&amp;")'!b16")</f>
        <v>31</v>
      </c>
      <c r="C16" s="24">
        <f ca="1">INDIRECT("'("&amp;$A$4&amp;")'!c16")</f>
        <v>0</v>
      </c>
      <c r="D16" s="24">
        <f ca="1">INDIRECT("'("&amp;$A$4&amp;")'!d16")</f>
        <v>0</v>
      </c>
      <c r="E16" s="24">
        <f ca="1">INDIRECT("'("&amp;$A$4&amp;")'!e16")</f>
        <v>0</v>
      </c>
      <c r="F16" s="24">
        <f ca="1">INDIRECT("'("&amp;$A$4&amp;")'!f16")</f>
        <v>1</v>
      </c>
      <c r="G16" s="24">
        <f ca="1">INDIRECT("'("&amp;$A$4&amp;")'!g16")</f>
        <v>0</v>
      </c>
      <c r="H16" s="46">
        <f t="shared" ca="1" si="7"/>
        <v>3.125E-2</v>
      </c>
      <c r="I16" s="46">
        <f t="shared" ca="1" si="8"/>
        <v>0</v>
      </c>
      <c r="J16" s="24"/>
      <c r="K16" s="24">
        <f ca="1">INDIRECT("'("&amp;$A$4&amp;")'!k16")</f>
        <v>7</v>
      </c>
      <c r="L16" s="24">
        <f ca="1">INDIRECT("'("&amp;$A$4&amp;")'!l16")</f>
        <v>0</v>
      </c>
      <c r="M16" s="24">
        <f ca="1">INDIRECT("'("&amp;$A$4&amp;")'!m16")</f>
        <v>0</v>
      </c>
      <c r="N16" s="24">
        <f ca="1">INDIRECT("'("&amp;$A$4&amp;")'!n16")</f>
        <v>0</v>
      </c>
      <c r="O16" s="24">
        <f ca="1">INDIRECT("'("&amp;$A$4&amp;")'!o16")</f>
        <v>0</v>
      </c>
      <c r="P16" s="24">
        <f ca="1">INDIRECT("'("&amp;$A$4&amp;")'!p16")</f>
        <v>0</v>
      </c>
      <c r="Q16" s="46">
        <f t="shared" ca="1" si="10"/>
        <v>0</v>
      </c>
      <c r="R16" s="46">
        <f t="shared" ca="1" si="11"/>
        <v>0</v>
      </c>
      <c r="S16" s="24"/>
      <c r="T16" s="22">
        <f t="shared" ca="1" si="12"/>
        <v>38</v>
      </c>
      <c r="U16" s="22">
        <f t="shared" ca="1" si="13"/>
        <v>0</v>
      </c>
      <c r="V16" s="22">
        <f t="shared" ca="1" si="14"/>
        <v>0</v>
      </c>
      <c r="W16" s="22">
        <f t="shared" ca="1" si="15"/>
        <v>0</v>
      </c>
      <c r="X16" s="22">
        <f t="shared" ca="1" si="16"/>
        <v>1</v>
      </c>
      <c r="Y16" s="22">
        <f t="shared" ca="1" si="17"/>
        <v>0</v>
      </c>
      <c r="Z16" s="46">
        <f t="shared" ca="1" si="18"/>
        <v>2.564102564102564E-2</v>
      </c>
      <c r="AA16" s="46">
        <f t="shared" ca="1" si="19"/>
        <v>0</v>
      </c>
      <c r="AB16" s="24"/>
      <c r="AC16" s="24">
        <f ca="1">INDIRECT("'("&amp;$A$4&amp;")'!ac16")</f>
        <v>4</v>
      </c>
      <c r="AD16" s="24">
        <f ca="1">INDIRECT("'("&amp;$A$4&amp;")'!ad16")</f>
        <v>0</v>
      </c>
      <c r="AE16" s="24">
        <f ca="1">INDIRECT("'("&amp;$A$4&amp;")'!ae16")</f>
        <v>0</v>
      </c>
      <c r="AF16" s="24">
        <f ca="1">INDIRECT("'("&amp;$A$4&amp;")'!af16")</f>
        <v>0</v>
      </c>
      <c r="AG16" s="24">
        <f ca="1">INDIRECT("'("&amp;$A$4&amp;")'!ag16")</f>
        <v>0</v>
      </c>
      <c r="AH16" s="24">
        <f ca="1">INDIRECT("'("&amp;$A$4&amp;")'!ah16")</f>
        <v>0</v>
      </c>
      <c r="AI16" s="46">
        <f t="shared" ca="1" si="21"/>
        <v>0</v>
      </c>
      <c r="AJ16" s="46">
        <f t="shared" ca="1" si="22"/>
        <v>0</v>
      </c>
      <c r="AK16" s="24"/>
      <c r="AL16" s="24">
        <f ca="1">INDIRECT("'("&amp;$A$4&amp;")'!al16")</f>
        <v>8</v>
      </c>
      <c r="AM16" s="24">
        <f ca="1">INDIRECT("'("&amp;$A$4&amp;")'!am16")</f>
        <v>0</v>
      </c>
      <c r="AN16" s="24">
        <f ca="1">INDIRECT("'("&amp;$A$4&amp;")'!an16")</f>
        <v>0</v>
      </c>
      <c r="AO16" s="24">
        <f ca="1">INDIRECT("'("&amp;$A$4&amp;")'!ao16")</f>
        <v>0</v>
      </c>
      <c r="AP16" s="24">
        <f ca="1">INDIRECT("'("&amp;$A$4&amp;")'!ap16")</f>
        <v>0</v>
      </c>
      <c r="AQ16" s="24">
        <f ca="1">INDIRECT("'("&amp;$A$4&amp;")'!aq16")</f>
        <v>0</v>
      </c>
      <c r="AR16" s="46">
        <f t="shared" ca="1" si="24"/>
        <v>0</v>
      </c>
      <c r="AS16" s="46">
        <f t="shared" ca="1" si="25"/>
        <v>0</v>
      </c>
      <c r="AT16" s="24"/>
      <c r="AU16" s="22">
        <f t="shared" ca="1" si="26"/>
        <v>50</v>
      </c>
      <c r="AV16" s="22">
        <f t="shared" ca="1" si="27"/>
        <v>0</v>
      </c>
      <c r="AW16" s="22">
        <f t="shared" ca="1" si="28"/>
        <v>0</v>
      </c>
      <c r="AX16" s="22">
        <f t="shared" ca="1" si="29"/>
        <v>0</v>
      </c>
      <c r="AY16" s="22">
        <f t="shared" ca="1" si="30"/>
        <v>1</v>
      </c>
      <c r="AZ16" s="22">
        <f t="shared" ca="1" si="31"/>
        <v>0</v>
      </c>
      <c r="BA16" s="46">
        <f t="shared" ca="1" si="32"/>
        <v>1.9607843137254902E-2</v>
      </c>
      <c r="BB16" s="46">
        <f t="shared" ca="1" si="33"/>
        <v>0</v>
      </c>
      <c r="BC16" s="19"/>
      <c r="BD16" s="19"/>
      <c r="BE16" s="19"/>
      <c r="BF16" s="19"/>
      <c r="BG16" s="19"/>
      <c r="BH16" s="19"/>
      <c r="BI16" s="19"/>
      <c r="BJ16" s="19"/>
      <c r="BK16" s="19"/>
    </row>
    <row r="17" spans="1:63" s="8" customFormat="1" ht="15" customHeight="1" x14ac:dyDescent="0.3">
      <c r="A17" s="2" t="s">
        <v>24</v>
      </c>
      <c r="B17" s="24">
        <f ca="1">INDIRECT("'("&amp;$A$4&amp;")'!b17")</f>
        <v>0</v>
      </c>
      <c r="C17" s="24">
        <f ca="1">INDIRECT("'("&amp;$A$4&amp;")'!c17")</f>
        <v>0</v>
      </c>
      <c r="D17" s="24">
        <f ca="1">INDIRECT("'("&amp;$A$4&amp;")'!d17")</f>
        <v>0</v>
      </c>
      <c r="E17" s="24">
        <f ca="1">INDIRECT("'("&amp;$A$4&amp;")'!e17")</f>
        <v>0</v>
      </c>
      <c r="F17" s="24">
        <f ca="1">INDIRECT("'("&amp;$A$4&amp;")'!f17")</f>
        <v>0</v>
      </c>
      <c r="G17" s="24">
        <f ca="1">INDIRECT("'("&amp;$A$4&amp;")'!g17")</f>
        <v>7</v>
      </c>
      <c r="H17" s="46" t="str">
        <f t="shared" ca="1" si="7"/>
        <v>-</v>
      </c>
      <c r="I17" s="46">
        <f t="shared" ca="1" si="8"/>
        <v>1</v>
      </c>
      <c r="J17" s="24"/>
      <c r="K17" s="24">
        <f ca="1">INDIRECT("'("&amp;$A$4&amp;")'!k17")</f>
        <v>2</v>
      </c>
      <c r="L17" s="24">
        <f ca="1">INDIRECT("'("&amp;$A$4&amp;")'!l17")</f>
        <v>0</v>
      </c>
      <c r="M17" s="24">
        <f ca="1">INDIRECT("'("&amp;$A$4&amp;")'!m17")</f>
        <v>0</v>
      </c>
      <c r="N17" s="24">
        <f ca="1">INDIRECT("'("&amp;$A$4&amp;")'!n17")</f>
        <v>0</v>
      </c>
      <c r="O17" s="24">
        <f ca="1">INDIRECT("'("&amp;$A$4&amp;")'!o17")</f>
        <v>0</v>
      </c>
      <c r="P17" s="24">
        <f ca="1">INDIRECT("'("&amp;$A$4&amp;")'!p17")</f>
        <v>38</v>
      </c>
      <c r="Q17" s="46">
        <f t="shared" ca="1" si="10"/>
        <v>0</v>
      </c>
      <c r="R17" s="46">
        <f t="shared" ca="1" si="11"/>
        <v>0.95</v>
      </c>
      <c r="S17" s="24"/>
      <c r="T17" s="22">
        <f t="shared" ca="1" si="12"/>
        <v>2</v>
      </c>
      <c r="U17" s="22">
        <f t="shared" ca="1" si="13"/>
        <v>0</v>
      </c>
      <c r="V17" s="22">
        <f t="shared" ca="1" si="14"/>
        <v>0</v>
      </c>
      <c r="W17" s="22">
        <f t="shared" ca="1" si="15"/>
        <v>0</v>
      </c>
      <c r="X17" s="22">
        <f t="shared" ca="1" si="16"/>
        <v>0</v>
      </c>
      <c r="Y17" s="22">
        <f t="shared" ca="1" si="17"/>
        <v>45</v>
      </c>
      <c r="Z17" s="46">
        <f t="shared" ca="1" si="18"/>
        <v>0</v>
      </c>
      <c r="AA17" s="46">
        <f t="shared" ca="1" si="19"/>
        <v>0.95744680851063835</v>
      </c>
      <c r="AB17" s="24"/>
      <c r="AC17" s="24">
        <f ca="1">INDIRECT("'("&amp;$A$4&amp;")'!ac17")</f>
        <v>0</v>
      </c>
      <c r="AD17" s="24">
        <f ca="1">INDIRECT("'("&amp;$A$4&amp;")'!ad17")</f>
        <v>0</v>
      </c>
      <c r="AE17" s="24">
        <f ca="1">INDIRECT("'("&amp;$A$4&amp;")'!ae17")</f>
        <v>0</v>
      </c>
      <c r="AF17" s="24">
        <f ca="1">INDIRECT("'("&amp;$A$4&amp;")'!af17")</f>
        <v>0</v>
      </c>
      <c r="AG17" s="24">
        <f ca="1">INDIRECT("'("&amp;$A$4&amp;")'!ag17")</f>
        <v>0</v>
      </c>
      <c r="AH17" s="24">
        <f ca="1">INDIRECT("'("&amp;$A$4&amp;")'!ah17")</f>
        <v>1</v>
      </c>
      <c r="AI17" s="46" t="str">
        <f t="shared" ca="1" si="21"/>
        <v>-</v>
      </c>
      <c r="AJ17" s="46">
        <f t="shared" ca="1" si="22"/>
        <v>1</v>
      </c>
      <c r="AK17" s="24"/>
      <c r="AL17" s="24">
        <f ca="1">INDIRECT("'("&amp;$A$4&amp;")'!al17")</f>
        <v>2</v>
      </c>
      <c r="AM17" s="24">
        <f ca="1">INDIRECT("'("&amp;$A$4&amp;")'!am17")</f>
        <v>0</v>
      </c>
      <c r="AN17" s="24">
        <f ca="1">INDIRECT("'("&amp;$A$4&amp;")'!an17")</f>
        <v>0</v>
      </c>
      <c r="AO17" s="24">
        <f ca="1">INDIRECT("'("&amp;$A$4&amp;")'!ao17")</f>
        <v>0</v>
      </c>
      <c r="AP17" s="24">
        <f ca="1">INDIRECT("'("&amp;$A$4&amp;")'!ap17")</f>
        <v>0</v>
      </c>
      <c r="AQ17" s="24">
        <f ca="1">INDIRECT("'("&amp;$A$4&amp;")'!aq17")</f>
        <v>7</v>
      </c>
      <c r="AR17" s="46">
        <f t="shared" ca="1" si="24"/>
        <v>0</v>
      </c>
      <c r="AS17" s="46">
        <f t="shared" ca="1" si="25"/>
        <v>0.77777777777777779</v>
      </c>
      <c r="AT17" s="24"/>
      <c r="AU17" s="22">
        <f t="shared" ca="1" si="26"/>
        <v>4</v>
      </c>
      <c r="AV17" s="22">
        <f t="shared" ca="1" si="27"/>
        <v>0</v>
      </c>
      <c r="AW17" s="22">
        <f t="shared" ca="1" si="28"/>
        <v>0</v>
      </c>
      <c r="AX17" s="22">
        <f t="shared" ca="1" si="29"/>
        <v>0</v>
      </c>
      <c r="AY17" s="22">
        <f t="shared" ca="1" si="30"/>
        <v>0</v>
      </c>
      <c r="AZ17" s="22">
        <f t="shared" ca="1" si="31"/>
        <v>53</v>
      </c>
      <c r="BA17" s="46">
        <f t="shared" ca="1" si="32"/>
        <v>0</v>
      </c>
      <c r="BB17" s="46">
        <f t="shared" ca="1" si="33"/>
        <v>0.92982456140350878</v>
      </c>
      <c r="BC17" s="19"/>
      <c r="BD17" s="19"/>
      <c r="BE17" s="19"/>
      <c r="BF17" s="19"/>
      <c r="BG17" s="19"/>
      <c r="BH17" s="19"/>
      <c r="BI17" s="19"/>
      <c r="BJ17" s="19"/>
      <c r="BK17" s="19"/>
    </row>
    <row r="18" spans="1:63" s="8" customFormat="1" ht="15" customHeight="1" x14ac:dyDescent="0.3">
      <c r="A18" s="2" t="s">
        <v>25</v>
      </c>
      <c r="B18" s="24">
        <f ca="1">INDIRECT("'("&amp;$A$4&amp;")'!b18")</f>
        <v>3</v>
      </c>
      <c r="C18" s="24">
        <f ca="1">INDIRECT("'("&amp;$A$4&amp;")'!c18")</f>
        <v>0</v>
      </c>
      <c r="D18" s="24">
        <f ca="1">INDIRECT("'("&amp;$A$4&amp;")'!d18")</f>
        <v>0</v>
      </c>
      <c r="E18" s="24">
        <f ca="1">INDIRECT("'("&amp;$A$4&amp;")'!e18")</f>
        <v>0</v>
      </c>
      <c r="F18" s="24">
        <f ca="1">INDIRECT("'("&amp;$A$4&amp;")'!f18")</f>
        <v>0</v>
      </c>
      <c r="G18" s="24">
        <f ca="1">INDIRECT("'("&amp;$A$4&amp;")'!g18")</f>
        <v>9</v>
      </c>
      <c r="H18" s="46">
        <f t="shared" ca="1" si="7"/>
        <v>0</v>
      </c>
      <c r="I18" s="46">
        <f t="shared" ca="1" si="8"/>
        <v>0.75</v>
      </c>
      <c r="J18" s="24"/>
      <c r="K18" s="24">
        <f ca="1">INDIRECT("'("&amp;$A$4&amp;")'!k18")</f>
        <v>1</v>
      </c>
      <c r="L18" s="24">
        <f ca="1">INDIRECT("'("&amp;$A$4&amp;")'!l18")</f>
        <v>0</v>
      </c>
      <c r="M18" s="24">
        <f ca="1">INDIRECT("'("&amp;$A$4&amp;")'!m18")</f>
        <v>0</v>
      </c>
      <c r="N18" s="24">
        <f ca="1">INDIRECT("'("&amp;$A$4&amp;")'!n18")</f>
        <v>0</v>
      </c>
      <c r="O18" s="24">
        <f ca="1">INDIRECT("'("&amp;$A$4&amp;")'!o18")</f>
        <v>0</v>
      </c>
      <c r="P18" s="24">
        <f ca="1">INDIRECT("'("&amp;$A$4&amp;")'!p18")</f>
        <v>41</v>
      </c>
      <c r="Q18" s="46">
        <f t="shared" ca="1" si="10"/>
        <v>0</v>
      </c>
      <c r="R18" s="46">
        <f t="shared" ca="1" si="11"/>
        <v>0.97619047619047616</v>
      </c>
      <c r="S18" s="24"/>
      <c r="T18" s="22">
        <f t="shared" ca="1" si="12"/>
        <v>4</v>
      </c>
      <c r="U18" s="22">
        <f t="shared" ca="1" si="13"/>
        <v>0</v>
      </c>
      <c r="V18" s="22">
        <f t="shared" ca="1" si="14"/>
        <v>0</v>
      </c>
      <c r="W18" s="22">
        <f t="shared" ca="1" si="15"/>
        <v>0</v>
      </c>
      <c r="X18" s="22">
        <f t="shared" ca="1" si="16"/>
        <v>0</v>
      </c>
      <c r="Y18" s="22">
        <f t="shared" ca="1" si="17"/>
        <v>50</v>
      </c>
      <c r="Z18" s="46">
        <f t="shared" ca="1" si="18"/>
        <v>0</v>
      </c>
      <c r="AA18" s="46">
        <f t="shared" ca="1" si="19"/>
        <v>0.92592592592592593</v>
      </c>
      <c r="AB18" s="24"/>
      <c r="AC18" s="24">
        <f ca="1">INDIRECT("'("&amp;$A$4&amp;")'!ac18")</f>
        <v>0</v>
      </c>
      <c r="AD18" s="24">
        <f ca="1">INDIRECT("'("&amp;$A$4&amp;")'!ad18")</f>
        <v>0</v>
      </c>
      <c r="AE18" s="24">
        <f ca="1">INDIRECT("'("&amp;$A$4&amp;")'!ae18")</f>
        <v>0</v>
      </c>
      <c r="AF18" s="24">
        <f ca="1">INDIRECT("'("&amp;$A$4&amp;")'!af18")</f>
        <v>0</v>
      </c>
      <c r="AG18" s="24">
        <f ca="1">INDIRECT("'("&amp;$A$4&amp;")'!ag18")</f>
        <v>0</v>
      </c>
      <c r="AH18" s="24">
        <f ca="1">INDIRECT("'("&amp;$A$4&amp;")'!ah18")</f>
        <v>0</v>
      </c>
      <c r="AI18" s="46" t="str">
        <f t="shared" ca="1" si="21"/>
        <v>-</v>
      </c>
      <c r="AJ18" s="46" t="str">
        <f t="shared" ca="1" si="22"/>
        <v>-</v>
      </c>
      <c r="AK18" s="24"/>
      <c r="AL18" s="24">
        <f ca="1">INDIRECT("'("&amp;$A$4&amp;")'!al18")</f>
        <v>11</v>
      </c>
      <c r="AM18" s="24">
        <f ca="1">INDIRECT("'("&amp;$A$4&amp;")'!am18")</f>
        <v>0</v>
      </c>
      <c r="AN18" s="24">
        <f ca="1">INDIRECT("'("&amp;$A$4&amp;")'!an18")</f>
        <v>1</v>
      </c>
      <c r="AO18" s="24">
        <f ca="1">INDIRECT("'("&amp;$A$4&amp;")'!ao18")</f>
        <v>0</v>
      </c>
      <c r="AP18" s="24">
        <f ca="1">INDIRECT("'("&amp;$A$4&amp;")'!ap18")</f>
        <v>0</v>
      </c>
      <c r="AQ18" s="24">
        <f ca="1">INDIRECT("'("&amp;$A$4&amp;")'!aq18")</f>
        <v>1</v>
      </c>
      <c r="AR18" s="46">
        <f t="shared" ca="1" si="24"/>
        <v>8.3333333333333329E-2</v>
      </c>
      <c r="AS18" s="46">
        <f t="shared" ca="1" si="25"/>
        <v>7.6923076923076927E-2</v>
      </c>
      <c r="AT18" s="24"/>
      <c r="AU18" s="22">
        <f t="shared" ca="1" si="26"/>
        <v>15</v>
      </c>
      <c r="AV18" s="22">
        <f t="shared" ca="1" si="27"/>
        <v>0</v>
      </c>
      <c r="AW18" s="22">
        <f t="shared" ca="1" si="28"/>
        <v>1</v>
      </c>
      <c r="AX18" s="22">
        <f t="shared" ca="1" si="29"/>
        <v>0</v>
      </c>
      <c r="AY18" s="22">
        <f t="shared" ca="1" si="30"/>
        <v>0</v>
      </c>
      <c r="AZ18" s="22">
        <f t="shared" ca="1" si="31"/>
        <v>51</v>
      </c>
      <c r="BA18" s="46">
        <f t="shared" ca="1" si="32"/>
        <v>6.25E-2</v>
      </c>
      <c r="BB18" s="46">
        <f t="shared" ca="1" si="33"/>
        <v>0.76119402985074625</v>
      </c>
      <c r="BC18" s="19"/>
      <c r="BD18" s="19"/>
      <c r="BE18" s="19"/>
      <c r="BF18" s="19"/>
      <c r="BG18" s="19"/>
      <c r="BH18" s="19"/>
      <c r="BI18" s="19"/>
      <c r="BJ18" s="19"/>
      <c r="BK18" s="19"/>
    </row>
    <row r="19" spans="1:63" s="8" customFormat="1" ht="15" customHeight="1" x14ac:dyDescent="0.3">
      <c r="A19" s="26" t="s">
        <v>26</v>
      </c>
      <c r="B19" s="24">
        <f ca="1">INDIRECT("'("&amp;$A$4&amp;")'!b19")</f>
        <v>16</v>
      </c>
      <c r="C19" s="24">
        <f ca="1">INDIRECT("'("&amp;$A$4&amp;")'!c19")</f>
        <v>0</v>
      </c>
      <c r="D19" s="24">
        <f ca="1">INDIRECT("'("&amp;$A$4&amp;")'!d19")</f>
        <v>0</v>
      </c>
      <c r="E19" s="24">
        <f ca="1">INDIRECT("'("&amp;$A$4&amp;")'!e19")</f>
        <v>0</v>
      </c>
      <c r="F19" s="24">
        <f ca="1">INDIRECT("'("&amp;$A$4&amp;")'!f19")</f>
        <v>0</v>
      </c>
      <c r="G19" s="24">
        <f ca="1">INDIRECT("'("&amp;$A$4&amp;")'!g19")</f>
        <v>0</v>
      </c>
      <c r="H19" s="46">
        <f t="shared" ca="1" si="7"/>
        <v>0</v>
      </c>
      <c r="I19" s="46">
        <f t="shared" ca="1" si="8"/>
        <v>0</v>
      </c>
      <c r="J19" s="24"/>
      <c r="K19" s="24">
        <f ca="1">INDIRECT("'("&amp;$A$4&amp;")'!k19")</f>
        <v>42</v>
      </c>
      <c r="L19" s="24">
        <f ca="1">INDIRECT("'("&amp;$A$4&amp;")'!l19")</f>
        <v>0</v>
      </c>
      <c r="M19" s="24">
        <f ca="1">INDIRECT("'("&amp;$A$4&amp;")'!m19")</f>
        <v>0</v>
      </c>
      <c r="N19" s="24">
        <f ca="1">INDIRECT("'("&amp;$A$4&amp;")'!n19")</f>
        <v>0</v>
      </c>
      <c r="O19" s="24">
        <f ca="1">INDIRECT("'("&amp;$A$4&amp;")'!o19")</f>
        <v>0</v>
      </c>
      <c r="P19" s="24">
        <f ca="1">INDIRECT("'("&amp;$A$4&amp;")'!p19")</f>
        <v>0</v>
      </c>
      <c r="Q19" s="46">
        <f t="shared" ca="1" si="10"/>
        <v>0</v>
      </c>
      <c r="R19" s="46">
        <f t="shared" ca="1" si="11"/>
        <v>0</v>
      </c>
      <c r="S19" s="24"/>
      <c r="T19" s="22">
        <f t="shared" ca="1" si="12"/>
        <v>58</v>
      </c>
      <c r="U19" s="22">
        <f t="shared" ca="1" si="13"/>
        <v>0</v>
      </c>
      <c r="V19" s="22">
        <f t="shared" ca="1" si="14"/>
        <v>0</v>
      </c>
      <c r="W19" s="22">
        <f t="shared" ca="1" si="15"/>
        <v>0</v>
      </c>
      <c r="X19" s="22">
        <f t="shared" ca="1" si="16"/>
        <v>0</v>
      </c>
      <c r="Y19" s="22">
        <f t="shared" ca="1" si="17"/>
        <v>0</v>
      </c>
      <c r="Z19" s="46">
        <f t="shared" ca="1" si="18"/>
        <v>0</v>
      </c>
      <c r="AA19" s="46">
        <f t="shared" ca="1" si="19"/>
        <v>0</v>
      </c>
      <c r="AB19" s="24"/>
      <c r="AC19" s="24">
        <f ca="1">INDIRECT("'("&amp;$A$4&amp;")'!ac19")</f>
        <v>6</v>
      </c>
      <c r="AD19" s="24">
        <f ca="1">INDIRECT("'("&amp;$A$4&amp;")'!ad19")</f>
        <v>0</v>
      </c>
      <c r="AE19" s="24">
        <f ca="1">INDIRECT("'("&amp;$A$4&amp;")'!ae19")</f>
        <v>0</v>
      </c>
      <c r="AF19" s="24">
        <f ca="1">INDIRECT("'("&amp;$A$4&amp;")'!af19")</f>
        <v>0</v>
      </c>
      <c r="AG19" s="24">
        <f ca="1">INDIRECT("'("&amp;$A$4&amp;")'!ag19")</f>
        <v>0</v>
      </c>
      <c r="AH19" s="24">
        <f ca="1">INDIRECT("'("&amp;$A$4&amp;")'!ah19")</f>
        <v>0</v>
      </c>
      <c r="AI19" s="46">
        <f t="shared" ca="1" si="21"/>
        <v>0</v>
      </c>
      <c r="AJ19" s="46">
        <f t="shared" ca="1" si="22"/>
        <v>0</v>
      </c>
      <c r="AK19" s="24"/>
      <c r="AL19" s="24">
        <f ca="1">INDIRECT("'("&amp;$A$4&amp;")'!al19")</f>
        <v>12</v>
      </c>
      <c r="AM19" s="24">
        <f ca="1">INDIRECT("'("&amp;$A$4&amp;")'!am19")</f>
        <v>2</v>
      </c>
      <c r="AN19" s="24">
        <f ca="1">INDIRECT("'("&amp;$A$4&amp;")'!an19")</f>
        <v>0</v>
      </c>
      <c r="AO19" s="24">
        <f ca="1">INDIRECT("'("&amp;$A$4&amp;")'!ao19")</f>
        <v>0</v>
      </c>
      <c r="AP19" s="24">
        <f ca="1">INDIRECT("'("&amp;$A$4&amp;")'!ap19")</f>
        <v>0</v>
      </c>
      <c r="AQ19" s="24">
        <f ca="1">INDIRECT("'("&amp;$A$4&amp;")'!aq19")</f>
        <v>1</v>
      </c>
      <c r="AR19" s="46">
        <f t="shared" ca="1" si="24"/>
        <v>0.14285714285714285</v>
      </c>
      <c r="AS19" s="46">
        <f t="shared" ca="1" si="25"/>
        <v>6.6666666666666666E-2</v>
      </c>
      <c r="AT19" s="24"/>
      <c r="AU19" s="22">
        <f t="shared" ca="1" si="26"/>
        <v>76</v>
      </c>
      <c r="AV19" s="22">
        <f t="shared" ca="1" si="27"/>
        <v>2</v>
      </c>
      <c r="AW19" s="22">
        <f t="shared" ca="1" si="28"/>
        <v>0</v>
      </c>
      <c r="AX19" s="22">
        <f t="shared" ca="1" si="29"/>
        <v>0</v>
      </c>
      <c r="AY19" s="22">
        <f t="shared" ca="1" si="30"/>
        <v>0</v>
      </c>
      <c r="AZ19" s="22">
        <f t="shared" ca="1" si="31"/>
        <v>1</v>
      </c>
      <c r="BA19" s="46">
        <f t="shared" ca="1" si="32"/>
        <v>2.564102564102564E-2</v>
      </c>
      <c r="BB19" s="46">
        <f t="shared" ca="1" si="33"/>
        <v>1.2658227848101266E-2</v>
      </c>
      <c r="BC19" s="19"/>
      <c r="BD19" s="19"/>
      <c r="BE19" s="19"/>
      <c r="BF19" s="19"/>
      <c r="BG19" s="19"/>
      <c r="BH19" s="19"/>
      <c r="BI19" s="19"/>
      <c r="BJ19" s="19"/>
      <c r="BK19" s="19"/>
    </row>
    <row r="20" spans="1:63" s="8" customFormat="1" ht="15" customHeight="1" x14ac:dyDescent="0.3">
      <c r="A20" s="26" t="s">
        <v>27</v>
      </c>
      <c r="B20" s="24">
        <f ca="1">INDIRECT("'("&amp;$A$4&amp;")'!b20")</f>
        <v>9</v>
      </c>
      <c r="C20" s="24">
        <f ca="1">INDIRECT("'("&amp;$A$4&amp;")'!c20")</f>
        <v>0</v>
      </c>
      <c r="D20" s="24">
        <f ca="1">INDIRECT("'("&amp;$A$4&amp;")'!d20")</f>
        <v>0</v>
      </c>
      <c r="E20" s="24">
        <f ca="1">INDIRECT("'("&amp;$A$4&amp;")'!e20")</f>
        <v>0</v>
      </c>
      <c r="F20" s="24">
        <f ca="1">INDIRECT("'("&amp;$A$4&amp;")'!f20")</f>
        <v>0</v>
      </c>
      <c r="G20" s="24">
        <f ca="1">INDIRECT("'("&amp;$A$4&amp;")'!g20")</f>
        <v>0</v>
      </c>
      <c r="H20" s="46">
        <f t="shared" ca="1" si="7"/>
        <v>0</v>
      </c>
      <c r="I20" s="46">
        <f t="shared" ca="1" si="8"/>
        <v>0</v>
      </c>
      <c r="J20" s="24"/>
      <c r="K20" s="24">
        <f ca="1">INDIRECT("'("&amp;$A$4&amp;")'!k20")</f>
        <v>127</v>
      </c>
      <c r="L20" s="24">
        <f ca="1">INDIRECT("'("&amp;$A$4&amp;")'!l20")</f>
        <v>0</v>
      </c>
      <c r="M20" s="24">
        <f ca="1">INDIRECT("'("&amp;$A$4&amp;")'!m20")</f>
        <v>0</v>
      </c>
      <c r="N20" s="24">
        <f ca="1">INDIRECT("'("&amp;$A$4&amp;")'!n20")</f>
        <v>0</v>
      </c>
      <c r="O20" s="24">
        <f ca="1">INDIRECT("'("&amp;$A$4&amp;")'!o20")</f>
        <v>0</v>
      </c>
      <c r="P20" s="24">
        <f ca="1">INDIRECT("'("&amp;$A$4&amp;")'!p20")</f>
        <v>6</v>
      </c>
      <c r="Q20" s="46">
        <f t="shared" ca="1" si="10"/>
        <v>0</v>
      </c>
      <c r="R20" s="46">
        <f t="shared" ca="1" si="11"/>
        <v>4.5112781954887216E-2</v>
      </c>
      <c r="S20" s="24"/>
      <c r="T20" s="22">
        <f t="shared" ca="1" si="12"/>
        <v>136</v>
      </c>
      <c r="U20" s="22">
        <f t="shared" ca="1" si="13"/>
        <v>0</v>
      </c>
      <c r="V20" s="22">
        <f t="shared" ca="1" si="14"/>
        <v>0</v>
      </c>
      <c r="W20" s="22">
        <f t="shared" ca="1" si="15"/>
        <v>0</v>
      </c>
      <c r="X20" s="22">
        <f t="shared" ca="1" si="16"/>
        <v>0</v>
      </c>
      <c r="Y20" s="22">
        <f t="shared" ca="1" si="17"/>
        <v>6</v>
      </c>
      <c r="Z20" s="46">
        <f t="shared" ca="1" si="18"/>
        <v>0</v>
      </c>
      <c r="AA20" s="46">
        <f t="shared" ca="1" si="19"/>
        <v>4.2253521126760563E-2</v>
      </c>
      <c r="AB20" s="24"/>
      <c r="AC20" s="24">
        <f ca="1">INDIRECT("'("&amp;$A$4&amp;")'!ac20")</f>
        <v>2</v>
      </c>
      <c r="AD20" s="24">
        <f ca="1">INDIRECT("'("&amp;$A$4&amp;")'!ad20")</f>
        <v>0</v>
      </c>
      <c r="AE20" s="24">
        <f ca="1">INDIRECT("'("&amp;$A$4&amp;")'!ae20")</f>
        <v>0</v>
      </c>
      <c r="AF20" s="24">
        <f ca="1">INDIRECT("'("&amp;$A$4&amp;")'!af20")</f>
        <v>0</v>
      </c>
      <c r="AG20" s="24">
        <f ca="1">INDIRECT("'("&amp;$A$4&amp;")'!ag20")</f>
        <v>0</v>
      </c>
      <c r="AH20" s="24">
        <f ca="1">INDIRECT("'("&amp;$A$4&amp;")'!ah20")</f>
        <v>0</v>
      </c>
      <c r="AI20" s="46">
        <f t="shared" ca="1" si="21"/>
        <v>0</v>
      </c>
      <c r="AJ20" s="46">
        <f t="shared" ca="1" si="22"/>
        <v>0</v>
      </c>
      <c r="AK20" s="24"/>
      <c r="AL20" s="24">
        <f ca="1">INDIRECT("'("&amp;$A$4&amp;")'!al20")</f>
        <v>25</v>
      </c>
      <c r="AM20" s="24">
        <f ca="1">INDIRECT("'("&amp;$A$4&amp;")'!am20")</f>
        <v>1</v>
      </c>
      <c r="AN20" s="24">
        <f ca="1">INDIRECT("'("&amp;$A$4&amp;")'!an20")</f>
        <v>1</v>
      </c>
      <c r="AO20" s="24">
        <f ca="1">INDIRECT("'("&amp;$A$4&amp;")'!ao20")</f>
        <v>0</v>
      </c>
      <c r="AP20" s="24">
        <f ca="1">INDIRECT("'("&amp;$A$4&amp;")'!ap20")</f>
        <v>0</v>
      </c>
      <c r="AQ20" s="24">
        <f ca="1">INDIRECT("'("&amp;$A$4&amp;")'!aq20")</f>
        <v>1</v>
      </c>
      <c r="AR20" s="46">
        <f t="shared" ca="1" si="24"/>
        <v>7.407407407407407E-2</v>
      </c>
      <c r="AS20" s="46">
        <f t="shared" ca="1" si="25"/>
        <v>3.5714285714285712E-2</v>
      </c>
      <c r="AT20" s="24"/>
      <c r="AU20" s="22">
        <f t="shared" ca="1" si="26"/>
        <v>163</v>
      </c>
      <c r="AV20" s="22">
        <f t="shared" ca="1" si="27"/>
        <v>1</v>
      </c>
      <c r="AW20" s="22">
        <f t="shared" ca="1" si="28"/>
        <v>1</v>
      </c>
      <c r="AX20" s="22">
        <f t="shared" ca="1" si="29"/>
        <v>0</v>
      </c>
      <c r="AY20" s="22">
        <f t="shared" ca="1" si="30"/>
        <v>0</v>
      </c>
      <c r="AZ20" s="22">
        <f t="shared" ca="1" si="31"/>
        <v>7</v>
      </c>
      <c r="BA20" s="46">
        <f t="shared" ca="1" si="32"/>
        <v>1.2121212121212121E-2</v>
      </c>
      <c r="BB20" s="46">
        <f t="shared" ca="1" si="33"/>
        <v>4.0697674418604654E-2</v>
      </c>
      <c r="BC20" s="19"/>
      <c r="BD20" s="19"/>
      <c r="BE20" s="19"/>
      <c r="BF20" s="19"/>
      <c r="BG20" s="19"/>
      <c r="BH20" s="19"/>
      <c r="BI20" s="19"/>
      <c r="BJ20" s="19"/>
      <c r="BK20" s="19"/>
    </row>
    <row r="21" spans="1:63" s="8" customFormat="1" ht="15" customHeight="1" x14ac:dyDescent="0.3">
      <c r="A21" s="2" t="s">
        <v>28</v>
      </c>
      <c r="B21" s="24">
        <f ca="1">INDIRECT("'("&amp;$A$4&amp;")'!b21")</f>
        <v>10</v>
      </c>
      <c r="C21" s="24">
        <f ca="1">INDIRECT("'("&amp;$A$4&amp;")'!c21")</f>
        <v>0</v>
      </c>
      <c r="D21" s="24">
        <f ca="1">INDIRECT("'("&amp;$A$4&amp;")'!d21")</f>
        <v>0</v>
      </c>
      <c r="E21" s="24">
        <f ca="1">INDIRECT("'("&amp;$A$4&amp;")'!e21")</f>
        <v>0</v>
      </c>
      <c r="F21" s="24">
        <f ca="1">INDIRECT("'("&amp;$A$4&amp;")'!f21")</f>
        <v>0</v>
      </c>
      <c r="G21" s="24">
        <f ca="1">INDIRECT("'("&amp;$A$4&amp;")'!g21")</f>
        <v>1</v>
      </c>
      <c r="H21" s="46">
        <f t="shared" ca="1" si="7"/>
        <v>0</v>
      </c>
      <c r="I21" s="46">
        <f t="shared" ca="1" si="8"/>
        <v>9.0909090909090912E-2</v>
      </c>
      <c r="J21" s="24"/>
      <c r="K21" s="24">
        <f ca="1">INDIRECT("'("&amp;$A$4&amp;")'!k21")</f>
        <v>83</v>
      </c>
      <c r="L21" s="24">
        <f ca="1">INDIRECT("'("&amp;$A$4&amp;")'!l21")</f>
        <v>1</v>
      </c>
      <c r="M21" s="24">
        <f ca="1">INDIRECT("'("&amp;$A$4&amp;")'!m21")</f>
        <v>0</v>
      </c>
      <c r="N21" s="24">
        <f ca="1">INDIRECT("'("&amp;$A$4&amp;")'!n21")</f>
        <v>0</v>
      </c>
      <c r="O21" s="24">
        <f ca="1">INDIRECT("'("&amp;$A$4&amp;")'!o21")</f>
        <v>0</v>
      </c>
      <c r="P21" s="24">
        <f ca="1">INDIRECT("'("&amp;$A$4&amp;")'!p21")</f>
        <v>15</v>
      </c>
      <c r="Q21" s="46">
        <f t="shared" ca="1" si="10"/>
        <v>1.1904761904761904E-2</v>
      </c>
      <c r="R21" s="46">
        <f t="shared" ca="1" si="11"/>
        <v>0.15151515151515152</v>
      </c>
      <c r="S21" s="24"/>
      <c r="T21" s="22">
        <f t="shared" ca="1" si="12"/>
        <v>93</v>
      </c>
      <c r="U21" s="22">
        <f t="shared" ca="1" si="13"/>
        <v>1</v>
      </c>
      <c r="V21" s="22">
        <f t="shared" ca="1" si="14"/>
        <v>0</v>
      </c>
      <c r="W21" s="22">
        <f t="shared" ca="1" si="15"/>
        <v>0</v>
      </c>
      <c r="X21" s="22">
        <f t="shared" ca="1" si="16"/>
        <v>0</v>
      </c>
      <c r="Y21" s="22">
        <f t="shared" ca="1" si="17"/>
        <v>16</v>
      </c>
      <c r="Z21" s="46">
        <f t="shared" ca="1" si="18"/>
        <v>1.0638297872340425E-2</v>
      </c>
      <c r="AA21" s="46">
        <f t="shared" ca="1" si="19"/>
        <v>0.14545454545454545</v>
      </c>
      <c r="AB21" s="24"/>
      <c r="AC21" s="24">
        <f ca="1">INDIRECT("'("&amp;$A$4&amp;")'!ac21")</f>
        <v>5</v>
      </c>
      <c r="AD21" s="24">
        <f ca="1">INDIRECT("'("&amp;$A$4&amp;")'!ad21")</f>
        <v>0</v>
      </c>
      <c r="AE21" s="24">
        <f ca="1">INDIRECT("'("&amp;$A$4&amp;")'!ae21")</f>
        <v>0</v>
      </c>
      <c r="AF21" s="24">
        <f ca="1">INDIRECT("'("&amp;$A$4&amp;")'!af21")</f>
        <v>0</v>
      </c>
      <c r="AG21" s="24">
        <f ca="1">INDIRECT("'("&amp;$A$4&amp;")'!ag21")</f>
        <v>0</v>
      </c>
      <c r="AH21" s="24">
        <f ca="1">INDIRECT("'("&amp;$A$4&amp;")'!ah21")</f>
        <v>1</v>
      </c>
      <c r="AI21" s="46">
        <f t="shared" ca="1" si="21"/>
        <v>0</v>
      </c>
      <c r="AJ21" s="46">
        <f t="shared" ca="1" si="22"/>
        <v>0.16666666666666666</v>
      </c>
      <c r="AK21" s="24"/>
      <c r="AL21" s="24">
        <f ca="1">INDIRECT("'("&amp;$A$4&amp;")'!al21")</f>
        <v>60</v>
      </c>
      <c r="AM21" s="24">
        <f ca="1">INDIRECT("'("&amp;$A$4&amp;")'!am21")</f>
        <v>0</v>
      </c>
      <c r="AN21" s="24">
        <f ca="1">INDIRECT("'("&amp;$A$4&amp;")'!an21")</f>
        <v>0</v>
      </c>
      <c r="AO21" s="24">
        <f ca="1">INDIRECT("'("&amp;$A$4&amp;")'!ao21")</f>
        <v>0</v>
      </c>
      <c r="AP21" s="24">
        <f ca="1">INDIRECT("'("&amp;$A$4&amp;")'!ap21")</f>
        <v>0</v>
      </c>
      <c r="AQ21" s="24">
        <f ca="1">INDIRECT("'("&amp;$A$4&amp;")'!aq21")</f>
        <v>8</v>
      </c>
      <c r="AR21" s="46">
        <f t="shared" ca="1" si="24"/>
        <v>0</v>
      </c>
      <c r="AS21" s="46">
        <f t="shared" ca="1" si="25"/>
        <v>0.11764705882352941</v>
      </c>
      <c r="AT21" s="24"/>
      <c r="AU21" s="22">
        <f t="shared" ca="1" si="26"/>
        <v>158</v>
      </c>
      <c r="AV21" s="22">
        <f t="shared" ca="1" si="27"/>
        <v>1</v>
      </c>
      <c r="AW21" s="22">
        <f t="shared" ca="1" si="28"/>
        <v>0</v>
      </c>
      <c r="AX21" s="22">
        <f t="shared" ca="1" si="29"/>
        <v>0</v>
      </c>
      <c r="AY21" s="22">
        <f t="shared" ca="1" si="30"/>
        <v>0</v>
      </c>
      <c r="AZ21" s="22">
        <f t="shared" ca="1" si="31"/>
        <v>25</v>
      </c>
      <c r="BA21" s="46">
        <f t="shared" ca="1" si="32"/>
        <v>6.2893081761006293E-3</v>
      </c>
      <c r="BB21" s="46">
        <f t="shared" ca="1" si="33"/>
        <v>0.1358695652173913</v>
      </c>
      <c r="BC21" s="19"/>
      <c r="BD21" s="19"/>
      <c r="BE21" s="19"/>
      <c r="BF21" s="19"/>
      <c r="BG21" s="19"/>
      <c r="BH21" s="19"/>
      <c r="BI21" s="19"/>
      <c r="BJ21" s="19"/>
      <c r="BK21" s="19"/>
    </row>
    <row r="22" spans="1:63" s="8" customFormat="1" ht="15" customHeight="1" x14ac:dyDescent="0.3">
      <c r="A22" s="2" t="s">
        <v>29</v>
      </c>
      <c r="B22" s="24">
        <f ca="1">INDIRECT("'("&amp;$A$4&amp;")'!b22")</f>
        <v>9</v>
      </c>
      <c r="C22" s="24">
        <f ca="1">INDIRECT("'("&amp;$A$4&amp;")'!c22")</f>
        <v>0</v>
      </c>
      <c r="D22" s="24">
        <f ca="1">INDIRECT("'("&amp;$A$4&amp;")'!d22")</f>
        <v>0</v>
      </c>
      <c r="E22" s="24">
        <f ca="1">INDIRECT("'("&amp;$A$4&amp;")'!e22")</f>
        <v>0</v>
      </c>
      <c r="F22" s="24">
        <f ca="1">INDIRECT("'("&amp;$A$4&amp;")'!f22")</f>
        <v>0</v>
      </c>
      <c r="G22" s="24">
        <f ca="1">INDIRECT("'("&amp;$A$4&amp;")'!g22")</f>
        <v>8</v>
      </c>
      <c r="H22" s="46">
        <f t="shared" ca="1" si="7"/>
        <v>0</v>
      </c>
      <c r="I22" s="46">
        <f t="shared" ca="1" si="8"/>
        <v>0.47058823529411764</v>
      </c>
      <c r="J22" s="24"/>
      <c r="K22" s="24">
        <f ca="1">INDIRECT("'("&amp;$A$4&amp;")'!k22")</f>
        <v>8</v>
      </c>
      <c r="L22" s="24">
        <f ca="1">INDIRECT("'("&amp;$A$4&amp;")'!l22")</f>
        <v>0</v>
      </c>
      <c r="M22" s="24">
        <f ca="1">INDIRECT("'("&amp;$A$4&amp;")'!m22")</f>
        <v>0</v>
      </c>
      <c r="N22" s="24">
        <f ca="1">INDIRECT("'("&amp;$A$4&amp;")'!n22")</f>
        <v>0</v>
      </c>
      <c r="O22" s="24">
        <f ca="1">INDIRECT("'("&amp;$A$4&amp;")'!o22")</f>
        <v>0</v>
      </c>
      <c r="P22" s="24">
        <f ca="1">INDIRECT("'("&amp;$A$4&amp;")'!p22")</f>
        <v>20</v>
      </c>
      <c r="Q22" s="46">
        <f t="shared" ca="1" si="10"/>
        <v>0</v>
      </c>
      <c r="R22" s="46">
        <f t="shared" ca="1" si="11"/>
        <v>0.7142857142857143</v>
      </c>
      <c r="S22" s="24"/>
      <c r="T22" s="22">
        <f t="shared" ca="1" si="12"/>
        <v>17</v>
      </c>
      <c r="U22" s="22">
        <f t="shared" ca="1" si="13"/>
        <v>0</v>
      </c>
      <c r="V22" s="22">
        <f t="shared" ca="1" si="14"/>
        <v>0</v>
      </c>
      <c r="W22" s="22">
        <f t="shared" ca="1" si="15"/>
        <v>0</v>
      </c>
      <c r="X22" s="22">
        <f t="shared" ca="1" si="16"/>
        <v>0</v>
      </c>
      <c r="Y22" s="22">
        <f t="shared" ca="1" si="17"/>
        <v>28</v>
      </c>
      <c r="Z22" s="46">
        <f t="shared" ca="1" si="18"/>
        <v>0</v>
      </c>
      <c r="AA22" s="46">
        <f t="shared" ca="1" si="19"/>
        <v>0.62222222222222223</v>
      </c>
      <c r="AB22" s="24"/>
      <c r="AC22" s="24">
        <f ca="1">INDIRECT("'("&amp;$A$4&amp;")'!ac22")</f>
        <v>0</v>
      </c>
      <c r="AD22" s="24">
        <f ca="1">INDIRECT("'("&amp;$A$4&amp;")'!ad22")</f>
        <v>0</v>
      </c>
      <c r="AE22" s="24">
        <f ca="1">INDIRECT("'("&amp;$A$4&amp;")'!ae22")</f>
        <v>0</v>
      </c>
      <c r="AF22" s="24">
        <f ca="1">INDIRECT("'("&amp;$A$4&amp;")'!af22")</f>
        <v>0</v>
      </c>
      <c r="AG22" s="24">
        <f ca="1">INDIRECT("'("&amp;$A$4&amp;")'!ag22")</f>
        <v>0</v>
      </c>
      <c r="AH22" s="24">
        <f ca="1">INDIRECT("'("&amp;$A$4&amp;")'!ah22")</f>
        <v>0</v>
      </c>
      <c r="AI22" s="46" t="str">
        <f t="shared" ca="1" si="21"/>
        <v>-</v>
      </c>
      <c r="AJ22" s="46" t="str">
        <f t="shared" ca="1" si="22"/>
        <v>-</v>
      </c>
      <c r="AK22" s="24"/>
      <c r="AL22" s="24">
        <f ca="1">INDIRECT("'("&amp;$A$4&amp;")'!al22")</f>
        <v>4</v>
      </c>
      <c r="AM22" s="24">
        <f ca="1">INDIRECT("'("&amp;$A$4&amp;")'!am22")</f>
        <v>0</v>
      </c>
      <c r="AN22" s="24">
        <f ca="1">INDIRECT("'("&amp;$A$4&amp;")'!an22")</f>
        <v>0</v>
      </c>
      <c r="AO22" s="24">
        <f ca="1">INDIRECT("'("&amp;$A$4&amp;")'!ao22")</f>
        <v>0</v>
      </c>
      <c r="AP22" s="24">
        <f ca="1">INDIRECT("'("&amp;$A$4&amp;")'!ap22")</f>
        <v>0</v>
      </c>
      <c r="AQ22" s="24">
        <f ca="1">INDIRECT("'("&amp;$A$4&amp;")'!aq22")</f>
        <v>6</v>
      </c>
      <c r="AR22" s="46">
        <f t="shared" ca="1" si="24"/>
        <v>0</v>
      </c>
      <c r="AS22" s="46">
        <f t="shared" ca="1" si="25"/>
        <v>0.6</v>
      </c>
      <c r="AT22" s="24"/>
      <c r="AU22" s="22">
        <f t="shared" ca="1" si="26"/>
        <v>21</v>
      </c>
      <c r="AV22" s="22">
        <f t="shared" ca="1" si="27"/>
        <v>0</v>
      </c>
      <c r="AW22" s="22">
        <f t="shared" ca="1" si="28"/>
        <v>0</v>
      </c>
      <c r="AX22" s="22">
        <f t="shared" ca="1" si="29"/>
        <v>0</v>
      </c>
      <c r="AY22" s="22">
        <f t="shared" ca="1" si="30"/>
        <v>0</v>
      </c>
      <c r="AZ22" s="22">
        <f t="shared" ca="1" si="31"/>
        <v>34</v>
      </c>
      <c r="BA22" s="46">
        <f t="shared" ca="1" si="32"/>
        <v>0</v>
      </c>
      <c r="BB22" s="46">
        <f t="shared" ca="1" si="33"/>
        <v>0.61818181818181817</v>
      </c>
      <c r="BC22" s="19"/>
      <c r="BD22" s="19"/>
      <c r="BE22" s="19"/>
      <c r="BF22" s="19"/>
      <c r="BG22" s="19"/>
      <c r="BH22" s="19"/>
      <c r="BI22" s="19"/>
      <c r="BJ22" s="19"/>
      <c r="BK22" s="19"/>
    </row>
    <row r="23" spans="1:63" s="8" customFormat="1" ht="15" customHeight="1" x14ac:dyDescent="0.3">
      <c r="A23" s="2" t="s">
        <v>30</v>
      </c>
      <c r="B23" s="24">
        <f ca="1">INDIRECT("'("&amp;$A$4&amp;")'!b23")</f>
        <v>10</v>
      </c>
      <c r="C23" s="24">
        <f ca="1">INDIRECT("'("&amp;$A$4&amp;")'!c23")</f>
        <v>0</v>
      </c>
      <c r="D23" s="24">
        <f ca="1">INDIRECT("'("&amp;$A$4&amp;")'!d23")</f>
        <v>0</v>
      </c>
      <c r="E23" s="24">
        <f ca="1">INDIRECT("'("&amp;$A$4&amp;")'!e23")</f>
        <v>0</v>
      </c>
      <c r="F23" s="24">
        <f ca="1">INDIRECT("'("&amp;$A$4&amp;")'!f23")</f>
        <v>0</v>
      </c>
      <c r="G23" s="24">
        <f ca="1">INDIRECT("'("&amp;$A$4&amp;")'!g23")</f>
        <v>5</v>
      </c>
      <c r="H23" s="46">
        <f t="shared" ca="1" si="7"/>
        <v>0</v>
      </c>
      <c r="I23" s="46">
        <f t="shared" ca="1" si="8"/>
        <v>0.33333333333333331</v>
      </c>
      <c r="J23" s="24"/>
      <c r="K23" s="24">
        <f ca="1">INDIRECT("'("&amp;$A$4&amp;")'!k23")</f>
        <v>18</v>
      </c>
      <c r="L23" s="24">
        <f ca="1">INDIRECT("'("&amp;$A$4&amp;")'!l23")</f>
        <v>2</v>
      </c>
      <c r="M23" s="24">
        <f ca="1">INDIRECT("'("&amp;$A$4&amp;")'!m23")</f>
        <v>0</v>
      </c>
      <c r="N23" s="24">
        <f ca="1">INDIRECT("'("&amp;$A$4&amp;")'!n23")</f>
        <v>0</v>
      </c>
      <c r="O23" s="24">
        <f ca="1">INDIRECT("'("&amp;$A$4&amp;")'!o23")</f>
        <v>0</v>
      </c>
      <c r="P23" s="24">
        <f ca="1">INDIRECT("'("&amp;$A$4&amp;")'!p23")</f>
        <v>6</v>
      </c>
      <c r="Q23" s="46">
        <f t="shared" ca="1" si="10"/>
        <v>0.1</v>
      </c>
      <c r="R23" s="46">
        <f t="shared" ca="1" si="11"/>
        <v>0.23076923076923078</v>
      </c>
      <c r="S23" s="24"/>
      <c r="T23" s="22">
        <f t="shared" ca="1" si="12"/>
        <v>28</v>
      </c>
      <c r="U23" s="22">
        <f t="shared" ca="1" si="13"/>
        <v>2</v>
      </c>
      <c r="V23" s="22">
        <f t="shared" ca="1" si="14"/>
        <v>0</v>
      </c>
      <c r="W23" s="22">
        <f t="shared" ca="1" si="15"/>
        <v>0</v>
      </c>
      <c r="X23" s="22">
        <f t="shared" ca="1" si="16"/>
        <v>0</v>
      </c>
      <c r="Y23" s="22">
        <f t="shared" ca="1" si="17"/>
        <v>11</v>
      </c>
      <c r="Z23" s="46">
        <f t="shared" ca="1" si="18"/>
        <v>6.6666666666666666E-2</v>
      </c>
      <c r="AA23" s="46">
        <f t="shared" ca="1" si="19"/>
        <v>0.26829268292682928</v>
      </c>
      <c r="AB23" s="24"/>
      <c r="AC23" s="24">
        <f ca="1">INDIRECT("'("&amp;$A$4&amp;")'!ac23")</f>
        <v>4</v>
      </c>
      <c r="AD23" s="24">
        <f ca="1">INDIRECT("'("&amp;$A$4&amp;")'!ad23")</f>
        <v>0</v>
      </c>
      <c r="AE23" s="24">
        <f ca="1">INDIRECT("'("&amp;$A$4&amp;")'!ae23")</f>
        <v>0</v>
      </c>
      <c r="AF23" s="24">
        <f ca="1">INDIRECT("'("&amp;$A$4&amp;")'!af23")</f>
        <v>0</v>
      </c>
      <c r="AG23" s="24">
        <f ca="1">INDIRECT("'("&amp;$A$4&amp;")'!ag23")</f>
        <v>0</v>
      </c>
      <c r="AH23" s="24">
        <f ca="1">INDIRECT("'("&amp;$A$4&amp;")'!ah23")</f>
        <v>0</v>
      </c>
      <c r="AI23" s="46">
        <f t="shared" ca="1" si="21"/>
        <v>0</v>
      </c>
      <c r="AJ23" s="46">
        <f t="shared" ca="1" si="22"/>
        <v>0</v>
      </c>
      <c r="AK23" s="24"/>
      <c r="AL23" s="24">
        <f ca="1">INDIRECT("'("&amp;$A$4&amp;")'!al23")</f>
        <v>16</v>
      </c>
      <c r="AM23" s="24">
        <f ca="1">INDIRECT("'("&amp;$A$4&amp;")'!am23")</f>
        <v>1</v>
      </c>
      <c r="AN23" s="24">
        <f ca="1">INDIRECT("'("&amp;$A$4&amp;")'!an23")</f>
        <v>0</v>
      </c>
      <c r="AO23" s="24">
        <f ca="1">INDIRECT("'("&amp;$A$4&amp;")'!ao23")</f>
        <v>0</v>
      </c>
      <c r="AP23" s="24">
        <f ca="1">INDIRECT("'("&amp;$A$4&amp;")'!ap23")</f>
        <v>0</v>
      </c>
      <c r="AQ23" s="24">
        <f ca="1">INDIRECT("'("&amp;$A$4&amp;")'!aq23")</f>
        <v>2</v>
      </c>
      <c r="AR23" s="46">
        <f t="shared" ca="1" si="24"/>
        <v>5.8823529411764705E-2</v>
      </c>
      <c r="AS23" s="46">
        <f t="shared" ca="1" si="25"/>
        <v>0.10526315789473684</v>
      </c>
      <c r="AT23" s="24"/>
      <c r="AU23" s="22">
        <f t="shared" ca="1" si="26"/>
        <v>48</v>
      </c>
      <c r="AV23" s="22">
        <f t="shared" ca="1" si="27"/>
        <v>3</v>
      </c>
      <c r="AW23" s="22">
        <f t="shared" ca="1" si="28"/>
        <v>0</v>
      </c>
      <c r="AX23" s="22">
        <f t="shared" ca="1" si="29"/>
        <v>0</v>
      </c>
      <c r="AY23" s="22">
        <f t="shared" ca="1" si="30"/>
        <v>0</v>
      </c>
      <c r="AZ23" s="22">
        <f t="shared" ca="1" si="31"/>
        <v>13</v>
      </c>
      <c r="BA23" s="46">
        <f t="shared" ca="1" si="32"/>
        <v>5.8823529411764705E-2</v>
      </c>
      <c r="BB23" s="46">
        <f t="shared" ca="1" si="33"/>
        <v>0.203125</v>
      </c>
      <c r="BC23" s="19"/>
      <c r="BD23" s="19"/>
      <c r="BE23" s="19"/>
      <c r="BF23" s="19"/>
      <c r="BG23" s="19"/>
      <c r="BH23" s="19"/>
      <c r="BI23" s="19"/>
      <c r="BJ23" s="19"/>
      <c r="BK23" s="19"/>
    </row>
    <row r="24" spans="1:63" s="8" customFormat="1" ht="15" customHeight="1" x14ac:dyDescent="0.3">
      <c r="A24" s="2" t="s">
        <v>31</v>
      </c>
      <c r="B24" s="24">
        <f ca="1">INDIRECT("'("&amp;$A$4&amp;")'!b24")</f>
        <v>24</v>
      </c>
      <c r="C24" s="24">
        <f ca="1">INDIRECT("'("&amp;$A$4&amp;")'!c24")</f>
        <v>2</v>
      </c>
      <c r="D24" s="24">
        <f ca="1">INDIRECT("'("&amp;$A$4&amp;")'!d24")</f>
        <v>0</v>
      </c>
      <c r="E24" s="24">
        <f ca="1">INDIRECT("'("&amp;$A$4&amp;")'!e24")</f>
        <v>0</v>
      </c>
      <c r="F24" s="24">
        <f ca="1">INDIRECT("'("&amp;$A$4&amp;")'!f24")</f>
        <v>0</v>
      </c>
      <c r="G24" s="24">
        <f ca="1">INDIRECT("'("&amp;$A$4&amp;")'!g24")</f>
        <v>4</v>
      </c>
      <c r="H24" s="46">
        <f t="shared" ca="1" si="7"/>
        <v>7.6923076923076927E-2</v>
      </c>
      <c r="I24" s="46">
        <f t="shared" ca="1" si="8"/>
        <v>0.13333333333333333</v>
      </c>
      <c r="J24" s="24"/>
      <c r="K24" s="24">
        <f ca="1">INDIRECT("'("&amp;$A$4&amp;")'!k24")</f>
        <v>44</v>
      </c>
      <c r="L24" s="24">
        <f ca="1">INDIRECT("'("&amp;$A$4&amp;")'!l24")</f>
        <v>0</v>
      </c>
      <c r="M24" s="24">
        <f ca="1">INDIRECT("'("&amp;$A$4&amp;")'!m24")</f>
        <v>0</v>
      </c>
      <c r="N24" s="24">
        <f ca="1">INDIRECT("'("&amp;$A$4&amp;")'!n24")</f>
        <v>1</v>
      </c>
      <c r="O24" s="24">
        <f ca="1">INDIRECT("'("&amp;$A$4&amp;")'!o24")</f>
        <v>0</v>
      </c>
      <c r="P24" s="24">
        <f ca="1">INDIRECT("'("&amp;$A$4&amp;")'!p24")</f>
        <v>35</v>
      </c>
      <c r="Q24" s="46">
        <f t="shared" ca="1" si="10"/>
        <v>2.2222222222222223E-2</v>
      </c>
      <c r="R24" s="46">
        <f t="shared" ca="1" si="11"/>
        <v>0.4375</v>
      </c>
      <c r="S24" s="24"/>
      <c r="T24" s="22">
        <f t="shared" ca="1" si="12"/>
        <v>68</v>
      </c>
      <c r="U24" s="22">
        <f t="shared" ca="1" si="13"/>
        <v>2</v>
      </c>
      <c r="V24" s="22">
        <f t="shared" ca="1" si="14"/>
        <v>0</v>
      </c>
      <c r="W24" s="22">
        <f t="shared" ca="1" si="15"/>
        <v>1</v>
      </c>
      <c r="X24" s="22">
        <f t="shared" ca="1" si="16"/>
        <v>0</v>
      </c>
      <c r="Y24" s="22">
        <f t="shared" ca="1" si="17"/>
        <v>39</v>
      </c>
      <c r="Z24" s="46">
        <f t="shared" ca="1" si="18"/>
        <v>4.2253521126760563E-2</v>
      </c>
      <c r="AA24" s="46">
        <f t="shared" ca="1" si="19"/>
        <v>0.35454545454545455</v>
      </c>
      <c r="AB24" s="24"/>
      <c r="AC24" s="24">
        <f ca="1">INDIRECT("'("&amp;$A$4&amp;")'!ac24")</f>
        <v>2</v>
      </c>
      <c r="AD24" s="24">
        <f ca="1">INDIRECT("'("&amp;$A$4&amp;")'!ad24")</f>
        <v>0</v>
      </c>
      <c r="AE24" s="24">
        <f ca="1">INDIRECT("'("&amp;$A$4&amp;")'!ae24")</f>
        <v>0</v>
      </c>
      <c r="AF24" s="24">
        <f ca="1">INDIRECT("'("&amp;$A$4&amp;")'!af24")</f>
        <v>0</v>
      </c>
      <c r="AG24" s="24">
        <f ca="1">INDIRECT("'("&amp;$A$4&amp;")'!ag24")</f>
        <v>0</v>
      </c>
      <c r="AH24" s="24">
        <f ca="1">INDIRECT("'("&amp;$A$4&amp;")'!ah24")</f>
        <v>0</v>
      </c>
      <c r="AI24" s="46">
        <f t="shared" ca="1" si="21"/>
        <v>0</v>
      </c>
      <c r="AJ24" s="46">
        <f t="shared" ca="1" si="22"/>
        <v>0</v>
      </c>
      <c r="AK24" s="24"/>
      <c r="AL24" s="24">
        <f ca="1">INDIRECT("'("&amp;$A$4&amp;")'!al24")</f>
        <v>38</v>
      </c>
      <c r="AM24" s="24">
        <f ca="1">INDIRECT("'("&amp;$A$4&amp;")'!am24")</f>
        <v>1</v>
      </c>
      <c r="AN24" s="24">
        <f ca="1">INDIRECT("'("&amp;$A$4&amp;")'!an24")</f>
        <v>0</v>
      </c>
      <c r="AO24" s="24">
        <f ca="1">INDIRECT("'("&amp;$A$4&amp;")'!ao24")</f>
        <v>1</v>
      </c>
      <c r="AP24" s="24">
        <f ca="1">INDIRECT("'("&amp;$A$4&amp;")'!ap24")</f>
        <v>1</v>
      </c>
      <c r="AQ24" s="24">
        <f ca="1">INDIRECT("'("&amp;$A$4&amp;")'!aq24")</f>
        <v>19</v>
      </c>
      <c r="AR24" s="46">
        <f t="shared" ca="1" si="24"/>
        <v>7.3170731707317069E-2</v>
      </c>
      <c r="AS24" s="46">
        <f t="shared" ca="1" si="25"/>
        <v>0.31666666666666665</v>
      </c>
      <c r="AT24" s="24"/>
      <c r="AU24" s="22">
        <f t="shared" ca="1" si="26"/>
        <v>108</v>
      </c>
      <c r="AV24" s="22">
        <f t="shared" ca="1" si="27"/>
        <v>3</v>
      </c>
      <c r="AW24" s="22">
        <f t="shared" ca="1" si="28"/>
        <v>0</v>
      </c>
      <c r="AX24" s="22">
        <f t="shared" ca="1" si="29"/>
        <v>2</v>
      </c>
      <c r="AY24" s="22">
        <f t="shared" ca="1" si="30"/>
        <v>1</v>
      </c>
      <c r="AZ24" s="22">
        <f t="shared" ca="1" si="31"/>
        <v>58</v>
      </c>
      <c r="BA24" s="46">
        <f t="shared" ca="1" si="32"/>
        <v>5.2631578947368418E-2</v>
      </c>
      <c r="BB24" s="46">
        <f t="shared" ca="1" si="33"/>
        <v>0.33720930232558138</v>
      </c>
      <c r="BC24" s="19"/>
      <c r="BD24" s="19"/>
      <c r="BE24" s="19"/>
      <c r="BF24" s="19"/>
      <c r="BG24" s="19"/>
      <c r="BH24" s="19"/>
      <c r="BI24" s="19"/>
      <c r="BJ24" s="19"/>
      <c r="BK24" s="19"/>
    </row>
    <row r="25" spans="1:63" s="8" customFormat="1" ht="15" customHeight="1" x14ac:dyDescent="0.3">
      <c r="A25" s="2" t="s">
        <v>32</v>
      </c>
      <c r="B25" s="24">
        <f ca="1">INDIRECT("'("&amp;$A$4&amp;")'!b25")</f>
        <v>7</v>
      </c>
      <c r="C25" s="24">
        <f ca="1">INDIRECT("'("&amp;$A$4&amp;")'!c25")</f>
        <v>0</v>
      </c>
      <c r="D25" s="24">
        <f ca="1">INDIRECT("'("&amp;$A$4&amp;")'!d25")</f>
        <v>0</v>
      </c>
      <c r="E25" s="24">
        <f ca="1">INDIRECT("'("&amp;$A$4&amp;")'!e25")</f>
        <v>0</v>
      </c>
      <c r="F25" s="24">
        <f ca="1">INDIRECT("'("&amp;$A$4&amp;")'!f25")</f>
        <v>0</v>
      </c>
      <c r="G25" s="24">
        <f ca="1">INDIRECT("'("&amp;$A$4&amp;")'!g25")</f>
        <v>1</v>
      </c>
      <c r="H25" s="46">
        <f t="shared" ca="1" si="7"/>
        <v>0</v>
      </c>
      <c r="I25" s="46">
        <f t="shared" ca="1" si="8"/>
        <v>0.125</v>
      </c>
      <c r="J25" s="24"/>
      <c r="K25" s="24">
        <f ca="1">INDIRECT("'("&amp;$A$4&amp;")'!k25")</f>
        <v>10</v>
      </c>
      <c r="L25" s="24">
        <f ca="1">INDIRECT("'("&amp;$A$4&amp;")'!l25")</f>
        <v>1</v>
      </c>
      <c r="M25" s="24">
        <f ca="1">INDIRECT("'("&amp;$A$4&amp;")'!m25")</f>
        <v>0</v>
      </c>
      <c r="N25" s="24">
        <f ca="1">INDIRECT("'("&amp;$A$4&amp;")'!n25")</f>
        <v>0</v>
      </c>
      <c r="O25" s="24">
        <f ca="1">INDIRECT("'("&amp;$A$4&amp;")'!o25")</f>
        <v>0</v>
      </c>
      <c r="P25" s="24">
        <f ca="1">INDIRECT("'("&amp;$A$4&amp;")'!p25")</f>
        <v>25</v>
      </c>
      <c r="Q25" s="46">
        <f t="shared" ca="1" si="10"/>
        <v>9.0909090909090912E-2</v>
      </c>
      <c r="R25" s="46">
        <f t="shared" ca="1" si="11"/>
        <v>0.69444444444444442</v>
      </c>
      <c r="S25" s="24"/>
      <c r="T25" s="22">
        <f t="shared" ca="1" si="12"/>
        <v>17</v>
      </c>
      <c r="U25" s="22">
        <f t="shared" ca="1" si="13"/>
        <v>1</v>
      </c>
      <c r="V25" s="22">
        <f t="shared" ca="1" si="14"/>
        <v>0</v>
      </c>
      <c r="W25" s="22">
        <f t="shared" ca="1" si="15"/>
        <v>0</v>
      </c>
      <c r="X25" s="22">
        <f t="shared" ca="1" si="16"/>
        <v>0</v>
      </c>
      <c r="Y25" s="22">
        <f t="shared" ca="1" si="17"/>
        <v>26</v>
      </c>
      <c r="Z25" s="46">
        <f t="shared" ca="1" si="18"/>
        <v>5.5555555555555552E-2</v>
      </c>
      <c r="AA25" s="46">
        <f t="shared" ca="1" si="19"/>
        <v>0.59090909090909094</v>
      </c>
      <c r="AB25" s="24"/>
      <c r="AC25" s="24">
        <f ca="1">INDIRECT("'("&amp;$A$4&amp;")'!ac25")</f>
        <v>2</v>
      </c>
      <c r="AD25" s="24">
        <f ca="1">INDIRECT("'("&amp;$A$4&amp;")'!ad25")</f>
        <v>0</v>
      </c>
      <c r="AE25" s="24">
        <f ca="1">INDIRECT("'("&amp;$A$4&amp;")'!ae25")</f>
        <v>0</v>
      </c>
      <c r="AF25" s="24">
        <f ca="1">INDIRECT("'("&amp;$A$4&amp;")'!af25")</f>
        <v>0</v>
      </c>
      <c r="AG25" s="24">
        <f ca="1">INDIRECT("'("&amp;$A$4&amp;")'!ag25")</f>
        <v>0</v>
      </c>
      <c r="AH25" s="24">
        <f ca="1">INDIRECT("'("&amp;$A$4&amp;")'!ah25")</f>
        <v>0</v>
      </c>
      <c r="AI25" s="46">
        <f t="shared" ca="1" si="21"/>
        <v>0</v>
      </c>
      <c r="AJ25" s="46">
        <f t="shared" ca="1" si="22"/>
        <v>0</v>
      </c>
      <c r="AK25" s="24"/>
      <c r="AL25" s="24">
        <f ca="1">INDIRECT("'("&amp;$A$4&amp;")'!al25")</f>
        <v>6</v>
      </c>
      <c r="AM25" s="24">
        <f ca="1">INDIRECT("'("&amp;$A$4&amp;")'!am25")</f>
        <v>0</v>
      </c>
      <c r="AN25" s="24">
        <f ca="1">INDIRECT("'("&amp;$A$4&amp;")'!an25")</f>
        <v>0</v>
      </c>
      <c r="AO25" s="24">
        <f ca="1">INDIRECT("'("&amp;$A$4&amp;")'!ao25")</f>
        <v>0</v>
      </c>
      <c r="AP25" s="24">
        <f ca="1">INDIRECT("'("&amp;$A$4&amp;")'!ap25")</f>
        <v>0</v>
      </c>
      <c r="AQ25" s="24">
        <f ca="1">INDIRECT("'("&amp;$A$4&amp;")'!aq25")</f>
        <v>1</v>
      </c>
      <c r="AR25" s="46">
        <f t="shared" ca="1" si="24"/>
        <v>0</v>
      </c>
      <c r="AS25" s="46">
        <f t="shared" ca="1" si="25"/>
        <v>0.14285714285714285</v>
      </c>
      <c r="AT25" s="24"/>
      <c r="AU25" s="22">
        <f t="shared" ca="1" si="26"/>
        <v>25</v>
      </c>
      <c r="AV25" s="22">
        <f t="shared" ca="1" si="27"/>
        <v>1</v>
      </c>
      <c r="AW25" s="22">
        <f t="shared" ca="1" si="28"/>
        <v>0</v>
      </c>
      <c r="AX25" s="22">
        <f t="shared" ca="1" si="29"/>
        <v>0</v>
      </c>
      <c r="AY25" s="22">
        <f t="shared" ca="1" si="30"/>
        <v>0</v>
      </c>
      <c r="AZ25" s="22">
        <f t="shared" ca="1" si="31"/>
        <v>27</v>
      </c>
      <c r="BA25" s="46">
        <f t="shared" ca="1" si="32"/>
        <v>3.8461538461538464E-2</v>
      </c>
      <c r="BB25" s="46">
        <f t="shared" ca="1" si="33"/>
        <v>0.50943396226415094</v>
      </c>
      <c r="BC25" s="19"/>
      <c r="BD25" s="19"/>
      <c r="BE25" s="19"/>
      <c r="BF25" s="19"/>
      <c r="BG25" s="19"/>
      <c r="BH25" s="19"/>
      <c r="BI25" s="19"/>
      <c r="BJ25" s="19"/>
      <c r="BK25" s="19"/>
    </row>
    <row r="26" spans="1:63" s="8" customFormat="1" ht="15" customHeight="1" x14ac:dyDescent="0.3">
      <c r="A26" s="2" t="s">
        <v>33</v>
      </c>
      <c r="B26" s="24">
        <f ca="1">INDIRECT("'("&amp;$A$4&amp;")'!b26")</f>
        <v>27</v>
      </c>
      <c r="C26" s="24">
        <f ca="1">INDIRECT("'("&amp;$A$4&amp;")'!c26")</f>
        <v>0</v>
      </c>
      <c r="D26" s="24">
        <f ca="1">INDIRECT("'("&amp;$A$4&amp;")'!d26")</f>
        <v>0</v>
      </c>
      <c r="E26" s="24">
        <f ca="1">INDIRECT("'("&amp;$A$4&amp;")'!e26")</f>
        <v>1</v>
      </c>
      <c r="F26" s="24">
        <f ca="1">INDIRECT("'("&amp;$A$4&amp;")'!f26")</f>
        <v>1</v>
      </c>
      <c r="G26" s="24">
        <f ca="1">INDIRECT("'("&amp;$A$4&amp;")'!g26")</f>
        <v>0</v>
      </c>
      <c r="H26" s="46">
        <f t="shared" ca="1" si="7"/>
        <v>6.8965517241379309E-2</v>
      </c>
      <c r="I26" s="46">
        <f t="shared" ca="1" si="8"/>
        <v>0</v>
      </c>
      <c r="J26" s="24"/>
      <c r="K26" s="24">
        <f ca="1">INDIRECT("'("&amp;$A$4&amp;")'!k26")</f>
        <v>67</v>
      </c>
      <c r="L26" s="24">
        <f ca="1">INDIRECT("'("&amp;$A$4&amp;")'!l26")</f>
        <v>0</v>
      </c>
      <c r="M26" s="24">
        <f ca="1">INDIRECT("'("&amp;$A$4&amp;")'!m26")</f>
        <v>0</v>
      </c>
      <c r="N26" s="24">
        <f ca="1">INDIRECT("'("&amp;$A$4&amp;")'!n26")</f>
        <v>1</v>
      </c>
      <c r="O26" s="24">
        <f ca="1">INDIRECT("'("&amp;$A$4&amp;")'!o26")</f>
        <v>1</v>
      </c>
      <c r="P26" s="24">
        <f ca="1">INDIRECT("'("&amp;$A$4&amp;")'!p26")</f>
        <v>1</v>
      </c>
      <c r="Q26" s="46">
        <f t="shared" ca="1" si="10"/>
        <v>2.8985507246376812E-2</v>
      </c>
      <c r="R26" s="46">
        <f t="shared" ca="1" si="11"/>
        <v>1.4285714285714285E-2</v>
      </c>
      <c r="S26" s="24"/>
      <c r="T26" s="22">
        <f t="shared" ca="1" si="12"/>
        <v>94</v>
      </c>
      <c r="U26" s="22">
        <f t="shared" ca="1" si="13"/>
        <v>0</v>
      </c>
      <c r="V26" s="22">
        <f t="shared" ca="1" si="14"/>
        <v>0</v>
      </c>
      <c r="W26" s="22">
        <f t="shared" ca="1" si="15"/>
        <v>2</v>
      </c>
      <c r="X26" s="22">
        <f t="shared" ca="1" si="16"/>
        <v>2</v>
      </c>
      <c r="Y26" s="22">
        <f t="shared" ca="1" si="17"/>
        <v>1</v>
      </c>
      <c r="Z26" s="46">
        <f t="shared" ca="1" si="18"/>
        <v>4.0816326530612242E-2</v>
      </c>
      <c r="AA26" s="46">
        <f t="shared" ca="1" si="19"/>
        <v>1.0101010101010102E-2</v>
      </c>
      <c r="AB26" s="24"/>
      <c r="AC26" s="24">
        <f ca="1">INDIRECT("'("&amp;$A$4&amp;")'!ac26")</f>
        <v>2</v>
      </c>
      <c r="AD26" s="24">
        <f ca="1">INDIRECT("'("&amp;$A$4&amp;")'!ad26")</f>
        <v>0</v>
      </c>
      <c r="AE26" s="24">
        <f ca="1">INDIRECT("'("&amp;$A$4&amp;")'!ae26")</f>
        <v>0</v>
      </c>
      <c r="AF26" s="24">
        <f ca="1">INDIRECT("'("&amp;$A$4&amp;")'!af26")</f>
        <v>0</v>
      </c>
      <c r="AG26" s="24">
        <f ca="1">INDIRECT("'("&amp;$A$4&amp;")'!ag26")</f>
        <v>0</v>
      </c>
      <c r="AH26" s="24">
        <f ca="1">INDIRECT("'("&amp;$A$4&amp;")'!ah26")</f>
        <v>0</v>
      </c>
      <c r="AI26" s="46">
        <f t="shared" ca="1" si="21"/>
        <v>0</v>
      </c>
      <c r="AJ26" s="46">
        <f t="shared" ca="1" si="22"/>
        <v>0</v>
      </c>
      <c r="AK26" s="24"/>
      <c r="AL26" s="24">
        <f ca="1">INDIRECT("'("&amp;$A$4&amp;")'!al26")</f>
        <v>48</v>
      </c>
      <c r="AM26" s="24">
        <f ca="1">INDIRECT("'("&amp;$A$4&amp;")'!am26")</f>
        <v>1</v>
      </c>
      <c r="AN26" s="24">
        <f ca="1">INDIRECT("'("&amp;$A$4&amp;")'!an26")</f>
        <v>1</v>
      </c>
      <c r="AO26" s="24">
        <f ca="1">INDIRECT("'("&amp;$A$4&amp;")'!ao26")</f>
        <v>0</v>
      </c>
      <c r="AP26" s="24">
        <f ca="1">INDIRECT("'("&amp;$A$4&amp;")'!ap26")</f>
        <v>1</v>
      </c>
      <c r="AQ26" s="24">
        <f ca="1">INDIRECT("'("&amp;$A$4&amp;")'!aq26")</f>
        <v>1</v>
      </c>
      <c r="AR26" s="46">
        <f t="shared" ca="1" si="24"/>
        <v>5.8823529411764705E-2</v>
      </c>
      <c r="AS26" s="46">
        <f t="shared" ca="1" si="25"/>
        <v>1.9230769230769232E-2</v>
      </c>
      <c r="AT26" s="24"/>
      <c r="AU26" s="22">
        <f t="shared" ca="1" si="26"/>
        <v>144</v>
      </c>
      <c r="AV26" s="22">
        <f t="shared" ca="1" si="27"/>
        <v>1</v>
      </c>
      <c r="AW26" s="22">
        <f t="shared" ca="1" si="28"/>
        <v>1</v>
      </c>
      <c r="AX26" s="22">
        <f t="shared" ca="1" si="29"/>
        <v>2</v>
      </c>
      <c r="AY26" s="22">
        <f t="shared" ca="1" si="30"/>
        <v>3</v>
      </c>
      <c r="AZ26" s="22">
        <f t="shared" ca="1" si="31"/>
        <v>2</v>
      </c>
      <c r="BA26" s="46">
        <f t="shared" ca="1" si="32"/>
        <v>4.6357615894039736E-2</v>
      </c>
      <c r="BB26" s="46">
        <f t="shared" ca="1" si="33"/>
        <v>1.3071895424836602E-2</v>
      </c>
      <c r="BC26" s="19"/>
      <c r="BD26" s="19"/>
      <c r="BE26" s="19"/>
      <c r="BF26" s="19"/>
      <c r="BG26" s="19"/>
      <c r="BH26" s="19"/>
      <c r="BI26" s="19"/>
      <c r="BJ26" s="19"/>
      <c r="BK26" s="19"/>
    </row>
    <row r="27" spans="1:63" s="8" customFormat="1" ht="15" customHeight="1" x14ac:dyDescent="0.3">
      <c r="A27" s="2" t="s">
        <v>34</v>
      </c>
      <c r="B27" s="24">
        <f ca="1">INDIRECT("'("&amp;$A$4&amp;")'!b27")</f>
        <v>21</v>
      </c>
      <c r="C27" s="24">
        <f ca="1">INDIRECT("'("&amp;$A$4&amp;")'!c27")</f>
        <v>0</v>
      </c>
      <c r="D27" s="24">
        <f ca="1">INDIRECT("'("&amp;$A$4&amp;")'!d27")</f>
        <v>0</v>
      </c>
      <c r="E27" s="24">
        <f ca="1">INDIRECT("'("&amp;$A$4&amp;")'!e27")</f>
        <v>0</v>
      </c>
      <c r="F27" s="24">
        <f ca="1">INDIRECT("'("&amp;$A$4&amp;")'!f27")</f>
        <v>0</v>
      </c>
      <c r="G27" s="24">
        <f ca="1">INDIRECT("'("&amp;$A$4&amp;")'!g27")</f>
        <v>2</v>
      </c>
      <c r="H27" s="46">
        <f t="shared" ca="1" si="7"/>
        <v>0</v>
      </c>
      <c r="I27" s="46">
        <f t="shared" ca="1" si="8"/>
        <v>8.6956521739130432E-2</v>
      </c>
      <c r="J27" s="24"/>
      <c r="K27" s="24">
        <f ca="1">INDIRECT("'("&amp;$A$4&amp;")'!k27")</f>
        <v>38</v>
      </c>
      <c r="L27" s="24">
        <f ca="1">INDIRECT("'("&amp;$A$4&amp;")'!l27")</f>
        <v>1</v>
      </c>
      <c r="M27" s="24">
        <f ca="1">INDIRECT("'("&amp;$A$4&amp;")'!m27")</f>
        <v>0</v>
      </c>
      <c r="N27" s="24">
        <f ca="1">INDIRECT("'("&amp;$A$4&amp;")'!n27")</f>
        <v>0</v>
      </c>
      <c r="O27" s="24">
        <f ca="1">INDIRECT("'("&amp;$A$4&amp;")'!o27")</f>
        <v>1</v>
      </c>
      <c r="P27" s="24">
        <f ca="1">INDIRECT("'("&amp;$A$4&amp;")'!p27")</f>
        <v>9</v>
      </c>
      <c r="Q27" s="46">
        <f t="shared" ca="1" si="10"/>
        <v>0.05</v>
      </c>
      <c r="R27" s="46">
        <f t="shared" ca="1" si="11"/>
        <v>0.18367346938775511</v>
      </c>
      <c r="S27" s="24"/>
      <c r="T27" s="22">
        <f t="shared" ca="1" si="12"/>
        <v>59</v>
      </c>
      <c r="U27" s="22">
        <f t="shared" ca="1" si="13"/>
        <v>1</v>
      </c>
      <c r="V27" s="22">
        <f t="shared" ca="1" si="14"/>
        <v>0</v>
      </c>
      <c r="W27" s="22">
        <f t="shared" ca="1" si="15"/>
        <v>0</v>
      </c>
      <c r="X27" s="22">
        <f t="shared" ca="1" si="16"/>
        <v>1</v>
      </c>
      <c r="Y27" s="22">
        <f t="shared" ca="1" si="17"/>
        <v>11</v>
      </c>
      <c r="Z27" s="46">
        <f t="shared" ca="1" si="18"/>
        <v>3.2786885245901641E-2</v>
      </c>
      <c r="AA27" s="46">
        <f t="shared" ca="1" si="19"/>
        <v>0.15277777777777779</v>
      </c>
      <c r="AB27" s="24"/>
      <c r="AC27" s="24">
        <f ca="1">INDIRECT("'("&amp;$A$4&amp;")'!ac27")</f>
        <v>0</v>
      </c>
      <c r="AD27" s="24">
        <f ca="1">INDIRECT("'("&amp;$A$4&amp;")'!ad27")</f>
        <v>0</v>
      </c>
      <c r="AE27" s="24">
        <f ca="1">INDIRECT("'("&amp;$A$4&amp;")'!ae27")</f>
        <v>0</v>
      </c>
      <c r="AF27" s="24">
        <f ca="1">INDIRECT("'("&amp;$A$4&amp;")'!af27")</f>
        <v>0</v>
      </c>
      <c r="AG27" s="24">
        <f ca="1">INDIRECT("'("&amp;$A$4&amp;")'!ag27")</f>
        <v>0</v>
      </c>
      <c r="AH27" s="24">
        <f ca="1">INDIRECT("'("&amp;$A$4&amp;")'!ah27")</f>
        <v>0</v>
      </c>
      <c r="AI27" s="46" t="str">
        <f t="shared" ca="1" si="21"/>
        <v>-</v>
      </c>
      <c r="AJ27" s="46" t="str">
        <f t="shared" ca="1" si="22"/>
        <v>-</v>
      </c>
      <c r="AK27" s="24"/>
      <c r="AL27" s="24">
        <f ca="1">INDIRECT("'("&amp;$A$4&amp;")'!al27")</f>
        <v>20</v>
      </c>
      <c r="AM27" s="24">
        <f ca="1">INDIRECT("'("&amp;$A$4&amp;")'!am27")</f>
        <v>0</v>
      </c>
      <c r="AN27" s="24">
        <f ca="1">INDIRECT("'("&amp;$A$4&amp;")'!an27")</f>
        <v>0</v>
      </c>
      <c r="AO27" s="24">
        <f ca="1">INDIRECT("'("&amp;$A$4&amp;")'!ao27")</f>
        <v>0</v>
      </c>
      <c r="AP27" s="24">
        <f ca="1">INDIRECT("'("&amp;$A$4&amp;")'!ap27")</f>
        <v>0</v>
      </c>
      <c r="AQ27" s="24">
        <f ca="1">INDIRECT("'("&amp;$A$4&amp;")'!aq27")</f>
        <v>9</v>
      </c>
      <c r="AR27" s="46">
        <f t="shared" ca="1" si="24"/>
        <v>0</v>
      </c>
      <c r="AS27" s="46">
        <f t="shared" ca="1" si="25"/>
        <v>0.31034482758620691</v>
      </c>
      <c r="AT27" s="24"/>
      <c r="AU27" s="22">
        <f t="shared" ca="1" si="26"/>
        <v>79</v>
      </c>
      <c r="AV27" s="22">
        <f t="shared" ca="1" si="27"/>
        <v>1</v>
      </c>
      <c r="AW27" s="22">
        <f t="shared" ca="1" si="28"/>
        <v>0</v>
      </c>
      <c r="AX27" s="22">
        <f t="shared" ca="1" si="29"/>
        <v>0</v>
      </c>
      <c r="AY27" s="22">
        <f t="shared" ca="1" si="30"/>
        <v>1</v>
      </c>
      <c r="AZ27" s="22">
        <f t="shared" ca="1" si="31"/>
        <v>20</v>
      </c>
      <c r="BA27" s="46">
        <f t="shared" ca="1" si="32"/>
        <v>2.4691358024691357E-2</v>
      </c>
      <c r="BB27" s="46">
        <f t="shared" ca="1" si="33"/>
        <v>0.19801980198019803</v>
      </c>
      <c r="BC27" s="19"/>
      <c r="BD27" s="19"/>
      <c r="BE27" s="19"/>
      <c r="BF27" s="19"/>
      <c r="BG27" s="19"/>
      <c r="BH27" s="19"/>
      <c r="BI27" s="19"/>
      <c r="BJ27" s="19"/>
      <c r="BK27" s="19"/>
    </row>
    <row r="28" spans="1:63" s="8" customFormat="1" ht="15" customHeight="1" x14ac:dyDescent="0.3">
      <c r="A28" s="2" t="s">
        <v>35</v>
      </c>
      <c r="B28" s="24">
        <f ca="1">INDIRECT("'("&amp;$A$4&amp;")'!b28")</f>
        <v>66</v>
      </c>
      <c r="C28" s="24">
        <f ca="1">INDIRECT("'("&amp;$A$4&amp;")'!c28")</f>
        <v>6</v>
      </c>
      <c r="D28" s="24">
        <f ca="1">INDIRECT("'("&amp;$A$4&amp;")'!d28")</f>
        <v>0</v>
      </c>
      <c r="E28" s="24">
        <f ca="1">INDIRECT("'("&amp;$A$4&amp;")'!e28")</f>
        <v>2</v>
      </c>
      <c r="F28" s="24">
        <f ca="1">INDIRECT("'("&amp;$A$4&amp;")'!f28")</f>
        <v>0</v>
      </c>
      <c r="G28" s="24">
        <f ca="1">INDIRECT("'("&amp;$A$4&amp;")'!g28")</f>
        <v>0</v>
      </c>
      <c r="H28" s="46">
        <f t="shared" ca="1" si="7"/>
        <v>0.10810810810810811</v>
      </c>
      <c r="I28" s="46">
        <f t="shared" ca="1" si="8"/>
        <v>0</v>
      </c>
      <c r="J28" s="24"/>
      <c r="K28" s="24">
        <f ca="1">INDIRECT("'("&amp;$A$4&amp;")'!k28")</f>
        <v>22</v>
      </c>
      <c r="L28" s="24">
        <f ca="1">INDIRECT("'("&amp;$A$4&amp;")'!l28")</f>
        <v>0</v>
      </c>
      <c r="M28" s="24">
        <f ca="1">INDIRECT("'("&amp;$A$4&amp;")'!m28")</f>
        <v>0</v>
      </c>
      <c r="N28" s="24">
        <f ca="1">INDIRECT("'("&amp;$A$4&amp;")'!n28")</f>
        <v>0</v>
      </c>
      <c r="O28" s="24">
        <f ca="1">INDIRECT("'("&amp;$A$4&amp;")'!o28")</f>
        <v>0</v>
      </c>
      <c r="P28" s="24">
        <f ca="1">INDIRECT("'("&amp;$A$4&amp;")'!p28")</f>
        <v>0</v>
      </c>
      <c r="Q28" s="46">
        <f t="shared" ca="1" si="10"/>
        <v>0</v>
      </c>
      <c r="R28" s="46">
        <f t="shared" ca="1" si="11"/>
        <v>0</v>
      </c>
      <c r="S28" s="24"/>
      <c r="T28" s="22">
        <f t="shared" ca="1" si="12"/>
        <v>88</v>
      </c>
      <c r="U28" s="22">
        <f t="shared" ca="1" si="13"/>
        <v>6</v>
      </c>
      <c r="V28" s="22">
        <f t="shared" ca="1" si="14"/>
        <v>0</v>
      </c>
      <c r="W28" s="22">
        <f t="shared" ca="1" si="15"/>
        <v>2</v>
      </c>
      <c r="X28" s="22">
        <f t="shared" ca="1" si="16"/>
        <v>0</v>
      </c>
      <c r="Y28" s="22">
        <f t="shared" ca="1" si="17"/>
        <v>0</v>
      </c>
      <c r="Z28" s="46">
        <f t="shared" ca="1" si="18"/>
        <v>8.3333333333333329E-2</v>
      </c>
      <c r="AA28" s="46">
        <f t="shared" ca="1" si="19"/>
        <v>0</v>
      </c>
      <c r="AB28" s="24"/>
      <c r="AC28" s="24">
        <f ca="1">INDIRECT("'("&amp;$A$4&amp;")'!ac28")</f>
        <v>7</v>
      </c>
      <c r="AD28" s="24">
        <f ca="1">INDIRECT("'("&amp;$A$4&amp;")'!ad28")</f>
        <v>0</v>
      </c>
      <c r="AE28" s="24">
        <f ca="1">INDIRECT("'("&amp;$A$4&amp;")'!ae28")</f>
        <v>0</v>
      </c>
      <c r="AF28" s="24">
        <f ca="1">INDIRECT("'("&amp;$A$4&amp;")'!af28")</f>
        <v>0</v>
      </c>
      <c r="AG28" s="24">
        <f ca="1">INDIRECT("'("&amp;$A$4&amp;")'!ag28")</f>
        <v>0</v>
      </c>
      <c r="AH28" s="24">
        <f ca="1">INDIRECT("'("&amp;$A$4&amp;")'!ah28")</f>
        <v>2</v>
      </c>
      <c r="AI28" s="46">
        <f t="shared" ca="1" si="21"/>
        <v>0</v>
      </c>
      <c r="AJ28" s="46">
        <f t="shared" ca="1" si="22"/>
        <v>0.22222222222222221</v>
      </c>
      <c r="AK28" s="24"/>
      <c r="AL28" s="24">
        <f ca="1">INDIRECT("'("&amp;$A$4&amp;")'!al28")</f>
        <v>24</v>
      </c>
      <c r="AM28" s="24">
        <f ca="1">INDIRECT("'("&amp;$A$4&amp;")'!am28")</f>
        <v>0</v>
      </c>
      <c r="AN28" s="24">
        <f ca="1">INDIRECT("'("&amp;$A$4&amp;")'!an28")</f>
        <v>1</v>
      </c>
      <c r="AO28" s="24">
        <f ca="1">INDIRECT("'("&amp;$A$4&amp;")'!ao28")</f>
        <v>1</v>
      </c>
      <c r="AP28" s="24">
        <f ca="1">INDIRECT("'("&amp;$A$4&amp;")'!ap28")</f>
        <v>0</v>
      </c>
      <c r="AQ28" s="24">
        <f ca="1">INDIRECT("'("&amp;$A$4&amp;")'!aq28")</f>
        <v>1</v>
      </c>
      <c r="AR28" s="46">
        <f t="shared" ca="1" si="24"/>
        <v>7.6923076923076927E-2</v>
      </c>
      <c r="AS28" s="46">
        <f t="shared" ca="1" si="25"/>
        <v>3.7037037037037035E-2</v>
      </c>
      <c r="AT28" s="24"/>
      <c r="AU28" s="22">
        <f t="shared" ca="1" si="26"/>
        <v>119</v>
      </c>
      <c r="AV28" s="22">
        <f t="shared" ca="1" si="27"/>
        <v>6</v>
      </c>
      <c r="AW28" s="22">
        <f t="shared" ca="1" si="28"/>
        <v>1</v>
      </c>
      <c r="AX28" s="22">
        <f t="shared" ca="1" si="29"/>
        <v>3</v>
      </c>
      <c r="AY28" s="22">
        <f t="shared" ca="1" si="30"/>
        <v>0</v>
      </c>
      <c r="AZ28" s="22">
        <f t="shared" ca="1" si="31"/>
        <v>3</v>
      </c>
      <c r="BA28" s="46">
        <f t="shared" ca="1" si="32"/>
        <v>7.7519379844961239E-2</v>
      </c>
      <c r="BB28" s="46">
        <f t="shared" ca="1" si="33"/>
        <v>2.2727272727272728E-2</v>
      </c>
      <c r="BC28" s="19"/>
      <c r="BD28" s="19"/>
      <c r="BE28" s="19"/>
      <c r="BF28" s="19"/>
      <c r="BG28" s="19"/>
      <c r="BH28" s="19"/>
      <c r="BI28" s="19"/>
      <c r="BJ28" s="19"/>
      <c r="BK28" s="19"/>
    </row>
    <row r="29" spans="1:63" s="8" customFormat="1" ht="15" customHeight="1" x14ac:dyDescent="0.3">
      <c r="A29" s="2" t="s">
        <v>36</v>
      </c>
      <c r="B29" s="24">
        <f ca="1">INDIRECT("'("&amp;$A$4&amp;")'!b29")</f>
        <v>0</v>
      </c>
      <c r="C29" s="24">
        <f ca="1">INDIRECT("'("&amp;$A$4&amp;")'!c29")</f>
        <v>0</v>
      </c>
      <c r="D29" s="24">
        <f ca="1">INDIRECT("'("&amp;$A$4&amp;")'!d29")</f>
        <v>0</v>
      </c>
      <c r="E29" s="24">
        <f ca="1">INDIRECT("'("&amp;$A$4&amp;")'!e29")</f>
        <v>0</v>
      </c>
      <c r="F29" s="24">
        <f ca="1">INDIRECT("'("&amp;$A$4&amp;")'!f29")</f>
        <v>0</v>
      </c>
      <c r="G29" s="24">
        <f ca="1">INDIRECT("'("&amp;$A$4&amp;")'!g29")</f>
        <v>0</v>
      </c>
      <c r="H29" s="46" t="str">
        <f t="shared" ca="1" si="7"/>
        <v>-</v>
      </c>
      <c r="I29" s="46" t="str">
        <f t="shared" ca="1" si="8"/>
        <v>-</v>
      </c>
      <c r="J29" s="24"/>
      <c r="K29" s="24">
        <f ca="1">INDIRECT("'("&amp;$A$4&amp;")'!k29")</f>
        <v>25</v>
      </c>
      <c r="L29" s="24">
        <f ca="1">INDIRECT("'("&amp;$A$4&amp;")'!l29")</f>
        <v>1</v>
      </c>
      <c r="M29" s="24">
        <f ca="1">INDIRECT("'("&amp;$A$4&amp;")'!m29")</f>
        <v>0</v>
      </c>
      <c r="N29" s="24">
        <f ca="1">INDIRECT("'("&amp;$A$4&amp;")'!n29")</f>
        <v>0</v>
      </c>
      <c r="O29" s="24">
        <f ca="1">INDIRECT("'("&amp;$A$4&amp;")'!o29")</f>
        <v>0</v>
      </c>
      <c r="P29" s="24">
        <f ca="1">INDIRECT("'("&amp;$A$4&amp;")'!p29")</f>
        <v>0</v>
      </c>
      <c r="Q29" s="46">
        <f t="shared" ca="1" si="10"/>
        <v>3.8461538461538464E-2</v>
      </c>
      <c r="R29" s="46">
        <f t="shared" ca="1" si="11"/>
        <v>0</v>
      </c>
      <c r="S29" s="24"/>
      <c r="T29" s="22">
        <f t="shared" ca="1" si="12"/>
        <v>25</v>
      </c>
      <c r="U29" s="22">
        <f t="shared" ca="1" si="13"/>
        <v>1</v>
      </c>
      <c r="V29" s="22">
        <f t="shared" ca="1" si="14"/>
        <v>0</v>
      </c>
      <c r="W29" s="22">
        <f t="shared" ca="1" si="15"/>
        <v>0</v>
      </c>
      <c r="X29" s="22">
        <f t="shared" ca="1" si="16"/>
        <v>0</v>
      </c>
      <c r="Y29" s="22">
        <f t="shared" ca="1" si="17"/>
        <v>0</v>
      </c>
      <c r="Z29" s="46">
        <f t="shared" ca="1" si="18"/>
        <v>3.8461538461538464E-2</v>
      </c>
      <c r="AA29" s="46">
        <f t="shared" ca="1" si="19"/>
        <v>0</v>
      </c>
      <c r="AB29" s="24"/>
      <c r="AC29" s="24">
        <f ca="1">INDIRECT("'("&amp;$A$4&amp;")'!ac29")</f>
        <v>2</v>
      </c>
      <c r="AD29" s="24">
        <f ca="1">INDIRECT("'("&amp;$A$4&amp;")'!ad29")</f>
        <v>0</v>
      </c>
      <c r="AE29" s="24">
        <f ca="1">INDIRECT("'("&amp;$A$4&amp;")'!ae29")</f>
        <v>0</v>
      </c>
      <c r="AF29" s="24">
        <f ca="1">INDIRECT("'("&amp;$A$4&amp;")'!af29")</f>
        <v>0</v>
      </c>
      <c r="AG29" s="24">
        <f ca="1">INDIRECT("'("&amp;$A$4&amp;")'!ag29")</f>
        <v>0</v>
      </c>
      <c r="AH29" s="24">
        <f ca="1">INDIRECT("'("&amp;$A$4&amp;")'!ah29")</f>
        <v>0</v>
      </c>
      <c r="AI29" s="46">
        <f t="shared" ca="1" si="21"/>
        <v>0</v>
      </c>
      <c r="AJ29" s="46">
        <f t="shared" ca="1" si="22"/>
        <v>0</v>
      </c>
      <c r="AK29" s="24"/>
      <c r="AL29" s="24">
        <f ca="1">INDIRECT("'("&amp;$A$4&amp;")'!al29")</f>
        <v>16</v>
      </c>
      <c r="AM29" s="24">
        <f ca="1">INDIRECT("'("&amp;$A$4&amp;")'!am29")</f>
        <v>0</v>
      </c>
      <c r="AN29" s="24">
        <f ca="1">INDIRECT("'("&amp;$A$4&amp;")'!an29")</f>
        <v>0</v>
      </c>
      <c r="AO29" s="24">
        <f ca="1">INDIRECT("'("&amp;$A$4&amp;")'!ao29")</f>
        <v>0</v>
      </c>
      <c r="AP29" s="24">
        <f ca="1">INDIRECT("'("&amp;$A$4&amp;")'!ap29")</f>
        <v>0</v>
      </c>
      <c r="AQ29" s="24">
        <f ca="1">INDIRECT("'("&amp;$A$4&amp;")'!aq29")</f>
        <v>0</v>
      </c>
      <c r="AR29" s="46">
        <f t="shared" ca="1" si="24"/>
        <v>0</v>
      </c>
      <c r="AS29" s="46">
        <f t="shared" ca="1" si="25"/>
        <v>0</v>
      </c>
      <c r="AT29" s="24"/>
      <c r="AU29" s="22">
        <f t="shared" ca="1" si="26"/>
        <v>43</v>
      </c>
      <c r="AV29" s="22">
        <f t="shared" ca="1" si="27"/>
        <v>1</v>
      </c>
      <c r="AW29" s="22">
        <f t="shared" ca="1" si="28"/>
        <v>0</v>
      </c>
      <c r="AX29" s="22">
        <f t="shared" ca="1" si="29"/>
        <v>0</v>
      </c>
      <c r="AY29" s="22">
        <f t="shared" ca="1" si="30"/>
        <v>0</v>
      </c>
      <c r="AZ29" s="22">
        <f t="shared" ca="1" si="31"/>
        <v>0</v>
      </c>
      <c r="BA29" s="46">
        <f t="shared" ca="1" si="32"/>
        <v>2.2727272727272728E-2</v>
      </c>
      <c r="BB29" s="46">
        <f t="shared" ca="1" si="33"/>
        <v>0</v>
      </c>
      <c r="BC29" s="19"/>
      <c r="BD29" s="19"/>
      <c r="BE29" s="19"/>
      <c r="BF29" s="19"/>
      <c r="BG29" s="19"/>
      <c r="BH29" s="19"/>
      <c r="BI29" s="19"/>
      <c r="BJ29" s="19"/>
      <c r="BK29" s="19"/>
    </row>
    <row r="30" spans="1:63" s="8" customFormat="1" ht="15" customHeight="1" x14ac:dyDescent="0.3">
      <c r="A30" s="2" t="s">
        <v>37</v>
      </c>
      <c r="B30" s="24">
        <f ca="1">INDIRECT("'("&amp;$A$4&amp;")'!b30")</f>
        <v>0</v>
      </c>
      <c r="C30" s="24">
        <f ca="1">INDIRECT("'("&amp;$A$4&amp;")'!c30")</f>
        <v>0</v>
      </c>
      <c r="D30" s="24">
        <f ca="1">INDIRECT("'("&amp;$A$4&amp;")'!d30")</f>
        <v>0</v>
      </c>
      <c r="E30" s="24">
        <f ca="1">INDIRECT("'("&amp;$A$4&amp;")'!e30")</f>
        <v>0</v>
      </c>
      <c r="F30" s="24">
        <f ca="1">INDIRECT("'("&amp;$A$4&amp;")'!f30")</f>
        <v>0</v>
      </c>
      <c r="G30" s="24">
        <f ca="1">INDIRECT("'("&amp;$A$4&amp;")'!g30")</f>
        <v>0</v>
      </c>
      <c r="H30" s="46" t="str">
        <f t="shared" ca="1" si="7"/>
        <v>-</v>
      </c>
      <c r="I30" s="46" t="str">
        <f t="shared" ca="1" si="8"/>
        <v>-</v>
      </c>
      <c r="J30" s="24"/>
      <c r="K30" s="24">
        <f ca="1">INDIRECT("'("&amp;$A$4&amp;")'!k30")</f>
        <v>14</v>
      </c>
      <c r="L30" s="24">
        <f ca="1">INDIRECT("'("&amp;$A$4&amp;")'!l30")</f>
        <v>0</v>
      </c>
      <c r="M30" s="24">
        <f ca="1">INDIRECT("'("&amp;$A$4&amp;")'!m30")</f>
        <v>0</v>
      </c>
      <c r="N30" s="24">
        <f ca="1">INDIRECT("'("&amp;$A$4&amp;")'!n30")</f>
        <v>0</v>
      </c>
      <c r="O30" s="24">
        <f ca="1">INDIRECT("'("&amp;$A$4&amp;")'!o30")</f>
        <v>0</v>
      </c>
      <c r="P30" s="24">
        <f ca="1">INDIRECT("'("&amp;$A$4&amp;")'!p30")</f>
        <v>2</v>
      </c>
      <c r="Q30" s="46">
        <f t="shared" ca="1" si="10"/>
        <v>0</v>
      </c>
      <c r="R30" s="46">
        <f t="shared" ca="1" si="11"/>
        <v>0.125</v>
      </c>
      <c r="S30" s="24"/>
      <c r="T30" s="22">
        <f t="shared" ca="1" si="12"/>
        <v>14</v>
      </c>
      <c r="U30" s="22">
        <f t="shared" ca="1" si="13"/>
        <v>0</v>
      </c>
      <c r="V30" s="22">
        <f t="shared" ca="1" si="14"/>
        <v>0</v>
      </c>
      <c r="W30" s="22">
        <f t="shared" ca="1" si="15"/>
        <v>0</v>
      </c>
      <c r="X30" s="22">
        <f t="shared" ca="1" si="16"/>
        <v>0</v>
      </c>
      <c r="Y30" s="22">
        <f t="shared" ca="1" si="17"/>
        <v>2</v>
      </c>
      <c r="Z30" s="46">
        <f t="shared" ca="1" si="18"/>
        <v>0</v>
      </c>
      <c r="AA30" s="46">
        <f t="shared" ca="1" si="19"/>
        <v>0.125</v>
      </c>
      <c r="AB30" s="24"/>
      <c r="AC30" s="24">
        <f ca="1">INDIRECT("'("&amp;$A$4&amp;")'!ac30")</f>
        <v>0</v>
      </c>
      <c r="AD30" s="24">
        <f ca="1">INDIRECT("'("&amp;$A$4&amp;")'!ad30")</f>
        <v>0</v>
      </c>
      <c r="AE30" s="24">
        <f ca="1">INDIRECT("'("&amp;$A$4&amp;")'!ae30")</f>
        <v>0</v>
      </c>
      <c r="AF30" s="24">
        <f ca="1">INDIRECT("'("&amp;$A$4&amp;")'!af30")</f>
        <v>0</v>
      </c>
      <c r="AG30" s="24">
        <f ca="1">INDIRECT("'("&amp;$A$4&amp;")'!ag30")</f>
        <v>0</v>
      </c>
      <c r="AH30" s="24">
        <f ca="1">INDIRECT("'("&amp;$A$4&amp;")'!ah30")</f>
        <v>0</v>
      </c>
      <c r="AI30" s="46" t="str">
        <f t="shared" ca="1" si="21"/>
        <v>-</v>
      </c>
      <c r="AJ30" s="46" t="str">
        <f t="shared" ca="1" si="22"/>
        <v>-</v>
      </c>
      <c r="AK30" s="24"/>
      <c r="AL30" s="24">
        <f ca="1">INDIRECT("'("&amp;$A$4&amp;")'!al30")</f>
        <v>0</v>
      </c>
      <c r="AM30" s="24">
        <f ca="1">INDIRECT("'("&amp;$A$4&amp;")'!am30")</f>
        <v>0</v>
      </c>
      <c r="AN30" s="24">
        <f ca="1">INDIRECT("'("&amp;$A$4&amp;")'!an30")</f>
        <v>0</v>
      </c>
      <c r="AO30" s="24">
        <f ca="1">INDIRECT("'("&amp;$A$4&amp;")'!ao30")</f>
        <v>0</v>
      </c>
      <c r="AP30" s="24">
        <f ca="1">INDIRECT("'("&amp;$A$4&amp;")'!ap30")</f>
        <v>0</v>
      </c>
      <c r="AQ30" s="24">
        <f ca="1">INDIRECT("'("&amp;$A$4&amp;")'!aq30")</f>
        <v>0</v>
      </c>
      <c r="AR30" s="46" t="str">
        <f t="shared" ca="1" si="24"/>
        <v>-</v>
      </c>
      <c r="AS30" s="46" t="str">
        <f t="shared" ca="1" si="25"/>
        <v>-</v>
      </c>
      <c r="AT30" s="24"/>
      <c r="AU30" s="22">
        <f t="shared" ca="1" si="26"/>
        <v>14</v>
      </c>
      <c r="AV30" s="22">
        <f t="shared" ca="1" si="27"/>
        <v>0</v>
      </c>
      <c r="AW30" s="22">
        <f t="shared" ca="1" si="28"/>
        <v>0</v>
      </c>
      <c r="AX30" s="22">
        <f t="shared" ca="1" si="29"/>
        <v>0</v>
      </c>
      <c r="AY30" s="22">
        <f t="shared" ca="1" si="30"/>
        <v>0</v>
      </c>
      <c r="AZ30" s="22">
        <f t="shared" ca="1" si="31"/>
        <v>2</v>
      </c>
      <c r="BA30" s="46">
        <f t="shared" ca="1" si="32"/>
        <v>0</v>
      </c>
      <c r="BB30" s="46">
        <f t="shared" ca="1" si="33"/>
        <v>0.125</v>
      </c>
      <c r="BC30" s="19"/>
      <c r="BD30" s="19"/>
      <c r="BE30" s="19"/>
      <c r="BF30" s="19"/>
      <c r="BG30" s="19"/>
      <c r="BH30" s="19"/>
      <c r="BI30" s="19"/>
      <c r="BJ30" s="19"/>
      <c r="BK30" s="19"/>
    </row>
    <row r="31" spans="1:63" s="8" customFormat="1" ht="15" customHeight="1" x14ac:dyDescent="0.3">
      <c r="A31" s="3" t="s">
        <v>38</v>
      </c>
      <c r="B31" s="24">
        <f ca="1">INDIRECT("'("&amp;$A$4&amp;")'!b31")</f>
        <v>4</v>
      </c>
      <c r="C31" s="24">
        <f ca="1">INDIRECT("'("&amp;$A$4&amp;")'!c31")</f>
        <v>0</v>
      </c>
      <c r="D31" s="24">
        <f ca="1">INDIRECT("'("&amp;$A$4&amp;")'!d31")</f>
        <v>0</v>
      </c>
      <c r="E31" s="24">
        <f ca="1">INDIRECT("'("&amp;$A$4&amp;")'!e31")</f>
        <v>0</v>
      </c>
      <c r="F31" s="24">
        <f ca="1">INDIRECT("'("&amp;$A$4&amp;")'!f31")</f>
        <v>0</v>
      </c>
      <c r="G31" s="24">
        <f ca="1">INDIRECT("'("&amp;$A$4&amp;")'!g31")</f>
        <v>14</v>
      </c>
      <c r="H31" s="46">
        <f t="shared" ca="1" si="7"/>
        <v>0</v>
      </c>
      <c r="I31" s="46">
        <f t="shared" ca="1" si="8"/>
        <v>0.77777777777777779</v>
      </c>
      <c r="J31" s="24"/>
      <c r="K31" s="24">
        <f ca="1">INDIRECT("'("&amp;$A$4&amp;")'!k31")</f>
        <v>6</v>
      </c>
      <c r="L31" s="24">
        <f ca="1">INDIRECT("'("&amp;$A$4&amp;")'!l31")</f>
        <v>0</v>
      </c>
      <c r="M31" s="24">
        <f ca="1">INDIRECT("'("&amp;$A$4&amp;")'!m31")</f>
        <v>0</v>
      </c>
      <c r="N31" s="24">
        <f ca="1">INDIRECT("'("&amp;$A$4&amp;")'!n31")</f>
        <v>0</v>
      </c>
      <c r="O31" s="24">
        <f ca="1">INDIRECT("'("&amp;$A$4&amp;")'!o31")</f>
        <v>0</v>
      </c>
      <c r="P31" s="24">
        <f ca="1">INDIRECT("'("&amp;$A$4&amp;")'!p31")</f>
        <v>92</v>
      </c>
      <c r="Q31" s="46">
        <f t="shared" ca="1" si="10"/>
        <v>0</v>
      </c>
      <c r="R31" s="46">
        <f t="shared" ca="1" si="11"/>
        <v>0.93877551020408168</v>
      </c>
      <c r="S31" s="24"/>
      <c r="T31" s="22">
        <f t="shared" ca="1" si="12"/>
        <v>10</v>
      </c>
      <c r="U31" s="22">
        <f t="shared" ca="1" si="13"/>
        <v>0</v>
      </c>
      <c r="V31" s="22">
        <f t="shared" ca="1" si="14"/>
        <v>0</v>
      </c>
      <c r="W31" s="22">
        <f t="shared" ca="1" si="15"/>
        <v>0</v>
      </c>
      <c r="X31" s="22">
        <f t="shared" ca="1" si="16"/>
        <v>0</v>
      </c>
      <c r="Y31" s="22">
        <f t="shared" ca="1" si="17"/>
        <v>106</v>
      </c>
      <c r="Z31" s="46">
        <f t="shared" ca="1" si="18"/>
        <v>0</v>
      </c>
      <c r="AA31" s="46">
        <f t="shared" ca="1" si="19"/>
        <v>0.91379310344827591</v>
      </c>
      <c r="AB31" s="24"/>
      <c r="AC31" s="24">
        <f ca="1">INDIRECT("'("&amp;$A$4&amp;")'!ac31")</f>
        <v>0</v>
      </c>
      <c r="AD31" s="24">
        <f ca="1">INDIRECT("'("&amp;$A$4&amp;")'!ad31")</f>
        <v>0</v>
      </c>
      <c r="AE31" s="24">
        <f ca="1">INDIRECT("'("&amp;$A$4&amp;")'!ae31")</f>
        <v>0</v>
      </c>
      <c r="AF31" s="24">
        <f ca="1">INDIRECT("'("&amp;$A$4&amp;")'!af31")</f>
        <v>0</v>
      </c>
      <c r="AG31" s="24">
        <f ca="1">INDIRECT("'("&amp;$A$4&amp;")'!ag31")</f>
        <v>0</v>
      </c>
      <c r="AH31" s="24">
        <f ca="1">INDIRECT("'("&amp;$A$4&amp;")'!ah31")</f>
        <v>0</v>
      </c>
      <c r="AI31" s="46" t="str">
        <f t="shared" ca="1" si="21"/>
        <v>-</v>
      </c>
      <c r="AJ31" s="46" t="str">
        <f t="shared" ca="1" si="22"/>
        <v>-</v>
      </c>
      <c r="AK31" s="24"/>
      <c r="AL31" s="24">
        <f ca="1">INDIRECT("'("&amp;$A$4&amp;")'!al31")</f>
        <v>12</v>
      </c>
      <c r="AM31" s="24">
        <f ca="1">INDIRECT("'("&amp;$A$4&amp;")'!am31")</f>
        <v>1</v>
      </c>
      <c r="AN31" s="24">
        <f ca="1">INDIRECT("'("&amp;$A$4&amp;")'!an31")</f>
        <v>0</v>
      </c>
      <c r="AO31" s="24">
        <f ca="1">INDIRECT("'("&amp;$A$4&amp;")'!ao31")</f>
        <v>0</v>
      </c>
      <c r="AP31" s="24">
        <f ca="1">INDIRECT("'("&amp;$A$4&amp;")'!ap31")</f>
        <v>0</v>
      </c>
      <c r="AQ31" s="24">
        <f ca="1">INDIRECT("'("&amp;$A$4&amp;")'!aq31")</f>
        <v>32</v>
      </c>
      <c r="AR31" s="46">
        <f t="shared" ca="1" si="24"/>
        <v>7.6923076923076927E-2</v>
      </c>
      <c r="AS31" s="46">
        <f t="shared" ca="1" si="25"/>
        <v>0.71111111111111114</v>
      </c>
      <c r="AT31" s="24"/>
      <c r="AU31" s="22">
        <f t="shared" ca="1" si="26"/>
        <v>22</v>
      </c>
      <c r="AV31" s="22">
        <f t="shared" ca="1" si="27"/>
        <v>1</v>
      </c>
      <c r="AW31" s="22">
        <f t="shared" ca="1" si="28"/>
        <v>0</v>
      </c>
      <c r="AX31" s="22">
        <f t="shared" ca="1" si="29"/>
        <v>0</v>
      </c>
      <c r="AY31" s="22">
        <f t="shared" ca="1" si="30"/>
        <v>0</v>
      </c>
      <c r="AZ31" s="22">
        <f t="shared" ca="1" si="31"/>
        <v>138</v>
      </c>
      <c r="BA31" s="46">
        <f t="shared" ca="1" si="32"/>
        <v>4.3478260869565216E-2</v>
      </c>
      <c r="BB31" s="46">
        <f t="shared" ca="1" si="33"/>
        <v>0.8571428571428571</v>
      </c>
      <c r="BC31" s="19"/>
      <c r="BD31" s="19"/>
      <c r="BE31" s="19"/>
      <c r="BF31" s="19"/>
      <c r="BG31" s="19"/>
      <c r="BH31" s="19"/>
      <c r="BI31" s="19"/>
      <c r="BJ31" s="19"/>
      <c r="BK31" s="19"/>
    </row>
    <row r="32" spans="1:63" s="8" customFormat="1" ht="15" customHeight="1" x14ac:dyDescent="0.3">
      <c r="A32" s="3" t="s">
        <v>39</v>
      </c>
      <c r="B32" s="24">
        <f ca="1">INDIRECT("'("&amp;$A$4&amp;")'!b32")</f>
        <v>16</v>
      </c>
      <c r="C32" s="24">
        <f ca="1">INDIRECT("'("&amp;$A$4&amp;")'!c32")</f>
        <v>1</v>
      </c>
      <c r="D32" s="24">
        <f ca="1">INDIRECT("'("&amp;$A$4&amp;")'!d32")</f>
        <v>1</v>
      </c>
      <c r="E32" s="24">
        <f ca="1">INDIRECT("'("&amp;$A$4&amp;")'!e32")</f>
        <v>0</v>
      </c>
      <c r="F32" s="24">
        <f ca="1">INDIRECT("'("&amp;$A$4&amp;")'!f32")</f>
        <v>0</v>
      </c>
      <c r="G32" s="24">
        <f ca="1">INDIRECT("'("&amp;$A$4&amp;")'!g32")</f>
        <v>0</v>
      </c>
      <c r="H32" s="46">
        <f t="shared" ca="1" si="7"/>
        <v>0.1111111111111111</v>
      </c>
      <c r="I32" s="46">
        <f t="shared" ca="1" si="8"/>
        <v>0</v>
      </c>
      <c r="J32" s="24"/>
      <c r="K32" s="24">
        <f ca="1">INDIRECT("'("&amp;$A$4&amp;")'!k32")</f>
        <v>67</v>
      </c>
      <c r="L32" s="24">
        <f ca="1">INDIRECT("'("&amp;$A$4&amp;")'!l32")</f>
        <v>0</v>
      </c>
      <c r="M32" s="24">
        <f ca="1">INDIRECT("'("&amp;$A$4&amp;")'!m32")</f>
        <v>0</v>
      </c>
      <c r="N32" s="24">
        <f ca="1">INDIRECT("'("&amp;$A$4&amp;")'!n32")</f>
        <v>0</v>
      </c>
      <c r="O32" s="24">
        <f ca="1">INDIRECT("'("&amp;$A$4&amp;")'!o32")</f>
        <v>0</v>
      </c>
      <c r="P32" s="24">
        <f ca="1">INDIRECT("'("&amp;$A$4&amp;")'!p32")</f>
        <v>5</v>
      </c>
      <c r="Q32" s="46">
        <f t="shared" ca="1" si="10"/>
        <v>0</v>
      </c>
      <c r="R32" s="46">
        <f t="shared" ca="1" si="11"/>
        <v>6.9444444444444448E-2</v>
      </c>
      <c r="S32" s="24"/>
      <c r="T32" s="22">
        <f t="shared" ca="1" si="12"/>
        <v>83</v>
      </c>
      <c r="U32" s="22">
        <f t="shared" ca="1" si="13"/>
        <v>1</v>
      </c>
      <c r="V32" s="22">
        <f t="shared" ca="1" si="14"/>
        <v>1</v>
      </c>
      <c r="W32" s="22">
        <f t="shared" ca="1" si="15"/>
        <v>0</v>
      </c>
      <c r="X32" s="22">
        <f t="shared" ca="1" si="16"/>
        <v>0</v>
      </c>
      <c r="Y32" s="22">
        <f t="shared" ca="1" si="17"/>
        <v>5</v>
      </c>
      <c r="Z32" s="46">
        <f t="shared" ca="1" si="18"/>
        <v>2.3529411764705882E-2</v>
      </c>
      <c r="AA32" s="46">
        <f t="shared" ca="1" si="19"/>
        <v>5.5555555555555552E-2</v>
      </c>
      <c r="AB32" s="24"/>
      <c r="AC32" s="24">
        <f ca="1">INDIRECT("'("&amp;$A$4&amp;")'!ac32")</f>
        <v>0</v>
      </c>
      <c r="AD32" s="24">
        <f ca="1">INDIRECT("'("&amp;$A$4&amp;")'!ad32")</f>
        <v>0</v>
      </c>
      <c r="AE32" s="24">
        <f ca="1">INDIRECT("'("&amp;$A$4&amp;")'!ae32")</f>
        <v>0</v>
      </c>
      <c r="AF32" s="24">
        <f ca="1">INDIRECT("'("&amp;$A$4&amp;")'!af32")</f>
        <v>0</v>
      </c>
      <c r="AG32" s="24">
        <f ca="1">INDIRECT("'("&amp;$A$4&amp;")'!ag32")</f>
        <v>0</v>
      </c>
      <c r="AH32" s="24">
        <f ca="1">INDIRECT("'("&amp;$A$4&amp;")'!ah32")</f>
        <v>0</v>
      </c>
      <c r="AI32" s="46" t="str">
        <f t="shared" ca="1" si="21"/>
        <v>-</v>
      </c>
      <c r="AJ32" s="46" t="str">
        <f t="shared" ca="1" si="22"/>
        <v>-</v>
      </c>
      <c r="AK32" s="24"/>
      <c r="AL32" s="24">
        <f ca="1">INDIRECT("'("&amp;$A$4&amp;")'!al32")</f>
        <v>18</v>
      </c>
      <c r="AM32" s="24">
        <f ca="1">INDIRECT("'("&amp;$A$4&amp;")'!am32")</f>
        <v>0</v>
      </c>
      <c r="AN32" s="24">
        <f ca="1">INDIRECT("'("&amp;$A$4&amp;")'!an32")</f>
        <v>0</v>
      </c>
      <c r="AO32" s="24">
        <f ca="1">INDIRECT("'("&amp;$A$4&amp;")'!ao32")</f>
        <v>0</v>
      </c>
      <c r="AP32" s="24">
        <f ca="1">INDIRECT("'("&amp;$A$4&amp;")'!ap32")</f>
        <v>0</v>
      </c>
      <c r="AQ32" s="24">
        <f ca="1">INDIRECT("'("&amp;$A$4&amp;")'!aq32")</f>
        <v>0</v>
      </c>
      <c r="AR32" s="46">
        <f t="shared" ca="1" si="24"/>
        <v>0</v>
      </c>
      <c r="AS32" s="46">
        <f t="shared" ca="1" si="25"/>
        <v>0</v>
      </c>
      <c r="AT32" s="24"/>
      <c r="AU32" s="22">
        <f t="shared" ca="1" si="26"/>
        <v>101</v>
      </c>
      <c r="AV32" s="22">
        <f t="shared" ca="1" si="27"/>
        <v>1</v>
      </c>
      <c r="AW32" s="22">
        <f t="shared" ca="1" si="28"/>
        <v>1</v>
      </c>
      <c r="AX32" s="22">
        <f t="shared" ca="1" si="29"/>
        <v>0</v>
      </c>
      <c r="AY32" s="22">
        <f t="shared" ca="1" si="30"/>
        <v>0</v>
      </c>
      <c r="AZ32" s="22">
        <f t="shared" ca="1" si="31"/>
        <v>5</v>
      </c>
      <c r="BA32" s="46">
        <f t="shared" ca="1" si="32"/>
        <v>1.9417475728155338E-2</v>
      </c>
      <c r="BB32" s="46">
        <f t="shared" ca="1" si="33"/>
        <v>4.6296296296296294E-2</v>
      </c>
      <c r="BC32" s="19"/>
      <c r="BD32" s="19"/>
      <c r="BE32" s="19"/>
      <c r="BF32" s="19"/>
      <c r="BG32" s="19"/>
      <c r="BH32" s="19"/>
      <c r="BI32" s="19"/>
      <c r="BJ32" s="19"/>
      <c r="BK32" s="19"/>
    </row>
    <row r="33" spans="1:63" s="8" customFormat="1" ht="15" customHeight="1" x14ac:dyDescent="0.3">
      <c r="A33" s="2" t="s">
        <v>40</v>
      </c>
      <c r="B33" s="24">
        <f ca="1">INDIRECT("'("&amp;$A$4&amp;")'!b33")</f>
        <v>14</v>
      </c>
      <c r="C33" s="24">
        <f ca="1">INDIRECT("'("&amp;$A$4&amp;")'!c33")</f>
        <v>4</v>
      </c>
      <c r="D33" s="24">
        <f ca="1">INDIRECT("'("&amp;$A$4&amp;")'!d33")</f>
        <v>0</v>
      </c>
      <c r="E33" s="24">
        <f ca="1">INDIRECT("'("&amp;$A$4&amp;")'!e33")</f>
        <v>0</v>
      </c>
      <c r="F33" s="24">
        <f ca="1">INDIRECT("'("&amp;$A$4&amp;")'!f33")</f>
        <v>0</v>
      </c>
      <c r="G33" s="24">
        <f ca="1">INDIRECT("'("&amp;$A$4&amp;")'!g33")</f>
        <v>4</v>
      </c>
      <c r="H33" s="46">
        <f t="shared" ca="1" si="7"/>
        <v>0.22222222222222221</v>
      </c>
      <c r="I33" s="46">
        <f t="shared" ca="1" si="8"/>
        <v>0.18181818181818182</v>
      </c>
      <c r="J33" s="24"/>
      <c r="K33" s="24">
        <f ca="1">INDIRECT("'("&amp;$A$4&amp;")'!k33")</f>
        <v>15</v>
      </c>
      <c r="L33" s="24">
        <f ca="1">INDIRECT("'("&amp;$A$4&amp;")'!l33")</f>
        <v>0</v>
      </c>
      <c r="M33" s="24">
        <f ca="1">INDIRECT("'("&amp;$A$4&amp;")'!m33")</f>
        <v>0</v>
      </c>
      <c r="N33" s="24">
        <f ca="1">INDIRECT("'("&amp;$A$4&amp;")'!n33")</f>
        <v>0</v>
      </c>
      <c r="O33" s="24">
        <f ca="1">INDIRECT("'("&amp;$A$4&amp;")'!o33")</f>
        <v>0</v>
      </c>
      <c r="P33" s="24">
        <f ca="1">INDIRECT("'("&amp;$A$4&amp;")'!p33")</f>
        <v>6</v>
      </c>
      <c r="Q33" s="46">
        <f t="shared" ca="1" si="10"/>
        <v>0</v>
      </c>
      <c r="R33" s="46">
        <f t="shared" ca="1" si="11"/>
        <v>0.2857142857142857</v>
      </c>
      <c r="S33" s="24"/>
      <c r="T33" s="22">
        <f t="shared" ca="1" si="12"/>
        <v>29</v>
      </c>
      <c r="U33" s="22">
        <f t="shared" ca="1" si="13"/>
        <v>4</v>
      </c>
      <c r="V33" s="22">
        <f t="shared" ca="1" si="14"/>
        <v>0</v>
      </c>
      <c r="W33" s="22">
        <f t="shared" ca="1" si="15"/>
        <v>0</v>
      </c>
      <c r="X33" s="22">
        <f t="shared" ca="1" si="16"/>
        <v>0</v>
      </c>
      <c r="Y33" s="22">
        <f t="shared" ca="1" si="17"/>
        <v>10</v>
      </c>
      <c r="Z33" s="46">
        <f t="shared" ca="1" si="18"/>
        <v>0.12121212121212122</v>
      </c>
      <c r="AA33" s="46">
        <f t="shared" ca="1" si="19"/>
        <v>0.23255813953488372</v>
      </c>
      <c r="AB33" s="24"/>
      <c r="AC33" s="24">
        <f ca="1">INDIRECT("'("&amp;$A$4&amp;")'!ac33")</f>
        <v>2</v>
      </c>
      <c r="AD33" s="24">
        <f ca="1">INDIRECT("'("&amp;$A$4&amp;")'!ad33")</f>
        <v>0</v>
      </c>
      <c r="AE33" s="24">
        <f ca="1">INDIRECT("'("&amp;$A$4&amp;")'!ae33")</f>
        <v>0</v>
      </c>
      <c r="AF33" s="24">
        <f ca="1">INDIRECT("'("&amp;$A$4&amp;")'!af33")</f>
        <v>0</v>
      </c>
      <c r="AG33" s="24">
        <f ca="1">INDIRECT("'("&amp;$A$4&amp;")'!ag33")</f>
        <v>0</v>
      </c>
      <c r="AH33" s="24">
        <f ca="1">INDIRECT("'("&amp;$A$4&amp;")'!ah33")</f>
        <v>0</v>
      </c>
      <c r="AI33" s="46">
        <f t="shared" ca="1" si="21"/>
        <v>0</v>
      </c>
      <c r="AJ33" s="46">
        <f t="shared" ca="1" si="22"/>
        <v>0</v>
      </c>
      <c r="AK33" s="24"/>
      <c r="AL33" s="24">
        <f ca="1">INDIRECT("'("&amp;$A$4&amp;")'!al33")</f>
        <v>6</v>
      </c>
      <c r="AM33" s="24">
        <f ca="1">INDIRECT("'("&amp;$A$4&amp;")'!am33")</f>
        <v>0</v>
      </c>
      <c r="AN33" s="24">
        <f ca="1">INDIRECT("'("&amp;$A$4&amp;")'!an33")</f>
        <v>2</v>
      </c>
      <c r="AO33" s="24">
        <f ca="1">INDIRECT("'("&amp;$A$4&amp;")'!ao33")</f>
        <v>0</v>
      </c>
      <c r="AP33" s="24">
        <f ca="1">INDIRECT("'("&amp;$A$4&amp;")'!ap33")</f>
        <v>0</v>
      </c>
      <c r="AQ33" s="24">
        <f ca="1">INDIRECT("'("&amp;$A$4&amp;")'!aq33")</f>
        <v>6</v>
      </c>
      <c r="AR33" s="46">
        <f t="shared" ca="1" si="24"/>
        <v>0.25</v>
      </c>
      <c r="AS33" s="46">
        <f t="shared" ca="1" si="25"/>
        <v>0.42857142857142855</v>
      </c>
      <c r="AT33" s="24"/>
      <c r="AU33" s="22">
        <f t="shared" ca="1" si="26"/>
        <v>37</v>
      </c>
      <c r="AV33" s="22">
        <f t="shared" ca="1" si="27"/>
        <v>4</v>
      </c>
      <c r="AW33" s="22">
        <f t="shared" ca="1" si="28"/>
        <v>2</v>
      </c>
      <c r="AX33" s="22">
        <f t="shared" ca="1" si="29"/>
        <v>0</v>
      </c>
      <c r="AY33" s="22">
        <f t="shared" ca="1" si="30"/>
        <v>0</v>
      </c>
      <c r="AZ33" s="22">
        <f t="shared" ca="1" si="31"/>
        <v>16</v>
      </c>
      <c r="BA33" s="46">
        <f t="shared" ca="1" si="32"/>
        <v>0.13953488372093023</v>
      </c>
      <c r="BB33" s="46">
        <f t="shared" ca="1" si="33"/>
        <v>0.2711864406779661</v>
      </c>
      <c r="BC33" s="19"/>
      <c r="BD33" s="19"/>
      <c r="BE33" s="19"/>
      <c r="BF33" s="19"/>
      <c r="BG33" s="19"/>
      <c r="BH33" s="19"/>
      <c r="BI33" s="19"/>
      <c r="BJ33" s="19"/>
      <c r="BK33" s="19"/>
    </row>
    <row r="34" spans="1:63" s="8" customFormat="1" ht="15" customHeight="1" x14ac:dyDescent="0.3">
      <c r="A34" s="3" t="s">
        <v>41</v>
      </c>
      <c r="B34" s="24">
        <f ca="1">INDIRECT("'("&amp;$A$4&amp;")'!b34")</f>
        <v>10</v>
      </c>
      <c r="C34" s="24">
        <f ca="1">INDIRECT("'("&amp;$A$4&amp;")'!c34")</f>
        <v>1</v>
      </c>
      <c r="D34" s="24">
        <f ca="1">INDIRECT("'("&amp;$A$4&amp;")'!d34")</f>
        <v>0</v>
      </c>
      <c r="E34" s="24">
        <f ca="1">INDIRECT("'("&amp;$A$4&amp;")'!e34")</f>
        <v>0</v>
      </c>
      <c r="F34" s="24">
        <f ca="1">INDIRECT("'("&amp;$A$4&amp;")'!f34")</f>
        <v>0</v>
      </c>
      <c r="G34" s="24">
        <f ca="1">INDIRECT("'("&amp;$A$4&amp;")'!g34")</f>
        <v>0</v>
      </c>
      <c r="H34" s="46">
        <f t="shared" ca="1" si="7"/>
        <v>9.0909090909090912E-2</v>
      </c>
      <c r="I34" s="46">
        <f t="shared" ca="1" si="8"/>
        <v>0</v>
      </c>
      <c r="J34" s="24"/>
      <c r="K34" s="24">
        <f ca="1">INDIRECT("'("&amp;$A$4&amp;")'!k34")</f>
        <v>64</v>
      </c>
      <c r="L34" s="24">
        <f ca="1">INDIRECT("'("&amp;$A$4&amp;")'!l34")</f>
        <v>1</v>
      </c>
      <c r="M34" s="24">
        <f ca="1">INDIRECT("'("&amp;$A$4&amp;")'!m34")</f>
        <v>0</v>
      </c>
      <c r="N34" s="24">
        <f ca="1">INDIRECT("'("&amp;$A$4&amp;")'!n34")</f>
        <v>0</v>
      </c>
      <c r="O34" s="24">
        <f ca="1">INDIRECT("'("&amp;$A$4&amp;")'!o34")</f>
        <v>0</v>
      </c>
      <c r="P34" s="24">
        <f ca="1">INDIRECT("'("&amp;$A$4&amp;")'!p34")</f>
        <v>0</v>
      </c>
      <c r="Q34" s="46">
        <f t="shared" ca="1" si="10"/>
        <v>1.5384615384615385E-2</v>
      </c>
      <c r="R34" s="46">
        <f t="shared" ca="1" si="11"/>
        <v>0</v>
      </c>
      <c r="S34" s="24"/>
      <c r="T34" s="22">
        <f t="shared" ca="1" si="12"/>
        <v>74</v>
      </c>
      <c r="U34" s="22">
        <f t="shared" ca="1" si="13"/>
        <v>2</v>
      </c>
      <c r="V34" s="22">
        <f t="shared" ca="1" si="14"/>
        <v>0</v>
      </c>
      <c r="W34" s="22">
        <f t="shared" ca="1" si="15"/>
        <v>0</v>
      </c>
      <c r="X34" s="22">
        <f t="shared" ca="1" si="16"/>
        <v>0</v>
      </c>
      <c r="Y34" s="22">
        <f t="shared" ca="1" si="17"/>
        <v>0</v>
      </c>
      <c r="Z34" s="46">
        <f t="shared" ca="1" si="18"/>
        <v>2.6315789473684209E-2</v>
      </c>
      <c r="AA34" s="46">
        <f t="shared" ca="1" si="19"/>
        <v>0</v>
      </c>
      <c r="AB34" s="24"/>
      <c r="AC34" s="24">
        <f ca="1">INDIRECT("'("&amp;$A$4&amp;")'!ac34")</f>
        <v>4</v>
      </c>
      <c r="AD34" s="24">
        <f ca="1">INDIRECT("'("&amp;$A$4&amp;")'!ad34")</f>
        <v>0</v>
      </c>
      <c r="AE34" s="24">
        <f ca="1">INDIRECT("'("&amp;$A$4&amp;")'!ae34")</f>
        <v>0</v>
      </c>
      <c r="AF34" s="24">
        <f ca="1">INDIRECT("'("&amp;$A$4&amp;")'!af34")</f>
        <v>0</v>
      </c>
      <c r="AG34" s="24">
        <f ca="1">INDIRECT("'("&amp;$A$4&amp;")'!ag34")</f>
        <v>0</v>
      </c>
      <c r="AH34" s="24">
        <f ca="1">INDIRECT("'("&amp;$A$4&amp;")'!ah34")</f>
        <v>0</v>
      </c>
      <c r="AI34" s="46">
        <f t="shared" ca="1" si="21"/>
        <v>0</v>
      </c>
      <c r="AJ34" s="46">
        <f t="shared" ca="1" si="22"/>
        <v>0</v>
      </c>
      <c r="AK34" s="24"/>
      <c r="AL34" s="24">
        <f ca="1">INDIRECT("'("&amp;$A$4&amp;")'!al34")</f>
        <v>6</v>
      </c>
      <c r="AM34" s="24">
        <f ca="1">INDIRECT("'("&amp;$A$4&amp;")'!am34")</f>
        <v>0</v>
      </c>
      <c r="AN34" s="24">
        <f ca="1">INDIRECT("'("&amp;$A$4&amp;")'!an34")</f>
        <v>0</v>
      </c>
      <c r="AO34" s="24">
        <f ca="1">INDIRECT("'("&amp;$A$4&amp;")'!ao34")</f>
        <v>0</v>
      </c>
      <c r="AP34" s="24">
        <f ca="1">INDIRECT("'("&amp;$A$4&amp;")'!ap34")</f>
        <v>0</v>
      </c>
      <c r="AQ34" s="24">
        <f ca="1">INDIRECT("'("&amp;$A$4&amp;")'!aq34")</f>
        <v>0</v>
      </c>
      <c r="AR34" s="46">
        <f t="shared" ca="1" si="24"/>
        <v>0</v>
      </c>
      <c r="AS34" s="46">
        <f t="shared" ca="1" si="25"/>
        <v>0</v>
      </c>
      <c r="AT34" s="24"/>
      <c r="AU34" s="22">
        <f t="shared" ca="1" si="26"/>
        <v>84</v>
      </c>
      <c r="AV34" s="22">
        <f t="shared" ca="1" si="27"/>
        <v>2</v>
      </c>
      <c r="AW34" s="22">
        <f t="shared" ca="1" si="28"/>
        <v>0</v>
      </c>
      <c r="AX34" s="22">
        <f t="shared" ca="1" si="29"/>
        <v>0</v>
      </c>
      <c r="AY34" s="22">
        <f t="shared" ca="1" si="30"/>
        <v>0</v>
      </c>
      <c r="AZ34" s="22">
        <f t="shared" ca="1" si="31"/>
        <v>0</v>
      </c>
      <c r="BA34" s="46">
        <f t="shared" ca="1" si="32"/>
        <v>2.3255813953488372E-2</v>
      </c>
      <c r="BB34" s="46">
        <f t="shared" ca="1" si="33"/>
        <v>0</v>
      </c>
      <c r="BC34" s="19"/>
      <c r="BD34" s="19"/>
      <c r="BE34" s="19"/>
      <c r="BF34" s="19"/>
      <c r="BG34" s="19"/>
      <c r="BH34" s="19"/>
      <c r="BI34" s="19"/>
      <c r="BJ34" s="19"/>
      <c r="BK34" s="19"/>
    </row>
    <row r="35" spans="1:63" s="8" customFormat="1" ht="15" customHeight="1" x14ac:dyDescent="0.3">
      <c r="A35" s="3" t="s">
        <v>42</v>
      </c>
      <c r="B35" s="24">
        <f ca="1">INDIRECT("'("&amp;$A$4&amp;")'!b35")</f>
        <v>0</v>
      </c>
      <c r="C35" s="24">
        <f ca="1">INDIRECT("'("&amp;$A$4&amp;")'!c35")</f>
        <v>0</v>
      </c>
      <c r="D35" s="24">
        <f ca="1">INDIRECT("'("&amp;$A$4&amp;")'!d35")</f>
        <v>0</v>
      </c>
      <c r="E35" s="24">
        <f ca="1">INDIRECT("'("&amp;$A$4&amp;")'!e35")</f>
        <v>0</v>
      </c>
      <c r="F35" s="24">
        <f ca="1">INDIRECT("'("&amp;$A$4&amp;")'!f35")</f>
        <v>0</v>
      </c>
      <c r="G35" s="24">
        <f ca="1">INDIRECT("'("&amp;$A$4&amp;")'!g35")</f>
        <v>11</v>
      </c>
      <c r="H35" s="46" t="str">
        <f t="shared" ca="1" si="7"/>
        <v>-</v>
      </c>
      <c r="I35" s="46">
        <f t="shared" ca="1" si="8"/>
        <v>1</v>
      </c>
      <c r="J35" s="24"/>
      <c r="K35" s="24">
        <f ca="1">INDIRECT("'("&amp;$A$4&amp;")'!k35")</f>
        <v>38</v>
      </c>
      <c r="L35" s="24">
        <f ca="1">INDIRECT("'("&amp;$A$4&amp;")'!l35")</f>
        <v>0</v>
      </c>
      <c r="M35" s="24">
        <f ca="1">INDIRECT("'("&amp;$A$4&amp;")'!m35")</f>
        <v>0</v>
      </c>
      <c r="N35" s="24">
        <f ca="1">INDIRECT("'("&amp;$A$4&amp;")'!n35")</f>
        <v>2</v>
      </c>
      <c r="O35" s="24">
        <f ca="1">INDIRECT("'("&amp;$A$4&amp;")'!o35")</f>
        <v>0</v>
      </c>
      <c r="P35" s="24">
        <f ca="1">INDIRECT("'("&amp;$A$4&amp;")'!p35")</f>
        <v>3</v>
      </c>
      <c r="Q35" s="46">
        <f t="shared" ca="1" si="10"/>
        <v>0.05</v>
      </c>
      <c r="R35" s="46">
        <f t="shared" ca="1" si="11"/>
        <v>6.9767441860465115E-2</v>
      </c>
      <c r="S35" s="24"/>
      <c r="T35" s="22">
        <f t="shared" ca="1" si="12"/>
        <v>38</v>
      </c>
      <c r="U35" s="22">
        <f t="shared" ca="1" si="13"/>
        <v>0</v>
      </c>
      <c r="V35" s="22">
        <f t="shared" ca="1" si="14"/>
        <v>0</v>
      </c>
      <c r="W35" s="22">
        <f t="shared" ca="1" si="15"/>
        <v>2</v>
      </c>
      <c r="X35" s="22">
        <f t="shared" ca="1" si="16"/>
        <v>0</v>
      </c>
      <c r="Y35" s="22">
        <f t="shared" ca="1" si="17"/>
        <v>14</v>
      </c>
      <c r="Z35" s="46">
        <f t="shared" ca="1" si="18"/>
        <v>0.05</v>
      </c>
      <c r="AA35" s="46">
        <f t="shared" ca="1" si="19"/>
        <v>0.25925925925925924</v>
      </c>
      <c r="AB35" s="24"/>
      <c r="AC35" s="24">
        <f ca="1">INDIRECT("'("&amp;$A$4&amp;")'!ac35")</f>
        <v>1</v>
      </c>
      <c r="AD35" s="24">
        <f ca="1">INDIRECT("'("&amp;$A$4&amp;")'!ad35")</f>
        <v>0</v>
      </c>
      <c r="AE35" s="24">
        <f ca="1">INDIRECT("'("&amp;$A$4&amp;")'!ae35")</f>
        <v>0</v>
      </c>
      <c r="AF35" s="24">
        <f ca="1">INDIRECT("'("&amp;$A$4&amp;")'!af35")</f>
        <v>0</v>
      </c>
      <c r="AG35" s="24">
        <f ca="1">INDIRECT("'("&amp;$A$4&amp;")'!ag35")</f>
        <v>0</v>
      </c>
      <c r="AH35" s="24">
        <f ca="1">INDIRECT("'("&amp;$A$4&amp;")'!ah35")</f>
        <v>0</v>
      </c>
      <c r="AI35" s="46">
        <f t="shared" ca="1" si="21"/>
        <v>0</v>
      </c>
      <c r="AJ35" s="46">
        <f t="shared" ca="1" si="22"/>
        <v>0</v>
      </c>
      <c r="AK35" s="24"/>
      <c r="AL35" s="24">
        <f ca="1">INDIRECT("'("&amp;$A$4&amp;")'!al35")</f>
        <v>4</v>
      </c>
      <c r="AM35" s="24">
        <f ca="1">INDIRECT("'("&amp;$A$4&amp;")'!am35")</f>
        <v>0</v>
      </c>
      <c r="AN35" s="24">
        <f ca="1">INDIRECT("'("&amp;$A$4&amp;")'!an35")</f>
        <v>0</v>
      </c>
      <c r="AO35" s="24">
        <f ca="1">INDIRECT("'("&amp;$A$4&amp;")'!ao35")</f>
        <v>0</v>
      </c>
      <c r="AP35" s="24">
        <f ca="1">INDIRECT("'("&amp;$A$4&amp;")'!ap35")</f>
        <v>0</v>
      </c>
      <c r="AQ35" s="24">
        <f ca="1">INDIRECT("'("&amp;$A$4&amp;")'!aq35")</f>
        <v>79</v>
      </c>
      <c r="AR35" s="46">
        <f t="shared" ca="1" si="24"/>
        <v>0</v>
      </c>
      <c r="AS35" s="46">
        <f t="shared" ca="1" si="25"/>
        <v>0.95180722891566261</v>
      </c>
      <c r="AT35" s="24"/>
      <c r="AU35" s="22">
        <f t="shared" ca="1" si="26"/>
        <v>43</v>
      </c>
      <c r="AV35" s="22">
        <f t="shared" ca="1" si="27"/>
        <v>0</v>
      </c>
      <c r="AW35" s="22">
        <f t="shared" ca="1" si="28"/>
        <v>0</v>
      </c>
      <c r="AX35" s="22">
        <f t="shared" ca="1" si="29"/>
        <v>2</v>
      </c>
      <c r="AY35" s="22">
        <f t="shared" ca="1" si="30"/>
        <v>0</v>
      </c>
      <c r="AZ35" s="22">
        <f t="shared" ca="1" si="31"/>
        <v>93</v>
      </c>
      <c r="BA35" s="46">
        <f t="shared" ca="1" si="32"/>
        <v>4.4444444444444446E-2</v>
      </c>
      <c r="BB35" s="46">
        <f t="shared" ca="1" si="33"/>
        <v>0.67391304347826086</v>
      </c>
      <c r="BC35" s="19"/>
      <c r="BD35" s="19"/>
      <c r="BE35" s="19"/>
      <c r="BF35" s="19"/>
      <c r="BG35" s="19"/>
      <c r="BH35" s="19"/>
      <c r="BI35" s="19"/>
      <c r="BJ35" s="19"/>
      <c r="BK35" s="19"/>
    </row>
    <row r="36" spans="1:63" s="8" customFormat="1" ht="15" customHeight="1" x14ac:dyDescent="0.3">
      <c r="A36" s="2" t="s">
        <v>43</v>
      </c>
      <c r="B36" s="24">
        <f ca="1">INDIRECT("'("&amp;$A$4&amp;")'!b36")</f>
        <v>0</v>
      </c>
      <c r="C36" s="24">
        <f ca="1">INDIRECT("'("&amp;$A$4&amp;")'!c36")</f>
        <v>0</v>
      </c>
      <c r="D36" s="24">
        <f ca="1">INDIRECT("'("&amp;$A$4&amp;")'!d36")</f>
        <v>0</v>
      </c>
      <c r="E36" s="24">
        <f ca="1">INDIRECT("'("&amp;$A$4&amp;")'!e36")</f>
        <v>0</v>
      </c>
      <c r="F36" s="24">
        <f ca="1">INDIRECT("'("&amp;$A$4&amp;")'!f36")</f>
        <v>0</v>
      </c>
      <c r="G36" s="24">
        <f ca="1">INDIRECT("'("&amp;$A$4&amp;")'!g36")</f>
        <v>0</v>
      </c>
      <c r="H36" s="46" t="str">
        <f t="shared" ca="1" si="7"/>
        <v>-</v>
      </c>
      <c r="I36" s="46" t="str">
        <f t="shared" ca="1" si="8"/>
        <v>-</v>
      </c>
      <c r="J36" s="24"/>
      <c r="K36" s="24">
        <f ca="1">INDIRECT("'("&amp;$A$4&amp;")'!k36")</f>
        <v>0</v>
      </c>
      <c r="L36" s="24">
        <f ca="1">INDIRECT("'("&amp;$A$4&amp;")'!l36")</f>
        <v>0</v>
      </c>
      <c r="M36" s="24">
        <f ca="1">INDIRECT("'("&amp;$A$4&amp;")'!m36")</f>
        <v>0</v>
      </c>
      <c r="N36" s="24">
        <f ca="1">INDIRECT("'("&amp;$A$4&amp;")'!n36")</f>
        <v>0</v>
      </c>
      <c r="O36" s="24">
        <f ca="1">INDIRECT("'("&amp;$A$4&amp;")'!o36")</f>
        <v>0</v>
      </c>
      <c r="P36" s="24">
        <f ca="1">INDIRECT("'("&amp;$A$4&amp;")'!p36")</f>
        <v>0</v>
      </c>
      <c r="Q36" s="46" t="str">
        <f t="shared" ca="1" si="10"/>
        <v>-</v>
      </c>
      <c r="R36" s="46" t="str">
        <f t="shared" ca="1" si="11"/>
        <v>-</v>
      </c>
      <c r="S36" s="24"/>
      <c r="T36" s="22">
        <f t="shared" ca="1" si="12"/>
        <v>0</v>
      </c>
      <c r="U36" s="22">
        <f t="shared" ca="1" si="13"/>
        <v>0</v>
      </c>
      <c r="V36" s="22">
        <f t="shared" ca="1" si="14"/>
        <v>0</v>
      </c>
      <c r="W36" s="22">
        <f t="shared" ca="1" si="15"/>
        <v>0</v>
      </c>
      <c r="X36" s="22">
        <f t="shared" ca="1" si="16"/>
        <v>0</v>
      </c>
      <c r="Y36" s="22">
        <f t="shared" ca="1" si="17"/>
        <v>0</v>
      </c>
      <c r="Z36" s="46" t="str">
        <f t="shared" ca="1" si="18"/>
        <v>-</v>
      </c>
      <c r="AA36" s="46" t="str">
        <f t="shared" ca="1" si="19"/>
        <v>-</v>
      </c>
      <c r="AB36" s="24"/>
      <c r="AC36" s="24">
        <f ca="1">INDIRECT("'("&amp;$A$4&amp;")'!ac36")</f>
        <v>11</v>
      </c>
      <c r="AD36" s="24">
        <f ca="1">INDIRECT("'("&amp;$A$4&amp;")'!ad36")</f>
        <v>0</v>
      </c>
      <c r="AE36" s="24">
        <f ca="1">INDIRECT("'("&amp;$A$4&amp;")'!ae36")</f>
        <v>0</v>
      </c>
      <c r="AF36" s="24">
        <f ca="1">INDIRECT("'("&amp;$A$4&amp;")'!af36")</f>
        <v>0</v>
      </c>
      <c r="AG36" s="24">
        <f ca="1">INDIRECT("'("&amp;$A$4&amp;")'!ag36")</f>
        <v>0</v>
      </c>
      <c r="AH36" s="24">
        <f ca="1">INDIRECT("'("&amp;$A$4&amp;")'!ah36")</f>
        <v>0</v>
      </c>
      <c r="AI36" s="46">
        <f t="shared" ca="1" si="21"/>
        <v>0</v>
      </c>
      <c r="AJ36" s="46">
        <f t="shared" ca="1" si="22"/>
        <v>0</v>
      </c>
      <c r="AK36" s="24"/>
      <c r="AL36" s="24">
        <f ca="1">INDIRECT("'("&amp;$A$4&amp;")'!al36")</f>
        <v>0</v>
      </c>
      <c r="AM36" s="24">
        <f ca="1">INDIRECT("'("&amp;$A$4&amp;")'!am36")</f>
        <v>0</v>
      </c>
      <c r="AN36" s="24">
        <f ca="1">INDIRECT("'("&amp;$A$4&amp;")'!an36")</f>
        <v>0</v>
      </c>
      <c r="AO36" s="24">
        <f ca="1">INDIRECT("'("&amp;$A$4&amp;")'!ao36")</f>
        <v>0</v>
      </c>
      <c r="AP36" s="24">
        <f ca="1">INDIRECT("'("&amp;$A$4&amp;")'!ap36")</f>
        <v>0</v>
      </c>
      <c r="AQ36" s="24">
        <f ca="1">INDIRECT("'("&amp;$A$4&amp;")'!aq36")</f>
        <v>0</v>
      </c>
      <c r="AR36" s="46" t="str">
        <f t="shared" ca="1" si="24"/>
        <v>-</v>
      </c>
      <c r="AS36" s="46" t="str">
        <f t="shared" ca="1" si="25"/>
        <v>-</v>
      </c>
      <c r="AT36" s="24"/>
      <c r="AU36" s="22">
        <f t="shared" ca="1" si="26"/>
        <v>11</v>
      </c>
      <c r="AV36" s="22">
        <f t="shared" ca="1" si="27"/>
        <v>0</v>
      </c>
      <c r="AW36" s="22">
        <f t="shared" ca="1" si="28"/>
        <v>0</v>
      </c>
      <c r="AX36" s="22">
        <f t="shared" ca="1" si="29"/>
        <v>0</v>
      </c>
      <c r="AY36" s="22">
        <f t="shared" ca="1" si="30"/>
        <v>0</v>
      </c>
      <c r="AZ36" s="22">
        <f t="shared" ca="1" si="31"/>
        <v>0</v>
      </c>
      <c r="BA36" s="46">
        <f t="shared" ca="1" si="32"/>
        <v>0</v>
      </c>
      <c r="BB36" s="46">
        <f t="shared" ca="1" si="33"/>
        <v>0</v>
      </c>
      <c r="BC36" s="19"/>
      <c r="BD36" s="19"/>
      <c r="BE36" s="19"/>
      <c r="BF36" s="19"/>
      <c r="BG36" s="19"/>
      <c r="BH36" s="19"/>
      <c r="BI36" s="19"/>
      <c r="BJ36" s="19"/>
      <c r="BK36" s="19"/>
    </row>
    <row r="37" spans="1:63" s="8" customFormat="1" ht="15" customHeight="1" x14ac:dyDescent="0.3">
      <c r="A37" s="3" t="s">
        <v>44</v>
      </c>
      <c r="B37" s="24">
        <f ca="1">INDIRECT("'("&amp;$A$4&amp;")'!b37")</f>
        <v>18</v>
      </c>
      <c r="C37" s="24">
        <f ca="1">INDIRECT("'("&amp;$A$4&amp;")'!c37")</f>
        <v>2</v>
      </c>
      <c r="D37" s="24">
        <f ca="1">INDIRECT("'("&amp;$A$4&amp;")'!d37")</f>
        <v>0</v>
      </c>
      <c r="E37" s="24">
        <f ca="1">INDIRECT("'("&amp;$A$4&amp;")'!e37")</f>
        <v>0</v>
      </c>
      <c r="F37" s="24">
        <f ca="1">INDIRECT("'("&amp;$A$4&amp;")'!f37")</f>
        <v>0</v>
      </c>
      <c r="G37" s="24">
        <f ca="1">INDIRECT("'("&amp;$A$4&amp;")'!g37")</f>
        <v>1</v>
      </c>
      <c r="H37" s="46">
        <f t="shared" ca="1" si="7"/>
        <v>0.1</v>
      </c>
      <c r="I37" s="46">
        <f t="shared" ca="1" si="8"/>
        <v>4.7619047619047616E-2</v>
      </c>
      <c r="J37" s="24"/>
      <c r="K37" s="24">
        <f ca="1">INDIRECT("'("&amp;$A$4&amp;")'!k37")</f>
        <v>35</v>
      </c>
      <c r="L37" s="24">
        <f ca="1">INDIRECT("'("&amp;$A$4&amp;")'!l37")</f>
        <v>0</v>
      </c>
      <c r="M37" s="24">
        <f ca="1">INDIRECT("'("&amp;$A$4&amp;")'!m37")</f>
        <v>1</v>
      </c>
      <c r="N37" s="24">
        <f ca="1">INDIRECT("'("&amp;$A$4&amp;")'!n37")</f>
        <v>0</v>
      </c>
      <c r="O37" s="24">
        <f ca="1">INDIRECT("'("&amp;$A$4&amp;")'!o37")</f>
        <v>0</v>
      </c>
      <c r="P37" s="24">
        <f ca="1">INDIRECT("'("&amp;$A$4&amp;")'!p37")</f>
        <v>7</v>
      </c>
      <c r="Q37" s="46">
        <f t="shared" ca="1" si="10"/>
        <v>2.7777777777777776E-2</v>
      </c>
      <c r="R37" s="46">
        <f t="shared" ca="1" si="11"/>
        <v>0.16279069767441862</v>
      </c>
      <c r="S37" s="24"/>
      <c r="T37" s="22">
        <f t="shared" ca="1" si="12"/>
        <v>53</v>
      </c>
      <c r="U37" s="22">
        <f t="shared" ca="1" si="13"/>
        <v>2</v>
      </c>
      <c r="V37" s="22">
        <f t="shared" ca="1" si="14"/>
        <v>1</v>
      </c>
      <c r="W37" s="22">
        <f t="shared" ca="1" si="15"/>
        <v>0</v>
      </c>
      <c r="X37" s="22">
        <f t="shared" ca="1" si="16"/>
        <v>0</v>
      </c>
      <c r="Y37" s="22">
        <f t="shared" ca="1" si="17"/>
        <v>8</v>
      </c>
      <c r="Z37" s="46">
        <f t="shared" ca="1" si="18"/>
        <v>5.3571428571428568E-2</v>
      </c>
      <c r="AA37" s="46">
        <f t="shared" ca="1" si="19"/>
        <v>0.125</v>
      </c>
      <c r="AB37" s="24"/>
      <c r="AC37" s="24">
        <f ca="1">INDIRECT("'("&amp;$A$4&amp;")'!ac37")</f>
        <v>3</v>
      </c>
      <c r="AD37" s="24">
        <f ca="1">INDIRECT("'("&amp;$A$4&amp;")'!ad37")</f>
        <v>0</v>
      </c>
      <c r="AE37" s="24">
        <f ca="1">INDIRECT("'("&amp;$A$4&amp;")'!ae37")</f>
        <v>0</v>
      </c>
      <c r="AF37" s="24">
        <f ca="1">INDIRECT("'("&amp;$A$4&amp;")'!af37")</f>
        <v>0</v>
      </c>
      <c r="AG37" s="24">
        <f ca="1">INDIRECT("'("&amp;$A$4&amp;")'!ag37")</f>
        <v>0</v>
      </c>
      <c r="AH37" s="24">
        <f ca="1">INDIRECT("'("&amp;$A$4&amp;")'!ah37")</f>
        <v>0</v>
      </c>
      <c r="AI37" s="46">
        <f t="shared" ca="1" si="21"/>
        <v>0</v>
      </c>
      <c r="AJ37" s="46">
        <f t="shared" ca="1" si="22"/>
        <v>0</v>
      </c>
      <c r="AK37" s="24"/>
      <c r="AL37" s="24">
        <f ca="1">INDIRECT("'("&amp;$A$4&amp;")'!al37")</f>
        <v>5</v>
      </c>
      <c r="AM37" s="24">
        <f ca="1">INDIRECT("'("&amp;$A$4&amp;")'!am37")</f>
        <v>1</v>
      </c>
      <c r="AN37" s="24">
        <f ca="1">INDIRECT("'("&amp;$A$4&amp;")'!an37")</f>
        <v>0</v>
      </c>
      <c r="AO37" s="24">
        <f ca="1">INDIRECT("'("&amp;$A$4&amp;")'!ao37")</f>
        <v>0</v>
      </c>
      <c r="AP37" s="24">
        <f ca="1">INDIRECT("'("&amp;$A$4&amp;")'!ap37")</f>
        <v>0</v>
      </c>
      <c r="AQ37" s="24">
        <f ca="1">INDIRECT("'("&amp;$A$4&amp;")'!aq37")</f>
        <v>0</v>
      </c>
      <c r="AR37" s="46">
        <f t="shared" ca="1" si="24"/>
        <v>0.16666666666666666</v>
      </c>
      <c r="AS37" s="46">
        <f t="shared" ca="1" si="25"/>
        <v>0</v>
      </c>
      <c r="AT37" s="24"/>
      <c r="AU37" s="22">
        <f t="shared" ca="1" si="26"/>
        <v>61</v>
      </c>
      <c r="AV37" s="22">
        <f t="shared" ca="1" si="27"/>
        <v>3</v>
      </c>
      <c r="AW37" s="22">
        <f t="shared" ca="1" si="28"/>
        <v>1</v>
      </c>
      <c r="AX37" s="22">
        <f t="shared" ca="1" si="29"/>
        <v>0</v>
      </c>
      <c r="AY37" s="22">
        <f t="shared" ca="1" si="30"/>
        <v>0</v>
      </c>
      <c r="AZ37" s="22">
        <f t="shared" ca="1" si="31"/>
        <v>8</v>
      </c>
      <c r="BA37" s="46">
        <f t="shared" ca="1" si="32"/>
        <v>6.1538461538461542E-2</v>
      </c>
      <c r="BB37" s="46">
        <f t="shared" ca="1" si="33"/>
        <v>0.1095890410958904</v>
      </c>
      <c r="BC37" s="19"/>
      <c r="BD37" s="19"/>
      <c r="BE37" s="19"/>
      <c r="BF37" s="19"/>
      <c r="BG37" s="19"/>
      <c r="BH37" s="19"/>
      <c r="BI37" s="19"/>
      <c r="BJ37" s="19"/>
      <c r="BK37" s="19"/>
    </row>
    <row r="38" spans="1:63" s="8" customFormat="1" ht="15" customHeight="1" x14ac:dyDescent="0.3">
      <c r="A38" s="3" t="s">
        <v>45</v>
      </c>
      <c r="B38" s="24">
        <f ca="1">INDIRECT("'("&amp;$A$4&amp;")'!b38")</f>
        <v>13</v>
      </c>
      <c r="C38" s="24">
        <f ca="1">INDIRECT("'("&amp;$A$4&amp;")'!c38")</f>
        <v>0</v>
      </c>
      <c r="D38" s="24">
        <f ca="1">INDIRECT("'("&amp;$A$4&amp;")'!d38")</f>
        <v>0</v>
      </c>
      <c r="E38" s="24">
        <f ca="1">INDIRECT("'("&amp;$A$4&amp;")'!e38")</f>
        <v>0</v>
      </c>
      <c r="F38" s="24">
        <f ca="1">INDIRECT("'("&amp;$A$4&amp;")'!f38")</f>
        <v>0</v>
      </c>
      <c r="G38" s="24">
        <f ca="1">INDIRECT("'("&amp;$A$4&amp;")'!g38")</f>
        <v>25</v>
      </c>
      <c r="H38" s="46">
        <f t="shared" ca="1" si="7"/>
        <v>0</v>
      </c>
      <c r="I38" s="46">
        <f t="shared" ca="1" si="8"/>
        <v>0.65789473684210531</v>
      </c>
      <c r="J38" s="24"/>
      <c r="K38" s="24">
        <f ca="1">INDIRECT("'("&amp;$A$4&amp;")'!k38")</f>
        <v>14</v>
      </c>
      <c r="L38" s="24">
        <f ca="1">INDIRECT("'("&amp;$A$4&amp;")'!l38")</f>
        <v>0</v>
      </c>
      <c r="M38" s="24">
        <f ca="1">INDIRECT("'("&amp;$A$4&amp;")'!m38")</f>
        <v>0</v>
      </c>
      <c r="N38" s="24">
        <f ca="1">INDIRECT("'("&amp;$A$4&amp;")'!n38")</f>
        <v>0</v>
      </c>
      <c r="O38" s="24">
        <f ca="1">INDIRECT("'("&amp;$A$4&amp;")'!o38")</f>
        <v>0</v>
      </c>
      <c r="P38" s="24">
        <f ca="1">INDIRECT("'("&amp;$A$4&amp;")'!p38")</f>
        <v>31</v>
      </c>
      <c r="Q38" s="46">
        <f t="shared" ca="1" si="10"/>
        <v>0</v>
      </c>
      <c r="R38" s="46">
        <f t="shared" ca="1" si="11"/>
        <v>0.68888888888888888</v>
      </c>
      <c r="S38" s="24"/>
      <c r="T38" s="22">
        <f t="shared" ca="1" si="12"/>
        <v>27</v>
      </c>
      <c r="U38" s="22">
        <f t="shared" ca="1" si="13"/>
        <v>0</v>
      </c>
      <c r="V38" s="22">
        <f t="shared" ca="1" si="14"/>
        <v>0</v>
      </c>
      <c r="W38" s="22">
        <f t="shared" ca="1" si="15"/>
        <v>0</v>
      </c>
      <c r="X38" s="22">
        <f t="shared" ca="1" si="16"/>
        <v>0</v>
      </c>
      <c r="Y38" s="22">
        <f t="shared" ca="1" si="17"/>
        <v>56</v>
      </c>
      <c r="Z38" s="46">
        <f t="shared" ca="1" si="18"/>
        <v>0</v>
      </c>
      <c r="AA38" s="46">
        <f t="shared" ca="1" si="19"/>
        <v>0.67469879518072284</v>
      </c>
      <c r="AB38" s="24"/>
      <c r="AC38" s="24">
        <f ca="1">INDIRECT("'("&amp;$A$4&amp;")'!ac38")</f>
        <v>1</v>
      </c>
      <c r="AD38" s="24">
        <f ca="1">INDIRECT("'("&amp;$A$4&amp;")'!ad38")</f>
        <v>0</v>
      </c>
      <c r="AE38" s="24">
        <f ca="1">INDIRECT("'("&amp;$A$4&amp;")'!ae38")</f>
        <v>0</v>
      </c>
      <c r="AF38" s="24">
        <f ca="1">INDIRECT("'("&amp;$A$4&amp;")'!af38")</f>
        <v>0</v>
      </c>
      <c r="AG38" s="24">
        <f ca="1">INDIRECT("'("&amp;$A$4&amp;")'!ag38")</f>
        <v>0</v>
      </c>
      <c r="AH38" s="24">
        <f ca="1">INDIRECT("'("&amp;$A$4&amp;")'!ah38")</f>
        <v>2</v>
      </c>
      <c r="AI38" s="46">
        <f t="shared" ca="1" si="21"/>
        <v>0</v>
      </c>
      <c r="AJ38" s="46">
        <f t="shared" ca="1" si="22"/>
        <v>0.66666666666666663</v>
      </c>
      <c r="AK38" s="24"/>
      <c r="AL38" s="24">
        <f ca="1">INDIRECT("'("&amp;$A$4&amp;")'!al38")</f>
        <v>6</v>
      </c>
      <c r="AM38" s="24">
        <f ca="1">INDIRECT("'("&amp;$A$4&amp;")'!am38")</f>
        <v>0</v>
      </c>
      <c r="AN38" s="24">
        <f ca="1">INDIRECT("'("&amp;$A$4&amp;")'!an38")</f>
        <v>0</v>
      </c>
      <c r="AO38" s="24">
        <f ca="1">INDIRECT("'("&amp;$A$4&amp;")'!ao38")</f>
        <v>0</v>
      </c>
      <c r="AP38" s="24">
        <f ca="1">INDIRECT("'("&amp;$A$4&amp;")'!ap38")</f>
        <v>0</v>
      </c>
      <c r="AQ38" s="24">
        <f ca="1">INDIRECT("'("&amp;$A$4&amp;")'!aq38")</f>
        <v>14</v>
      </c>
      <c r="AR38" s="46">
        <f t="shared" ca="1" si="24"/>
        <v>0</v>
      </c>
      <c r="AS38" s="46">
        <f t="shared" ca="1" si="25"/>
        <v>0.7</v>
      </c>
      <c r="AT38" s="24"/>
      <c r="AU38" s="22">
        <f t="shared" ca="1" si="26"/>
        <v>34</v>
      </c>
      <c r="AV38" s="22">
        <f t="shared" ca="1" si="27"/>
        <v>0</v>
      </c>
      <c r="AW38" s="22">
        <f t="shared" ca="1" si="28"/>
        <v>0</v>
      </c>
      <c r="AX38" s="22">
        <f t="shared" ca="1" si="29"/>
        <v>0</v>
      </c>
      <c r="AY38" s="22">
        <f t="shared" ca="1" si="30"/>
        <v>0</v>
      </c>
      <c r="AZ38" s="22">
        <f t="shared" ca="1" si="31"/>
        <v>72</v>
      </c>
      <c r="BA38" s="46">
        <f t="shared" ca="1" si="32"/>
        <v>0</v>
      </c>
      <c r="BB38" s="46">
        <f t="shared" ca="1" si="33"/>
        <v>0.67924528301886788</v>
      </c>
      <c r="BC38" s="19"/>
      <c r="BD38" s="19"/>
      <c r="BE38" s="19"/>
      <c r="BF38" s="19"/>
      <c r="BG38" s="19"/>
      <c r="BH38" s="19"/>
      <c r="BI38" s="19"/>
      <c r="BJ38" s="19"/>
      <c r="BK38" s="19"/>
    </row>
    <row r="39" spans="1:63" s="8" customFormat="1" ht="15" customHeight="1" x14ac:dyDescent="0.3">
      <c r="A39" s="3" t="s">
        <v>46</v>
      </c>
      <c r="B39" s="24">
        <f ca="1">INDIRECT("'("&amp;$A$4&amp;")'!b39")</f>
        <v>0</v>
      </c>
      <c r="C39" s="24">
        <f ca="1">INDIRECT("'("&amp;$A$4&amp;")'!c39")</f>
        <v>0</v>
      </c>
      <c r="D39" s="24">
        <f ca="1">INDIRECT("'("&amp;$A$4&amp;")'!d39")</f>
        <v>0</v>
      </c>
      <c r="E39" s="24">
        <f ca="1">INDIRECT("'("&amp;$A$4&amp;")'!e39")</f>
        <v>0</v>
      </c>
      <c r="F39" s="24">
        <f ca="1">INDIRECT("'("&amp;$A$4&amp;")'!f39")</f>
        <v>0</v>
      </c>
      <c r="G39" s="24">
        <f ca="1">INDIRECT("'("&amp;$A$4&amp;")'!g39")</f>
        <v>13</v>
      </c>
      <c r="H39" s="46" t="str">
        <f t="shared" ca="1" si="7"/>
        <v>-</v>
      </c>
      <c r="I39" s="46">
        <f t="shared" ca="1" si="8"/>
        <v>1</v>
      </c>
      <c r="J39" s="24"/>
      <c r="K39" s="24">
        <f ca="1">INDIRECT("'("&amp;$A$4&amp;")'!k39")</f>
        <v>0</v>
      </c>
      <c r="L39" s="24">
        <f ca="1">INDIRECT("'("&amp;$A$4&amp;")'!l39")</f>
        <v>0</v>
      </c>
      <c r="M39" s="24">
        <f ca="1">INDIRECT("'("&amp;$A$4&amp;")'!m39")</f>
        <v>0</v>
      </c>
      <c r="N39" s="24">
        <f ca="1">INDIRECT("'("&amp;$A$4&amp;")'!n39")</f>
        <v>0</v>
      </c>
      <c r="O39" s="24">
        <f ca="1">INDIRECT("'("&amp;$A$4&amp;")'!o39")</f>
        <v>0</v>
      </c>
      <c r="P39" s="24">
        <f ca="1">INDIRECT("'("&amp;$A$4&amp;")'!p39")</f>
        <v>14</v>
      </c>
      <c r="Q39" s="46" t="str">
        <f t="shared" ca="1" si="10"/>
        <v>-</v>
      </c>
      <c r="R39" s="46">
        <f t="shared" ca="1" si="11"/>
        <v>1</v>
      </c>
      <c r="S39" s="24"/>
      <c r="T39" s="22">
        <f t="shared" ca="1" si="12"/>
        <v>0</v>
      </c>
      <c r="U39" s="22">
        <f t="shared" ca="1" si="13"/>
        <v>0</v>
      </c>
      <c r="V39" s="22">
        <f t="shared" ca="1" si="14"/>
        <v>0</v>
      </c>
      <c r="W39" s="22">
        <f t="shared" ca="1" si="15"/>
        <v>0</v>
      </c>
      <c r="X39" s="22">
        <f t="shared" ca="1" si="16"/>
        <v>0</v>
      </c>
      <c r="Y39" s="22">
        <f t="shared" ca="1" si="17"/>
        <v>27</v>
      </c>
      <c r="Z39" s="46" t="str">
        <f t="shared" ca="1" si="18"/>
        <v>-</v>
      </c>
      <c r="AA39" s="46">
        <f t="shared" ca="1" si="19"/>
        <v>1</v>
      </c>
      <c r="AB39" s="24"/>
      <c r="AC39" s="24">
        <f ca="1">INDIRECT("'("&amp;$A$4&amp;")'!ac39")</f>
        <v>1</v>
      </c>
      <c r="AD39" s="24">
        <f ca="1">INDIRECT("'("&amp;$A$4&amp;")'!ad39")</f>
        <v>0</v>
      </c>
      <c r="AE39" s="24">
        <f ca="1">INDIRECT("'("&amp;$A$4&amp;")'!ae39")</f>
        <v>0</v>
      </c>
      <c r="AF39" s="24">
        <f ca="1">INDIRECT("'("&amp;$A$4&amp;")'!af39")</f>
        <v>0</v>
      </c>
      <c r="AG39" s="24">
        <f ca="1">INDIRECT("'("&amp;$A$4&amp;")'!ag39")</f>
        <v>0</v>
      </c>
      <c r="AH39" s="24">
        <f ca="1">INDIRECT("'("&amp;$A$4&amp;")'!ah39")</f>
        <v>0</v>
      </c>
      <c r="AI39" s="46">
        <f t="shared" ca="1" si="21"/>
        <v>0</v>
      </c>
      <c r="AJ39" s="46">
        <f t="shared" ca="1" si="22"/>
        <v>0</v>
      </c>
      <c r="AK39" s="24"/>
      <c r="AL39" s="24">
        <f ca="1">INDIRECT("'("&amp;$A$4&amp;")'!al39")</f>
        <v>3</v>
      </c>
      <c r="AM39" s="24">
        <f ca="1">INDIRECT("'("&amp;$A$4&amp;")'!am39")</f>
        <v>0</v>
      </c>
      <c r="AN39" s="24">
        <f ca="1">INDIRECT("'("&amp;$A$4&amp;")'!an39")</f>
        <v>0</v>
      </c>
      <c r="AO39" s="24">
        <f ca="1">INDIRECT("'("&amp;$A$4&amp;")'!ao39")</f>
        <v>0</v>
      </c>
      <c r="AP39" s="24">
        <f ca="1">INDIRECT("'("&amp;$A$4&amp;")'!ap39")</f>
        <v>0</v>
      </c>
      <c r="AQ39" s="24">
        <f ca="1">INDIRECT("'("&amp;$A$4&amp;")'!aq39")</f>
        <v>0</v>
      </c>
      <c r="AR39" s="46">
        <f t="shared" ca="1" si="24"/>
        <v>0</v>
      </c>
      <c r="AS39" s="46">
        <f t="shared" ca="1" si="25"/>
        <v>0</v>
      </c>
      <c r="AT39" s="24"/>
      <c r="AU39" s="22">
        <f t="shared" ca="1" si="26"/>
        <v>4</v>
      </c>
      <c r="AV39" s="22">
        <f t="shared" ca="1" si="27"/>
        <v>0</v>
      </c>
      <c r="AW39" s="22">
        <f t="shared" ca="1" si="28"/>
        <v>0</v>
      </c>
      <c r="AX39" s="22">
        <f t="shared" ca="1" si="29"/>
        <v>0</v>
      </c>
      <c r="AY39" s="22">
        <f t="shared" ca="1" si="30"/>
        <v>0</v>
      </c>
      <c r="AZ39" s="22">
        <f t="shared" ca="1" si="31"/>
        <v>27</v>
      </c>
      <c r="BA39" s="46">
        <f t="shared" ca="1" si="32"/>
        <v>0</v>
      </c>
      <c r="BB39" s="46">
        <f t="shared" ca="1" si="33"/>
        <v>0.87096774193548387</v>
      </c>
      <c r="BC39" s="19"/>
      <c r="BD39" s="19"/>
      <c r="BE39" s="19"/>
      <c r="BF39" s="19"/>
      <c r="BG39" s="19"/>
      <c r="BH39" s="19"/>
      <c r="BI39" s="19"/>
      <c r="BJ39" s="19"/>
      <c r="BK39" s="19"/>
    </row>
    <row r="40" spans="1:63" s="8" customFormat="1" ht="15" customHeight="1" x14ac:dyDescent="0.3">
      <c r="A40" s="2" t="s">
        <v>47</v>
      </c>
      <c r="B40" s="24">
        <f ca="1">INDIRECT("'("&amp;$A$4&amp;")'!b40")</f>
        <v>6</v>
      </c>
      <c r="C40" s="24">
        <f ca="1">INDIRECT("'("&amp;$A$4&amp;")'!c40")</f>
        <v>1</v>
      </c>
      <c r="D40" s="24">
        <f ca="1">INDIRECT("'("&amp;$A$4&amp;")'!d40")</f>
        <v>0</v>
      </c>
      <c r="E40" s="24">
        <f ca="1">INDIRECT("'("&amp;$A$4&amp;")'!e40")</f>
        <v>1</v>
      </c>
      <c r="F40" s="24">
        <f ca="1">INDIRECT("'("&amp;$A$4&amp;")'!f40")</f>
        <v>0</v>
      </c>
      <c r="G40" s="24">
        <f ca="1">INDIRECT("'("&amp;$A$4&amp;")'!g40")</f>
        <v>0</v>
      </c>
      <c r="H40" s="46">
        <f t="shared" ca="1" si="7"/>
        <v>0.25</v>
      </c>
      <c r="I40" s="46">
        <f t="shared" ca="1" si="8"/>
        <v>0</v>
      </c>
      <c r="J40" s="24"/>
      <c r="K40" s="24">
        <f ca="1">INDIRECT("'("&amp;$A$4&amp;")'!k40")</f>
        <v>14</v>
      </c>
      <c r="L40" s="24">
        <f ca="1">INDIRECT("'("&amp;$A$4&amp;")'!l40")</f>
        <v>1</v>
      </c>
      <c r="M40" s="24">
        <f ca="1">INDIRECT("'("&amp;$A$4&amp;")'!m40")</f>
        <v>0</v>
      </c>
      <c r="N40" s="24">
        <f ca="1">INDIRECT("'("&amp;$A$4&amp;")'!n40")</f>
        <v>0</v>
      </c>
      <c r="O40" s="24">
        <f ca="1">INDIRECT("'("&amp;$A$4&amp;")'!o40")</f>
        <v>0</v>
      </c>
      <c r="P40" s="24">
        <f ca="1">INDIRECT("'("&amp;$A$4&amp;")'!p40")</f>
        <v>0</v>
      </c>
      <c r="Q40" s="46">
        <f t="shared" ca="1" si="10"/>
        <v>6.6666666666666666E-2</v>
      </c>
      <c r="R40" s="46">
        <f t="shared" ca="1" si="11"/>
        <v>0</v>
      </c>
      <c r="S40" s="24"/>
      <c r="T40" s="22">
        <f t="shared" ca="1" si="12"/>
        <v>20</v>
      </c>
      <c r="U40" s="22">
        <f t="shared" ca="1" si="13"/>
        <v>2</v>
      </c>
      <c r="V40" s="22">
        <f t="shared" ca="1" si="14"/>
        <v>0</v>
      </c>
      <c r="W40" s="22">
        <f t="shared" ca="1" si="15"/>
        <v>1</v>
      </c>
      <c r="X40" s="22">
        <f t="shared" ca="1" si="16"/>
        <v>0</v>
      </c>
      <c r="Y40" s="22">
        <f t="shared" ca="1" si="17"/>
        <v>0</v>
      </c>
      <c r="Z40" s="46">
        <f t="shared" ca="1" si="18"/>
        <v>0.13043478260869565</v>
      </c>
      <c r="AA40" s="46">
        <f t="shared" ca="1" si="19"/>
        <v>0</v>
      </c>
      <c r="AB40" s="24"/>
      <c r="AC40" s="24">
        <f ca="1">INDIRECT("'("&amp;$A$4&amp;")'!ac40")</f>
        <v>0</v>
      </c>
      <c r="AD40" s="24">
        <f ca="1">INDIRECT("'("&amp;$A$4&amp;")'!ad40")</f>
        <v>0</v>
      </c>
      <c r="AE40" s="24">
        <f ca="1">INDIRECT("'("&amp;$A$4&amp;")'!ae40")</f>
        <v>0</v>
      </c>
      <c r="AF40" s="24">
        <f ca="1">INDIRECT("'("&amp;$A$4&amp;")'!af40")</f>
        <v>0</v>
      </c>
      <c r="AG40" s="24">
        <f ca="1">INDIRECT("'("&amp;$A$4&amp;")'!ag40")</f>
        <v>0</v>
      </c>
      <c r="AH40" s="24">
        <f ca="1">INDIRECT("'("&amp;$A$4&amp;")'!ah40")</f>
        <v>0</v>
      </c>
      <c r="AI40" s="46" t="str">
        <f t="shared" ca="1" si="21"/>
        <v>-</v>
      </c>
      <c r="AJ40" s="46" t="str">
        <f t="shared" ca="1" si="22"/>
        <v>-</v>
      </c>
      <c r="AK40" s="24"/>
      <c r="AL40" s="24">
        <f ca="1">INDIRECT("'("&amp;$A$4&amp;")'!al40")</f>
        <v>15</v>
      </c>
      <c r="AM40" s="24">
        <f ca="1">INDIRECT("'("&amp;$A$4&amp;")'!am40")</f>
        <v>0</v>
      </c>
      <c r="AN40" s="24">
        <f ca="1">INDIRECT("'("&amp;$A$4&amp;")'!an40")</f>
        <v>1</v>
      </c>
      <c r="AO40" s="24">
        <f ca="1">INDIRECT("'("&amp;$A$4&amp;")'!ao40")</f>
        <v>0</v>
      </c>
      <c r="AP40" s="24">
        <f ca="1">INDIRECT("'("&amp;$A$4&amp;")'!ap40")</f>
        <v>0</v>
      </c>
      <c r="AQ40" s="24">
        <f ca="1">INDIRECT("'("&amp;$A$4&amp;")'!aq40")</f>
        <v>7</v>
      </c>
      <c r="AR40" s="46">
        <f t="shared" ca="1" si="24"/>
        <v>6.25E-2</v>
      </c>
      <c r="AS40" s="46">
        <f t="shared" ca="1" si="25"/>
        <v>0.30434782608695654</v>
      </c>
      <c r="AT40" s="24"/>
      <c r="AU40" s="22">
        <f t="shared" ca="1" si="26"/>
        <v>35</v>
      </c>
      <c r="AV40" s="22">
        <f t="shared" ca="1" si="27"/>
        <v>2</v>
      </c>
      <c r="AW40" s="22">
        <f t="shared" ca="1" si="28"/>
        <v>1</v>
      </c>
      <c r="AX40" s="22">
        <f t="shared" ca="1" si="29"/>
        <v>1</v>
      </c>
      <c r="AY40" s="22">
        <f t="shared" ca="1" si="30"/>
        <v>0</v>
      </c>
      <c r="AZ40" s="22">
        <f t="shared" ca="1" si="31"/>
        <v>7</v>
      </c>
      <c r="BA40" s="46">
        <f t="shared" ca="1" si="32"/>
        <v>0.10256410256410256</v>
      </c>
      <c r="BB40" s="46">
        <f t="shared" ca="1" si="33"/>
        <v>0.15217391304347827</v>
      </c>
      <c r="BC40" s="19"/>
      <c r="BD40" s="19"/>
      <c r="BE40" s="19"/>
      <c r="BF40" s="19"/>
      <c r="BG40" s="19"/>
      <c r="BH40" s="19"/>
      <c r="BI40" s="19"/>
      <c r="BJ40" s="19"/>
      <c r="BK40" s="19"/>
    </row>
    <row r="41" spans="1:63" s="8" customFormat="1" ht="15" customHeight="1" x14ac:dyDescent="0.3">
      <c r="A41" s="2" t="s">
        <v>48</v>
      </c>
      <c r="B41" s="24">
        <f ca="1">INDIRECT("'("&amp;$A$4&amp;")'!b41")</f>
        <v>14</v>
      </c>
      <c r="C41" s="24">
        <f ca="1">INDIRECT("'("&amp;$A$4&amp;")'!c41")</f>
        <v>0</v>
      </c>
      <c r="D41" s="24">
        <f ca="1">INDIRECT("'("&amp;$A$4&amp;")'!d41")</f>
        <v>0</v>
      </c>
      <c r="E41" s="24">
        <f ca="1">INDIRECT("'("&amp;$A$4&amp;")'!e41")</f>
        <v>0</v>
      </c>
      <c r="F41" s="24">
        <f ca="1">INDIRECT("'("&amp;$A$4&amp;")'!f41")</f>
        <v>0</v>
      </c>
      <c r="G41" s="24">
        <f ca="1">INDIRECT("'("&amp;$A$4&amp;")'!g41")</f>
        <v>4</v>
      </c>
      <c r="H41" s="46">
        <f t="shared" ca="1" si="7"/>
        <v>0</v>
      </c>
      <c r="I41" s="46">
        <f t="shared" ca="1" si="8"/>
        <v>0.22222222222222221</v>
      </c>
      <c r="J41" s="24"/>
      <c r="K41" s="24">
        <f ca="1">INDIRECT("'("&amp;$A$4&amp;")'!k41")</f>
        <v>53</v>
      </c>
      <c r="L41" s="24">
        <f ca="1">INDIRECT("'("&amp;$A$4&amp;")'!l41")</f>
        <v>1</v>
      </c>
      <c r="M41" s="24">
        <f ca="1">INDIRECT("'("&amp;$A$4&amp;")'!m41")</f>
        <v>0</v>
      </c>
      <c r="N41" s="24">
        <f ca="1">INDIRECT("'("&amp;$A$4&amp;")'!n41")</f>
        <v>0</v>
      </c>
      <c r="O41" s="24">
        <f ca="1">INDIRECT("'("&amp;$A$4&amp;")'!o41")</f>
        <v>1</v>
      </c>
      <c r="P41" s="24">
        <f ca="1">INDIRECT("'("&amp;$A$4&amp;")'!p41")</f>
        <v>5</v>
      </c>
      <c r="Q41" s="46">
        <f t="shared" ca="1" si="10"/>
        <v>3.6363636363636362E-2</v>
      </c>
      <c r="R41" s="46">
        <f t="shared" ca="1" si="11"/>
        <v>8.3333333333333329E-2</v>
      </c>
      <c r="S41" s="24"/>
      <c r="T41" s="22">
        <f t="shared" ca="1" si="12"/>
        <v>67</v>
      </c>
      <c r="U41" s="22">
        <f t="shared" ca="1" si="13"/>
        <v>1</v>
      </c>
      <c r="V41" s="22">
        <f t="shared" ca="1" si="14"/>
        <v>0</v>
      </c>
      <c r="W41" s="22">
        <f t="shared" ca="1" si="15"/>
        <v>0</v>
      </c>
      <c r="X41" s="22">
        <f t="shared" ca="1" si="16"/>
        <v>1</v>
      </c>
      <c r="Y41" s="22">
        <f t="shared" ca="1" si="17"/>
        <v>9</v>
      </c>
      <c r="Z41" s="46">
        <f t="shared" ca="1" si="18"/>
        <v>2.8985507246376812E-2</v>
      </c>
      <c r="AA41" s="46">
        <f t="shared" ca="1" si="19"/>
        <v>0.11538461538461539</v>
      </c>
      <c r="AB41" s="24"/>
      <c r="AC41" s="24">
        <f ca="1">INDIRECT("'("&amp;$A$4&amp;")'!ac41")</f>
        <v>0</v>
      </c>
      <c r="AD41" s="24">
        <f ca="1">INDIRECT("'("&amp;$A$4&amp;")'!ad41")</f>
        <v>0</v>
      </c>
      <c r="AE41" s="24">
        <f ca="1">INDIRECT("'("&amp;$A$4&amp;")'!ae41")</f>
        <v>0</v>
      </c>
      <c r="AF41" s="24">
        <f ca="1">INDIRECT("'("&amp;$A$4&amp;")'!af41")</f>
        <v>0</v>
      </c>
      <c r="AG41" s="24">
        <f ca="1">INDIRECT("'("&amp;$A$4&amp;")'!ag41")</f>
        <v>0</v>
      </c>
      <c r="AH41" s="24">
        <f ca="1">INDIRECT("'("&amp;$A$4&amp;")'!ah41")</f>
        <v>0</v>
      </c>
      <c r="AI41" s="46" t="str">
        <f t="shared" ca="1" si="21"/>
        <v>-</v>
      </c>
      <c r="AJ41" s="46" t="str">
        <f t="shared" ca="1" si="22"/>
        <v>-</v>
      </c>
      <c r="AK41" s="24"/>
      <c r="AL41" s="24">
        <f ca="1">INDIRECT("'("&amp;$A$4&amp;")'!al41")</f>
        <v>13</v>
      </c>
      <c r="AM41" s="24">
        <f ca="1">INDIRECT("'("&amp;$A$4&amp;")'!am41")</f>
        <v>0</v>
      </c>
      <c r="AN41" s="24">
        <f ca="1">INDIRECT("'("&amp;$A$4&amp;")'!an41")</f>
        <v>0</v>
      </c>
      <c r="AO41" s="24">
        <f ca="1">INDIRECT("'("&amp;$A$4&amp;")'!ao41")</f>
        <v>0</v>
      </c>
      <c r="AP41" s="24">
        <f ca="1">INDIRECT("'("&amp;$A$4&amp;")'!ap41")</f>
        <v>0</v>
      </c>
      <c r="AQ41" s="24">
        <f ca="1">INDIRECT("'("&amp;$A$4&amp;")'!aq41")</f>
        <v>2</v>
      </c>
      <c r="AR41" s="46">
        <f t="shared" ca="1" si="24"/>
        <v>0</v>
      </c>
      <c r="AS41" s="46">
        <f t="shared" ca="1" si="25"/>
        <v>0.13333333333333333</v>
      </c>
      <c r="AT41" s="24"/>
      <c r="AU41" s="22">
        <f t="shared" ca="1" si="26"/>
        <v>80</v>
      </c>
      <c r="AV41" s="22">
        <f t="shared" ca="1" si="27"/>
        <v>1</v>
      </c>
      <c r="AW41" s="22">
        <f t="shared" ca="1" si="28"/>
        <v>0</v>
      </c>
      <c r="AX41" s="22">
        <f t="shared" ca="1" si="29"/>
        <v>0</v>
      </c>
      <c r="AY41" s="22">
        <f t="shared" ca="1" si="30"/>
        <v>1</v>
      </c>
      <c r="AZ41" s="22">
        <f t="shared" ca="1" si="31"/>
        <v>11</v>
      </c>
      <c r="BA41" s="46">
        <f t="shared" ca="1" si="32"/>
        <v>2.4390243902439025E-2</v>
      </c>
      <c r="BB41" s="46">
        <f t="shared" ca="1" si="33"/>
        <v>0.11827956989247312</v>
      </c>
      <c r="BC41" s="19"/>
      <c r="BD41" s="19"/>
      <c r="BE41" s="19"/>
      <c r="BF41" s="19"/>
      <c r="BG41" s="19"/>
      <c r="BH41" s="19"/>
      <c r="BI41" s="19"/>
      <c r="BJ41" s="19"/>
      <c r="BK41" s="19"/>
    </row>
    <row r="42" spans="1:63" s="8" customFormat="1" ht="15" customHeight="1" x14ac:dyDescent="0.3">
      <c r="A42" s="2" t="s">
        <v>49</v>
      </c>
      <c r="B42" s="24">
        <f ca="1">INDIRECT("'("&amp;$A$4&amp;")'!b42")</f>
        <v>7</v>
      </c>
      <c r="C42" s="24">
        <f ca="1">INDIRECT("'("&amp;$A$4&amp;")'!c42")</f>
        <v>1</v>
      </c>
      <c r="D42" s="24">
        <f ca="1">INDIRECT("'("&amp;$A$4&amp;")'!d42")</f>
        <v>0</v>
      </c>
      <c r="E42" s="24">
        <f ca="1">INDIRECT("'("&amp;$A$4&amp;")'!e42")</f>
        <v>0</v>
      </c>
      <c r="F42" s="24">
        <f ca="1">INDIRECT("'("&amp;$A$4&amp;")'!f42")</f>
        <v>0</v>
      </c>
      <c r="G42" s="24">
        <f ca="1">INDIRECT("'("&amp;$A$4&amp;")'!g42")</f>
        <v>2</v>
      </c>
      <c r="H42" s="46">
        <f t="shared" ca="1" si="7"/>
        <v>0.125</v>
      </c>
      <c r="I42" s="46">
        <f t="shared" ca="1" si="8"/>
        <v>0.2</v>
      </c>
      <c r="J42" s="24"/>
      <c r="K42" s="24">
        <f ca="1">INDIRECT("'("&amp;$A$4&amp;")'!k42")</f>
        <v>14</v>
      </c>
      <c r="L42" s="24">
        <f ca="1">INDIRECT("'("&amp;$A$4&amp;")'!l42")</f>
        <v>0</v>
      </c>
      <c r="M42" s="24">
        <f ca="1">INDIRECT("'("&amp;$A$4&amp;")'!m42")</f>
        <v>1</v>
      </c>
      <c r="N42" s="24">
        <f ca="1">INDIRECT("'("&amp;$A$4&amp;")'!n42")</f>
        <v>0</v>
      </c>
      <c r="O42" s="24">
        <f ca="1">INDIRECT("'("&amp;$A$4&amp;")'!o42")</f>
        <v>1</v>
      </c>
      <c r="P42" s="24">
        <f ca="1">INDIRECT("'("&amp;$A$4&amp;")'!p42")</f>
        <v>9</v>
      </c>
      <c r="Q42" s="46">
        <f t="shared" ca="1" si="10"/>
        <v>0.125</v>
      </c>
      <c r="R42" s="46">
        <f t="shared" ca="1" si="11"/>
        <v>0.36</v>
      </c>
      <c r="S42" s="24"/>
      <c r="T42" s="22">
        <f t="shared" ca="1" si="12"/>
        <v>21</v>
      </c>
      <c r="U42" s="22">
        <f t="shared" ca="1" si="13"/>
        <v>1</v>
      </c>
      <c r="V42" s="22">
        <f t="shared" ca="1" si="14"/>
        <v>1</v>
      </c>
      <c r="W42" s="22">
        <f t="shared" ca="1" si="15"/>
        <v>0</v>
      </c>
      <c r="X42" s="22">
        <f t="shared" ca="1" si="16"/>
        <v>1</v>
      </c>
      <c r="Y42" s="22">
        <f t="shared" ca="1" si="17"/>
        <v>11</v>
      </c>
      <c r="Z42" s="46">
        <f t="shared" ca="1" si="18"/>
        <v>0.125</v>
      </c>
      <c r="AA42" s="46">
        <f t="shared" ca="1" si="19"/>
        <v>0.31428571428571428</v>
      </c>
      <c r="AB42" s="24"/>
      <c r="AC42" s="24">
        <f ca="1">INDIRECT("'("&amp;$A$4&amp;")'!ac42")</f>
        <v>1</v>
      </c>
      <c r="AD42" s="24">
        <f ca="1">INDIRECT("'("&amp;$A$4&amp;")'!ad42")</f>
        <v>0</v>
      </c>
      <c r="AE42" s="24">
        <f ca="1">INDIRECT("'("&amp;$A$4&amp;")'!ae42")</f>
        <v>0</v>
      </c>
      <c r="AF42" s="24">
        <f ca="1">INDIRECT("'("&amp;$A$4&amp;")'!af42")</f>
        <v>0</v>
      </c>
      <c r="AG42" s="24">
        <f ca="1">INDIRECT("'("&amp;$A$4&amp;")'!ag42")</f>
        <v>0</v>
      </c>
      <c r="AH42" s="24">
        <f ca="1">INDIRECT("'("&amp;$A$4&amp;")'!ah42")</f>
        <v>2</v>
      </c>
      <c r="AI42" s="46">
        <f t="shared" ca="1" si="21"/>
        <v>0</v>
      </c>
      <c r="AJ42" s="46">
        <f t="shared" ca="1" si="22"/>
        <v>0.66666666666666663</v>
      </c>
      <c r="AK42" s="24"/>
      <c r="AL42" s="24">
        <f ca="1">INDIRECT("'("&amp;$A$4&amp;")'!al42")</f>
        <v>7</v>
      </c>
      <c r="AM42" s="24">
        <f ca="1">INDIRECT("'("&amp;$A$4&amp;")'!am42")</f>
        <v>0</v>
      </c>
      <c r="AN42" s="24">
        <f ca="1">INDIRECT("'("&amp;$A$4&amp;")'!an42")</f>
        <v>0</v>
      </c>
      <c r="AO42" s="24">
        <f ca="1">INDIRECT("'("&amp;$A$4&amp;")'!ao42")</f>
        <v>0</v>
      </c>
      <c r="AP42" s="24">
        <f ca="1">INDIRECT("'("&amp;$A$4&amp;")'!ap42")</f>
        <v>0</v>
      </c>
      <c r="AQ42" s="24">
        <f ca="1">INDIRECT("'("&amp;$A$4&amp;")'!aq42")</f>
        <v>5</v>
      </c>
      <c r="AR42" s="46">
        <f t="shared" ca="1" si="24"/>
        <v>0</v>
      </c>
      <c r="AS42" s="46">
        <f t="shared" ca="1" si="25"/>
        <v>0.41666666666666669</v>
      </c>
      <c r="AT42" s="24"/>
      <c r="AU42" s="22">
        <f t="shared" ca="1" si="26"/>
        <v>29</v>
      </c>
      <c r="AV42" s="22">
        <f t="shared" ca="1" si="27"/>
        <v>1</v>
      </c>
      <c r="AW42" s="22">
        <f t="shared" ca="1" si="28"/>
        <v>1</v>
      </c>
      <c r="AX42" s="22">
        <f t="shared" ca="1" si="29"/>
        <v>0</v>
      </c>
      <c r="AY42" s="22">
        <f t="shared" ca="1" si="30"/>
        <v>1</v>
      </c>
      <c r="AZ42" s="22">
        <f t="shared" ca="1" si="31"/>
        <v>18</v>
      </c>
      <c r="BA42" s="46">
        <f t="shared" ca="1" si="32"/>
        <v>9.375E-2</v>
      </c>
      <c r="BB42" s="46">
        <f t="shared" ca="1" si="33"/>
        <v>0.36</v>
      </c>
      <c r="BC42" s="19"/>
      <c r="BD42" s="19"/>
      <c r="BE42" s="19"/>
      <c r="BF42" s="19"/>
      <c r="BG42" s="19"/>
      <c r="BH42" s="19"/>
      <c r="BI42" s="19"/>
      <c r="BJ42" s="19"/>
      <c r="BK42" s="19"/>
    </row>
    <row r="43" spans="1:63" s="8" customFormat="1" ht="15" customHeight="1" x14ac:dyDescent="0.3">
      <c r="A43" s="2" t="s">
        <v>50</v>
      </c>
      <c r="B43" s="24">
        <f ca="1">INDIRECT("'("&amp;$A$4&amp;")'!b43")</f>
        <v>3</v>
      </c>
      <c r="C43" s="24">
        <f ca="1">INDIRECT("'("&amp;$A$4&amp;")'!c43")</f>
        <v>0</v>
      </c>
      <c r="D43" s="24">
        <f ca="1">INDIRECT("'("&amp;$A$4&amp;")'!d43")</f>
        <v>0</v>
      </c>
      <c r="E43" s="24">
        <f ca="1">INDIRECT("'("&amp;$A$4&amp;")'!e43")</f>
        <v>0</v>
      </c>
      <c r="F43" s="24">
        <f ca="1">INDIRECT("'("&amp;$A$4&amp;")'!f43")</f>
        <v>0</v>
      </c>
      <c r="G43" s="24">
        <f ca="1">INDIRECT("'("&amp;$A$4&amp;")'!g43")</f>
        <v>0</v>
      </c>
      <c r="H43" s="46">
        <f t="shared" ca="1" si="7"/>
        <v>0</v>
      </c>
      <c r="I43" s="46">
        <f t="shared" ca="1" si="8"/>
        <v>0</v>
      </c>
      <c r="J43" s="24"/>
      <c r="K43" s="24">
        <f ca="1">INDIRECT("'("&amp;$A$4&amp;")'!k43")</f>
        <v>43</v>
      </c>
      <c r="L43" s="24">
        <f ca="1">INDIRECT("'("&amp;$A$4&amp;")'!l43")</f>
        <v>0</v>
      </c>
      <c r="M43" s="24">
        <f ca="1">INDIRECT("'("&amp;$A$4&amp;")'!m43")</f>
        <v>1</v>
      </c>
      <c r="N43" s="24">
        <f ca="1">INDIRECT("'("&amp;$A$4&amp;")'!n43")</f>
        <v>0</v>
      </c>
      <c r="O43" s="24">
        <f ca="1">INDIRECT("'("&amp;$A$4&amp;")'!o43")</f>
        <v>0</v>
      </c>
      <c r="P43" s="24">
        <f ca="1">INDIRECT("'("&amp;$A$4&amp;")'!p43")</f>
        <v>0</v>
      </c>
      <c r="Q43" s="46">
        <f t="shared" ca="1" si="10"/>
        <v>2.2727272727272728E-2</v>
      </c>
      <c r="R43" s="46">
        <f t="shared" ca="1" si="11"/>
        <v>0</v>
      </c>
      <c r="S43" s="24"/>
      <c r="T43" s="22">
        <f t="shared" ca="1" si="12"/>
        <v>46</v>
      </c>
      <c r="U43" s="22">
        <f t="shared" ca="1" si="13"/>
        <v>0</v>
      </c>
      <c r="V43" s="22">
        <f t="shared" ca="1" si="14"/>
        <v>1</v>
      </c>
      <c r="W43" s="22">
        <f t="shared" ca="1" si="15"/>
        <v>0</v>
      </c>
      <c r="X43" s="22">
        <f t="shared" ca="1" si="16"/>
        <v>0</v>
      </c>
      <c r="Y43" s="22">
        <f t="shared" ca="1" si="17"/>
        <v>0</v>
      </c>
      <c r="Z43" s="46">
        <f t="shared" ca="1" si="18"/>
        <v>2.1276595744680851E-2</v>
      </c>
      <c r="AA43" s="46">
        <f t="shared" ca="1" si="19"/>
        <v>0</v>
      </c>
      <c r="AB43" s="24"/>
      <c r="AC43" s="24">
        <f ca="1">INDIRECT("'("&amp;$A$4&amp;")'!ac43")</f>
        <v>0</v>
      </c>
      <c r="AD43" s="24">
        <f ca="1">INDIRECT("'("&amp;$A$4&amp;")'!ad43")</f>
        <v>0</v>
      </c>
      <c r="AE43" s="24">
        <f ca="1">INDIRECT("'("&amp;$A$4&amp;")'!ae43")</f>
        <v>0</v>
      </c>
      <c r="AF43" s="24">
        <f ca="1">INDIRECT("'("&amp;$A$4&amp;")'!af43")</f>
        <v>0</v>
      </c>
      <c r="AG43" s="24">
        <f ca="1">INDIRECT("'("&amp;$A$4&amp;")'!ag43")</f>
        <v>0</v>
      </c>
      <c r="AH43" s="24">
        <f ca="1">INDIRECT("'("&amp;$A$4&amp;")'!ah43")</f>
        <v>0</v>
      </c>
      <c r="AI43" s="46" t="str">
        <f t="shared" ca="1" si="21"/>
        <v>-</v>
      </c>
      <c r="AJ43" s="46" t="str">
        <f t="shared" ca="1" si="22"/>
        <v>-</v>
      </c>
      <c r="AK43" s="24"/>
      <c r="AL43" s="24">
        <f ca="1">INDIRECT("'("&amp;$A$4&amp;")'!al43")</f>
        <v>25</v>
      </c>
      <c r="AM43" s="24">
        <f ca="1">INDIRECT("'("&amp;$A$4&amp;")'!am43")</f>
        <v>0</v>
      </c>
      <c r="AN43" s="24">
        <f ca="1">INDIRECT("'("&amp;$A$4&amp;")'!an43")</f>
        <v>0</v>
      </c>
      <c r="AO43" s="24">
        <f ca="1">INDIRECT("'("&amp;$A$4&amp;")'!ao43")</f>
        <v>0</v>
      </c>
      <c r="AP43" s="24">
        <f ca="1">INDIRECT("'("&amp;$A$4&amp;")'!ap43")</f>
        <v>0</v>
      </c>
      <c r="AQ43" s="24">
        <f ca="1">INDIRECT("'("&amp;$A$4&amp;")'!aq43")</f>
        <v>0</v>
      </c>
      <c r="AR43" s="46">
        <f t="shared" ca="1" si="24"/>
        <v>0</v>
      </c>
      <c r="AS43" s="46">
        <f t="shared" ca="1" si="25"/>
        <v>0</v>
      </c>
      <c r="AT43" s="24"/>
      <c r="AU43" s="22">
        <f t="shared" ca="1" si="26"/>
        <v>71</v>
      </c>
      <c r="AV43" s="22">
        <f t="shared" ca="1" si="27"/>
        <v>0</v>
      </c>
      <c r="AW43" s="22">
        <f t="shared" ca="1" si="28"/>
        <v>1</v>
      </c>
      <c r="AX43" s="22">
        <f t="shared" ca="1" si="29"/>
        <v>0</v>
      </c>
      <c r="AY43" s="22">
        <f t="shared" ca="1" si="30"/>
        <v>0</v>
      </c>
      <c r="AZ43" s="22">
        <f t="shared" ca="1" si="31"/>
        <v>0</v>
      </c>
      <c r="BA43" s="46">
        <f t="shared" ca="1" si="32"/>
        <v>1.3888888888888888E-2</v>
      </c>
      <c r="BB43" s="46">
        <f t="shared" ca="1" si="33"/>
        <v>0</v>
      </c>
      <c r="BC43" s="19"/>
      <c r="BD43" s="19"/>
      <c r="BE43" s="19"/>
      <c r="BF43" s="19"/>
      <c r="BG43" s="19"/>
      <c r="BH43" s="19"/>
      <c r="BI43" s="19"/>
      <c r="BJ43" s="19"/>
      <c r="BK43" s="19"/>
    </row>
    <row r="44" spans="1:63" s="8" customFormat="1" ht="15" customHeight="1" x14ac:dyDescent="0.3">
      <c r="A44" s="2" t="s">
        <v>51</v>
      </c>
      <c r="B44" s="24">
        <f ca="1">INDIRECT("'("&amp;$A$4&amp;")'!b44")</f>
        <v>2</v>
      </c>
      <c r="C44" s="24">
        <f ca="1">INDIRECT("'("&amp;$A$4&amp;")'!c44")</f>
        <v>0</v>
      </c>
      <c r="D44" s="24">
        <f ca="1">INDIRECT("'("&amp;$A$4&amp;")'!d44")</f>
        <v>0</v>
      </c>
      <c r="E44" s="24">
        <f ca="1">INDIRECT("'("&amp;$A$4&amp;")'!e44")</f>
        <v>0</v>
      </c>
      <c r="F44" s="24">
        <f ca="1">INDIRECT("'("&amp;$A$4&amp;")'!f44")</f>
        <v>0</v>
      </c>
      <c r="G44" s="24">
        <f ca="1">INDIRECT("'("&amp;$A$4&amp;")'!g44")</f>
        <v>4</v>
      </c>
      <c r="H44" s="46">
        <f t="shared" ca="1" si="7"/>
        <v>0</v>
      </c>
      <c r="I44" s="46">
        <f t="shared" ca="1" si="8"/>
        <v>0.66666666666666663</v>
      </c>
      <c r="J44" s="24"/>
      <c r="K44" s="24">
        <f ca="1">INDIRECT("'("&amp;$A$4&amp;")'!k44")</f>
        <v>1</v>
      </c>
      <c r="L44" s="24">
        <f ca="1">INDIRECT("'("&amp;$A$4&amp;")'!l44")</f>
        <v>0</v>
      </c>
      <c r="M44" s="24">
        <f ca="1">INDIRECT("'("&amp;$A$4&amp;")'!m44")</f>
        <v>0</v>
      </c>
      <c r="N44" s="24">
        <f ca="1">INDIRECT("'("&amp;$A$4&amp;")'!n44")</f>
        <v>0</v>
      </c>
      <c r="O44" s="24">
        <f ca="1">INDIRECT("'("&amp;$A$4&amp;")'!o44")</f>
        <v>0</v>
      </c>
      <c r="P44" s="24">
        <f ca="1">INDIRECT("'("&amp;$A$4&amp;")'!p44")</f>
        <v>42</v>
      </c>
      <c r="Q44" s="46">
        <f t="shared" ca="1" si="10"/>
        <v>0</v>
      </c>
      <c r="R44" s="46">
        <f t="shared" ca="1" si="11"/>
        <v>0.97674418604651159</v>
      </c>
      <c r="S44" s="24"/>
      <c r="T44" s="22">
        <f t="shared" ca="1" si="12"/>
        <v>3</v>
      </c>
      <c r="U44" s="22">
        <f t="shared" ca="1" si="13"/>
        <v>0</v>
      </c>
      <c r="V44" s="22">
        <f t="shared" ca="1" si="14"/>
        <v>0</v>
      </c>
      <c r="W44" s="22">
        <f t="shared" ca="1" si="15"/>
        <v>0</v>
      </c>
      <c r="X44" s="22">
        <f t="shared" ca="1" si="16"/>
        <v>0</v>
      </c>
      <c r="Y44" s="22">
        <f t="shared" ca="1" si="17"/>
        <v>46</v>
      </c>
      <c r="Z44" s="46">
        <f t="shared" ca="1" si="18"/>
        <v>0</v>
      </c>
      <c r="AA44" s="46">
        <f t="shared" ca="1" si="19"/>
        <v>0.93877551020408168</v>
      </c>
      <c r="AB44" s="24"/>
      <c r="AC44" s="24">
        <f ca="1">INDIRECT("'("&amp;$A$4&amp;")'!ac44")</f>
        <v>0</v>
      </c>
      <c r="AD44" s="24">
        <f ca="1">INDIRECT("'("&amp;$A$4&amp;")'!ad44")</f>
        <v>0</v>
      </c>
      <c r="AE44" s="24">
        <f ca="1">INDIRECT("'("&amp;$A$4&amp;")'!ae44")</f>
        <v>0</v>
      </c>
      <c r="AF44" s="24">
        <f ca="1">INDIRECT("'("&amp;$A$4&amp;")'!af44")</f>
        <v>0</v>
      </c>
      <c r="AG44" s="24">
        <f ca="1">INDIRECT("'("&amp;$A$4&amp;")'!ag44")</f>
        <v>0</v>
      </c>
      <c r="AH44" s="24">
        <f ca="1">INDIRECT("'("&amp;$A$4&amp;")'!ah44")</f>
        <v>0</v>
      </c>
      <c r="AI44" s="46" t="str">
        <f t="shared" ca="1" si="21"/>
        <v>-</v>
      </c>
      <c r="AJ44" s="46" t="str">
        <f t="shared" ca="1" si="22"/>
        <v>-</v>
      </c>
      <c r="AK44" s="24"/>
      <c r="AL44" s="24">
        <f ca="1">INDIRECT("'("&amp;$A$4&amp;")'!al44")</f>
        <v>4</v>
      </c>
      <c r="AM44" s="24">
        <f ca="1">INDIRECT("'("&amp;$A$4&amp;")'!am44")</f>
        <v>0</v>
      </c>
      <c r="AN44" s="24">
        <f ca="1">INDIRECT("'("&amp;$A$4&amp;")'!an44")</f>
        <v>0</v>
      </c>
      <c r="AO44" s="24">
        <f ca="1">INDIRECT("'("&amp;$A$4&amp;")'!ao44")</f>
        <v>0</v>
      </c>
      <c r="AP44" s="24">
        <f ca="1">INDIRECT("'("&amp;$A$4&amp;")'!ap44")</f>
        <v>0</v>
      </c>
      <c r="AQ44" s="24">
        <f ca="1">INDIRECT("'("&amp;$A$4&amp;")'!aq44")</f>
        <v>2</v>
      </c>
      <c r="AR44" s="46">
        <f t="shared" ca="1" si="24"/>
        <v>0</v>
      </c>
      <c r="AS44" s="46">
        <f t="shared" ca="1" si="25"/>
        <v>0.33333333333333331</v>
      </c>
      <c r="AT44" s="24"/>
      <c r="AU44" s="22">
        <f t="shared" ca="1" si="26"/>
        <v>7</v>
      </c>
      <c r="AV44" s="22">
        <f t="shared" ca="1" si="27"/>
        <v>0</v>
      </c>
      <c r="AW44" s="22">
        <f t="shared" ca="1" si="28"/>
        <v>0</v>
      </c>
      <c r="AX44" s="22">
        <f t="shared" ca="1" si="29"/>
        <v>0</v>
      </c>
      <c r="AY44" s="22">
        <f t="shared" ca="1" si="30"/>
        <v>0</v>
      </c>
      <c r="AZ44" s="22">
        <f t="shared" ca="1" si="31"/>
        <v>48</v>
      </c>
      <c r="BA44" s="46">
        <f t="shared" ca="1" si="32"/>
        <v>0</v>
      </c>
      <c r="BB44" s="46">
        <f t="shared" ca="1" si="33"/>
        <v>0.87272727272727268</v>
      </c>
      <c r="BC44" s="19"/>
      <c r="BD44" s="19"/>
      <c r="BE44" s="19"/>
      <c r="BF44" s="19"/>
      <c r="BG44" s="19"/>
      <c r="BH44" s="19"/>
      <c r="BI44" s="19"/>
      <c r="BJ44" s="19"/>
      <c r="BK44" s="19"/>
    </row>
    <row r="45" spans="1:63" s="8" customFormat="1" ht="15" customHeight="1" x14ac:dyDescent="0.3">
      <c r="A45" s="2" t="s">
        <v>52</v>
      </c>
      <c r="B45" s="24">
        <f ca="1">INDIRECT("'("&amp;$A$4&amp;")'!b45")</f>
        <v>35</v>
      </c>
      <c r="C45" s="24">
        <f ca="1">INDIRECT("'("&amp;$A$4&amp;")'!c45")</f>
        <v>0</v>
      </c>
      <c r="D45" s="24">
        <f ca="1">INDIRECT("'("&amp;$A$4&amp;")'!d45")</f>
        <v>0</v>
      </c>
      <c r="E45" s="24">
        <f ca="1">INDIRECT("'("&amp;$A$4&amp;")'!e45")</f>
        <v>0</v>
      </c>
      <c r="F45" s="24">
        <f ca="1">INDIRECT("'("&amp;$A$4&amp;")'!f45")</f>
        <v>0</v>
      </c>
      <c r="G45" s="24">
        <f ca="1">INDIRECT("'("&amp;$A$4&amp;")'!g45")</f>
        <v>0</v>
      </c>
      <c r="H45" s="46">
        <f t="shared" ca="1" si="7"/>
        <v>0</v>
      </c>
      <c r="I45" s="46">
        <f t="shared" ca="1" si="8"/>
        <v>0</v>
      </c>
      <c r="J45" s="24"/>
      <c r="K45" s="24">
        <f ca="1">INDIRECT("'("&amp;$A$4&amp;")'!k45")</f>
        <v>8</v>
      </c>
      <c r="L45" s="24">
        <f ca="1">INDIRECT("'("&amp;$A$4&amp;")'!l45")</f>
        <v>0</v>
      </c>
      <c r="M45" s="24">
        <f ca="1">INDIRECT("'("&amp;$A$4&amp;")'!m45")</f>
        <v>0</v>
      </c>
      <c r="N45" s="24">
        <f ca="1">INDIRECT("'("&amp;$A$4&amp;")'!n45")</f>
        <v>0</v>
      </c>
      <c r="O45" s="24">
        <f ca="1">INDIRECT("'("&amp;$A$4&amp;")'!o45")</f>
        <v>0</v>
      </c>
      <c r="P45" s="24">
        <f ca="1">INDIRECT("'("&amp;$A$4&amp;")'!p45")</f>
        <v>0</v>
      </c>
      <c r="Q45" s="46">
        <f t="shared" ca="1" si="10"/>
        <v>0</v>
      </c>
      <c r="R45" s="46">
        <f t="shared" ca="1" si="11"/>
        <v>0</v>
      </c>
      <c r="S45" s="24"/>
      <c r="T45" s="22">
        <f t="shared" ca="1" si="12"/>
        <v>43</v>
      </c>
      <c r="U45" s="22">
        <f t="shared" ca="1" si="13"/>
        <v>0</v>
      </c>
      <c r="V45" s="22">
        <f t="shared" ca="1" si="14"/>
        <v>0</v>
      </c>
      <c r="W45" s="22">
        <f t="shared" ca="1" si="15"/>
        <v>0</v>
      </c>
      <c r="X45" s="22">
        <f t="shared" ca="1" si="16"/>
        <v>0</v>
      </c>
      <c r="Y45" s="22">
        <f t="shared" ca="1" si="17"/>
        <v>0</v>
      </c>
      <c r="Z45" s="46">
        <f t="shared" ca="1" si="18"/>
        <v>0</v>
      </c>
      <c r="AA45" s="46">
        <f t="shared" ca="1" si="19"/>
        <v>0</v>
      </c>
      <c r="AB45" s="24"/>
      <c r="AC45" s="24">
        <f ca="1">INDIRECT("'("&amp;$A$4&amp;")'!ac45")</f>
        <v>3</v>
      </c>
      <c r="AD45" s="24">
        <f ca="1">INDIRECT("'("&amp;$A$4&amp;")'!ad45")</f>
        <v>0</v>
      </c>
      <c r="AE45" s="24">
        <f ca="1">INDIRECT("'("&amp;$A$4&amp;")'!ae45")</f>
        <v>0</v>
      </c>
      <c r="AF45" s="24">
        <f ca="1">INDIRECT("'("&amp;$A$4&amp;")'!af45")</f>
        <v>0</v>
      </c>
      <c r="AG45" s="24">
        <f ca="1">INDIRECT("'("&amp;$A$4&amp;")'!ag45")</f>
        <v>0</v>
      </c>
      <c r="AH45" s="24">
        <f ca="1">INDIRECT("'("&amp;$A$4&amp;")'!ah45")</f>
        <v>0</v>
      </c>
      <c r="AI45" s="46">
        <f t="shared" ca="1" si="21"/>
        <v>0</v>
      </c>
      <c r="AJ45" s="46">
        <f t="shared" ca="1" si="22"/>
        <v>0</v>
      </c>
      <c r="AK45" s="24"/>
      <c r="AL45" s="24">
        <f ca="1">INDIRECT("'("&amp;$A$4&amp;")'!al45")</f>
        <v>14</v>
      </c>
      <c r="AM45" s="24">
        <f ca="1">INDIRECT("'("&amp;$A$4&amp;")'!am45")</f>
        <v>0</v>
      </c>
      <c r="AN45" s="24">
        <f ca="1">INDIRECT("'("&amp;$A$4&amp;")'!an45")</f>
        <v>0</v>
      </c>
      <c r="AO45" s="24">
        <f ca="1">INDIRECT("'("&amp;$A$4&amp;")'!ao45")</f>
        <v>1</v>
      </c>
      <c r="AP45" s="24">
        <f ca="1">INDIRECT("'("&amp;$A$4&amp;")'!ap45")</f>
        <v>0</v>
      </c>
      <c r="AQ45" s="24">
        <f ca="1">INDIRECT("'("&amp;$A$4&amp;")'!aq45")</f>
        <v>1</v>
      </c>
      <c r="AR45" s="46">
        <f t="shared" ca="1" si="24"/>
        <v>6.6666666666666666E-2</v>
      </c>
      <c r="AS45" s="46">
        <f t="shared" ca="1" si="25"/>
        <v>6.25E-2</v>
      </c>
      <c r="AT45" s="24"/>
      <c r="AU45" s="22">
        <f t="shared" ca="1" si="26"/>
        <v>60</v>
      </c>
      <c r="AV45" s="22">
        <f t="shared" ca="1" si="27"/>
        <v>0</v>
      </c>
      <c r="AW45" s="22">
        <f t="shared" ca="1" si="28"/>
        <v>0</v>
      </c>
      <c r="AX45" s="22">
        <f t="shared" ca="1" si="29"/>
        <v>1</v>
      </c>
      <c r="AY45" s="22">
        <f t="shared" ca="1" si="30"/>
        <v>0</v>
      </c>
      <c r="AZ45" s="22">
        <f t="shared" ca="1" si="31"/>
        <v>1</v>
      </c>
      <c r="BA45" s="46">
        <f t="shared" ca="1" si="32"/>
        <v>1.6393442622950821E-2</v>
      </c>
      <c r="BB45" s="46">
        <f t="shared" ca="1" si="33"/>
        <v>1.6129032258064516E-2</v>
      </c>
      <c r="BC45" s="19"/>
      <c r="BD45" s="19"/>
      <c r="BE45" s="19"/>
      <c r="BF45" s="19"/>
      <c r="BG45" s="19"/>
      <c r="BH45" s="19"/>
      <c r="BI45" s="19"/>
      <c r="BJ45" s="19"/>
      <c r="BK45" s="19"/>
    </row>
    <row r="46" spans="1:63" s="8" customFormat="1" ht="15" customHeight="1" x14ac:dyDescent="0.3">
      <c r="A46" s="2" t="s">
        <v>53</v>
      </c>
      <c r="B46" s="24">
        <f ca="1">INDIRECT("'("&amp;$A$4&amp;")'!b46")</f>
        <v>13</v>
      </c>
      <c r="C46" s="24">
        <f ca="1">INDIRECT("'("&amp;$A$4&amp;")'!c46")</f>
        <v>0</v>
      </c>
      <c r="D46" s="24">
        <f ca="1">INDIRECT("'("&amp;$A$4&amp;")'!d46")</f>
        <v>1</v>
      </c>
      <c r="E46" s="24">
        <f ca="1">INDIRECT("'("&amp;$A$4&amp;")'!e46")</f>
        <v>0</v>
      </c>
      <c r="F46" s="24">
        <f ca="1">INDIRECT("'("&amp;$A$4&amp;")'!f46")</f>
        <v>0</v>
      </c>
      <c r="G46" s="24">
        <f ca="1">INDIRECT("'("&amp;$A$4&amp;")'!g46")</f>
        <v>10</v>
      </c>
      <c r="H46" s="46">
        <f t="shared" ca="1" si="7"/>
        <v>7.1428571428571425E-2</v>
      </c>
      <c r="I46" s="46">
        <f t="shared" ca="1" si="8"/>
        <v>0.41666666666666669</v>
      </c>
      <c r="J46" s="24"/>
      <c r="K46" s="24">
        <f ca="1">INDIRECT("'("&amp;$A$4&amp;")'!k46")</f>
        <v>11</v>
      </c>
      <c r="L46" s="24">
        <f ca="1">INDIRECT("'("&amp;$A$4&amp;")'!l46")</f>
        <v>0</v>
      </c>
      <c r="M46" s="24">
        <f ca="1">INDIRECT("'("&amp;$A$4&amp;")'!m46")</f>
        <v>0</v>
      </c>
      <c r="N46" s="24">
        <f ca="1">INDIRECT("'("&amp;$A$4&amp;")'!n46")</f>
        <v>0</v>
      </c>
      <c r="O46" s="24">
        <f ca="1">INDIRECT("'("&amp;$A$4&amp;")'!o46")</f>
        <v>0</v>
      </c>
      <c r="P46" s="24">
        <f ca="1">INDIRECT("'("&amp;$A$4&amp;")'!p46")</f>
        <v>4</v>
      </c>
      <c r="Q46" s="46">
        <f t="shared" ca="1" si="10"/>
        <v>0</v>
      </c>
      <c r="R46" s="46">
        <f t="shared" ca="1" si="11"/>
        <v>0.26666666666666666</v>
      </c>
      <c r="S46" s="24"/>
      <c r="T46" s="22">
        <f t="shared" ca="1" si="12"/>
        <v>24</v>
      </c>
      <c r="U46" s="22">
        <f t="shared" ca="1" si="13"/>
        <v>0</v>
      </c>
      <c r="V46" s="22">
        <f t="shared" ca="1" si="14"/>
        <v>1</v>
      </c>
      <c r="W46" s="22">
        <f t="shared" ca="1" si="15"/>
        <v>0</v>
      </c>
      <c r="X46" s="22">
        <f t="shared" ca="1" si="16"/>
        <v>0</v>
      </c>
      <c r="Y46" s="22">
        <f t="shared" ca="1" si="17"/>
        <v>14</v>
      </c>
      <c r="Z46" s="46">
        <f t="shared" ca="1" si="18"/>
        <v>0.04</v>
      </c>
      <c r="AA46" s="46">
        <f t="shared" ca="1" si="19"/>
        <v>0.35897435897435898</v>
      </c>
      <c r="AB46" s="24"/>
      <c r="AC46" s="24">
        <f ca="1">INDIRECT("'("&amp;$A$4&amp;")'!ac46")</f>
        <v>2</v>
      </c>
      <c r="AD46" s="24">
        <f ca="1">INDIRECT("'("&amp;$A$4&amp;")'!ad46")</f>
        <v>0</v>
      </c>
      <c r="AE46" s="24">
        <f ca="1">INDIRECT("'("&amp;$A$4&amp;")'!ae46")</f>
        <v>0</v>
      </c>
      <c r="AF46" s="24">
        <f ca="1">INDIRECT("'("&amp;$A$4&amp;")'!af46")</f>
        <v>0</v>
      </c>
      <c r="AG46" s="24">
        <f ca="1">INDIRECT("'("&amp;$A$4&amp;")'!ag46")</f>
        <v>0</v>
      </c>
      <c r="AH46" s="24">
        <f ca="1">INDIRECT("'("&amp;$A$4&amp;")'!ah46")</f>
        <v>0</v>
      </c>
      <c r="AI46" s="46">
        <f t="shared" ca="1" si="21"/>
        <v>0</v>
      </c>
      <c r="AJ46" s="46">
        <f t="shared" ca="1" si="22"/>
        <v>0</v>
      </c>
      <c r="AK46" s="24"/>
      <c r="AL46" s="24">
        <f ca="1">INDIRECT("'("&amp;$A$4&amp;")'!al46")</f>
        <v>15</v>
      </c>
      <c r="AM46" s="24">
        <f ca="1">INDIRECT("'("&amp;$A$4&amp;")'!am46")</f>
        <v>0</v>
      </c>
      <c r="AN46" s="24">
        <f ca="1">INDIRECT("'("&amp;$A$4&amp;")'!an46")</f>
        <v>0</v>
      </c>
      <c r="AO46" s="24">
        <f ca="1">INDIRECT("'("&amp;$A$4&amp;")'!ao46")</f>
        <v>0</v>
      </c>
      <c r="AP46" s="24">
        <f ca="1">INDIRECT("'("&amp;$A$4&amp;")'!ap46")</f>
        <v>0</v>
      </c>
      <c r="AQ46" s="24">
        <f ca="1">INDIRECT("'("&amp;$A$4&amp;")'!aq46")</f>
        <v>3</v>
      </c>
      <c r="AR46" s="46">
        <f t="shared" ca="1" si="24"/>
        <v>0</v>
      </c>
      <c r="AS46" s="46">
        <f t="shared" ca="1" si="25"/>
        <v>0.16666666666666666</v>
      </c>
      <c r="AT46" s="24"/>
      <c r="AU46" s="22">
        <f t="shared" ca="1" si="26"/>
        <v>41</v>
      </c>
      <c r="AV46" s="22">
        <f t="shared" ca="1" si="27"/>
        <v>0</v>
      </c>
      <c r="AW46" s="22">
        <f t="shared" ca="1" si="28"/>
        <v>1</v>
      </c>
      <c r="AX46" s="22">
        <f t="shared" ca="1" si="29"/>
        <v>0</v>
      </c>
      <c r="AY46" s="22">
        <f t="shared" ca="1" si="30"/>
        <v>0</v>
      </c>
      <c r="AZ46" s="22">
        <f t="shared" ca="1" si="31"/>
        <v>17</v>
      </c>
      <c r="BA46" s="46">
        <f t="shared" ca="1" si="32"/>
        <v>2.3809523809523808E-2</v>
      </c>
      <c r="BB46" s="46">
        <f t="shared" ca="1" si="33"/>
        <v>0.28813559322033899</v>
      </c>
      <c r="BC46" s="19"/>
      <c r="BD46" s="19"/>
      <c r="BE46" s="19"/>
      <c r="BF46" s="19"/>
      <c r="BG46" s="19"/>
      <c r="BH46" s="19"/>
      <c r="BI46" s="19"/>
      <c r="BJ46" s="19"/>
      <c r="BK46" s="19"/>
    </row>
    <row r="47" spans="1:63" s="8" customFormat="1" ht="15" customHeight="1" x14ac:dyDescent="0.3">
      <c r="A47" s="2" t="s">
        <v>54</v>
      </c>
      <c r="B47" s="24">
        <f ca="1">INDIRECT("'("&amp;$A$4&amp;")'!b47")</f>
        <v>2</v>
      </c>
      <c r="C47" s="24">
        <f ca="1">INDIRECT("'("&amp;$A$4&amp;")'!c47")</f>
        <v>0</v>
      </c>
      <c r="D47" s="24">
        <f ca="1">INDIRECT("'("&amp;$A$4&amp;")'!d47")</f>
        <v>0</v>
      </c>
      <c r="E47" s="24">
        <f ca="1">INDIRECT("'("&amp;$A$4&amp;")'!e47")</f>
        <v>0</v>
      </c>
      <c r="F47" s="24">
        <f ca="1">INDIRECT("'("&amp;$A$4&amp;")'!f47")</f>
        <v>0</v>
      </c>
      <c r="G47" s="24">
        <f ca="1">INDIRECT("'("&amp;$A$4&amp;")'!g47")</f>
        <v>11</v>
      </c>
      <c r="H47" s="46">
        <f t="shared" ca="1" si="7"/>
        <v>0</v>
      </c>
      <c r="I47" s="46">
        <f t="shared" ca="1" si="8"/>
        <v>0.84615384615384615</v>
      </c>
      <c r="J47" s="24"/>
      <c r="K47" s="24">
        <f ca="1">INDIRECT("'("&amp;$A$4&amp;")'!k47")</f>
        <v>30</v>
      </c>
      <c r="L47" s="24">
        <f ca="1">INDIRECT("'("&amp;$A$4&amp;")'!l47")</f>
        <v>0</v>
      </c>
      <c r="M47" s="24">
        <f ca="1">INDIRECT("'("&amp;$A$4&amp;")'!m47")</f>
        <v>0</v>
      </c>
      <c r="N47" s="24">
        <f ca="1">INDIRECT("'("&amp;$A$4&amp;")'!n47")</f>
        <v>0</v>
      </c>
      <c r="O47" s="24">
        <f ca="1">INDIRECT("'("&amp;$A$4&amp;")'!o47")</f>
        <v>1</v>
      </c>
      <c r="P47" s="24">
        <f ca="1">INDIRECT("'("&amp;$A$4&amp;")'!p47")</f>
        <v>13</v>
      </c>
      <c r="Q47" s="46">
        <f t="shared" ca="1" si="10"/>
        <v>3.2258064516129031E-2</v>
      </c>
      <c r="R47" s="46">
        <f t="shared" ca="1" si="11"/>
        <v>0.29545454545454547</v>
      </c>
      <c r="S47" s="24"/>
      <c r="T47" s="22">
        <f t="shared" ca="1" si="12"/>
        <v>32</v>
      </c>
      <c r="U47" s="22">
        <f t="shared" ca="1" si="13"/>
        <v>0</v>
      </c>
      <c r="V47" s="22">
        <f t="shared" ca="1" si="14"/>
        <v>0</v>
      </c>
      <c r="W47" s="22">
        <f t="shared" ca="1" si="15"/>
        <v>0</v>
      </c>
      <c r="X47" s="22">
        <f t="shared" ca="1" si="16"/>
        <v>1</v>
      </c>
      <c r="Y47" s="22">
        <f t="shared" ca="1" si="17"/>
        <v>24</v>
      </c>
      <c r="Z47" s="46">
        <f t="shared" ca="1" si="18"/>
        <v>3.0303030303030304E-2</v>
      </c>
      <c r="AA47" s="46">
        <f t="shared" ca="1" si="19"/>
        <v>0.42105263157894735</v>
      </c>
      <c r="AB47" s="24"/>
      <c r="AC47" s="24">
        <f ca="1">INDIRECT("'("&amp;$A$4&amp;")'!ac47")</f>
        <v>0</v>
      </c>
      <c r="AD47" s="24">
        <f ca="1">INDIRECT("'("&amp;$A$4&amp;")'!ad47")</f>
        <v>0</v>
      </c>
      <c r="AE47" s="24">
        <f ca="1">INDIRECT("'("&amp;$A$4&amp;")'!ae47")</f>
        <v>0</v>
      </c>
      <c r="AF47" s="24">
        <f ca="1">INDIRECT("'("&amp;$A$4&amp;")'!af47")</f>
        <v>0</v>
      </c>
      <c r="AG47" s="24">
        <f ca="1">INDIRECT("'("&amp;$A$4&amp;")'!ag47")</f>
        <v>0</v>
      </c>
      <c r="AH47" s="24">
        <f ca="1">INDIRECT("'("&amp;$A$4&amp;")'!ah47")</f>
        <v>0</v>
      </c>
      <c r="AI47" s="46" t="str">
        <f t="shared" ca="1" si="21"/>
        <v>-</v>
      </c>
      <c r="AJ47" s="46" t="str">
        <f t="shared" ca="1" si="22"/>
        <v>-</v>
      </c>
      <c r="AK47" s="24"/>
      <c r="AL47" s="24">
        <f ca="1">INDIRECT("'("&amp;$A$4&amp;")'!al47")</f>
        <v>1</v>
      </c>
      <c r="AM47" s="24">
        <f ca="1">INDIRECT("'("&amp;$A$4&amp;")'!am47")</f>
        <v>0</v>
      </c>
      <c r="AN47" s="24">
        <f ca="1">INDIRECT("'("&amp;$A$4&amp;")'!an47")</f>
        <v>0</v>
      </c>
      <c r="AO47" s="24">
        <f ca="1">INDIRECT("'("&amp;$A$4&amp;")'!ao47")</f>
        <v>0</v>
      </c>
      <c r="AP47" s="24">
        <f ca="1">INDIRECT("'("&amp;$A$4&amp;")'!ap47")</f>
        <v>0</v>
      </c>
      <c r="AQ47" s="24">
        <f ca="1">INDIRECT("'("&amp;$A$4&amp;")'!aq47")</f>
        <v>13</v>
      </c>
      <c r="AR47" s="46">
        <f t="shared" ca="1" si="24"/>
        <v>0</v>
      </c>
      <c r="AS47" s="46">
        <f t="shared" ca="1" si="25"/>
        <v>0.9285714285714286</v>
      </c>
      <c r="AT47" s="24"/>
      <c r="AU47" s="22">
        <f t="shared" ca="1" si="26"/>
        <v>33</v>
      </c>
      <c r="AV47" s="22">
        <f t="shared" ca="1" si="27"/>
        <v>0</v>
      </c>
      <c r="AW47" s="22">
        <f t="shared" ca="1" si="28"/>
        <v>0</v>
      </c>
      <c r="AX47" s="22">
        <f t="shared" ca="1" si="29"/>
        <v>0</v>
      </c>
      <c r="AY47" s="22">
        <f t="shared" ca="1" si="30"/>
        <v>1</v>
      </c>
      <c r="AZ47" s="22">
        <f t="shared" ca="1" si="31"/>
        <v>37</v>
      </c>
      <c r="BA47" s="46">
        <f t="shared" ca="1" si="32"/>
        <v>2.9411764705882353E-2</v>
      </c>
      <c r="BB47" s="46">
        <f t="shared" ca="1" si="33"/>
        <v>0.52112676056338025</v>
      </c>
      <c r="BC47" s="19"/>
      <c r="BD47" s="19"/>
      <c r="BE47" s="19"/>
      <c r="BF47" s="19"/>
      <c r="BG47" s="19"/>
      <c r="BH47" s="19"/>
      <c r="BI47" s="19"/>
      <c r="BJ47" s="19"/>
      <c r="BK47" s="19"/>
    </row>
    <row r="48" spans="1:63" s="8" customFormat="1" ht="15" customHeight="1" x14ac:dyDescent="0.3">
      <c r="A48" s="2" t="s">
        <v>55</v>
      </c>
      <c r="B48" s="24">
        <f ca="1">INDIRECT("'("&amp;$A$4&amp;")'!b48")</f>
        <v>0</v>
      </c>
      <c r="C48" s="24">
        <f ca="1">INDIRECT("'("&amp;$A$4&amp;")'!c48")</f>
        <v>0</v>
      </c>
      <c r="D48" s="24">
        <f ca="1">INDIRECT("'("&amp;$A$4&amp;")'!d48")</f>
        <v>0</v>
      </c>
      <c r="E48" s="24">
        <f ca="1">INDIRECT("'("&amp;$A$4&amp;")'!e48")</f>
        <v>0</v>
      </c>
      <c r="F48" s="24">
        <f ca="1">INDIRECT("'("&amp;$A$4&amp;")'!f48")</f>
        <v>0</v>
      </c>
      <c r="G48" s="24">
        <f ca="1">INDIRECT("'("&amp;$A$4&amp;")'!g48")</f>
        <v>0</v>
      </c>
      <c r="H48" s="46" t="str">
        <f t="shared" ca="1" si="7"/>
        <v>-</v>
      </c>
      <c r="I48" s="46" t="str">
        <f t="shared" ca="1" si="8"/>
        <v>-</v>
      </c>
      <c r="J48" s="24"/>
      <c r="K48" s="24">
        <f ca="1">INDIRECT("'("&amp;$A$4&amp;")'!k48")</f>
        <v>3</v>
      </c>
      <c r="L48" s="24">
        <f ca="1">INDIRECT("'("&amp;$A$4&amp;")'!l48")</f>
        <v>0</v>
      </c>
      <c r="M48" s="24">
        <f ca="1">INDIRECT("'("&amp;$A$4&amp;")'!m48")</f>
        <v>0</v>
      </c>
      <c r="N48" s="24">
        <f ca="1">INDIRECT("'("&amp;$A$4&amp;")'!n48")</f>
        <v>0</v>
      </c>
      <c r="O48" s="24">
        <f ca="1">INDIRECT("'("&amp;$A$4&amp;")'!o48")</f>
        <v>0</v>
      </c>
      <c r="P48" s="24">
        <f ca="1">INDIRECT("'("&amp;$A$4&amp;")'!p48")</f>
        <v>0</v>
      </c>
      <c r="Q48" s="46">
        <f t="shared" ca="1" si="10"/>
        <v>0</v>
      </c>
      <c r="R48" s="46">
        <f t="shared" ca="1" si="11"/>
        <v>0</v>
      </c>
      <c r="S48" s="24"/>
      <c r="T48" s="22">
        <f t="shared" ca="1" si="12"/>
        <v>3</v>
      </c>
      <c r="U48" s="22">
        <f t="shared" ca="1" si="13"/>
        <v>0</v>
      </c>
      <c r="V48" s="22">
        <f t="shared" ca="1" si="14"/>
        <v>0</v>
      </c>
      <c r="W48" s="22">
        <f t="shared" ca="1" si="15"/>
        <v>0</v>
      </c>
      <c r="X48" s="22">
        <f t="shared" ca="1" si="16"/>
        <v>0</v>
      </c>
      <c r="Y48" s="22">
        <f t="shared" ca="1" si="17"/>
        <v>0</v>
      </c>
      <c r="Z48" s="46">
        <f t="shared" ca="1" si="18"/>
        <v>0</v>
      </c>
      <c r="AA48" s="46">
        <f t="shared" ca="1" si="19"/>
        <v>0</v>
      </c>
      <c r="AB48" s="24"/>
      <c r="AC48" s="24">
        <f ca="1">INDIRECT("'("&amp;$A$4&amp;")'!ac48")</f>
        <v>0</v>
      </c>
      <c r="AD48" s="24">
        <f ca="1">INDIRECT("'("&amp;$A$4&amp;")'!ad48")</f>
        <v>0</v>
      </c>
      <c r="AE48" s="24">
        <f ca="1">INDIRECT("'("&amp;$A$4&amp;")'!ae48")</f>
        <v>0</v>
      </c>
      <c r="AF48" s="24">
        <f ca="1">INDIRECT("'("&amp;$A$4&amp;")'!af48")</f>
        <v>0</v>
      </c>
      <c r="AG48" s="24">
        <f ca="1">INDIRECT("'("&amp;$A$4&amp;")'!ag48")</f>
        <v>0</v>
      </c>
      <c r="AH48" s="24">
        <f ca="1">INDIRECT("'("&amp;$A$4&amp;")'!ah48")</f>
        <v>0</v>
      </c>
      <c r="AI48" s="46" t="str">
        <f t="shared" ca="1" si="21"/>
        <v>-</v>
      </c>
      <c r="AJ48" s="46" t="str">
        <f t="shared" ca="1" si="22"/>
        <v>-</v>
      </c>
      <c r="AK48" s="24"/>
      <c r="AL48" s="24">
        <f ca="1">INDIRECT("'("&amp;$A$4&amp;")'!al48")</f>
        <v>0</v>
      </c>
      <c r="AM48" s="24">
        <f ca="1">INDIRECT("'("&amp;$A$4&amp;")'!am48")</f>
        <v>0</v>
      </c>
      <c r="AN48" s="24">
        <f ca="1">INDIRECT("'("&amp;$A$4&amp;")'!an48")</f>
        <v>0</v>
      </c>
      <c r="AO48" s="24">
        <f ca="1">INDIRECT("'("&amp;$A$4&amp;")'!ao48")</f>
        <v>0</v>
      </c>
      <c r="AP48" s="24">
        <f ca="1">INDIRECT("'("&amp;$A$4&amp;")'!ap48")</f>
        <v>0</v>
      </c>
      <c r="AQ48" s="24">
        <f ca="1">INDIRECT("'("&amp;$A$4&amp;")'!aq48")</f>
        <v>0</v>
      </c>
      <c r="AR48" s="46" t="str">
        <f t="shared" ca="1" si="24"/>
        <v>-</v>
      </c>
      <c r="AS48" s="46" t="str">
        <f t="shared" ca="1" si="25"/>
        <v>-</v>
      </c>
      <c r="AT48" s="24"/>
      <c r="AU48" s="22">
        <f t="shared" ca="1" si="26"/>
        <v>3</v>
      </c>
      <c r="AV48" s="22">
        <f t="shared" ca="1" si="27"/>
        <v>0</v>
      </c>
      <c r="AW48" s="22">
        <f t="shared" ca="1" si="28"/>
        <v>0</v>
      </c>
      <c r="AX48" s="22">
        <f t="shared" ca="1" si="29"/>
        <v>0</v>
      </c>
      <c r="AY48" s="22">
        <f t="shared" ca="1" si="30"/>
        <v>0</v>
      </c>
      <c r="AZ48" s="22">
        <f t="shared" ca="1" si="31"/>
        <v>0</v>
      </c>
      <c r="BA48" s="46">
        <f t="shared" ca="1" si="32"/>
        <v>0</v>
      </c>
      <c r="BB48" s="46">
        <f t="shared" ca="1" si="33"/>
        <v>0</v>
      </c>
      <c r="BC48" s="19"/>
      <c r="BD48" s="19"/>
      <c r="BE48" s="19"/>
      <c r="BF48" s="19"/>
      <c r="BG48" s="19"/>
      <c r="BH48" s="19"/>
      <c r="BI48" s="19"/>
      <c r="BJ48" s="19"/>
      <c r="BK48" s="19"/>
    </row>
    <row r="49" spans="1:63" s="8" customFormat="1" ht="15" customHeight="1" x14ac:dyDescent="0.3">
      <c r="A49" s="21" t="s">
        <v>56</v>
      </c>
      <c r="B49" s="22">
        <f t="shared" ref="B49:G49" ca="1" si="34">SUM(B50:B56)</f>
        <v>461</v>
      </c>
      <c r="C49" s="22">
        <f t="shared" ca="1" si="34"/>
        <v>31</v>
      </c>
      <c r="D49" s="22">
        <f t="shared" ca="1" si="34"/>
        <v>7</v>
      </c>
      <c r="E49" s="22">
        <f t="shared" ca="1" si="34"/>
        <v>20</v>
      </c>
      <c r="F49" s="22">
        <f t="shared" ca="1" si="34"/>
        <v>12</v>
      </c>
      <c r="G49" s="22">
        <f t="shared" ca="1" si="34"/>
        <v>35</v>
      </c>
      <c r="H49" s="46">
        <f t="shared" ca="1" si="7"/>
        <v>0.13182674199623351</v>
      </c>
      <c r="I49" s="46">
        <f t="shared" ca="1" si="8"/>
        <v>6.1837455830388695E-2</v>
      </c>
      <c r="J49" s="22"/>
      <c r="K49" s="22">
        <f t="shared" ref="K49:P49" ca="1" si="35">SUM(K50:K56)</f>
        <v>74</v>
      </c>
      <c r="L49" s="22">
        <f t="shared" ca="1" si="35"/>
        <v>1</v>
      </c>
      <c r="M49" s="22">
        <f t="shared" ca="1" si="35"/>
        <v>0</v>
      </c>
      <c r="N49" s="22">
        <f t="shared" ca="1" si="35"/>
        <v>0</v>
      </c>
      <c r="O49" s="22">
        <f t="shared" ca="1" si="35"/>
        <v>0</v>
      </c>
      <c r="P49" s="22">
        <f t="shared" ca="1" si="35"/>
        <v>4</v>
      </c>
      <c r="Q49" s="46">
        <f t="shared" ca="1" si="10"/>
        <v>1.3333333333333334E-2</v>
      </c>
      <c r="R49" s="46">
        <f t="shared" ca="1" si="11"/>
        <v>5.0632911392405063E-2</v>
      </c>
      <c r="S49" s="22"/>
      <c r="T49" s="22">
        <f t="shared" ca="1" si="12"/>
        <v>535</v>
      </c>
      <c r="U49" s="22">
        <f t="shared" ca="1" si="13"/>
        <v>32</v>
      </c>
      <c r="V49" s="22">
        <f t="shared" ca="1" si="14"/>
        <v>7</v>
      </c>
      <c r="W49" s="22">
        <f t="shared" ca="1" si="15"/>
        <v>20</v>
      </c>
      <c r="X49" s="22">
        <f t="shared" ca="1" si="16"/>
        <v>12</v>
      </c>
      <c r="Y49" s="22">
        <f t="shared" ca="1" si="17"/>
        <v>39</v>
      </c>
      <c r="Z49" s="46">
        <f t="shared" ca="1" si="18"/>
        <v>0.11716171617161716</v>
      </c>
      <c r="AA49" s="46">
        <f t="shared" ca="1" si="19"/>
        <v>6.0465116279069767E-2</v>
      </c>
      <c r="AB49" s="22"/>
      <c r="AC49" s="22">
        <f t="shared" ref="AC49:AH49" ca="1" si="36">SUM(AC50:AC56)</f>
        <v>25</v>
      </c>
      <c r="AD49" s="22">
        <f t="shared" ca="1" si="36"/>
        <v>1</v>
      </c>
      <c r="AE49" s="22">
        <f t="shared" ca="1" si="36"/>
        <v>0</v>
      </c>
      <c r="AF49" s="22">
        <f t="shared" ca="1" si="36"/>
        <v>1</v>
      </c>
      <c r="AG49" s="22">
        <f t="shared" ca="1" si="36"/>
        <v>1</v>
      </c>
      <c r="AH49" s="22">
        <f t="shared" ca="1" si="36"/>
        <v>3</v>
      </c>
      <c r="AI49" s="46">
        <f t="shared" ca="1" si="21"/>
        <v>0.10714285714285714</v>
      </c>
      <c r="AJ49" s="46">
        <f t="shared" ca="1" si="22"/>
        <v>9.6774193548387094E-2</v>
      </c>
      <c r="AK49" s="22"/>
      <c r="AL49" s="22">
        <f t="shared" ref="AL49:AQ49" ca="1" si="37">SUM(AL50:AL56)</f>
        <v>182</v>
      </c>
      <c r="AM49" s="22">
        <f t="shared" ca="1" si="37"/>
        <v>5</v>
      </c>
      <c r="AN49" s="22">
        <f t="shared" ca="1" si="37"/>
        <v>14</v>
      </c>
      <c r="AO49" s="22">
        <f t="shared" ca="1" si="37"/>
        <v>19</v>
      </c>
      <c r="AP49" s="22">
        <f t="shared" ca="1" si="37"/>
        <v>4</v>
      </c>
      <c r="AQ49" s="22">
        <f t="shared" ca="1" si="37"/>
        <v>22</v>
      </c>
      <c r="AR49" s="46">
        <f t="shared" ca="1" si="24"/>
        <v>0.1875</v>
      </c>
      <c r="AS49" s="46">
        <f t="shared" ca="1" si="25"/>
        <v>8.943089430894309E-2</v>
      </c>
      <c r="AT49" s="22"/>
      <c r="AU49" s="22">
        <f t="shared" ca="1" si="26"/>
        <v>742</v>
      </c>
      <c r="AV49" s="22">
        <f t="shared" ca="1" si="27"/>
        <v>38</v>
      </c>
      <c r="AW49" s="22">
        <f t="shared" ca="1" si="28"/>
        <v>21</v>
      </c>
      <c r="AX49" s="22">
        <f t="shared" ca="1" si="29"/>
        <v>40</v>
      </c>
      <c r="AY49" s="22">
        <f t="shared" ca="1" si="30"/>
        <v>17</v>
      </c>
      <c r="AZ49" s="22">
        <f t="shared" ca="1" si="31"/>
        <v>64</v>
      </c>
      <c r="BA49" s="46">
        <f t="shared" ca="1" si="32"/>
        <v>0.1351981351981352</v>
      </c>
      <c r="BB49" s="46">
        <f t="shared" ca="1" si="33"/>
        <v>6.9414316702819959E-2</v>
      </c>
      <c r="BC49" s="19"/>
      <c r="BD49" s="19"/>
      <c r="BE49" s="19"/>
      <c r="BF49" s="19"/>
      <c r="BG49" s="19"/>
      <c r="BH49" s="19"/>
      <c r="BI49" s="19"/>
      <c r="BJ49" s="19"/>
      <c r="BK49" s="19"/>
    </row>
    <row r="50" spans="1:63" s="8" customFormat="1" ht="15" customHeight="1" x14ac:dyDescent="0.3">
      <c r="A50" s="2" t="s">
        <v>57</v>
      </c>
      <c r="B50" s="24">
        <f ca="1">INDIRECT("'("&amp;$A$4&amp;")'!b50")</f>
        <v>58</v>
      </c>
      <c r="C50" s="24">
        <f ca="1">INDIRECT("'("&amp;$A$4&amp;")'!c50")</f>
        <v>3</v>
      </c>
      <c r="D50" s="24">
        <f ca="1">INDIRECT("'("&amp;$A$4&amp;")'!d50")</f>
        <v>0</v>
      </c>
      <c r="E50" s="24">
        <f ca="1">INDIRECT("'("&amp;$A$4&amp;")'!e50")</f>
        <v>0</v>
      </c>
      <c r="F50" s="24">
        <f ca="1">INDIRECT("'("&amp;$A$4&amp;")'!f50")</f>
        <v>1</v>
      </c>
      <c r="G50" s="24">
        <f ca="1">INDIRECT("'("&amp;$A$4&amp;")'!g50")</f>
        <v>9</v>
      </c>
      <c r="H50" s="46">
        <f t="shared" ca="1" si="7"/>
        <v>6.4516129032258063E-2</v>
      </c>
      <c r="I50" s="46">
        <f t="shared" ca="1" si="8"/>
        <v>0.12676056338028169</v>
      </c>
      <c r="J50" s="24"/>
      <c r="K50" s="24">
        <f ca="1">INDIRECT("'("&amp;$A$4&amp;")'!k50")</f>
        <v>0</v>
      </c>
      <c r="L50" s="24">
        <f ca="1">INDIRECT("'("&amp;$A$4&amp;")'!l50")</f>
        <v>0</v>
      </c>
      <c r="M50" s="24">
        <f ca="1">INDIRECT("'("&amp;$A$4&amp;")'!m50")</f>
        <v>0</v>
      </c>
      <c r="N50" s="24">
        <f ca="1">INDIRECT("'("&amp;$A$4&amp;")'!n50")</f>
        <v>0</v>
      </c>
      <c r="O50" s="24">
        <f ca="1">INDIRECT("'("&amp;$A$4&amp;")'!o50")</f>
        <v>0</v>
      </c>
      <c r="P50" s="24">
        <f ca="1">INDIRECT("'("&amp;$A$4&amp;")'!p50")</f>
        <v>0</v>
      </c>
      <c r="Q50" s="46" t="str">
        <f t="shared" ca="1" si="10"/>
        <v>-</v>
      </c>
      <c r="R50" s="46" t="str">
        <f t="shared" ca="1" si="11"/>
        <v>-</v>
      </c>
      <c r="S50" s="24"/>
      <c r="T50" s="22">
        <f t="shared" ca="1" si="12"/>
        <v>58</v>
      </c>
      <c r="U50" s="22">
        <f t="shared" ca="1" si="13"/>
        <v>3</v>
      </c>
      <c r="V50" s="22">
        <f t="shared" ca="1" si="14"/>
        <v>0</v>
      </c>
      <c r="W50" s="22">
        <f t="shared" ca="1" si="15"/>
        <v>0</v>
      </c>
      <c r="X50" s="22">
        <f t="shared" ca="1" si="16"/>
        <v>1</v>
      </c>
      <c r="Y50" s="22">
        <f t="shared" ca="1" si="17"/>
        <v>9</v>
      </c>
      <c r="Z50" s="46">
        <f t="shared" ca="1" si="18"/>
        <v>6.4516129032258063E-2</v>
      </c>
      <c r="AA50" s="46">
        <f t="shared" ca="1" si="19"/>
        <v>0.12676056338028169</v>
      </c>
      <c r="AB50" s="24"/>
      <c r="AC50" s="24">
        <f ca="1">INDIRECT("'("&amp;$A$4&amp;")'!ac50")</f>
        <v>0</v>
      </c>
      <c r="AD50" s="24">
        <f ca="1">INDIRECT("'("&amp;$A$4&amp;")'!ad50")</f>
        <v>0</v>
      </c>
      <c r="AE50" s="24">
        <f ca="1">INDIRECT("'("&amp;$A$4&amp;")'!ae50")</f>
        <v>0</v>
      </c>
      <c r="AF50" s="24">
        <f ca="1">INDIRECT("'("&amp;$A$4&amp;")'!af50")</f>
        <v>0</v>
      </c>
      <c r="AG50" s="24">
        <f ca="1">INDIRECT("'("&amp;$A$4&amp;")'!ag50")</f>
        <v>0</v>
      </c>
      <c r="AH50" s="24">
        <f ca="1">INDIRECT("'("&amp;$A$4&amp;")'!ah50")</f>
        <v>0</v>
      </c>
      <c r="AI50" s="46" t="str">
        <f t="shared" ca="1" si="21"/>
        <v>-</v>
      </c>
      <c r="AJ50" s="46" t="str">
        <f t="shared" ca="1" si="22"/>
        <v>-</v>
      </c>
      <c r="AK50" s="24"/>
      <c r="AL50" s="24">
        <f ca="1">INDIRECT("'("&amp;$A$4&amp;")'!al50")</f>
        <v>4</v>
      </c>
      <c r="AM50" s="24">
        <f ca="1">INDIRECT("'("&amp;$A$4&amp;")'!am50")</f>
        <v>0</v>
      </c>
      <c r="AN50" s="24">
        <f ca="1">INDIRECT("'("&amp;$A$4&amp;")'!an50")</f>
        <v>0</v>
      </c>
      <c r="AO50" s="24">
        <f ca="1">INDIRECT("'("&amp;$A$4&amp;")'!ao50")</f>
        <v>0</v>
      </c>
      <c r="AP50" s="24">
        <f ca="1">INDIRECT("'("&amp;$A$4&amp;")'!ap50")</f>
        <v>0</v>
      </c>
      <c r="AQ50" s="24">
        <f ca="1">INDIRECT("'("&amp;$A$4&amp;")'!aq50")</f>
        <v>0</v>
      </c>
      <c r="AR50" s="46">
        <f t="shared" ca="1" si="24"/>
        <v>0</v>
      </c>
      <c r="AS50" s="46">
        <f t="shared" ca="1" si="25"/>
        <v>0</v>
      </c>
      <c r="AT50" s="24"/>
      <c r="AU50" s="22">
        <f t="shared" ca="1" si="26"/>
        <v>62</v>
      </c>
      <c r="AV50" s="22">
        <f t="shared" ca="1" si="27"/>
        <v>3</v>
      </c>
      <c r="AW50" s="22">
        <f t="shared" ca="1" si="28"/>
        <v>0</v>
      </c>
      <c r="AX50" s="22">
        <f t="shared" ca="1" si="29"/>
        <v>0</v>
      </c>
      <c r="AY50" s="22">
        <f t="shared" ca="1" si="30"/>
        <v>1</v>
      </c>
      <c r="AZ50" s="22">
        <f t="shared" ca="1" si="31"/>
        <v>9</v>
      </c>
      <c r="BA50" s="46">
        <f t="shared" ca="1" si="32"/>
        <v>6.0606060606060608E-2</v>
      </c>
      <c r="BB50" s="46">
        <f t="shared" ca="1" si="33"/>
        <v>0.12</v>
      </c>
      <c r="BC50" s="19"/>
      <c r="BD50" s="19"/>
      <c r="BE50" s="19"/>
      <c r="BF50" s="19"/>
      <c r="BG50" s="19"/>
      <c r="BH50" s="19"/>
      <c r="BI50" s="19"/>
      <c r="BJ50" s="19"/>
      <c r="BK50" s="19"/>
    </row>
    <row r="51" spans="1:63" s="8" customFormat="1" ht="15" customHeight="1" x14ac:dyDescent="0.3">
      <c r="A51" s="2" t="s">
        <v>58</v>
      </c>
      <c r="B51" s="24">
        <f ca="1">INDIRECT("'("&amp;$A$4&amp;")'!b51")</f>
        <v>66</v>
      </c>
      <c r="C51" s="24">
        <f ca="1">INDIRECT("'("&amp;$A$4&amp;")'!c51")</f>
        <v>2</v>
      </c>
      <c r="D51" s="24">
        <f ca="1">INDIRECT("'("&amp;$A$4&amp;")'!d51")</f>
        <v>0</v>
      </c>
      <c r="E51" s="24">
        <f ca="1">INDIRECT("'("&amp;$A$4&amp;")'!e51")</f>
        <v>0</v>
      </c>
      <c r="F51" s="24">
        <f ca="1">INDIRECT("'("&amp;$A$4&amp;")'!f51")</f>
        <v>0</v>
      </c>
      <c r="G51" s="24">
        <f ca="1">INDIRECT("'("&amp;$A$4&amp;")'!g51")</f>
        <v>5</v>
      </c>
      <c r="H51" s="46">
        <f t="shared" ca="1" si="7"/>
        <v>2.9411764705882353E-2</v>
      </c>
      <c r="I51" s="46">
        <f t="shared" ca="1" si="8"/>
        <v>6.8493150684931503E-2</v>
      </c>
      <c r="J51" s="24"/>
      <c r="K51" s="24">
        <f ca="1">INDIRECT("'("&amp;$A$4&amp;")'!k51")</f>
        <v>41</v>
      </c>
      <c r="L51" s="24">
        <f ca="1">INDIRECT("'("&amp;$A$4&amp;")'!l51")</f>
        <v>1</v>
      </c>
      <c r="M51" s="24">
        <f ca="1">INDIRECT("'("&amp;$A$4&amp;")'!m51")</f>
        <v>0</v>
      </c>
      <c r="N51" s="24">
        <f ca="1">INDIRECT("'("&amp;$A$4&amp;")'!n51")</f>
        <v>0</v>
      </c>
      <c r="O51" s="24">
        <f ca="1">INDIRECT("'("&amp;$A$4&amp;")'!o51")</f>
        <v>0</v>
      </c>
      <c r="P51" s="24">
        <f ca="1">INDIRECT("'("&amp;$A$4&amp;")'!p51")</f>
        <v>3</v>
      </c>
      <c r="Q51" s="46">
        <f t="shared" ca="1" si="10"/>
        <v>2.3809523809523808E-2</v>
      </c>
      <c r="R51" s="46">
        <f t="shared" ca="1" si="11"/>
        <v>6.6666666666666666E-2</v>
      </c>
      <c r="S51" s="24"/>
      <c r="T51" s="22">
        <f t="shared" ca="1" si="12"/>
        <v>107</v>
      </c>
      <c r="U51" s="22">
        <f t="shared" ca="1" si="13"/>
        <v>3</v>
      </c>
      <c r="V51" s="22">
        <f t="shared" ca="1" si="14"/>
        <v>0</v>
      </c>
      <c r="W51" s="22">
        <f t="shared" ca="1" si="15"/>
        <v>0</v>
      </c>
      <c r="X51" s="22">
        <f t="shared" ca="1" si="16"/>
        <v>0</v>
      </c>
      <c r="Y51" s="22">
        <f t="shared" ca="1" si="17"/>
        <v>8</v>
      </c>
      <c r="Z51" s="46">
        <f t="shared" ca="1" si="18"/>
        <v>2.7272727272727271E-2</v>
      </c>
      <c r="AA51" s="46">
        <f t="shared" ca="1" si="19"/>
        <v>6.7796610169491525E-2</v>
      </c>
      <c r="AB51" s="24"/>
      <c r="AC51" s="24">
        <f ca="1">INDIRECT("'("&amp;$A$4&amp;")'!ac51")</f>
        <v>6</v>
      </c>
      <c r="AD51" s="24">
        <f ca="1">INDIRECT("'("&amp;$A$4&amp;")'!ad51")</f>
        <v>0</v>
      </c>
      <c r="AE51" s="24">
        <f ca="1">INDIRECT("'("&amp;$A$4&amp;")'!ae51")</f>
        <v>0</v>
      </c>
      <c r="AF51" s="24">
        <f ca="1">INDIRECT("'("&amp;$A$4&amp;")'!af51")</f>
        <v>0</v>
      </c>
      <c r="AG51" s="24">
        <f ca="1">INDIRECT("'("&amp;$A$4&amp;")'!ag51")</f>
        <v>0</v>
      </c>
      <c r="AH51" s="24">
        <f ca="1">INDIRECT("'("&amp;$A$4&amp;")'!ah51")</f>
        <v>0</v>
      </c>
      <c r="AI51" s="46">
        <f t="shared" ca="1" si="21"/>
        <v>0</v>
      </c>
      <c r="AJ51" s="46">
        <f t="shared" ca="1" si="22"/>
        <v>0</v>
      </c>
      <c r="AK51" s="24"/>
      <c r="AL51" s="24">
        <f ca="1">INDIRECT("'("&amp;$A$4&amp;")'!al51")</f>
        <v>10</v>
      </c>
      <c r="AM51" s="24">
        <f ca="1">INDIRECT("'("&amp;$A$4&amp;")'!am51")</f>
        <v>0</v>
      </c>
      <c r="AN51" s="24">
        <f ca="1">INDIRECT("'("&amp;$A$4&amp;")'!an51")</f>
        <v>0</v>
      </c>
      <c r="AO51" s="24">
        <f ca="1">INDIRECT("'("&amp;$A$4&amp;")'!ao51")</f>
        <v>1</v>
      </c>
      <c r="AP51" s="24">
        <f ca="1">INDIRECT("'("&amp;$A$4&amp;")'!ap51")</f>
        <v>0</v>
      </c>
      <c r="AQ51" s="24">
        <f ca="1">INDIRECT("'("&amp;$A$4&amp;")'!aq51")</f>
        <v>0</v>
      </c>
      <c r="AR51" s="46">
        <f t="shared" ca="1" si="24"/>
        <v>9.0909090909090912E-2</v>
      </c>
      <c r="AS51" s="46">
        <f t="shared" ca="1" si="25"/>
        <v>0</v>
      </c>
      <c r="AT51" s="24"/>
      <c r="AU51" s="22">
        <f t="shared" ca="1" si="26"/>
        <v>123</v>
      </c>
      <c r="AV51" s="22">
        <f t="shared" ca="1" si="27"/>
        <v>3</v>
      </c>
      <c r="AW51" s="22">
        <f t="shared" ca="1" si="28"/>
        <v>0</v>
      </c>
      <c r="AX51" s="22">
        <f t="shared" ca="1" si="29"/>
        <v>1</v>
      </c>
      <c r="AY51" s="22">
        <f t="shared" ca="1" si="30"/>
        <v>0</v>
      </c>
      <c r="AZ51" s="22">
        <f t="shared" ca="1" si="31"/>
        <v>8</v>
      </c>
      <c r="BA51" s="46">
        <f t="shared" ca="1" si="32"/>
        <v>3.1496062992125984E-2</v>
      </c>
      <c r="BB51" s="46">
        <f t="shared" ca="1" si="33"/>
        <v>5.9259259259259262E-2</v>
      </c>
      <c r="BC51" s="19"/>
      <c r="BD51" s="19"/>
      <c r="BE51" s="19"/>
      <c r="BF51" s="19"/>
      <c r="BG51" s="19"/>
      <c r="BH51" s="19"/>
      <c r="BI51" s="19"/>
      <c r="BJ51" s="19"/>
      <c r="BK51" s="19"/>
    </row>
    <row r="52" spans="1:63" s="8" customFormat="1" ht="15" customHeight="1" x14ac:dyDescent="0.3">
      <c r="A52" s="2" t="s">
        <v>59</v>
      </c>
      <c r="B52" s="24">
        <f ca="1">INDIRECT("'("&amp;$A$4&amp;")'!b52")</f>
        <v>0</v>
      </c>
      <c r="C52" s="24">
        <f ca="1">INDIRECT("'("&amp;$A$4&amp;")'!c52")</f>
        <v>0</v>
      </c>
      <c r="D52" s="24">
        <f ca="1">INDIRECT("'("&amp;$A$4&amp;")'!d52")</f>
        <v>0</v>
      </c>
      <c r="E52" s="24">
        <f ca="1">INDIRECT("'("&amp;$A$4&amp;")'!e52")</f>
        <v>0</v>
      </c>
      <c r="F52" s="24">
        <f ca="1">INDIRECT("'("&amp;$A$4&amp;")'!f52")</f>
        <v>0</v>
      </c>
      <c r="G52" s="24">
        <f ca="1">INDIRECT("'("&amp;$A$4&amp;")'!g52")</f>
        <v>0</v>
      </c>
      <c r="H52" s="46" t="str">
        <f t="shared" ca="1" si="7"/>
        <v>-</v>
      </c>
      <c r="I52" s="46" t="str">
        <f t="shared" ca="1" si="8"/>
        <v>-</v>
      </c>
      <c r="J52" s="24"/>
      <c r="K52" s="24">
        <f ca="1">INDIRECT("'("&amp;$A$4&amp;")'!k52")</f>
        <v>4</v>
      </c>
      <c r="L52" s="24">
        <f ca="1">INDIRECT("'("&amp;$A$4&amp;")'!l52")</f>
        <v>0</v>
      </c>
      <c r="M52" s="24">
        <f ca="1">INDIRECT("'("&amp;$A$4&amp;")'!m52")</f>
        <v>0</v>
      </c>
      <c r="N52" s="24">
        <f ca="1">INDIRECT("'("&amp;$A$4&amp;")'!n52")</f>
        <v>0</v>
      </c>
      <c r="O52" s="24">
        <f ca="1">INDIRECT("'("&amp;$A$4&amp;")'!o52")</f>
        <v>0</v>
      </c>
      <c r="P52" s="24">
        <f ca="1">INDIRECT("'("&amp;$A$4&amp;")'!p52")</f>
        <v>0</v>
      </c>
      <c r="Q52" s="46">
        <f t="shared" ca="1" si="10"/>
        <v>0</v>
      </c>
      <c r="R52" s="46">
        <f t="shared" ca="1" si="11"/>
        <v>0</v>
      </c>
      <c r="S52" s="24"/>
      <c r="T52" s="22">
        <f t="shared" ca="1" si="12"/>
        <v>4</v>
      </c>
      <c r="U52" s="22">
        <f t="shared" ca="1" si="13"/>
        <v>0</v>
      </c>
      <c r="V52" s="22">
        <f t="shared" ca="1" si="14"/>
        <v>0</v>
      </c>
      <c r="W52" s="22">
        <f t="shared" ca="1" si="15"/>
        <v>0</v>
      </c>
      <c r="X52" s="22">
        <f t="shared" ca="1" si="16"/>
        <v>0</v>
      </c>
      <c r="Y52" s="22">
        <f t="shared" ca="1" si="17"/>
        <v>0</v>
      </c>
      <c r="Z52" s="46">
        <f t="shared" ca="1" si="18"/>
        <v>0</v>
      </c>
      <c r="AA52" s="46">
        <f t="shared" ca="1" si="19"/>
        <v>0</v>
      </c>
      <c r="AB52" s="24"/>
      <c r="AC52" s="24">
        <f ca="1">INDIRECT("'("&amp;$A$4&amp;")'!ac52")</f>
        <v>1</v>
      </c>
      <c r="AD52" s="24">
        <f ca="1">INDIRECT("'("&amp;$A$4&amp;")'!ad52")</f>
        <v>0</v>
      </c>
      <c r="AE52" s="24">
        <f ca="1">INDIRECT("'("&amp;$A$4&amp;")'!ae52")</f>
        <v>0</v>
      </c>
      <c r="AF52" s="24">
        <f ca="1">INDIRECT("'("&amp;$A$4&amp;")'!af52")</f>
        <v>0</v>
      </c>
      <c r="AG52" s="24">
        <f ca="1">INDIRECT("'("&amp;$A$4&amp;")'!ag52")</f>
        <v>0</v>
      </c>
      <c r="AH52" s="24">
        <f ca="1">INDIRECT("'("&amp;$A$4&amp;")'!ah52")</f>
        <v>0</v>
      </c>
      <c r="AI52" s="46">
        <f t="shared" ca="1" si="21"/>
        <v>0</v>
      </c>
      <c r="AJ52" s="46">
        <f t="shared" ca="1" si="22"/>
        <v>0</v>
      </c>
      <c r="AK52" s="24"/>
      <c r="AL52" s="24">
        <f ca="1">INDIRECT("'("&amp;$A$4&amp;")'!al52")</f>
        <v>15</v>
      </c>
      <c r="AM52" s="24">
        <f ca="1">INDIRECT("'("&amp;$A$4&amp;")'!am52")</f>
        <v>0</v>
      </c>
      <c r="AN52" s="24">
        <f ca="1">INDIRECT("'("&amp;$A$4&amp;")'!an52")</f>
        <v>0</v>
      </c>
      <c r="AO52" s="24">
        <f ca="1">INDIRECT("'("&amp;$A$4&amp;")'!ao52")</f>
        <v>1</v>
      </c>
      <c r="AP52" s="24">
        <f ca="1">INDIRECT("'("&amp;$A$4&amp;")'!ap52")</f>
        <v>0</v>
      </c>
      <c r="AQ52" s="24">
        <f ca="1">INDIRECT("'("&amp;$A$4&amp;")'!aq52")</f>
        <v>0</v>
      </c>
      <c r="AR52" s="46">
        <f t="shared" ca="1" si="24"/>
        <v>6.25E-2</v>
      </c>
      <c r="AS52" s="46">
        <f t="shared" ca="1" si="25"/>
        <v>0</v>
      </c>
      <c r="AT52" s="24"/>
      <c r="AU52" s="22">
        <f t="shared" ca="1" si="26"/>
        <v>20</v>
      </c>
      <c r="AV52" s="22">
        <f t="shared" ca="1" si="27"/>
        <v>0</v>
      </c>
      <c r="AW52" s="22">
        <f t="shared" ca="1" si="28"/>
        <v>0</v>
      </c>
      <c r="AX52" s="22">
        <f t="shared" ca="1" si="29"/>
        <v>1</v>
      </c>
      <c r="AY52" s="22">
        <f t="shared" ca="1" si="30"/>
        <v>0</v>
      </c>
      <c r="AZ52" s="22">
        <f t="shared" ca="1" si="31"/>
        <v>0</v>
      </c>
      <c r="BA52" s="46">
        <f t="shared" ca="1" si="32"/>
        <v>4.7619047619047616E-2</v>
      </c>
      <c r="BB52" s="46">
        <f t="shared" ca="1" si="33"/>
        <v>0</v>
      </c>
      <c r="BC52" s="19"/>
      <c r="BD52" s="19"/>
      <c r="BE52" s="19"/>
      <c r="BF52" s="19"/>
      <c r="BG52" s="19"/>
      <c r="BH52" s="19"/>
      <c r="BI52" s="19"/>
      <c r="BJ52" s="19"/>
      <c r="BK52" s="19"/>
    </row>
    <row r="53" spans="1:63" s="8" customFormat="1" ht="15" customHeight="1" x14ac:dyDescent="0.3">
      <c r="A53" s="2" t="s">
        <v>60</v>
      </c>
      <c r="B53" s="24">
        <f ca="1">INDIRECT("'("&amp;$A$4&amp;")'!b53")</f>
        <v>15</v>
      </c>
      <c r="C53" s="24">
        <f ca="1">INDIRECT("'("&amp;$A$4&amp;")'!c53")</f>
        <v>1</v>
      </c>
      <c r="D53" s="24">
        <f ca="1">INDIRECT("'("&amp;$A$4&amp;")'!d53")</f>
        <v>0</v>
      </c>
      <c r="E53" s="24">
        <f ca="1">INDIRECT("'("&amp;$A$4&amp;")'!e53")</f>
        <v>0</v>
      </c>
      <c r="F53" s="24">
        <f ca="1">INDIRECT("'("&amp;$A$4&amp;")'!f53")</f>
        <v>0</v>
      </c>
      <c r="G53" s="24">
        <f ca="1">INDIRECT("'("&amp;$A$4&amp;")'!g53")</f>
        <v>0</v>
      </c>
      <c r="H53" s="46">
        <f t="shared" ca="1" si="7"/>
        <v>6.25E-2</v>
      </c>
      <c r="I53" s="46">
        <f t="shared" ca="1" si="8"/>
        <v>0</v>
      </c>
      <c r="J53" s="24"/>
      <c r="K53" s="24">
        <f ca="1">INDIRECT("'("&amp;$A$4&amp;")'!k53")</f>
        <v>4</v>
      </c>
      <c r="L53" s="24">
        <f ca="1">INDIRECT("'("&amp;$A$4&amp;")'!l53")</f>
        <v>0</v>
      </c>
      <c r="M53" s="24">
        <f ca="1">INDIRECT("'("&amp;$A$4&amp;")'!m53")</f>
        <v>0</v>
      </c>
      <c r="N53" s="24">
        <f ca="1">INDIRECT("'("&amp;$A$4&amp;")'!n53")</f>
        <v>0</v>
      </c>
      <c r="O53" s="24">
        <f ca="1">INDIRECT("'("&amp;$A$4&amp;")'!o53")</f>
        <v>0</v>
      </c>
      <c r="P53" s="24">
        <f ca="1">INDIRECT("'("&amp;$A$4&amp;")'!p53")</f>
        <v>0</v>
      </c>
      <c r="Q53" s="46">
        <f t="shared" ca="1" si="10"/>
        <v>0</v>
      </c>
      <c r="R53" s="46">
        <f t="shared" ca="1" si="11"/>
        <v>0</v>
      </c>
      <c r="S53" s="24"/>
      <c r="T53" s="22">
        <f t="shared" ca="1" si="12"/>
        <v>19</v>
      </c>
      <c r="U53" s="22">
        <f t="shared" ca="1" si="13"/>
        <v>1</v>
      </c>
      <c r="V53" s="22">
        <f t="shared" ca="1" si="14"/>
        <v>0</v>
      </c>
      <c r="W53" s="22">
        <f t="shared" ca="1" si="15"/>
        <v>0</v>
      </c>
      <c r="X53" s="22">
        <f t="shared" ca="1" si="16"/>
        <v>0</v>
      </c>
      <c r="Y53" s="22">
        <f t="shared" ca="1" si="17"/>
        <v>0</v>
      </c>
      <c r="Z53" s="46">
        <f t="shared" ca="1" si="18"/>
        <v>0.05</v>
      </c>
      <c r="AA53" s="46">
        <f t="shared" ca="1" si="19"/>
        <v>0</v>
      </c>
      <c r="AB53" s="24"/>
      <c r="AC53" s="24">
        <f ca="1">INDIRECT("'("&amp;$A$4&amp;")'!ac53")</f>
        <v>1</v>
      </c>
      <c r="AD53" s="24">
        <f ca="1">INDIRECT("'("&amp;$A$4&amp;")'!ad53")</f>
        <v>0</v>
      </c>
      <c r="AE53" s="24">
        <f ca="1">INDIRECT("'("&amp;$A$4&amp;")'!ae53")</f>
        <v>0</v>
      </c>
      <c r="AF53" s="24">
        <f ca="1">INDIRECT("'("&amp;$A$4&amp;")'!af53")</f>
        <v>0</v>
      </c>
      <c r="AG53" s="24">
        <f ca="1">INDIRECT("'("&amp;$A$4&amp;")'!ag53")</f>
        <v>0</v>
      </c>
      <c r="AH53" s="24">
        <f ca="1">INDIRECT("'("&amp;$A$4&amp;")'!ah53")</f>
        <v>0</v>
      </c>
      <c r="AI53" s="46">
        <f t="shared" ca="1" si="21"/>
        <v>0</v>
      </c>
      <c r="AJ53" s="46">
        <f t="shared" ca="1" si="22"/>
        <v>0</v>
      </c>
      <c r="AK53" s="24"/>
      <c r="AL53" s="24">
        <f ca="1">INDIRECT("'("&amp;$A$4&amp;")'!al53")</f>
        <v>26</v>
      </c>
      <c r="AM53" s="24">
        <f ca="1">INDIRECT("'("&amp;$A$4&amp;")'!am53")</f>
        <v>0</v>
      </c>
      <c r="AN53" s="24">
        <f ca="1">INDIRECT("'("&amp;$A$4&amp;")'!an53")</f>
        <v>0</v>
      </c>
      <c r="AO53" s="24">
        <f ca="1">INDIRECT("'("&amp;$A$4&amp;")'!ao53")</f>
        <v>0</v>
      </c>
      <c r="AP53" s="24">
        <f ca="1">INDIRECT("'("&amp;$A$4&amp;")'!ap53")</f>
        <v>0</v>
      </c>
      <c r="AQ53" s="24">
        <f ca="1">INDIRECT("'("&amp;$A$4&amp;")'!aq53")</f>
        <v>0</v>
      </c>
      <c r="AR53" s="46">
        <f t="shared" ca="1" si="24"/>
        <v>0</v>
      </c>
      <c r="AS53" s="46">
        <f t="shared" ca="1" si="25"/>
        <v>0</v>
      </c>
      <c r="AT53" s="24"/>
      <c r="AU53" s="22">
        <f t="shared" ca="1" si="26"/>
        <v>46</v>
      </c>
      <c r="AV53" s="22">
        <f t="shared" ca="1" si="27"/>
        <v>1</v>
      </c>
      <c r="AW53" s="22">
        <f t="shared" ca="1" si="28"/>
        <v>0</v>
      </c>
      <c r="AX53" s="22">
        <f t="shared" ca="1" si="29"/>
        <v>0</v>
      </c>
      <c r="AY53" s="22">
        <f t="shared" ca="1" si="30"/>
        <v>0</v>
      </c>
      <c r="AZ53" s="22">
        <f t="shared" ca="1" si="31"/>
        <v>0</v>
      </c>
      <c r="BA53" s="46">
        <f t="shared" ca="1" si="32"/>
        <v>2.1276595744680851E-2</v>
      </c>
      <c r="BB53" s="46">
        <f t="shared" ca="1" si="33"/>
        <v>0</v>
      </c>
      <c r="BC53" s="19"/>
      <c r="BD53" s="19"/>
      <c r="BE53" s="19"/>
      <c r="BF53" s="19"/>
      <c r="BG53" s="19"/>
      <c r="BH53" s="19"/>
      <c r="BI53" s="19"/>
      <c r="BJ53" s="19"/>
      <c r="BK53" s="19"/>
    </row>
    <row r="54" spans="1:63" s="8" customFormat="1" ht="15" customHeight="1" x14ac:dyDescent="0.3">
      <c r="A54" s="2" t="s">
        <v>61</v>
      </c>
      <c r="B54" s="24">
        <f ca="1">INDIRECT("'("&amp;$A$4&amp;")'!b54")</f>
        <v>52</v>
      </c>
      <c r="C54" s="24">
        <f ca="1">INDIRECT("'("&amp;$A$4&amp;")'!c54")</f>
        <v>12</v>
      </c>
      <c r="D54" s="24">
        <f ca="1">INDIRECT("'("&amp;$A$4&amp;")'!d54")</f>
        <v>2</v>
      </c>
      <c r="E54" s="24">
        <f ca="1">INDIRECT("'("&amp;$A$4&amp;")'!e54")</f>
        <v>7</v>
      </c>
      <c r="F54" s="24">
        <f ca="1">INDIRECT("'("&amp;$A$4&amp;")'!f54")</f>
        <v>1</v>
      </c>
      <c r="G54" s="24">
        <f ca="1">INDIRECT("'("&amp;$A$4&amp;")'!g54")</f>
        <v>0</v>
      </c>
      <c r="H54" s="46">
        <f t="shared" ca="1" si="7"/>
        <v>0.29729729729729731</v>
      </c>
      <c r="I54" s="46">
        <f t="shared" ca="1" si="8"/>
        <v>0</v>
      </c>
      <c r="J54" s="24"/>
      <c r="K54" s="24">
        <f ca="1">INDIRECT("'("&amp;$A$4&amp;")'!k54")</f>
        <v>0</v>
      </c>
      <c r="L54" s="24">
        <f ca="1">INDIRECT("'("&amp;$A$4&amp;")'!l54")</f>
        <v>0</v>
      </c>
      <c r="M54" s="24">
        <f ca="1">INDIRECT("'("&amp;$A$4&amp;")'!m54")</f>
        <v>0</v>
      </c>
      <c r="N54" s="24">
        <f ca="1">INDIRECT("'("&amp;$A$4&amp;")'!n54")</f>
        <v>0</v>
      </c>
      <c r="O54" s="24">
        <f ca="1">INDIRECT("'("&amp;$A$4&amp;")'!o54")</f>
        <v>0</v>
      </c>
      <c r="P54" s="24">
        <f ca="1">INDIRECT("'("&amp;$A$4&amp;")'!p54")</f>
        <v>0</v>
      </c>
      <c r="Q54" s="46" t="str">
        <f t="shared" ca="1" si="10"/>
        <v>-</v>
      </c>
      <c r="R54" s="46" t="str">
        <f t="shared" ca="1" si="11"/>
        <v>-</v>
      </c>
      <c r="S54" s="24"/>
      <c r="T54" s="22">
        <f t="shared" ca="1" si="12"/>
        <v>52</v>
      </c>
      <c r="U54" s="22">
        <f t="shared" ca="1" si="13"/>
        <v>12</v>
      </c>
      <c r="V54" s="22">
        <f t="shared" ca="1" si="14"/>
        <v>2</v>
      </c>
      <c r="W54" s="22">
        <f t="shared" ca="1" si="15"/>
        <v>7</v>
      </c>
      <c r="X54" s="22">
        <f t="shared" ca="1" si="16"/>
        <v>1</v>
      </c>
      <c r="Y54" s="22">
        <f t="shared" ca="1" si="17"/>
        <v>0</v>
      </c>
      <c r="Z54" s="46">
        <f t="shared" ca="1" si="18"/>
        <v>0.29729729729729731</v>
      </c>
      <c r="AA54" s="46">
        <f t="shared" ca="1" si="19"/>
        <v>0</v>
      </c>
      <c r="AB54" s="24"/>
      <c r="AC54" s="24">
        <f ca="1">INDIRECT("'("&amp;$A$4&amp;")'!ac54")</f>
        <v>6</v>
      </c>
      <c r="AD54" s="24">
        <f ca="1">INDIRECT("'("&amp;$A$4&amp;")'!ad54")</f>
        <v>0</v>
      </c>
      <c r="AE54" s="24">
        <f ca="1">INDIRECT("'("&amp;$A$4&amp;")'!ae54")</f>
        <v>0</v>
      </c>
      <c r="AF54" s="24">
        <f ca="1">INDIRECT("'("&amp;$A$4&amp;")'!af54")</f>
        <v>0</v>
      </c>
      <c r="AG54" s="24">
        <f ca="1">INDIRECT("'("&amp;$A$4&amp;")'!ag54")</f>
        <v>0</v>
      </c>
      <c r="AH54" s="24">
        <f ca="1">INDIRECT("'("&amp;$A$4&amp;")'!ah54")</f>
        <v>3</v>
      </c>
      <c r="AI54" s="46">
        <f t="shared" ca="1" si="21"/>
        <v>0</v>
      </c>
      <c r="AJ54" s="46">
        <f t="shared" ca="1" si="22"/>
        <v>0.33333333333333331</v>
      </c>
      <c r="AK54" s="24"/>
      <c r="AL54" s="24">
        <f ca="1">INDIRECT("'("&amp;$A$4&amp;")'!al54")</f>
        <v>18</v>
      </c>
      <c r="AM54" s="24">
        <f ca="1">INDIRECT("'("&amp;$A$4&amp;")'!am54")</f>
        <v>0</v>
      </c>
      <c r="AN54" s="24">
        <f ca="1">INDIRECT("'("&amp;$A$4&amp;")'!an54")</f>
        <v>6</v>
      </c>
      <c r="AO54" s="24">
        <f ca="1">INDIRECT("'("&amp;$A$4&amp;")'!ao54")</f>
        <v>4</v>
      </c>
      <c r="AP54" s="24">
        <f ca="1">INDIRECT("'("&amp;$A$4&amp;")'!ap54")</f>
        <v>0</v>
      </c>
      <c r="AQ54" s="24">
        <f ca="1">INDIRECT("'("&amp;$A$4&amp;")'!aq54")</f>
        <v>12</v>
      </c>
      <c r="AR54" s="46">
        <f t="shared" ca="1" si="24"/>
        <v>0.35714285714285715</v>
      </c>
      <c r="AS54" s="46">
        <f t="shared" ca="1" si="25"/>
        <v>0.3</v>
      </c>
      <c r="AT54" s="24"/>
      <c r="AU54" s="22">
        <f t="shared" ca="1" si="26"/>
        <v>76</v>
      </c>
      <c r="AV54" s="22">
        <f t="shared" ca="1" si="27"/>
        <v>12</v>
      </c>
      <c r="AW54" s="22">
        <f t="shared" ca="1" si="28"/>
        <v>8</v>
      </c>
      <c r="AX54" s="22">
        <f t="shared" ca="1" si="29"/>
        <v>11</v>
      </c>
      <c r="AY54" s="22">
        <f t="shared" ca="1" si="30"/>
        <v>1</v>
      </c>
      <c r="AZ54" s="22">
        <f t="shared" ca="1" si="31"/>
        <v>15</v>
      </c>
      <c r="BA54" s="46">
        <f t="shared" ca="1" si="32"/>
        <v>0.29629629629629628</v>
      </c>
      <c r="BB54" s="46">
        <f t="shared" ca="1" si="33"/>
        <v>0.12195121951219512</v>
      </c>
      <c r="BC54" s="19"/>
      <c r="BD54" s="19"/>
      <c r="BE54" s="19"/>
      <c r="BF54" s="19"/>
      <c r="BG54" s="19"/>
      <c r="BH54" s="19"/>
      <c r="BI54" s="19"/>
      <c r="BJ54" s="19"/>
      <c r="BK54" s="19"/>
    </row>
    <row r="55" spans="1:63" s="8" customFormat="1" ht="15" customHeight="1" x14ac:dyDescent="0.3">
      <c r="A55" s="2" t="s">
        <v>62</v>
      </c>
      <c r="B55" s="24">
        <f ca="1">INDIRECT("'("&amp;$A$4&amp;")'!b55")</f>
        <v>24</v>
      </c>
      <c r="C55" s="24">
        <f ca="1">INDIRECT("'("&amp;$A$4&amp;")'!c55")</f>
        <v>1</v>
      </c>
      <c r="D55" s="24">
        <f ca="1">INDIRECT("'("&amp;$A$4&amp;")'!d55")</f>
        <v>0</v>
      </c>
      <c r="E55" s="24">
        <f ca="1">INDIRECT("'("&amp;$A$4&amp;")'!e55")</f>
        <v>0</v>
      </c>
      <c r="F55" s="24">
        <f ca="1">INDIRECT("'("&amp;$A$4&amp;")'!f55")</f>
        <v>2</v>
      </c>
      <c r="G55" s="24">
        <f ca="1">INDIRECT("'("&amp;$A$4&amp;")'!g55")</f>
        <v>14</v>
      </c>
      <c r="H55" s="46">
        <f t="shared" ca="1" si="7"/>
        <v>0.1111111111111111</v>
      </c>
      <c r="I55" s="46">
        <f t="shared" ca="1" si="8"/>
        <v>0.34146341463414637</v>
      </c>
      <c r="J55" s="24"/>
      <c r="K55" s="24">
        <f ca="1">INDIRECT("'("&amp;$A$4&amp;")'!k55")</f>
        <v>25</v>
      </c>
      <c r="L55" s="24">
        <f ca="1">INDIRECT("'("&amp;$A$4&amp;")'!l55")</f>
        <v>0</v>
      </c>
      <c r="M55" s="24">
        <f ca="1">INDIRECT("'("&amp;$A$4&amp;")'!m55")</f>
        <v>0</v>
      </c>
      <c r="N55" s="24">
        <f ca="1">INDIRECT("'("&amp;$A$4&amp;")'!n55")</f>
        <v>0</v>
      </c>
      <c r="O55" s="24">
        <f ca="1">INDIRECT("'("&amp;$A$4&amp;")'!o55")</f>
        <v>0</v>
      </c>
      <c r="P55" s="24">
        <f ca="1">INDIRECT("'("&amp;$A$4&amp;")'!p55")</f>
        <v>1</v>
      </c>
      <c r="Q55" s="46">
        <f t="shared" ca="1" si="10"/>
        <v>0</v>
      </c>
      <c r="R55" s="46">
        <f t="shared" ca="1" si="11"/>
        <v>3.8461538461538464E-2</v>
      </c>
      <c r="S55" s="24"/>
      <c r="T55" s="22">
        <f t="shared" ca="1" si="12"/>
        <v>49</v>
      </c>
      <c r="U55" s="22">
        <f t="shared" ca="1" si="13"/>
        <v>1</v>
      </c>
      <c r="V55" s="22">
        <f t="shared" ca="1" si="14"/>
        <v>0</v>
      </c>
      <c r="W55" s="22">
        <f t="shared" ca="1" si="15"/>
        <v>0</v>
      </c>
      <c r="X55" s="22">
        <f t="shared" ca="1" si="16"/>
        <v>2</v>
      </c>
      <c r="Y55" s="22">
        <f t="shared" ca="1" si="17"/>
        <v>15</v>
      </c>
      <c r="Z55" s="46">
        <f t="shared" ca="1" si="18"/>
        <v>5.7692307692307696E-2</v>
      </c>
      <c r="AA55" s="46">
        <f t="shared" ca="1" si="19"/>
        <v>0.22388059701492538</v>
      </c>
      <c r="AB55" s="24"/>
      <c r="AC55" s="24">
        <f ca="1">INDIRECT("'("&amp;$A$4&amp;")'!ac55")</f>
        <v>1</v>
      </c>
      <c r="AD55" s="24">
        <f ca="1">INDIRECT("'("&amp;$A$4&amp;")'!ad55")</f>
        <v>0</v>
      </c>
      <c r="AE55" s="24">
        <f ca="1">INDIRECT("'("&amp;$A$4&amp;")'!ae55")</f>
        <v>0</v>
      </c>
      <c r="AF55" s="24">
        <f ca="1">INDIRECT("'("&amp;$A$4&amp;")'!af55")</f>
        <v>0</v>
      </c>
      <c r="AG55" s="24">
        <f ca="1">INDIRECT("'("&amp;$A$4&amp;")'!ag55")</f>
        <v>0</v>
      </c>
      <c r="AH55" s="24">
        <f ca="1">INDIRECT("'("&amp;$A$4&amp;")'!ah55")</f>
        <v>0</v>
      </c>
      <c r="AI55" s="46">
        <f t="shared" ca="1" si="21"/>
        <v>0</v>
      </c>
      <c r="AJ55" s="46">
        <f t="shared" ca="1" si="22"/>
        <v>0</v>
      </c>
      <c r="AK55" s="24"/>
      <c r="AL55" s="24">
        <f ca="1">INDIRECT("'("&amp;$A$4&amp;")'!al55")</f>
        <v>11</v>
      </c>
      <c r="AM55" s="24">
        <f ca="1">INDIRECT("'("&amp;$A$4&amp;")'!am55")</f>
        <v>0</v>
      </c>
      <c r="AN55" s="24">
        <f ca="1">INDIRECT("'("&amp;$A$4&amp;")'!an55")</f>
        <v>1</v>
      </c>
      <c r="AO55" s="24">
        <f ca="1">INDIRECT("'("&amp;$A$4&amp;")'!ao55")</f>
        <v>0</v>
      </c>
      <c r="AP55" s="24">
        <f ca="1">INDIRECT("'("&amp;$A$4&amp;")'!ap55")</f>
        <v>0</v>
      </c>
      <c r="AQ55" s="24">
        <f ca="1">INDIRECT("'("&amp;$A$4&amp;")'!aq55")</f>
        <v>5</v>
      </c>
      <c r="AR55" s="46">
        <f t="shared" ca="1" si="24"/>
        <v>8.3333333333333329E-2</v>
      </c>
      <c r="AS55" s="46">
        <f t="shared" ca="1" si="25"/>
        <v>0.29411764705882354</v>
      </c>
      <c r="AT55" s="24"/>
      <c r="AU55" s="22">
        <f t="shared" ca="1" si="26"/>
        <v>61</v>
      </c>
      <c r="AV55" s="22">
        <f t="shared" ca="1" si="27"/>
        <v>1</v>
      </c>
      <c r="AW55" s="22">
        <f t="shared" ca="1" si="28"/>
        <v>1</v>
      </c>
      <c r="AX55" s="22">
        <f t="shared" ca="1" si="29"/>
        <v>0</v>
      </c>
      <c r="AY55" s="22">
        <f t="shared" ca="1" si="30"/>
        <v>2</v>
      </c>
      <c r="AZ55" s="22">
        <f t="shared" ca="1" si="31"/>
        <v>20</v>
      </c>
      <c r="BA55" s="46">
        <f t="shared" ca="1" si="32"/>
        <v>6.1538461538461542E-2</v>
      </c>
      <c r="BB55" s="46">
        <f t="shared" ca="1" si="33"/>
        <v>0.23529411764705882</v>
      </c>
      <c r="BC55" s="19"/>
      <c r="BD55" s="19"/>
      <c r="BE55" s="19"/>
      <c r="BF55" s="19"/>
      <c r="BG55" s="19"/>
      <c r="BH55" s="19"/>
      <c r="BI55" s="19"/>
      <c r="BJ55" s="19"/>
      <c r="BK55" s="19"/>
    </row>
    <row r="56" spans="1:63" s="8" customFormat="1" ht="15" customHeight="1" thickBot="1" x14ac:dyDescent="0.35">
      <c r="A56" s="27" t="s">
        <v>63</v>
      </c>
      <c r="B56" s="24">
        <f ca="1">INDIRECT("'("&amp;$A$4&amp;")'!b56")</f>
        <v>246</v>
      </c>
      <c r="C56" s="24">
        <f ca="1">INDIRECT("'("&amp;$A$4&amp;")'!c56")</f>
        <v>12</v>
      </c>
      <c r="D56" s="24">
        <f ca="1">INDIRECT("'("&amp;$A$4&amp;")'!d56")</f>
        <v>5</v>
      </c>
      <c r="E56" s="24">
        <f ca="1">INDIRECT("'("&amp;$A$4&amp;")'!e56")</f>
        <v>13</v>
      </c>
      <c r="F56" s="24">
        <f ca="1">INDIRECT("'("&amp;$A$4&amp;")'!f56")</f>
        <v>8</v>
      </c>
      <c r="G56" s="24">
        <f ca="1">INDIRECT("'("&amp;$A$4&amp;")'!g56")</f>
        <v>7</v>
      </c>
      <c r="H56" s="46">
        <f t="shared" ca="1" si="7"/>
        <v>0.13380281690140844</v>
      </c>
      <c r="I56" s="46">
        <f t="shared" ca="1" si="8"/>
        <v>2.4054982817869417E-2</v>
      </c>
      <c r="J56" s="28"/>
      <c r="K56" s="24">
        <f ca="1">INDIRECT("'("&amp;$A$4&amp;")'!k56")</f>
        <v>0</v>
      </c>
      <c r="L56" s="24">
        <f ca="1">INDIRECT("'("&amp;$A$4&amp;")'!l56")</f>
        <v>0</v>
      </c>
      <c r="M56" s="24">
        <f ca="1">INDIRECT("'("&amp;$A$4&amp;")'!m56")</f>
        <v>0</v>
      </c>
      <c r="N56" s="24">
        <f ca="1">INDIRECT("'("&amp;$A$4&amp;")'!n56")</f>
        <v>0</v>
      </c>
      <c r="O56" s="24">
        <f ca="1">INDIRECT("'("&amp;$A$4&amp;")'!o56")</f>
        <v>0</v>
      </c>
      <c r="P56" s="24">
        <f ca="1">INDIRECT("'("&amp;$A$4&amp;")'!p56")</f>
        <v>0</v>
      </c>
      <c r="Q56" s="46" t="str">
        <f t="shared" ca="1" si="10"/>
        <v>-</v>
      </c>
      <c r="R56" s="46" t="str">
        <f t="shared" ca="1" si="11"/>
        <v>-</v>
      </c>
      <c r="S56" s="28"/>
      <c r="T56" s="22">
        <f t="shared" ca="1" si="12"/>
        <v>246</v>
      </c>
      <c r="U56" s="22">
        <f t="shared" ca="1" si="13"/>
        <v>12</v>
      </c>
      <c r="V56" s="22">
        <f t="shared" ca="1" si="14"/>
        <v>5</v>
      </c>
      <c r="W56" s="22">
        <f t="shared" ca="1" si="15"/>
        <v>13</v>
      </c>
      <c r="X56" s="22">
        <f t="shared" ca="1" si="16"/>
        <v>8</v>
      </c>
      <c r="Y56" s="22">
        <f t="shared" ca="1" si="17"/>
        <v>7</v>
      </c>
      <c r="Z56" s="46">
        <f t="shared" ca="1" si="18"/>
        <v>0.13380281690140844</v>
      </c>
      <c r="AA56" s="46">
        <f t="shared" ca="1" si="19"/>
        <v>2.4054982817869417E-2</v>
      </c>
      <c r="AB56" s="28"/>
      <c r="AC56" s="24">
        <f ca="1">INDIRECT("'("&amp;$A$4&amp;")'!ac56")</f>
        <v>10</v>
      </c>
      <c r="AD56" s="24">
        <f ca="1">INDIRECT("'("&amp;$A$4&amp;")'!ad56")</f>
        <v>1</v>
      </c>
      <c r="AE56" s="24">
        <f ca="1">INDIRECT("'("&amp;$A$4&amp;")'!ae56")</f>
        <v>0</v>
      </c>
      <c r="AF56" s="24">
        <f ca="1">INDIRECT("'("&amp;$A$4&amp;")'!af56")</f>
        <v>1</v>
      </c>
      <c r="AG56" s="24">
        <f ca="1">INDIRECT("'("&amp;$A$4&amp;")'!ag56")</f>
        <v>1</v>
      </c>
      <c r="AH56" s="24">
        <f ca="1">INDIRECT("'("&amp;$A$4&amp;")'!ah56")</f>
        <v>0</v>
      </c>
      <c r="AI56" s="46">
        <f t="shared" ca="1" si="21"/>
        <v>0.23076923076923078</v>
      </c>
      <c r="AJ56" s="46">
        <f t="shared" ca="1" si="22"/>
        <v>0</v>
      </c>
      <c r="AK56" s="28"/>
      <c r="AL56" s="24">
        <f ca="1">INDIRECT("'("&amp;$A$4&amp;")'!al56")</f>
        <v>98</v>
      </c>
      <c r="AM56" s="24">
        <f ca="1">INDIRECT("'("&amp;$A$4&amp;")'!am56")</f>
        <v>5</v>
      </c>
      <c r="AN56" s="24">
        <f ca="1">INDIRECT("'("&amp;$A$4&amp;")'!an56")</f>
        <v>7</v>
      </c>
      <c r="AO56" s="24">
        <f ca="1">INDIRECT("'("&amp;$A$4&amp;")'!ao56")</f>
        <v>13</v>
      </c>
      <c r="AP56" s="24">
        <f ca="1">INDIRECT("'("&amp;$A$4&amp;")'!ap56")</f>
        <v>4</v>
      </c>
      <c r="AQ56" s="24">
        <f ca="1">INDIRECT("'("&amp;$A$4&amp;")'!aq56")</f>
        <v>5</v>
      </c>
      <c r="AR56" s="46">
        <f t="shared" ca="1" si="24"/>
        <v>0.2283464566929134</v>
      </c>
      <c r="AS56" s="46">
        <f t="shared" ca="1" si="25"/>
        <v>3.787878787878788E-2</v>
      </c>
      <c r="AT56" s="28"/>
      <c r="AU56" s="30">
        <f t="shared" ca="1" si="26"/>
        <v>354</v>
      </c>
      <c r="AV56" s="30">
        <f t="shared" ca="1" si="27"/>
        <v>18</v>
      </c>
      <c r="AW56" s="30">
        <f t="shared" ca="1" si="28"/>
        <v>12</v>
      </c>
      <c r="AX56" s="30">
        <f t="shared" ca="1" si="29"/>
        <v>27</v>
      </c>
      <c r="AY56" s="30">
        <f t="shared" ca="1" si="30"/>
        <v>13</v>
      </c>
      <c r="AZ56" s="30">
        <f t="shared" ca="1" si="31"/>
        <v>12</v>
      </c>
      <c r="BA56" s="46">
        <f t="shared" ca="1" si="32"/>
        <v>0.1650943396226415</v>
      </c>
      <c r="BB56" s="46">
        <f t="shared" ca="1" si="33"/>
        <v>2.7522935779816515E-2</v>
      </c>
      <c r="BC56" s="19"/>
      <c r="BD56" s="19"/>
      <c r="BE56" s="19"/>
      <c r="BF56" s="19"/>
      <c r="BG56" s="19"/>
      <c r="BH56" s="19"/>
      <c r="BI56" s="19"/>
      <c r="BJ56" s="19"/>
      <c r="BK56" s="19"/>
    </row>
    <row r="57" spans="1:63" s="8" customFormat="1" ht="1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19"/>
      <c r="BD57" s="19"/>
      <c r="BE57" s="19"/>
      <c r="BF57" s="19"/>
      <c r="BG57" s="19"/>
      <c r="BH57" s="19"/>
      <c r="BI57" s="19"/>
      <c r="BJ57" s="19"/>
      <c r="BK57" s="19"/>
    </row>
    <row r="58" spans="1:63" x14ac:dyDescent="0.3">
      <c r="A58" s="146" t="s">
        <v>64</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row>
    <row r="59" spans="1:63" x14ac:dyDescent="0.3">
      <c r="A59" s="38" t="s">
        <v>76</v>
      </c>
      <c r="B59" s="38"/>
      <c r="C59" s="38"/>
      <c r="D59" s="38"/>
      <c r="E59" s="38"/>
      <c r="F59" s="38"/>
      <c r="G59" s="38"/>
      <c r="H59" s="38"/>
      <c r="I59" s="38"/>
      <c r="J59" s="38"/>
      <c r="K59" s="38"/>
      <c r="L59" s="38"/>
      <c r="M59" s="38"/>
      <c r="N59" s="38"/>
      <c r="O59" s="38"/>
      <c r="P59" s="38"/>
      <c r="Q59" s="38"/>
      <c r="R59" s="38"/>
      <c r="S59" s="38"/>
      <c r="T59" s="38"/>
      <c r="U59" s="38"/>
      <c r="V59" s="38"/>
      <c r="W59" s="38"/>
      <c r="X59" s="38"/>
    </row>
    <row r="60" spans="1:63" x14ac:dyDescent="0.3">
      <c r="A60" s="147"/>
      <c r="B60" s="147"/>
      <c r="C60" s="147"/>
      <c r="D60" s="147"/>
      <c r="E60" s="147"/>
      <c r="F60" s="147"/>
      <c r="G60" s="147"/>
      <c r="H60" s="147"/>
      <c r="I60" s="147"/>
      <c r="J60" s="147"/>
      <c r="K60" s="147"/>
      <c r="L60" s="147"/>
      <c r="M60" s="147"/>
      <c r="N60" s="147"/>
      <c r="O60" s="147"/>
      <c r="P60" s="147"/>
      <c r="Q60" s="147"/>
      <c r="R60" s="147"/>
      <c r="S60" s="147"/>
      <c r="T60" s="147"/>
      <c r="U60" s="147"/>
      <c r="V60" s="147"/>
      <c r="W60" s="147"/>
      <c r="X60" s="147"/>
    </row>
    <row r="61" spans="1:63" x14ac:dyDescent="0.3">
      <c r="A61" s="33" t="s">
        <v>65</v>
      </c>
    </row>
    <row r="62" spans="1:63" x14ac:dyDescent="0.3">
      <c r="A62" s="148" t="s">
        <v>66</v>
      </c>
      <c r="B62" s="148"/>
      <c r="C62" s="148"/>
      <c r="D62" s="148"/>
      <c r="E62" s="148"/>
      <c r="F62" s="148"/>
      <c r="G62" s="148"/>
      <c r="H62" s="148"/>
      <c r="I62" s="148"/>
      <c r="J62" s="148"/>
      <c r="K62" s="148"/>
      <c r="L62" s="148"/>
      <c r="M62" s="148"/>
      <c r="N62" s="148"/>
      <c r="O62" s="148"/>
      <c r="P62" s="148"/>
      <c r="Q62" s="148"/>
      <c r="R62" s="148"/>
      <c r="S62" s="148"/>
      <c r="T62" s="148"/>
      <c r="U62" s="148"/>
      <c r="V62" s="148"/>
      <c r="W62" s="148"/>
      <c r="X62" s="148"/>
    </row>
    <row r="64" spans="1:63" x14ac:dyDescent="0.3">
      <c r="A64" s="4" t="s">
        <v>67</v>
      </c>
      <c r="B64" s="34"/>
      <c r="C64" s="34"/>
      <c r="D64" s="34"/>
      <c r="E64" s="34"/>
      <c r="F64" s="34"/>
      <c r="G64" s="34"/>
      <c r="H64" s="34"/>
      <c r="I64" s="34"/>
      <c r="J64" s="34"/>
      <c r="K64" s="34"/>
      <c r="L64" s="34"/>
      <c r="M64" s="34"/>
      <c r="N64" s="34"/>
      <c r="O64" s="34"/>
      <c r="P64" s="34"/>
      <c r="Q64" s="34"/>
      <c r="R64" s="34"/>
      <c r="S64" s="34"/>
      <c r="T64" s="34"/>
      <c r="U64" s="34"/>
      <c r="V64" s="34"/>
      <c r="W64" s="34"/>
      <c r="X64" s="34"/>
    </row>
    <row r="65" spans="1:54" x14ac:dyDescent="0.3">
      <c r="A65" s="35" t="s">
        <v>68</v>
      </c>
      <c r="B65" s="34"/>
      <c r="C65" s="34"/>
      <c r="D65" s="34"/>
      <c r="E65" s="34"/>
      <c r="F65" s="34"/>
      <c r="G65" s="34"/>
      <c r="H65" s="34"/>
      <c r="I65" s="34"/>
      <c r="J65" s="34"/>
      <c r="K65" s="34"/>
      <c r="L65" s="34"/>
      <c r="M65" s="34"/>
      <c r="N65" s="34"/>
      <c r="O65" s="34"/>
      <c r="P65" s="34"/>
      <c r="Q65" s="34"/>
      <c r="R65" s="34"/>
      <c r="S65" s="34"/>
      <c r="T65" s="34"/>
      <c r="U65" s="34"/>
      <c r="V65" s="34"/>
      <c r="W65" s="34"/>
      <c r="X65" s="34"/>
    </row>
    <row r="67" spans="1:54" x14ac:dyDescent="0.3">
      <c r="A67" s="146" t="s">
        <v>69</v>
      </c>
      <c r="B67" s="146"/>
      <c r="C67" s="146"/>
      <c r="D67" s="146"/>
      <c r="E67" s="146"/>
      <c r="F67" s="146"/>
      <c r="G67" s="146"/>
      <c r="H67" s="146"/>
      <c r="I67" s="146"/>
      <c r="J67" s="146"/>
      <c r="K67" s="146"/>
      <c r="L67" s="146"/>
      <c r="M67" s="146"/>
      <c r="N67" s="146"/>
      <c r="O67" s="146"/>
      <c r="P67" s="146"/>
      <c r="Q67" s="146"/>
      <c r="R67" s="146"/>
      <c r="S67" s="146"/>
      <c r="T67" s="146"/>
      <c r="U67" s="146"/>
      <c r="V67" s="146"/>
      <c r="W67" s="146"/>
      <c r="X67" s="146"/>
    </row>
    <row r="68" spans="1:54" x14ac:dyDescent="0.3">
      <c r="A68" s="35"/>
      <c r="BB68" s="8"/>
    </row>
    <row r="69" spans="1:54" x14ac:dyDescent="0.3">
      <c r="A69" s="4" t="s">
        <v>70</v>
      </c>
      <c r="X69" s="36"/>
      <c r="BB69" s="37" t="s">
        <v>71</v>
      </c>
    </row>
    <row r="70" spans="1:54" x14ac:dyDescent="0.3">
      <c r="A70" s="35" t="s">
        <v>72</v>
      </c>
      <c r="X70" s="36"/>
      <c r="BB70" s="36" t="s">
        <v>73</v>
      </c>
    </row>
  </sheetData>
  <mergeCells count="13">
    <mergeCell ref="A58:X58"/>
    <mergeCell ref="A60:X60"/>
    <mergeCell ref="A62:X62"/>
    <mergeCell ref="A67:X67"/>
    <mergeCell ref="A4:L4"/>
    <mergeCell ref="A1:BB1"/>
    <mergeCell ref="B5:BB5"/>
    <mergeCell ref="B6:H6"/>
    <mergeCell ref="K6:R6"/>
    <mergeCell ref="T6:Z6"/>
    <mergeCell ref="AC6:AI6"/>
    <mergeCell ref="AL6:AR6"/>
    <mergeCell ref="AU6:BB6"/>
  </mergeCells>
  <hyperlinks>
    <hyperlink ref="A65" r:id="rId1" xr:uid="{00000000-0004-0000-0300-000000000000}"/>
    <hyperlink ref="A70" r:id="rId2" xr:uid="{00000000-0004-0000-0300-000001000000}"/>
    <hyperlink ref="BB69" r:id="rId3" xr:uid="{00000000-0004-0000-0300-000002000000}"/>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55D27-38F6-4827-8707-A167B9F45A17}">
  <sheetPr codeName="Sheet7"/>
  <dimension ref="A1:G2945"/>
  <sheetViews>
    <sheetView topLeftCell="A1905" workbookViewId="0">
      <selection activeCell="B2867" sqref="B2867"/>
    </sheetView>
  </sheetViews>
  <sheetFormatPr defaultRowHeight="14.4" x14ac:dyDescent="0.3"/>
  <sheetData>
    <row r="1" spans="1:7" x14ac:dyDescent="0.3">
      <c r="A1" t="s">
        <v>99</v>
      </c>
      <c r="B1" t="s">
        <v>169</v>
      </c>
      <c r="C1" t="s">
        <v>170</v>
      </c>
      <c r="D1" t="s">
        <v>171</v>
      </c>
      <c r="E1" t="s">
        <v>172</v>
      </c>
      <c r="F1" t="s">
        <v>173</v>
      </c>
      <c r="G1" t="s">
        <v>174</v>
      </c>
    </row>
    <row r="2" spans="1:7" x14ac:dyDescent="0.3">
      <c r="A2">
        <v>2019</v>
      </c>
      <c r="B2" t="s">
        <v>17</v>
      </c>
      <c r="C2" t="s">
        <v>170</v>
      </c>
      <c r="D2" t="s">
        <v>171</v>
      </c>
      <c r="E2" t="s">
        <v>108</v>
      </c>
      <c r="F2" t="s">
        <v>7</v>
      </c>
      <c r="G2">
        <v>3</v>
      </c>
    </row>
    <row r="3" spans="1:7" x14ac:dyDescent="0.3">
      <c r="A3">
        <v>2019</v>
      </c>
      <c r="B3" t="s">
        <v>17</v>
      </c>
      <c r="C3" t="s">
        <v>170</v>
      </c>
      <c r="D3" t="s">
        <v>171</v>
      </c>
      <c r="E3" t="s">
        <v>91</v>
      </c>
      <c r="F3" t="s">
        <v>7</v>
      </c>
      <c r="G3">
        <v>11</v>
      </c>
    </row>
    <row r="4" spans="1:7" x14ac:dyDescent="0.3">
      <c r="A4">
        <v>2019</v>
      </c>
      <c r="B4" t="s">
        <v>17</v>
      </c>
      <c r="C4" t="s">
        <v>170</v>
      </c>
      <c r="D4" t="s">
        <v>171</v>
      </c>
      <c r="E4" t="s">
        <v>109</v>
      </c>
      <c r="F4" t="s">
        <v>7</v>
      </c>
      <c r="G4">
        <v>14</v>
      </c>
    </row>
    <row r="5" spans="1:7" x14ac:dyDescent="0.3">
      <c r="A5">
        <v>2019</v>
      </c>
      <c r="B5" t="s">
        <v>17</v>
      </c>
      <c r="C5" t="s">
        <v>170</v>
      </c>
      <c r="D5" t="s">
        <v>171</v>
      </c>
      <c r="E5" t="s">
        <v>110</v>
      </c>
      <c r="F5" t="s">
        <v>7</v>
      </c>
      <c r="G5">
        <v>3</v>
      </c>
    </row>
    <row r="6" spans="1:7" x14ac:dyDescent="0.3">
      <c r="A6">
        <v>2019</v>
      </c>
      <c r="B6" t="s">
        <v>18</v>
      </c>
      <c r="C6" t="s">
        <v>170</v>
      </c>
      <c r="D6" t="s">
        <v>171</v>
      </c>
      <c r="E6" t="s">
        <v>108</v>
      </c>
      <c r="F6" t="s">
        <v>7</v>
      </c>
      <c r="G6">
        <v>24</v>
      </c>
    </row>
    <row r="7" spans="1:7" x14ac:dyDescent="0.3">
      <c r="A7">
        <v>2019</v>
      </c>
      <c r="B7" t="s">
        <v>18</v>
      </c>
      <c r="C7" t="s">
        <v>170</v>
      </c>
      <c r="D7" t="s">
        <v>171</v>
      </c>
      <c r="E7" t="s">
        <v>91</v>
      </c>
      <c r="F7" t="s">
        <v>7</v>
      </c>
      <c r="G7">
        <v>17</v>
      </c>
    </row>
    <row r="8" spans="1:7" x14ac:dyDescent="0.3">
      <c r="A8">
        <v>2019</v>
      </c>
      <c r="B8" t="s">
        <v>18</v>
      </c>
      <c r="C8" t="s">
        <v>170</v>
      </c>
      <c r="D8" t="s">
        <v>171</v>
      </c>
      <c r="E8" t="s">
        <v>109</v>
      </c>
      <c r="F8" t="s">
        <v>7</v>
      </c>
      <c r="G8">
        <v>15</v>
      </c>
    </row>
    <row r="9" spans="1:7" x14ac:dyDescent="0.3">
      <c r="A9">
        <v>2019</v>
      </c>
      <c r="B9" t="s">
        <v>18</v>
      </c>
      <c r="C9" t="s">
        <v>170</v>
      </c>
      <c r="D9" t="s">
        <v>171</v>
      </c>
      <c r="E9" t="s">
        <v>110</v>
      </c>
      <c r="F9" t="s">
        <v>7</v>
      </c>
      <c r="G9">
        <v>1</v>
      </c>
    </row>
    <row r="10" spans="1:7" x14ac:dyDescent="0.3">
      <c r="A10">
        <v>2019</v>
      </c>
      <c r="B10" t="s">
        <v>19</v>
      </c>
      <c r="C10" t="s">
        <v>170</v>
      </c>
      <c r="D10" t="s">
        <v>171</v>
      </c>
      <c r="E10" t="s">
        <v>108</v>
      </c>
      <c r="F10" t="s">
        <v>7</v>
      </c>
      <c r="G10">
        <v>21</v>
      </c>
    </row>
    <row r="11" spans="1:7" x14ac:dyDescent="0.3">
      <c r="A11">
        <v>2019</v>
      </c>
      <c r="B11" t="s">
        <v>19</v>
      </c>
      <c r="C11" t="s">
        <v>170</v>
      </c>
      <c r="D11" t="s">
        <v>171</v>
      </c>
      <c r="E11" t="s">
        <v>91</v>
      </c>
      <c r="F11" t="s">
        <v>7</v>
      </c>
      <c r="G11">
        <v>12</v>
      </c>
    </row>
    <row r="12" spans="1:7" x14ac:dyDescent="0.3">
      <c r="A12">
        <v>2019</v>
      </c>
      <c r="B12" t="s">
        <v>19</v>
      </c>
      <c r="C12" t="s">
        <v>170</v>
      </c>
      <c r="D12" t="s">
        <v>171</v>
      </c>
      <c r="E12" t="s">
        <v>109</v>
      </c>
      <c r="F12" t="s">
        <v>7</v>
      </c>
      <c r="G12">
        <v>21</v>
      </c>
    </row>
    <row r="13" spans="1:7" x14ac:dyDescent="0.3">
      <c r="A13">
        <v>2019</v>
      </c>
      <c r="B13" t="s">
        <v>19</v>
      </c>
      <c r="C13" t="s">
        <v>170</v>
      </c>
      <c r="D13" t="s">
        <v>171</v>
      </c>
      <c r="E13" t="s">
        <v>110</v>
      </c>
      <c r="F13" t="s">
        <v>7</v>
      </c>
      <c r="G13">
        <v>5</v>
      </c>
    </row>
    <row r="14" spans="1:7" x14ac:dyDescent="0.3">
      <c r="A14">
        <v>2019</v>
      </c>
      <c r="B14" t="s">
        <v>20</v>
      </c>
      <c r="C14" t="s">
        <v>170</v>
      </c>
      <c r="D14" t="s">
        <v>171</v>
      </c>
      <c r="E14" t="s">
        <v>108</v>
      </c>
      <c r="F14" t="s">
        <v>7</v>
      </c>
      <c r="G14">
        <v>18</v>
      </c>
    </row>
    <row r="15" spans="1:7" x14ac:dyDescent="0.3">
      <c r="A15">
        <v>2019</v>
      </c>
      <c r="B15" t="s">
        <v>20</v>
      </c>
      <c r="C15" t="s">
        <v>170</v>
      </c>
      <c r="D15" t="s">
        <v>171</v>
      </c>
      <c r="E15" t="s">
        <v>91</v>
      </c>
      <c r="F15" t="s">
        <v>7</v>
      </c>
      <c r="G15">
        <v>25</v>
      </c>
    </row>
    <row r="16" spans="1:7" x14ac:dyDescent="0.3">
      <c r="A16">
        <v>2019</v>
      </c>
      <c r="B16" t="s">
        <v>20</v>
      </c>
      <c r="C16" t="s">
        <v>170</v>
      </c>
      <c r="D16" t="s">
        <v>171</v>
      </c>
      <c r="E16" t="s">
        <v>109</v>
      </c>
      <c r="F16" t="s">
        <v>7</v>
      </c>
      <c r="G16">
        <v>5</v>
      </c>
    </row>
    <row r="17" spans="1:7" x14ac:dyDescent="0.3">
      <c r="A17">
        <v>2019</v>
      </c>
      <c r="B17" t="s">
        <v>20</v>
      </c>
      <c r="C17" t="s">
        <v>170</v>
      </c>
      <c r="D17" t="s">
        <v>171</v>
      </c>
      <c r="E17" t="s">
        <v>110</v>
      </c>
      <c r="F17" t="s">
        <v>7</v>
      </c>
      <c r="G17">
        <v>0</v>
      </c>
    </row>
    <row r="18" spans="1:7" x14ac:dyDescent="0.3">
      <c r="A18">
        <v>2019</v>
      </c>
      <c r="B18" t="s">
        <v>21</v>
      </c>
      <c r="C18" t="s">
        <v>170</v>
      </c>
      <c r="D18" t="s">
        <v>171</v>
      </c>
      <c r="E18" t="s">
        <v>108</v>
      </c>
      <c r="F18" t="s">
        <v>7</v>
      </c>
      <c r="G18">
        <v>29</v>
      </c>
    </row>
    <row r="19" spans="1:7" x14ac:dyDescent="0.3">
      <c r="A19">
        <v>2019</v>
      </c>
      <c r="B19" t="s">
        <v>21</v>
      </c>
      <c r="C19" t="s">
        <v>170</v>
      </c>
      <c r="D19" t="s">
        <v>171</v>
      </c>
      <c r="E19" t="s">
        <v>91</v>
      </c>
      <c r="F19" t="s">
        <v>7</v>
      </c>
      <c r="G19">
        <v>12</v>
      </c>
    </row>
    <row r="20" spans="1:7" x14ac:dyDescent="0.3">
      <c r="A20">
        <v>2019</v>
      </c>
      <c r="B20" t="s">
        <v>21</v>
      </c>
      <c r="C20" t="s">
        <v>170</v>
      </c>
      <c r="D20" t="s">
        <v>171</v>
      </c>
      <c r="E20" t="s">
        <v>109</v>
      </c>
      <c r="F20" t="s">
        <v>7</v>
      </c>
      <c r="G20">
        <v>12</v>
      </c>
    </row>
    <row r="21" spans="1:7" x14ac:dyDescent="0.3">
      <c r="A21">
        <v>2019</v>
      </c>
      <c r="B21" t="s">
        <v>21</v>
      </c>
      <c r="C21" t="s">
        <v>170</v>
      </c>
      <c r="D21" t="s">
        <v>171</v>
      </c>
      <c r="E21" t="s">
        <v>110</v>
      </c>
      <c r="F21" t="s">
        <v>7</v>
      </c>
      <c r="G21">
        <v>8</v>
      </c>
    </row>
    <row r="22" spans="1:7" x14ac:dyDescent="0.3">
      <c r="A22">
        <v>2019</v>
      </c>
      <c r="B22" t="s">
        <v>22</v>
      </c>
      <c r="C22" t="s">
        <v>170</v>
      </c>
      <c r="D22" t="s">
        <v>171</v>
      </c>
      <c r="E22" t="s">
        <v>108</v>
      </c>
      <c r="F22" t="s">
        <v>7</v>
      </c>
      <c r="G22">
        <v>26</v>
      </c>
    </row>
    <row r="23" spans="1:7" x14ac:dyDescent="0.3">
      <c r="A23">
        <v>2019</v>
      </c>
      <c r="B23" t="s">
        <v>22</v>
      </c>
      <c r="C23" t="s">
        <v>170</v>
      </c>
      <c r="D23" t="s">
        <v>171</v>
      </c>
      <c r="E23" t="s">
        <v>91</v>
      </c>
      <c r="F23" t="s">
        <v>7</v>
      </c>
      <c r="G23">
        <v>49</v>
      </c>
    </row>
    <row r="24" spans="1:7" x14ac:dyDescent="0.3">
      <c r="A24">
        <v>2019</v>
      </c>
      <c r="B24" t="s">
        <v>22</v>
      </c>
      <c r="C24" t="s">
        <v>170</v>
      </c>
      <c r="D24" t="s">
        <v>171</v>
      </c>
      <c r="E24" t="s">
        <v>109</v>
      </c>
      <c r="F24" t="s">
        <v>7</v>
      </c>
      <c r="G24">
        <v>16</v>
      </c>
    </row>
    <row r="25" spans="1:7" x14ac:dyDescent="0.3">
      <c r="A25">
        <v>2019</v>
      </c>
      <c r="B25" t="s">
        <v>22</v>
      </c>
      <c r="C25" t="s">
        <v>170</v>
      </c>
      <c r="D25" t="s">
        <v>171</v>
      </c>
      <c r="E25" t="s">
        <v>110</v>
      </c>
      <c r="F25" t="s">
        <v>7</v>
      </c>
      <c r="G25">
        <v>0</v>
      </c>
    </row>
    <row r="26" spans="1:7" x14ac:dyDescent="0.3">
      <c r="A26">
        <v>2019</v>
      </c>
      <c r="B26" t="s">
        <v>23</v>
      </c>
      <c r="C26" t="s">
        <v>170</v>
      </c>
      <c r="D26" t="s">
        <v>171</v>
      </c>
      <c r="E26" t="s">
        <v>108</v>
      </c>
      <c r="F26" t="s">
        <v>7</v>
      </c>
      <c r="G26">
        <v>13</v>
      </c>
    </row>
    <row r="27" spans="1:7" x14ac:dyDescent="0.3">
      <c r="A27">
        <v>2019</v>
      </c>
      <c r="B27" t="s">
        <v>23</v>
      </c>
      <c r="C27" t="s">
        <v>170</v>
      </c>
      <c r="D27" t="s">
        <v>171</v>
      </c>
      <c r="E27" t="s">
        <v>91</v>
      </c>
      <c r="F27" t="s">
        <v>7</v>
      </c>
      <c r="G27">
        <v>36</v>
      </c>
    </row>
    <row r="28" spans="1:7" x14ac:dyDescent="0.3">
      <c r="A28">
        <v>2019</v>
      </c>
      <c r="B28" t="s">
        <v>23</v>
      </c>
      <c r="C28" t="s">
        <v>170</v>
      </c>
      <c r="D28" t="s">
        <v>171</v>
      </c>
      <c r="E28" t="s">
        <v>109</v>
      </c>
      <c r="F28" t="s">
        <v>7</v>
      </c>
      <c r="G28">
        <v>12</v>
      </c>
    </row>
    <row r="29" spans="1:7" x14ac:dyDescent="0.3">
      <c r="A29">
        <v>2019</v>
      </c>
      <c r="B29" t="s">
        <v>23</v>
      </c>
      <c r="C29" t="s">
        <v>170</v>
      </c>
      <c r="D29" t="s">
        <v>171</v>
      </c>
      <c r="E29" t="s">
        <v>110</v>
      </c>
      <c r="F29" t="s">
        <v>7</v>
      </c>
      <c r="G29">
        <v>2</v>
      </c>
    </row>
    <row r="30" spans="1:7" x14ac:dyDescent="0.3">
      <c r="A30">
        <v>2019</v>
      </c>
      <c r="B30" t="s">
        <v>24</v>
      </c>
      <c r="C30" t="s">
        <v>170</v>
      </c>
      <c r="D30" t="s">
        <v>171</v>
      </c>
      <c r="E30" t="s">
        <v>108</v>
      </c>
      <c r="F30" t="s">
        <v>7</v>
      </c>
      <c r="G30">
        <v>18</v>
      </c>
    </row>
    <row r="31" spans="1:7" x14ac:dyDescent="0.3">
      <c r="A31">
        <v>2019</v>
      </c>
      <c r="B31" t="s">
        <v>24</v>
      </c>
      <c r="C31" t="s">
        <v>170</v>
      </c>
      <c r="D31" t="s">
        <v>171</v>
      </c>
      <c r="E31" t="s">
        <v>91</v>
      </c>
      <c r="F31" t="s">
        <v>7</v>
      </c>
      <c r="G31">
        <v>10</v>
      </c>
    </row>
    <row r="32" spans="1:7" x14ac:dyDescent="0.3">
      <c r="A32">
        <v>2019</v>
      </c>
      <c r="B32" t="s">
        <v>24</v>
      </c>
      <c r="C32" t="s">
        <v>170</v>
      </c>
      <c r="D32" t="s">
        <v>171</v>
      </c>
      <c r="E32" t="s">
        <v>109</v>
      </c>
      <c r="F32" t="s">
        <v>7</v>
      </c>
      <c r="G32">
        <v>2</v>
      </c>
    </row>
    <row r="33" spans="1:7" x14ac:dyDescent="0.3">
      <c r="A33">
        <v>2019</v>
      </c>
      <c r="B33" t="s">
        <v>24</v>
      </c>
      <c r="C33" t="s">
        <v>170</v>
      </c>
      <c r="D33" t="s">
        <v>171</v>
      </c>
      <c r="E33" t="s">
        <v>110</v>
      </c>
      <c r="F33" t="s">
        <v>7</v>
      </c>
      <c r="G33">
        <v>1</v>
      </c>
    </row>
    <row r="34" spans="1:7" x14ac:dyDescent="0.3">
      <c r="A34">
        <v>2019</v>
      </c>
      <c r="B34" t="s">
        <v>25</v>
      </c>
      <c r="C34" t="s">
        <v>170</v>
      </c>
      <c r="D34" t="s">
        <v>171</v>
      </c>
      <c r="E34" t="s">
        <v>108</v>
      </c>
      <c r="F34" t="s">
        <v>7</v>
      </c>
      <c r="G34">
        <v>2</v>
      </c>
    </row>
    <row r="35" spans="1:7" x14ac:dyDescent="0.3">
      <c r="A35">
        <v>2019</v>
      </c>
      <c r="B35" t="s">
        <v>25</v>
      </c>
      <c r="C35" t="s">
        <v>170</v>
      </c>
      <c r="D35" t="s">
        <v>171</v>
      </c>
      <c r="E35" t="s">
        <v>91</v>
      </c>
      <c r="F35" t="s">
        <v>7</v>
      </c>
      <c r="G35">
        <v>2</v>
      </c>
    </row>
    <row r="36" spans="1:7" x14ac:dyDescent="0.3">
      <c r="A36">
        <v>2019</v>
      </c>
      <c r="B36" t="s">
        <v>25</v>
      </c>
      <c r="C36" t="s">
        <v>170</v>
      </c>
      <c r="D36" t="s">
        <v>171</v>
      </c>
      <c r="E36" t="s">
        <v>109</v>
      </c>
      <c r="F36" t="s">
        <v>7</v>
      </c>
      <c r="G36">
        <v>4</v>
      </c>
    </row>
    <row r="37" spans="1:7" x14ac:dyDescent="0.3">
      <c r="A37">
        <v>2019</v>
      </c>
      <c r="B37" t="s">
        <v>25</v>
      </c>
      <c r="C37" t="s">
        <v>170</v>
      </c>
      <c r="D37" t="s">
        <v>171</v>
      </c>
      <c r="E37" t="s">
        <v>110</v>
      </c>
      <c r="F37" t="s">
        <v>7</v>
      </c>
      <c r="G37">
        <v>0</v>
      </c>
    </row>
    <row r="38" spans="1:7" x14ac:dyDescent="0.3">
      <c r="A38">
        <v>2019</v>
      </c>
      <c r="B38" t="s">
        <v>26</v>
      </c>
      <c r="C38" t="s">
        <v>170</v>
      </c>
      <c r="D38" t="s">
        <v>171</v>
      </c>
      <c r="E38" t="s">
        <v>108</v>
      </c>
      <c r="F38" t="s">
        <v>7</v>
      </c>
      <c r="G38">
        <v>28</v>
      </c>
    </row>
    <row r="39" spans="1:7" x14ac:dyDescent="0.3">
      <c r="A39">
        <v>2019</v>
      </c>
      <c r="B39" t="s">
        <v>26</v>
      </c>
      <c r="C39" t="s">
        <v>170</v>
      </c>
      <c r="D39" t="s">
        <v>171</v>
      </c>
      <c r="E39" t="s">
        <v>91</v>
      </c>
      <c r="F39" t="s">
        <v>7</v>
      </c>
      <c r="G39">
        <v>28</v>
      </c>
    </row>
    <row r="40" spans="1:7" x14ac:dyDescent="0.3">
      <c r="A40">
        <v>2019</v>
      </c>
      <c r="B40" t="s">
        <v>26</v>
      </c>
      <c r="C40" t="s">
        <v>170</v>
      </c>
      <c r="D40" t="s">
        <v>171</v>
      </c>
      <c r="E40" t="s">
        <v>109</v>
      </c>
      <c r="F40" t="s">
        <v>7</v>
      </c>
      <c r="G40">
        <v>24</v>
      </c>
    </row>
    <row r="41" spans="1:7" x14ac:dyDescent="0.3">
      <c r="A41">
        <v>2019</v>
      </c>
      <c r="B41" t="s">
        <v>26</v>
      </c>
      <c r="C41" t="s">
        <v>170</v>
      </c>
      <c r="D41" t="s">
        <v>171</v>
      </c>
      <c r="E41" t="s">
        <v>110</v>
      </c>
      <c r="F41" t="s">
        <v>7</v>
      </c>
      <c r="G41">
        <v>0</v>
      </c>
    </row>
    <row r="42" spans="1:7" x14ac:dyDescent="0.3">
      <c r="A42">
        <v>2019</v>
      </c>
      <c r="B42" t="s">
        <v>27</v>
      </c>
      <c r="C42" t="s">
        <v>170</v>
      </c>
      <c r="D42" t="s">
        <v>171</v>
      </c>
      <c r="E42" t="s">
        <v>108</v>
      </c>
      <c r="F42" t="s">
        <v>7</v>
      </c>
      <c r="G42">
        <v>121</v>
      </c>
    </row>
    <row r="43" spans="1:7" x14ac:dyDescent="0.3">
      <c r="A43">
        <v>2019</v>
      </c>
      <c r="B43" t="s">
        <v>27</v>
      </c>
      <c r="C43" t="s">
        <v>170</v>
      </c>
      <c r="D43" t="s">
        <v>171</v>
      </c>
      <c r="E43" t="s">
        <v>91</v>
      </c>
      <c r="F43" t="s">
        <v>7</v>
      </c>
      <c r="G43">
        <v>4</v>
      </c>
    </row>
    <row r="44" spans="1:7" x14ac:dyDescent="0.3">
      <c r="A44">
        <v>2019</v>
      </c>
      <c r="B44" t="s">
        <v>27</v>
      </c>
      <c r="C44" t="s">
        <v>170</v>
      </c>
      <c r="D44" t="s">
        <v>171</v>
      </c>
      <c r="E44" t="s">
        <v>109</v>
      </c>
      <c r="F44" t="s">
        <v>7</v>
      </c>
      <c r="G44">
        <v>24</v>
      </c>
    </row>
    <row r="45" spans="1:7" x14ac:dyDescent="0.3">
      <c r="A45">
        <v>2019</v>
      </c>
      <c r="B45" t="s">
        <v>27</v>
      </c>
      <c r="C45" t="s">
        <v>170</v>
      </c>
      <c r="D45" t="s">
        <v>171</v>
      </c>
      <c r="E45" t="s">
        <v>110</v>
      </c>
      <c r="F45" t="s">
        <v>7</v>
      </c>
      <c r="G45">
        <v>0</v>
      </c>
    </row>
    <row r="46" spans="1:7" x14ac:dyDescent="0.3">
      <c r="A46">
        <v>2019</v>
      </c>
      <c r="B46" t="s">
        <v>29</v>
      </c>
      <c r="C46" t="s">
        <v>170</v>
      </c>
      <c r="D46" t="s">
        <v>171</v>
      </c>
      <c r="E46" t="s">
        <v>108</v>
      </c>
      <c r="F46" t="s">
        <v>7</v>
      </c>
      <c r="G46">
        <v>6</v>
      </c>
    </row>
    <row r="47" spans="1:7" x14ac:dyDescent="0.3">
      <c r="A47">
        <v>2019</v>
      </c>
      <c r="B47" t="s">
        <v>29</v>
      </c>
      <c r="C47" t="s">
        <v>170</v>
      </c>
      <c r="D47" t="s">
        <v>171</v>
      </c>
      <c r="E47" t="s">
        <v>91</v>
      </c>
      <c r="F47" t="s">
        <v>7</v>
      </c>
      <c r="G47">
        <v>0</v>
      </c>
    </row>
    <row r="48" spans="1:7" x14ac:dyDescent="0.3">
      <c r="A48">
        <v>2019</v>
      </c>
      <c r="B48" t="s">
        <v>29</v>
      </c>
      <c r="C48" t="s">
        <v>170</v>
      </c>
      <c r="D48" t="s">
        <v>171</v>
      </c>
      <c r="E48" t="s">
        <v>109</v>
      </c>
      <c r="F48" t="s">
        <v>7</v>
      </c>
      <c r="G48">
        <v>3</v>
      </c>
    </row>
    <row r="49" spans="1:7" x14ac:dyDescent="0.3">
      <c r="A49">
        <v>2019</v>
      </c>
      <c r="B49" t="s">
        <v>29</v>
      </c>
      <c r="C49" t="s">
        <v>170</v>
      </c>
      <c r="D49" t="s">
        <v>171</v>
      </c>
      <c r="E49" t="s">
        <v>110</v>
      </c>
      <c r="F49" t="s">
        <v>7</v>
      </c>
      <c r="G49">
        <v>0</v>
      </c>
    </row>
    <row r="50" spans="1:7" x14ac:dyDescent="0.3">
      <c r="A50">
        <v>2019</v>
      </c>
      <c r="B50" t="s">
        <v>30</v>
      </c>
      <c r="C50" t="s">
        <v>170</v>
      </c>
      <c r="D50" t="s">
        <v>171</v>
      </c>
      <c r="E50" t="s">
        <v>108</v>
      </c>
      <c r="F50" t="s">
        <v>7</v>
      </c>
      <c r="G50">
        <v>25</v>
      </c>
    </row>
    <row r="51" spans="1:7" x14ac:dyDescent="0.3">
      <c r="A51">
        <v>2019</v>
      </c>
      <c r="B51" t="s">
        <v>30</v>
      </c>
      <c r="C51" t="s">
        <v>170</v>
      </c>
      <c r="D51" t="s">
        <v>171</v>
      </c>
      <c r="E51" t="s">
        <v>91</v>
      </c>
      <c r="F51" t="s">
        <v>7</v>
      </c>
      <c r="G51">
        <v>2</v>
      </c>
    </row>
    <row r="52" spans="1:7" x14ac:dyDescent="0.3">
      <c r="A52">
        <v>2019</v>
      </c>
      <c r="B52" t="s">
        <v>30</v>
      </c>
      <c r="C52" t="s">
        <v>170</v>
      </c>
      <c r="D52" t="s">
        <v>171</v>
      </c>
      <c r="E52" t="s">
        <v>109</v>
      </c>
      <c r="F52" t="s">
        <v>7</v>
      </c>
      <c r="G52">
        <v>23</v>
      </c>
    </row>
    <row r="53" spans="1:7" x14ac:dyDescent="0.3">
      <c r="A53">
        <v>2019</v>
      </c>
      <c r="B53" t="s">
        <v>30</v>
      </c>
      <c r="C53" t="s">
        <v>170</v>
      </c>
      <c r="D53" t="s">
        <v>171</v>
      </c>
      <c r="E53" t="s">
        <v>110</v>
      </c>
      <c r="F53" t="s">
        <v>7</v>
      </c>
      <c r="G53">
        <v>2</v>
      </c>
    </row>
    <row r="54" spans="1:7" x14ac:dyDescent="0.3">
      <c r="A54">
        <v>2019</v>
      </c>
      <c r="B54" t="s">
        <v>31</v>
      </c>
      <c r="C54" t="s">
        <v>170</v>
      </c>
      <c r="D54" t="s">
        <v>171</v>
      </c>
      <c r="E54" t="s">
        <v>108</v>
      </c>
      <c r="F54" t="s">
        <v>7</v>
      </c>
      <c r="G54">
        <v>30</v>
      </c>
    </row>
    <row r="55" spans="1:7" x14ac:dyDescent="0.3">
      <c r="A55">
        <v>2019</v>
      </c>
      <c r="B55" t="s">
        <v>31</v>
      </c>
      <c r="C55" t="s">
        <v>170</v>
      </c>
      <c r="D55" t="s">
        <v>171</v>
      </c>
      <c r="E55" t="s">
        <v>91</v>
      </c>
      <c r="F55" t="s">
        <v>7</v>
      </c>
      <c r="G55">
        <v>33</v>
      </c>
    </row>
    <row r="56" spans="1:7" x14ac:dyDescent="0.3">
      <c r="A56">
        <v>2019</v>
      </c>
      <c r="B56" t="s">
        <v>31</v>
      </c>
      <c r="C56" t="s">
        <v>170</v>
      </c>
      <c r="D56" t="s">
        <v>171</v>
      </c>
      <c r="E56" t="s">
        <v>109</v>
      </c>
      <c r="F56" t="s">
        <v>7</v>
      </c>
      <c r="G56">
        <v>15</v>
      </c>
    </row>
    <row r="57" spans="1:7" x14ac:dyDescent="0.3">
      <c r="A57">
        <v>2019</v>
      </c>
      <c r="B57" t="s">
        <v>31</v>
      </c>
      <c r="C57" t="s">
        <v>170</v>
      </c>
      <c r="D57" t="s">
        <v>171</v>
      </c>
      <c r="E57" t="s">
        <v>110</v>
      </c>
      <c r="F57" t="s">
        <v>7</v>
      </c>
      <c r="G57">
        <v>1</v>
      </c>
    </row>
    <row r="58" spans="1:7" x14ac:dyDescent="0.3">
      <c r="A58">
        <v>2019</v>
      </c>
      <c r="B58" t="s">
        <v>32</v>
      </c>
      <c r="C58" t="s">
        <v>170</v>
      </c>
      <c r="D58" t="s">
        <v>171</v>
      </c>
      <c r="E58" t="s">
        <v>108</v>
      </c>
      <c r="F58" t="s">
        <v>7</v>
      </c>
      <c r="G58">
        <v>27</v>
      </c>
    </row>
    <row r="59" spans="1:7" x14ac:dyDescent="0.3">
      <c r="A59">
        <v>2019</v>
      </c>
      <c r="B59" t="s">
        <v>32</v>
      </c>
      <c r="C59" t="s">
        <v>170</v>
      </c>
      <c r="D59" t="s">
        <v>171</v>
      </c>
      <c r="E59" t="s">
        <v>91</v>
      </c>
      <c r="F59" t="s">
        <v>7</v>
      </c>
      <c r="G59">
        <v>6</v>
      </c>
    </row>
    <row r="60" spans="1:7" x14ac:dyDescent="0.3">
      <c r="A60">
        <v>2019</v>
      </c>
      <c r="B60" t="s">
        <v>32</v>
      </c>
      <c r="C60" t="s">
        <v>170</v>
      </c>
      <c r="D60" t="s">
        <v>171</v>
      </c>
      <c r="E60" t="s">
        <v>109</v>
      </c>
      <c r="F60" t="s">
        <v>7</v>
      </c>
      <c r="G60">
        <v>5</v>
      </c>
    </row>
    <row r="61" spans="1:7" x14ac:dyDescent="0.3">
      <c r="A61">
        <v>2019</v>
      </c>
      <c r="B61" t="s">
        <v>32</v>
      </c>
      <c r="C61" t="s">
        <v>170</v>
      </c>
      <c r="D61" t="s">
        <v>171</v>
      </c>
      <c r="E61" t="s">
        <v>110</v>
      </c>
      <c r="F61" t="s">
        <v>7</v>
      </c>
      <c r="G61">
        <v>0</v>
      </c>
    </row>
    <row r="62" spans="1:7" x14ac:dyDescent="0.3">
      <c r="A62">
        <v>2019</v>
      </c>
      <c r="B62" t="s">
        <v>63</v>
      </c>
      <c r="C62" t="s">
        <v>170</v>
      </c>
      <c r="D62" t="s">
        <v>171</v>
      </c>
      <c r="E62" t="s">
        <v>108</v>
      </c>
      <c r="F62" t="s">
        <v>7</v>
      </c>
      <c r="G62">
        <v>0</v>
      </c>
    </row>
    <row r="63" spans="1:7" x14ac:dyDescent="0.3">
      <c r="A63">
        <v>2019</v>
      </c>
      <c r="B63" t="s">
        <v>63</v>
      </c>
      <c r="C63" t="s">
        <v>170</v>
      </c>
      <c r="D63" t="s">
        <v>171</v>
      </c>
      <c r="E63" t="s">
        <v>91</v>
      </c>
      <c r="F63" t="s">
        <v>7</v>
      </c>
      <c r="G63">
        <v>358</v>
      </c>
    </row>
    <row r="64" spans="1:7" x14ac:dyDescent="0.3">
      <c r="A64">
        <v>2019</v>
      </c>
      <c r="B64" t="s">
        <v>63</v>
      </c>
      <c r="C64" t="s">
        <v>170</v>
      </c>
      <c r="D64" t="s">
        <v>171</v>
      </c>
      <c r="E64" t="s">
        <v>109</v>
      </c>
      <c r="F64" t="s">
        <v>7</v>
      </c>
      <c r="G64">
        <v>67</v>
      </c>
    </row>
    <row r="65" spans="1:7" x14ac:dyDescent="0.3">
      <c r="A65">
        <v>2019</v>
      </c>
      <c r="B65" t="s">
        <v>63</v>
      </c>
      <c r="C65" t="s">
        <v>170</v>
      </c>
      <c r="D65" t="s">
        <v>171</v>
      </c>
      <c r="E65" t="s">
        <v>110</v>
      </c>
      <c r="F65" t="s">
        <v>7</v>
      </c>
      <c r="G65">
        <v>5</v>
      </c>
    </row>
    <row r="66" spans="1:7" x14ac:dyDescent="0.3">
      <c r="A66">
        <v>2019</v>
      </c>
      <c r="B66" t="s">
        <v>57</v>
      </c>
      <c r="C66" t="s">
        <v>170</v>
      </c>
      <c r="D66" t="s">
        <v>171</v>
      </c>
      <c r="E66" t="s">
        <v>108</v>
      </c>
      <c r="F66" t="s">
        <v>7</v>
      </c>
      <c r="G66">
        <v>0</v>
      </c>
    </row>
    <row r="67" spans="1:7" x14ac:dyDescent="0.3">
      <c r="A67">
        <v>2019</v>
      </c>
      <c r="B67" t="s">
        <v>57</v>
      </c>
      <c r="C67" t="s">
        <v>170</v>
      </c>
      <c r="D67" t="s">
        <v>171</v>
      </c>
      <c r="E67" t="s">
        <v>91</v>
      </c>
      <c r="F67" t="s">
        <v>7</v>
      </c>
      <c r="G67">
        <v>50</v>
      </c>
    </row>
    <row r="68" spans="1:7" x14ac:dyDescent="0.3">
      <c r="A68">
        <v>2019</v>
      </c>
      <c r="B68" t="s">
        <v>57</v>
      </c>
      <c r="C68" t="s">
        <v>170</v>
      </c>
      <c r="D68" t="s">
        <v>171</v>
      </c>
      <c r="E68" t="s">
        <v>109</v>
      </c>
      <c r="F68" t="s">
        <v>7</v>
      </c>
      <c r="G68">
        <v>41</v>
      </c>
    </row>
    <row r="69" spans="1:7" x14ac:dyDescent="0.3">
      <c r="A69">
        <v>2019</v>
      </c>
      <c r="B69" t="s">
        <v>57</v>
      </c>
      <c r="C69" t="s">
        <v>170</v>
      </c>
      <c r="D69" t="s">
        <v>171</v>
      </c>
      <c r="E69" t="s">
        <v>110</v>
      </c>
      <c r="F69" t="s">
        <v>7</v>
      </c>
      <c r="G69">
        <v>0</v>
      </c>
    </row>
    <row r="70" spans="1:7" x14ac:dyDescent="0.3">
      <c r="A70">
        <v>2019</v>
      </c>
      <c r="B70" t="s">
        <v>33</v>
      </c>
      <c r="C70" t="s">
        <v>170</v>
      </c>
      <c r="D70" t="s">
        <v>171</v>
      </c>
      <c r="E70" t="s">
        <v>108</v>
      </c>
      <c r="F70" t="s">
        <v>7</v>
      </c>
      <c r="G70">
        <v>100</v>
      </c>
    </row>
    <row r="71" spans="1:7" x14ac:dyDescent="0.3">
      <c r="A71">
        <v>2019</v>
      </c>
      <c r="B71" t="s">
        <v>33</v>
      </c>
      <c r="C71" t="s">
        <v>170</v>
      </c>
      <c r="D71" t="s">
        <v>171</v>
      </c>
      <c r="E71" t="s">
        <v>91</v>
      </c>
      <c r="F71" t="s">
        <v>7</v>
      </c>
      <c r="G71">
        <v>37</v>
      </c>
    </row>
    <row r="72" spans="1:7" x14ac:dyDescent="0.3">
      <c r="A72">
        <v>2019</v>
      </c>
      <c r="B72" t="s">
        <v>33</v>
      </c>
      <c r="C72" t="s">
        <v>170</v>
      </c>
      <c r="D72" t="s">
        <v>171</v>
      </c>
      <c r="E72" t="s">
        <v>109</v>
      </c>
      <c r="F72" t="s">
        <v>7</v>
      </c>
      <c r="G72">
        <v>26</v>
      </c>
    </row>
    <row r="73" spans="1:7" x14ac:dyDescent="0.3">
      <c r="A73">
        <v>2019</v>
      </c>
      <c r="B73" t="s">
        <v>33</v>
      </c>
      <c r="C73" t="s">
        <v>170</v>
      </c>
      <c r="D73" t="s">
        <v>171</v>
      </c>
      <c r="E73" t="s">
        <v>110</v>
      </c>
      <c r="F73" t="s">
        <v>7</v>
      </c>
      <c r="G73">
        <v>3</v>
      </c>
    </row>
    <row r="74" spans="1:7" x14ac:dyDescent="0.3">
      <c r="A74">
        <v>2019</v>
      </c>
      <c r="B74" t="s">
        <v>34</v>
      </c>
      <c r="C74" t="s">
        <v>170</v>
      </c>
      <c r="D74" t="s">
        <v>171</v>
      </c>
      <c r="E74" t="s">
        <v>108</v>
      </c>
      <c r="F74" t="s">
        <v>7</v>
      </c>
      <c r="G74">
        <v>52</v>
      </c>
    </row>
    <row r="75" spans="1:7" x14ac:dyDescent="0.3">
      <c r="A75">
        <v>2019</v>
      </c>
      <c r="B75" t="s">
        <v>34</v>
      </c>
      <c r="C75" t="s">
        <v>170</v>
      </c>
      <c r="D75" t="s">
        <v>171</v>
      </c>
      <c r="E75" t="s">
        <v>91</v>
      </c>
      <c r="F75" t="s">
        <v>7</v>
      </c>
      <c r="G75">
        <v>23</v>
      </c>
    </row>
    <row r="76" spans="1:7" x14ac:dyDescent="0.3">
      <c r="A76">
        <v>2019</v>
      </c>
      <c r="B76" t="s">
        <v>34</v>
      </c>
      <c r="C76" t="s">
        <v>170</v>
      </c>
      <c r="D76" t="s">
        <v>171</v>
      </c>
      <c r="E76" t="s">
        <v>109</v>
      </c>
      <c r="F76" t="s">
        <v>7</v>
      </c>
      <c r="G76">
        <v>19</v>
      </c>
    </row>
    <row r="77" spans="1:7" x14ac:dyDescent="0.3">
      <c r="A77">
        <v>2019</v>
      </c>
      <c r="B77" t="s">
        <v>34</v>
      </c>
      <c r="C77" t="s">
        <v>170</v>
      </c>
      <c r="D77" t="s">
        <v>171</v>
      </c>
      <c r="E77" t="s">
        <v>110</v>
      </c>
      <c r="F77" t="s">
        <v>7</v>
      </c>
      <c r="G77">
        <v>2</v>
      </c>
    </row>
    <row r="78" spans="1:7" x14ac:dyDescent="0.3">
      <c r="A78">
        <v>2019</v>
      </c>
      <c r="B78" t="s">
        <v>35</v>
      </c>
      <c r="C78" t="s">
        <v>170</v>
      </c>
      <c r="D78" t="s">
        <v>171</v>
      </c>
      <c r="E78" t="s">
        <v>108</v>
      </c>
      <c r="F78" t="s">
        <v>7</v>
      </c>
      <c r="G78">
        <v>21</v>
      </c>
    </row>
    <row r="79" spans="1:7" x14ac:dyDescent="0.3">
      <c r="A79">
        <v>2019</v>
      </c>
      <c r="B79" t="s">
        <v>35</v>
      </c>
      <c r="C79" t="s">
        <v>170</v>
      </c>
      <c r="D79" t="s">
        <v>171</v>
      </c>
      <c r="E79" t="s">
        <v>91</v>
      </c>
      <c r="F79" t="s">
        <v>7</v>
      </c>
      <c r="G79">
        <v>24</v>
      </c>
    </row>
    <row r="80" spans="1:7" x14ac:dyDescent="0.3">
      <c r="A80">
        <v>2019</v>
      </c>
      <c r="B80" t="s">
        <v>35</v>
      </c>
      <c r="C80" t="s">
        <v>170</v>
      </c>
      <c r="D80" t="s">
        <v>171</v>
      </c>
      <c r="E80" t="s">
        <v>109</v>
      </c>
      <c r="F80" t="s">
        <v>7</v>
      </c>
      <c r="G80">
        <v>10</v>
      </c>
    </row>
    <row r="81" spans="1:7" x14ac:dyDescent="0.3">
      <c r="A81">
        <v>2019</v>
      </c>
      <c r="B81" t="s">
        <v>35</v>
      </c>
      <c r="C81" t="s">
        <v>170</v>
      </c>
      <c r="D81" t="s">
        <v>171</v>
      </c>
      <c r="E81" t="s">
        <v>110</v>
      </c>
      <c r="F81" t="s">
        <v>7</v>
      </c>
      <c r="G81">
        <v>0</v>
      </c>
    </row>
    <row r="82" spans="1:7" x14ac:dyDescent="0.3">
      <c r="A82">
        <v>2019</v>
      </c>
      <c r="B82" t="s">
        <v>36</v>
      </c>
      <c r="C82" t="s">
        <v>170</v>
      </c>
      <c r="D82" t="s">
        <v>171</v>
      </c>
      <c r="E82" t="s">
        <v>108</v>
      </c>
      <c r="F82" t="s">
        <v>7</v>
      </c>
      <c r="G82">
        <v>29</v>
      </c>
    </row>
    <row r="83" spans="1:7" x14ac:dyDescent="0.3">
      <c r="A83">
        <v>2019</v>
      </c>
      <c r="B83" t="s">
        <v>36</v>
      </c>
      <c r="C83" t="s">
        <v>170</v>
      </c>
      <c r="D83" t="s">
        <v>171</v>
      </c>
      <c r="E83" t="s">
        <v>91</v>
      </c>
      <c r="F83" t="s">
        <v>7</v>
      </c>
      <c r="G83">
        <v>21</v>
      </c>
    </row>
    <row r="84" spans="1:7" x14ac:dyDescent="0.3">
      <c r="A84">
        <v>2019</v>
      </c>
      <c r="B84" t="s">
        <v>36</v>
      </c>
      <c r="C84" t="s">
        <v>170</v>
      </c>
      <c r="D84" t="s">
        <v>171</v>
      </c>
      <c r="E84" t="s">
        <v>109</v>
      </c>
      <c r="F84" t="s">
        <v>7</v>
      </c>
      <c r="G84">
        <v>17</v>
      </c>
    </row>
    <row r="85" spans="1:7" x14ac:dyDescent="0.3">
      <c r="A85">
        <v>2019</v>
      </c>
      <c r="B85" t="s">
        <v>36</v>
      </c>
      <c r="C85" t="s">
        <v>170</v>
      </c>
      <c r="D85" t="s">
        <v>171</v>
      </c>
      <c r="E85" t="s">
        <v>110</v>
      </c>
      <c r="F85" t="s">
        <v>7</v>
      </c>
      <c r="G85">
        <v>4</v>
      </c>
    </row>
    <row r="86" spans="1:7" x14ac:dyDescent="0.3">
      <c r="A86">
        <v>2019</v>
      </c>
      <c r="B86" t="s">
        <v>37</v>
      </c>
      <c r="C86" t="s">
        <v>170</v>
      </c>
      <c r="D86" t="s">
        <v>171</v>
      </c>
      <c r="E86" t="s">
        <v>108</v>
      </c>
      <c r="F86" t="s">
        <v>7</v>
      </c>
      <c r="G86">
        <v>9</v>
      </c>
    </row>
    <row r="87" spans="1:7" x14ac:dyDescent="0.3">
      <c r="A87">
        <v>2019</v>
      </c>
      <c r="B87" t="s">
        <v>37</v>
      </c>
      <c r="C87" t="s">
        <v>170</v>
      </c>
      <c r="D87" t="s">
        <v>171</v>
      </c>
      <c r="E87" t="s">
        <v>91</v>
      </c>
      <c r="F87" t="s">
        <v>7</v>
      </c>
      <c r="G87">
        <v>0</v>
      </c>
    </row>
    <row r="88" spans="1:7" x14ac:dyDescent="0.3">
      <c r="A88">
        <v>2019</v>
      </c>
      <c r="B88" t="s">
        <v>37</v>
      </c>
      <c r="C88" t="s">
        <v>170</v>
      </c>
      <c r="D88" t="s">
        <v>171</v>
      </c>
      <c r="E88" t="s">
        <v>109</v>
      </c>
      <c r="F88" t="s">
        <v>7</v>
      </c>
      <c r="G88">
        <v>2</v>
      </c>
    </row>
    <row r="89" spans="1:7" x14ac:dyDescent="0.3">
      <c r="A89">
        <v>2019</v>
      </c>
      <c r="B89" t="s">
        <v>37</v>
      </c>
      <c r="C89" t="s">
        <v>170</v>
      </c>
      <c r="D89" t="s">
        <v>171</v>
      </c>
      <c r="E89" t="s">
        <v>110</v>
      </c>
      <c r="F89" t="s">
        <v>7</v>
      </c>
      <c r="G89">
        <v>0</v>
      </c>
    </row>
    <row r="90" spans="1:7" x14ac:dyDescent="0.3">
      <c r="A90">
        <v>2019</v>
      </c>
      <c r="B90" t="s">
        <v>55</v>
      </c>
      <c r="C90" t="s">
        <v>170</v>
      </c>
      <c r="D90" t="s">
        <v>171</v>
      </c>
      <c r="E90" t="s">
        <v>108</v>
      </c>
      <c r="F90" t="s">
        <v>7</v>
      </c>
      <c r="G90">
        <v>2</v>
      </c>
    </row>
    <row r="91" spans="1:7" x14ac:dyDescent="0.3">
      <c r="A91">
        <v>2019</v>
      </c>
      <c r="B91" t="s">
        <v>55</v>
      </c>
      <c r="C91" t="s">
        <v>170</v>
      </c>
      <c r="D91" t="s">
        <v>171</v>
      </c>
      <c r="E91" t="s">
        <v>91</v>
      </c>
      <c r="F91" t="s">
        <v>7</v>
      </c>
      <c r="G91">
        <v>0</v>
      </c>
    </row>
    <row r="92" spans="1:7" x14ac:dyDescent="0.3">
      <c r="A92">
        <v>2019</v>
      </c>
      <c r="B92" t="s">
        <v>55</v>
      </c>
      <c r="C92" t="s">
        <v>170</v>
      </c>
      <c r="D92" t="s">
        <v>171</v>
      </c>
      <c r="E92" t="s">
        <v>109</v>
      </c>
      <c r="F92" t="s">
        <v>7</v>
      </c>
      <c r="G92">
        <v>1</v>
      </c>
    </row>
    <row r="93" spans="1:7" x14ac:dyDescent="0.3">
      <c r="A93">
        <v>2019</v>
      </c>
      <c r="B93" t="s">
        <v>55</v>
      </c>
      <c r="C93" t="s">
        <v>170</v>
      </c>
      <c r="D93" t="s">
        <v>171</v>
      </c>
      <c r="E93" t="s">
        <v>110</v>
      </c>
      <c r="F93" t="s">
        <v>7</v>
      </c>
      <c r="G93">
        <v>0</v>
      </c>
    </row>
    <row r="94" spans="1:7" x14ac:dyDescent="0.3">
      <c r="A94">
        <v>2019</v>
      </c>
      <c r="B94" t="s">
        <v>38</v>
      </c>
      <c r="C94" t="s">
        <v>170</v>
      </c>
      <c r="D94" t="s">
        <v>171</v>
      </c>
      <c r="E94" t="s">
        <v>108</v>
      </c>
      <c r="F94" t="s">
        <v>7</v>
      </c>
      <c r="G94">
        <v>15</v>
      </c>
    </row>
    <row r="95" spans="1:7" x14ac:dyDescent="0.3">
      <c r="A95">
        <v>2019</v>
      </c>
      <c r="B95" t="s">
        <v>38</v>
      </c>
      <c r="C95" t="s">
        <v>170</v>
      </c>
      <c r="D95" t="s">
        <v>171</v>
      </c>
      <c r="E95" t="s">
        <v>91</v>
      </c>
      <c r="F95" t="s">
        <v>7</v>
      </c>
      <c r="G95">
        <v>13</v>
      </c>
    </row>
    <row r="96" spans="1:7" x14ac:dyDescent="0.3">
      <c r="A96">
        <v>2019</v>
      </c>
      <c r="B96" t="s">
        <v>38</v>
      </c>
      <c r="C96" t="s">
        <v>170</v>
      </c>
      <c r="D96" t="s">
        <v>171</v>
      </c>
      <c r="E96" t="s">
        <v>109</v>
      </c>
      <c r="F96" t="s">
        <v>7</v>
      </c>
      <c r="G96">
        <v>11</v>
      </c>
    </row>
    <row r="97" spans="1:7" x14ac:dyDescent="0.3">
      <c r="A97">
        <v>2019</v>
      </c>
      <c r="B97" t="s">
        <v>38</v>
      </c>
      <c r="C97" t="s">
        <v>170</v>
      </c>
      <c r="D97" t="s">
        <v>171</v>
      </c>
      <c r="E97" t="s">
        <v>110</v>
      </c>
      <c r="F97" t="s">
        <v>7</v>
      </c>
      <c r="G97">
        <v>0</v>
      </c>
    </row>
    <row r="98" spans="1:7" x14ac:dyDescent="0.3">
      <c r="A98">
        <v>2019</v>
      </c>
      <c r="B98" t="s">
        <v>39</v>
      </c>
      <c r="C98" t="s">
        <v>170</v>
      </c>
      <c r="D98" t="s">
        <v>171</v>
      </c>
      <c r="E98" t="s">
        <v>108</v>
      </c>
      <c r="F98" t="s">
        <v>7</v>
      </c>
      <c r="G98">
        <v>63</v>
      </c>
    </row>
    <row r="99" spans="1:7" x14ac:dyDescent="0.3">
      <c r="A99">
        <v>2019</v>
      </c>
      <c r="B99" t="s">
        <v>39</v>
      </c>
      <c r="C99" t="s">
        <v>170</v>
      </c>
      <c r="D99" t="s">
        <v>171</v>
      </c>
      <c r="E99" t="s">
        <v>91</v>
      </c>
      <c r="F99" t="s">
        <v>7</v>
      </c>
      <c r="G99">
        <v>50</v>
      </c>
    </row>
    <row r="100" spans="1:7" x14ac:dyDescent="0.3">
      <c r="A100">
        <v>2019</v>
      </c>
      <c r="B100" t="s">
        <v>39</v>
      </c>
      <c r="C100" t="s">
        <v>170</v>
      </c>
      <c r="D100" t="s">
        <v>171</v>
      </c>
      <c r="E100" t="s">
        <v>109</v>
      </c>
      <c r="F100" t="s">
        <v>7</v>
      </c>
      <c r="G100">
        <v>19</v>
      </c>
    </row>
    <row r="101" spans="1:7" x14ac:dyDescent="0.3">
      <c r="A101">
        <v>2019</v>
      </c>
      <c r="B101" t="s">
        <v>39</v>
      </c>
      <c r="C101" t="s">
        <v>170</v>
      </c>
      <c r="D101" t="s">
        <v>171</v>
      </c>
      <c r="E101" t="s">
        <v>110</v>
      </c>
      <c r="F101" t="s">
        <v>7</v>
      </c>
      <c r="G101">
        <v>0</v>
      </c>
    </row>
    <row r="102" spans="1:7" x14ac:dyDescent="0.3">
      <c r="A102">
        <v>2019</v>
      </c>
      <c r="B102" t="s">
        <v>40</v>
      </c>
      <c r="C102" t="s">
        <v>170</v>
      </c>
      <c r="D102" t="s">
        <v>171</v>
      </c>
      <c r="E102" t="s">
        <v>108</v>
      </c>
      <c r="F102" t="s">
        <v>7</v>
      </c>
      <c r="G102">
        <v>20</v>
      </c>
    </row>
    <row r="103" spans="1:7" x14ac:dyDescent="0.3">
      <c r="A103">
        <v>2019</v>
      </c>
      <c r="B103" t="s">
        <v>40</v>
      </c>
      <c r="C103" t="s">
        <v>170</v>
      </c>
      <c r="D103" t="s">
        <v>171</v>
      </c>
      <c r="E103" t="s">
        <v>91</v>
      </c>
      <c r="F103" t="s">
        <v>7</v>
      </c>
      <c r="G103">
        <v>6</v>
      </c>
    </row>
    <row r="104" spans="1:7" x14ac:dyDescent="0.3">
      <c r="A104">
        <v>2019</v>
      </c>
      <c r="B104" t="s">
        <v>40</v>
      </c>
      <c r="C104" t="s">
        <v>170</v>
      </c>
      <c r="D104" t="s">
        <v>171</v>
      </c>
      <c r="E104" t="s">
        <v>109</v>
      </c>
      <c r="F104" t="s">
        <v>7</v>
      </c>
      <c r="G104">
        <v>9</v>
      </c>
    </row>
    <row r="105" spans="1:7" x14ac:dyDescent="0.3">
      <c r="A105">
        <v>2019</v>
      </c>
      <c r="B105" t="s">
        <v>40</v>
      </c>
      <c r="C105" t="s">
        <v>170</v>
      </c>
      <c r="D105" t="s">
        <v>171</v>
      </c>
      <c r="E105" t="s">
        <v>110</v>
      </c>
      <c r="F105" t="s">
        <v>7</v>
      </c>
      <c r="G105">
        <v>0</v>
      </c>
    </row>
    <row r="106" spans="1:7" x14ac:dyDescent="0.3">
      <c r="A106">
        <v>2019</v>
      </c>
      <c r="B106" t="s">
        <v>41</v>
      </c>
      <c r="C106" t="s">
        <v>170</v>
      </c>
      <c r="D106" t="s">
        <v>171</v>
      </c>
      <c r="E106" t="s">
        <v>108</v>
      </c>
      <c r="F106" t="s">
        <v>7</v>
      </c>
      <c r="G106">
        <v>49</v>
      </c>
    </row>
    <row r="107" spans="1:7" x14ac:dyDescent="0.3">
      <c r="A107">
        <v>2019</v>
      </c>
      <c r="B107" t="s">
        <v>41</v>
      </c>
      <c r="C107" t="s">
        <v>170</v>
      </c>
      <c r="D107" t="s">
        <v>171</v>
      </c>
      <c r="E107" t="s">
        <v>91</v>
      </c>
      <c r="F107" t="s">
        <v>7</v>
      </c>
      <c r="G107">
        <v>12</v>
      </c>
    </row>
    <row r="108" spans="1:7" x14ac:dyDescent="0.3">
      <c r="A108">
        <v>2019</v>
      </c>
      <c r="B108" t="s">
        <v>41</v>
      </c>
      <c r="C108" t="s">
        <v>170</v>
      </c>
      <c r="D108" t="s">
        <v>171</v>
      </c>
      <c r="E108" t="s">
        <v>109</v>
      </c>
      <c r="F108" t="s">
        <v>7</v>
      </c>
      <c r="G108">
        <v>8</v>
      </c>
    </row>
    <row r="109" spans="1:7" x14ac:dyDescent="0.3">
      <c r="A109">
        <v>2019</v>
      </c>
      <c r="B109" t="s">
        <v>41</v>
      </c>
      <c r="C109" t="s">
        <v>170</v>
      </c>
      <c r="D109" t="s">
        <v>171</v>
      </c>
      <c r="E109" t="s">
        <v>110</v>
      </c>
      <c r="F109" t="s">
        <v>7</v>
      </c>
      <c r="G109">
        <v>4</v>
      </c>
    </row>
    <row r="110" spans="1:7" x14ac:dyDescent="0.3">
      <c r="A110">
        <v>2019</v>
      </c>
      <c r="B110" t="s">
        <v>58</v>
      </c>
      <c r="C110" t="s">
        <v>170</v>
      </c>
      <c r="D110" t="s">
        <v>171</v>
      </c>
      <c r="E110" t="s">
        <v>108</v>
      </c>
      <c r="F110" t="s">
        <v>7</v>
      </c>
      <c r="G110">
        <v>21</v>
      </c>
    </row>
    <row r="111" spans="1:7" x14ac:dyDescent="0.3">
      <c r="A111">
        <v>2019</v>
      </c>
      <c r="B111" t="s">
        <v>58</v>
      </c>
      <c r="C111" t="s">
        <v>170</v>
      </c>
      <c r="D111" t="s">
        <v>171</v>
      </c>
      <c r="E111" t="s">
        <v>91</v>
      </c>
      <c r="F111" t="s">
        <v>7</v>
      </c>
      <c r="G111">
        <v>45</v>
      </c>
    </row>
    <row r="112" spans="1:7" x14ac:dyDescent="0.3">
      <c r="A112">
        <v>2019</v>
      </c>
      <c r="B112" t="s">
        <v>58</v>
      </c>
      <c r="C112" t="s">
        <v>170</v>
      </c>
      <c r="D112" t="s">
        <v>171</v>
      </c>
      <c r="E112" t="s">
        <v>109</v>
      </c>
      <c r="F112" t="s">
        <v>7</v>
      </c>
      <c r="G112">
        <v>48</v>
      </c>
    </row>
    <row r="113" spans="1:7" x14ac:dyDescent="0.3">
      <c r="A113">
        <v>2019</v>
      </c>
      <c r="B113" t="s">
        <v>58</v>
      </c>
      <c r="C113" t="s">
        <v>170</v>
      </c>
      <c r="D113" t="s">
        <v>171</v>
      </c>
      <c r="E113" t="s">
        <v>110</v>
      </c>
      <c r="F113" t="s">
        <v>7</v>
      </c>
      <c r="G113">
        <v>7</v>
      </c>
    </row>
    <row r="114" spans="1:7" x14ac:dyDescent="0.3">
      <c r="A114">
        <v>2019</v>
      </c>
      <c r="B114" t="s">
        <v>42</v>
      </c>
      <c r="C114" t="s">
        <v>170</v>
      </c>
      <c r="D114" t="s">
        <v>171</v>
      </c>
      <c r="E114" t="s">
        <v>108</v>
      </c>
      <c r="F114" t="s">
        <v>7</v>
      </c>
      <c r="G114">
        <v>31</v>
      </c>
    </row>
    <row r="115" spans="1:7" x14ac:dyDescent="0.3">
      <c r="A115">
        <v>2019</v>
      </c>
      <c r="B115" t="s">
        <v>42</v>
      </c>
      <c r="C115" t="s">
        <v>170</v>
      </c>
      <c r="D115" t="s">
        <v>171</v>
      </c>
      <c r="E115" t="s">
        <v>91</v>
      </c>
      <c r="F115" t="s">
        <v>7</v>
      </c>
      <c r="G115">
        <v>22</v>
      </c>
    </row>
    <row r="116" spans="1:7" x14ac:dyDescent="0.3">
      <c r="A116">
        <v>2019</v>
      </c>
      <c r="B116" t="s">
        <v>42</v>
      </c>
      <c r="C116" t="s">
        <v>170</v>
      </c>
      <c r="D116" t="s">
        <v>171</v>
      </c>
      <c r="E116" t="s">
        <v>109</v>
      </c>
      <c r="F116" t="s">
        <v>7</v>
      </c>
      <c r="G116">
        <v>6</v>
      </c>
    </row>
    <row r="117" spans="1:7" x14ac:dyDescent="0.3">
      <c r="A117">
        <v>2019</v>
      </c>
      <c r="B117" t="s">
        <v>42</v>
      </c>
      <c r="C117" t="s">
        <v>170</v>
      </c>
      <c r="D117" t="s">
        <v>171</v>
      </c>
      <c r="E117" t="s">
        <v>110</v>
      </c>
      <c r="F117" t="s">
        <v>7</v>
      </c>
      <c r="G117">
        <v>2</v>
      </c>
    </row>
    <row r="118" spans="1:7" x14ac:dyDescent="0.3">
      <c r="A118">
        <v>2019</v>
      </c>
      <c r="B118" t="s">
        <v>44</v>
      </c>
      <c r="C118" t="s">
        <v>170</v>
      </c>
      <c r="D118" t="s">
        <v>171</v>
      </c>
      <c r="E118" t="s">
        <v>108</v>
      </c>
      <c r="F118" t="s">
        <v>7</v>
      </c>
      <c r="G118">
        <v>41</v>
      </c>
    </row>
    <row r="119" spans="1:7" x14ac:dyDescent="0.3">
      <c r="A119">
        <v>2019</v>
      </c>
      <c r="B119" t="s">
        <v>44</v>
      </c>
      <c r="C119" t="s">
        <v>170</v>
      </c>
      <c r="D119" t="s">
        <v>171</v>
      </c>
      <c r="E119" t="s">
        <v>91</v>
      </c>
      <c r="F119" t="s">
        <v>7</v>
      </c>
      <c r="G119">
        <v>24</v>
      </c>
    </row>
    <row r="120" spans="1:7" x14ac:dyDescent="0.3">
      <c r="A120">
        <v>2019</v>
      </c>
      <c r="B120" t="s">
        <v>44</v>
      </c>
      <c r="C120" t="s">
        <v>170</v>
      </c>
      <c r="D120" t="s">
        <v>171</v>
      </c>
      <c r="E120" t="s">
        <v>109</v>
      </c>
      <c r="F120" t="s">
        <v>7</v>
      </c>
      <c r="G120">
        <v>18</v>
      </c>
    </row>
    <row r="121" spans="1:7" x14ac:dyDescent="0.3">
      <c r="A121">
        <v>2019</v>
      </c>
      <c r="B121" t="s">
        <v>44</v>
      </c>
      <c r="C121" t="s">
        <v>170</v>
      </c>
      <c r="D121" t="s">
        <v>171</v>
      </c>
      <c r="E121" t="s">
        <v>110</v>
      </c>
      <c r="F121" t="s">
        <v>7</v>
      </c>
      <c r="G121">
        <v>4</v>
      </c>
    </row>
    <row r="122" spans="1:7" x14ac:dyDescent="0.3">
      <c r="A122">
        <v>2019</v>
      </c>
      <c r="B122" t="s">
        <v>45</v>
      </c>
      <c r="C122" t="s">
        <v>170</v>
      </c>
      <c r="D122" t="s">
        <v>171</v>
      </c>
      <c r="E122" t="s">
        <v>108</v>
      </c>
      <c r="F122" t="s">
        <v>7</v>
      </c>
      <c r="G122">
        <v>0</v>
      </c>
    </row>
    <row r="123" spans="1:7" x14ac:dyDescent="0.3">
      <c r="A123">
        <v>2019</v>
      </c>
      <c r="B123" t="s">
        <v>45</v>
      </c>
      <c r="C123" t="s">
        <v>170</v>
      </c>
      <c r="D123" t="s">
        <v>171</v>
      </c>
      <c r="E123" t="s">
        <v>91</v>
      </c>
      <c r="F123" t="s">
        <v>7</v>
      </c>
      <c r="G123">
        <v>1</v>
      </c>
    </row>
    <row r="124" spans="1:7" x14ac:dyDescent="0.3">
      <c r="A124">
        <v>2019</v>
      </c>
      <c r="B124" t="s">
        <v>45</v>
      </c>
      <c r="C124" t="s">
        <v>170</v>
      </c>
      <c r="D124" t="s">
        <v>171</v>
      </c>
      <c r="E124" t="s">
        <v>109</v>
      </c>
      <c r="F124" t="s">
        <v>7</v>
      </c>
      <c r="G124">
        <v>3</v>
      </c>
    </row>
    <row r="125" spans="1:7" x14ac:dyDescent="0.3">
      <c r="A125">
        <v>2019</v>
      </c>
      <c r="B125" t="s">
        <v>45</v>
      </c>
      <c r="C125" t="s">
        <v>170</v>
      </c>
      <c r="D125" t="s">
        <v>171</v>
      </c>
      <c r="E125" t="s">
        <v>110</v>
      </c>
      <c r="F125" t="s">
        <v>7</v>
      </c>
      <c r="G125">
        <v>3</v>
      </c>
    </row>
    <row r="126" spans="1:7" x14ac:dyDescent="0.3">
      <c r="A126">
        <v>2019</v>
      </c>
      <c r="B126" t="s">
        <v>46</v>
      </c>
      <c r="C126" t="s">
        <v>170</v>
      </c>
      <c r="D126" t="s">
        <v>171</v>
      </c>
      <c r="E126" t="s">
        <v>108</v>
      </c>
      <c r="F126" t="s">
        <v>7</v>
      </c>
      <c r="G126">
        <v>16</v>
      </c>
    </row>
    <row r="127" spans="1:7" x14ac:dyDescent="0.3">
      <c r="A127">
        <v>2019</v>
      </c>
      <c r="B127" t="s">
        <v>46</v>
      </c>
      <c r="C127" t="s">
        <v>170</v>
      </c>
      <c r="D127" t="s">
        <v>171</v>
      </c>
      <c r="E127" t="s">
        <v>91</v>
      </c>
      <c r="F127" t="s">
        <v>7</v>
      </c>
      <c r="G127">
        <v>9</v>
      </c>
    </row>
    <row r="128" spans="1:7" x14ac:dyDescent="0.3">
      <c r="A128">
        <v>2019</v>
      </c>
      <c r="B128" t="s">
        <v>46</v>
      </c>
      <c r="C128" t="s">
        <v>170</v>
      </c>
      <c r="D128" t="s">
        <v>171</v>
      </c>
      <c r="E128" t="s">
        <v>109</v>
      </c>
      <c r="F128" t="s">
        <v>7</v>
      </c>
      <c r="G128">
        <v>1</v>
      </c>
    </row>
    <row r="129" spans="1:7" x14ac:dyDescent="0.3">
      <c r="A129">
        <v>2019</v>
      </c>
      <c r="B129" t="s">
        <v>46</v>
      </c>
      <c r="C129" t="s">
        <v>170</v>
      </c>
      <c r="D129" t="s">
        <v>171</v>
      </c>
      <c r="E129" t="s">
        <v>110</v>
      </c>
      <c r="F129" t="s">
        <v>7</v>
      </c>
      <c r="G129">
        <v>0</v>
      </c>
    </row>
    <row r="130" spans="1:7" x14ac:dyDescent="0.3">
      <c r="A130">
        <v>2019</v>
      </c>
      <c r="B130" t="s">
        <v>47</v>
      </c>
      <c r="C130" t="s">
        <v>170</v>
      </c>
      <c r="D130" t="s">
        <v>171</v>
      </c>
      <c r="E130" t="s">
        <v>108</v>
      </c>
      <c r="F130" t="s">
        <v>7</v>
      </c>
      <c r="G130">
        <v>25</v>
      </c>
    </row>
    <row r="131" spans="1:7" x14ac:dyDescent="0.3">
      <c r="A131">
        <v>2019</v>
      </c>
      <c r="B131" t="s">
        <v>47</v>
      </c>
      <c r="C131" t="s">
        <v>170</v>
      </c>
      <c r="D131" t="s">
        <v>171</v>
      </c>
      <c r="E131" t="s">
        <v>91</v>
      </c>
      <c r="F131" t="s">
        <v>7</v>
      </c>
      <c r="G131">
        <v>24</v>
      </c>
    </row>
    <row r="132" spans="1:7" x14ac:dyDescent="0.3">
      <c r="A132">
        <v>2019</v>
      </c>
      <c r="B132" t="s">
        <v>47</v>
      </c>
      <c r="C132" t="s">
        <v>170</v>
      </c>
      <c r="D132" t="s">
        <v>171</v>
      </c>
      <c r="E132" t="s">
        <v>109</v>
      </c>
      <c r="F132" t="s">
        <v>7</v>
      </c>
      <c r="G132">
        <v>3</v>
      </c>
    </row>
    <row r="133" spans="1:7" x14ac:dyDescent="0.3">
      <c r="A133">
        <v>2019</v>
      </c>
      <c r="B133" t="s">
        <v>47</v>
      </c>
      <c r="C133" t="s">
        <v>170</v>
      </c>
      <c r="D133" t="s">
        <v>171</v>
      </c>
      <c r="E133" t="s">
        <v>110</v>
      </c>
      <c r="F133" t="s">
        <v>7</v>
      </c>
      <c r="G133">
        <v>0</v>
      </c>
    </row>
    <row r="134" spans="1:7" x14ac:dyDescent="0.3">
      <c r="A134">
        <v>2019</v>
      </c>
      <c r="B134" t="s">
        <v>48</v>
      </c>
      <c r="C134" t="s">
        <v>170</v>
      </c>
      <c r="D134" t="s">
        <v>171</v>
      </c>
      <c r="E134" t="s">
        <v>108</v>
      </c>
      <c r="F134" t="s">
        <v>7</v>
      </c>
      <c r="G134">
        <v>31</v>
      </c>
    </row>
    <row r="135" spans="1:7" x14ac:dyDescent="0.3">
      <c r="A135">
        <v>2019</v>
      </c>
      <c r="B135" t="s">
        <v>48</v>
      </c>
      <c r="C135" t="s">
        <v>170</v>
      </c>
      <c r="D135" t="s">
        <v>171</v>
      </c>
      <c r="E135" t="s">
        <v>91</v>
      </c>
      <c r="F135" t="s">
        <v>7</v>
      </c>
      <c r="G135">
        <v>2</v>
      </c>
    </row>
    <row r="136" spans="1:7" x14ac:dyDescent="0.3">
      <c r="A136">
        <v>2019</v>
      </c>
      <c r="B136" t="s">
        <v>48</v>
      </c>
      <c r="C136" t="s">
        <v>170</v>
      </c>
      <c r="D136" t="s">
        <v>171</v>
      </c>
      <c r="E136" t="s">
        <v>109</v>
      </c>
      <c r="F136" t="s">
        <v>7</v>
      </c>
      <c r="G136">
        <v>6</v>
      </c>
    </row>
    <row r="137" spans="1:7" x14ac:dyDescent="0.3">
      <c r="A137">
        <v>2019</v>
      </c>
      <c r="B137" t="s">
        <v>48</v>
      </c>
      <c r="C137" t="s">
        <v>170</v>
      </c>
      <c r="D137" t="s">
        <v>171</v>
      </c>
      <c r="E137" t="s">
        <v>110</v>
      </c>
      <c r="F137" t="s">
        <v>7</v>
      </c>
      <c r="G137">
        <v>0</v>
      </c>
    </row>
    <row r="138" spans="1:7" x14ac:dyDescent="0.3">
      <c r="A138">
        <v>2019</v>
      </c>
      <c r="B138" t="s">
        <v>49</v>
      </c>
      <c r="C138" t="s">
        <v>170</v>
      </c>
      <c r="D138" t="s">
        <v>171</v>
      </c>
      <c r="E138" t="s">
        <v>108</v>
      </c>
      <c r="F138" t="s">
        <v>7</v>
      </c>
      <c r="G138">
        <v>21</v>
      </c>
    </row>
    <row r="139" spans="1:7" x14ac:dyDescent="0.3">
      <c r="A139">
        <v>2019</v>
      </c>
      <c r="B139" t="s">
        <v>49</v>
      </c>
      <c r="C139" t="s">
        <v>170</v>
      </c>
      <c r="D139" t="s">
        <v>171</v>
      </c>
      <c r="E139" t="s">
        <v>91</v>
      </c>
      <c r="F139" t="s">
        <v>7</v>
      </c>
      <c r="G139">
        <v>11</v>
      </c>
    </row>
    <row r="140" spans="1:7" x14ac:dyDescent="0.3">
      <c r="A140">
        <v>2019</v>
      </c>
      <c r="B140" t="s">
        <v>49</v>
      </c>
      <c r="C140" t="s">
        <v>170</v>
      </c>
      <c r="D140" t="s">
        <v>171</v>
      </c>
      <c r="E140" t="s">
        <v>109</v>
      </c>
      <c r="F140" t="s">
        <v>7</v>
      </c>
      <c r="G140">
        <v>6</v>
      </c>
    </row>
    <row r="141" spans="1:7" x14ac:dyDescent="0.3">
      <c r="A141">
        <v>2019</v>
      </c>
      <c r="B141" t="s">
        <v>49</v>
      </c>
      <c r="C141" t="s">
        <v>170</v>
      </c>
      <c r="D141" t="s">
        <v>171</v>
      </c>
      <c r="E141" t="s">
        <v>110</v>
      </c>
      <c r="F141" t="s">
        <v>7</v>
      </c>
      <c r="G141">
        <v>1</v>
      </c>
    </row>
    <row r="142" spans="1:7" x14ac:dyDescent="0.3">
      <c r="A142">
        <v>2019</v>
      </c>
      <c r="B142" t="s">
        <v>59</v>
      </c>
      <c r="C142" t="s">
        <v>170</v>
      </c>
      <c r="D142" t="s">
        <v>171</v>
      </c>
      <c r="E142" t="s">
        <v>108</v>
      </c>
      <c r="F142" t="s">
        <v>7</v>
      </c>
      <c r="G142">
        <v>1</v>
      </c>
    </row>
    <row r="143" spans="1:7" x14ac:dyDescent="0.3">
      <c r="A143">
        <v>2019</v>
      </c>
      <c r="B143" t="s">
        <v>59</v>
      </c>
      <c r="C143" t="s">
        <v>170</v>
      </c>
      <c r="D143" t="s">
        <v>171</v>
      </c>
      <c r="E143" t="s">
        <v>91</v>
      </c>
      <c r="F143" t="s">
        <v>7</v>
      </c>
      <c r="G143">
        <v>17</v>
      </c>
    </row>
    <row r="144" spans="1:7" x14ac:dyDescent="0.3">
      <c r="A144">
        <v>2019</v>
      </c>
      <c r="B144" t="s">
        <v>59</v>
      </c>
      <c r="C144" t="s">
        <v>170</v>
      </c>
      <c r="D144" t="s">
        <v>171</v>
      </c>
      <c r="E144" t="s">
        <v>109</v>
      </c>
      <c r="F144" t="s">
        <v>7</v>
      </c>
      <c r="G144">
        <v>16</v>
      </c>
    </row>
    <row r="145" spans="1:7" x14ac:dyDescent="0.3">
      <c r="A145">
        <v>2019</v>
      </c>
      <c r="B145" t="s">
        <v>59</v>
      </c>
      <c r="C145" t="s">
        <v>170</v>
      </c>
      <c r="D145" t="s">
        <v>171</v>
      </c>
      <c r="E145" t="s">
        <v>110</v>
      </c>
      <c r="F145" t="s">
        <v>7</v>
      </c>
      <c r="G145">
        <v>0</v>
      </c>
    </row>
    <row r="146" spans="1:7" x14ac:dyDescent="0.3">
      <c r="A146">
        <v>2019</v>
      </c>
      <c r="B146" t="s">
        <v>50</v>
      </c>
      <c r="C146" t="s">
        <v>170</v>
      </c>
      <c r="D146" t="s">
        <v>171</v>
      </c>
      <c r="E146" t="s">
        <v>108</v>
      </c>
      <c r="F146" t="s">
        <v>7</v>
      </c>
      <c r="G146">
        <v>42</v>
      </c>
    </row>
    <row r="147" spans="1:7" x14ac:dyDescent="0.3">
      <c r="A147">
        <v>2019</v>
      </c>
      <c r="B147" t="s">
        <v>50</v>
      </c>
      <c r="C147" t="s">
        <v>170</v>
      </c>
      <c r="D147" t="s">
        <v>171</v>
      </c>
      <c r="E147" t="s">
        <v>91</v>
      </c>
      <c r="F147" t="s">
        <v>7</v>
      </c>
      <c r="G147">
        <v>12</v>
      </c>
    </row>
    <row r="148" spans="1:7" x14ac:dyDescent="0.3">
      <c r="A148">
        <v>2019</v>
      </c>
      <c r="B148" t="s">
        <v>50</v>
      </c>
      <c r="C148" t="s">
        <v>170</v>
      </c>
      <c r="D148" t="s">
        <v>171</v>
      </c>
      <c r="E148" t="s">
        <v>109</v>
      </c>
      <c r="F148" t="s">
        <v>7</v>
      </c>
      <c r="G148">
        <v>24</v>
      </c>
    </row>
    <row r="149" spans="1:7" x14ac:dyDescent="0.3">
      <c r="A149">
        <v>2019</v>
      </c>
      <c r="B149" t="s">
        <v>50</v>
      </c>
      <c r="C149" t="s">
        <v>170</v>
      </c>
      <c r="D149" t="s">
        <v>171</v>
      </c>
      <c r="E149" t="s">
        <v>110</v>
      </c>
      <c r="F149" t="s">
        <v>7</v>
      </c>
      <c r="G149">
        <v>0</v>
      </c>
    </row>
    <row r="150" spans="1:7" x14ac:dyDescent="0.3">
      <c r="A150">
        <v>2019</v>
      </c>
      <c r="B150" t="s">
        <v>51</v>
      </c>
      <c r="C150" t="s">
        <v>170</v>
      </c>
      <c r="D150" t="s">
        <v>171</v>
      </c>
      <c r="E150" t="s">
        <v>108</v>
      </c>
      <c r="F150" t="s">
        <v>7</v>
      </c>
      <c r="G150">
        <v>15</v>
      </c>
    </row>
    <row r="151" spans="1:7" x14ac:dyDescent="0.3">
      <c r="A151">
        <v>2019</v>
      </c>
      <c r="B151" t="s">
        <v>51</v>
      </c>
      <c r="C151" t="s">
        <v>170</v>
      </c>
      <c r="D151" t="s">
        <v>171</v>
      </c>
      <c r="E151" t="s">
        <v>91</v>
      </c>
      <c r="F151" t="s">
        <v>7</v>
      </c>
      <c r="G151">
        <v>2</v>
      </c>
    </row>
    <row r="152" spans="1:7" x14ac:dyDescent="0.3">
      <c r="A152">
        <v>2019</v>
      </c>
      <c r="B152" t="s">
        <v>51</v>
      </c>
      <c r="C152" t="s">
        <v>170</v>
      </c>
      <c r="D152" t="s">
        <v>171</v>
      </c>
      <c r="E152" t="s">
        <v>109</v>
      </c>
      <c r="F152" t="s">
        <v>7</v>
      </c>
      <c r="G152">
        <v>4</v>
      </c>
    </row>
    <row r="153" spans="1:7" x14ac:dyDescent="0.3">
      <c r="A153">
        <v>2019</v>
      </c>
      <c r="B153" t="s">
        <v>51</v>
      </c>
      <c r="C153" t="s">
        <v>170</v>
      </c>
      <c r="D153" t="s">
        <v>171</v>
      </c>
      <c r="E153" t="s">
        <v>110</v>
      </c>
      <c r="F153" t="s">
        <v>7</v>
      </c>
      <c r="G153">
        <v>0</v>
      </c>
    </row>
    <row r="154" spans="1:7" x14ac:dyDescent="0.3">
      <c r="A154">
        <v>2019</v>
      </c>
      <c r="B154" t="s">
        <v>52</v>
      </c>
      <c r="C154" t="s">
        <v>170</v>
      </c>
      <c r="D154" t="s">
        <v>171</v>
      </c>
      <c r="E154" t="s">
        <v>108</v>
      </c>
      <c r="F154" t="s">
        <v>7</v>
      </c>
      <c r="G154">
        <v>7</v>
      </c>
    </row>
    <row r="155" spans="1:7" x14ac:dyDescent="0.3">
      <c r="A155">
        <v>2019</v>
      </c>
      <c r="B155" t="s">
        <v>52</v>
      </c>
      <c r="C155" t="s">
        <v>170</v>
      </c>
      <c r="D155" t="s">
        <v>171</v>
      </c>
      <c r="E155" t="s">
        <v>91</v>
      </c>
      <c r="F155" t="s">
        <v>7</v>
      </c>
      <c r="G155">
        <v>30</v>
      </c>
    </row>
    <row r="156" spans="1:7" x14ac:dyDescent="0.3">
      <c r="A156">
        <v>2019</v>
      </c>
      <c r="B156" t="s">
        <v>52</v>
      </c>
      <c r="C156" t="s">
        <v>170</v>
      </c>
      <c r="D156" t="s">
        <v>171</v>
      </c>
      <c r="E156" t="s">
        <v>109</v>
      </c>
      <c r="F156" t="s">
        <v>7</v>
      </c>
      <c r="G156">
        <v>16</v>
      </c>
    </row>
    <row r="157" spans="1:7" x14ac:dyDescent="0.3">
      <c r="A157">
        <v>2019</v>
      </c>
      <c r="B157" t="s">
        <v>52</v>
      </c>
      <c r="C157" t="s">
        <v>170</v>
      </c>
      <c r="D157" t="s">
        <v>171</v>
      </c>
      <c r="E157" t="s">
        <v>110</v>
      </c>
      <c r="F157" t="s">
        <v>7</v>
      </c>
      <c r="G157">
        <v>4</v>
      </c>
    </row>
    <row r="158" spans="1:7" x14ac:dyDescent="0.3">
      <c r="A158">
        <v>2019</v>
      </c>
      <c r="B158" t="s">
        <v>60</v>
      </c>
      <c r="C158" t="s">
        <v>170</v>
      </c>
      <c r="D158" t="s">
        <v>171</v>
      </c>
      <c r="E158" t="s">
        <v>108</v>
      </c>
      <c r="F158" t="s">
        <v>7</v>
      </c>
      <c r="G158">
        <v>0</v>
      </c>
    </row>
    <row r="159" spans="1:7" x14ac:dyDescent="0.3">
      <c r="A159">
        <v>2019</v>
      </c>
      <c r="B159" t="s">
        <v>60</v>
      </c>
      <c r="C159" t="s">
        <v>170</v>
      </c>
      <c r="D159" t="s">
        <v>171</v>
      </c>
      <c r="E159" t="s">
        <v>91</v>
      </c>
      <c r="F159" t="s">
        <v>7</v>
      </c>
      <c r="G159">
        <v>25</v>
      </c>
    </row>
    <row r="160" spans="1:7" x14ac:dyDescent="0.3">
      <c r="A160">
        <v>2019</v>
      </c>
      <c r="B160" t="s">
        <v>60</v>
      </c>
      <c r="C160" t="s">
        <v>170</v>
      </c>
      <c r="D160" t="s">
        <v>171</v>
      </c>
      <c r="E160" t="s">
        <v>109</v>
      </c>
      <c r="F160" t="s">
        <v>7</v>
      </c>
      <c r="G160">
        <v>30</v>
      </c>
    </row>
    <row r="161" spans="1:7" x14ac:dyDescent="0.3">
      <c r="A161">
        <v>2019</v>
      </c>
      <c r="B161" t="s">
        <v>60</v>
      </c>
      <c r="C161" t="s">
        <v>170</v>
      </c>
      <c r="D161" t="s">
        <v>171</v>
      </c>
      <c r="E161" t="s">
        <v>110</v>
      </c>
      <c r="F161" t="s">
        <v>7</v>
      </c>
      <c r="G161">
        <v>5</v>
      </c>
    </row>
    <row r="162" spans="1:7" x14ac:dyDescent="0.3">
      <c r="A162">
        <v>2019</v>
      </c>
      <c r="B162" t="s">
        <v>53</v>
      </c>
      <c r="C162" t="s">
        <v>170</v>
      </c>
      <c r="D162" t="s">
        <v>171</v>
      </c>
      <c r="E162" t="s">
        <v>108</v>
      </c>
      <c r="F162" t="s">
        <v>7</v>
      </c>
      <c r="G162">
        <v>15</v>
      </c>
    </row>
    <row r="163" spans="1:7" x14ac:dyDescent="0.3">
      <c r="A163">
        <v>2019</v>
      </c>
      <c r="B163" t="s">
        <v>53</v>
      </c>
      <c r="C163" t="s">
        <v>170</v>
      </c>
      <c r="D163" t="s">
        <v>171</v>
      </c>
      <c r="E163" t="s">
        <v>91</v>
      </c>
      <c r="F163" t="s">
        <v>7</v>
      </c>
      <c r="G163">
        <v>9</v>
      </c>
    </row>
    <row r="164" spans="1:7" x14ac:dyDescent="0.3">
      <c r="A164">
        <v>2019</v>
      </c>
      <c r="B164" t="s">
        <v>53</v>
      </c>
      <c r="C164" t="s">
        <v>170</v>
      </c>
      <c r="D164" t="s">
        <v>171</v>
      </c>
      <c r="E164" t="s">
        <v>109</v>
      </c>
      <c r="F164" t="s">
        <v>7</v>
      </c>
      <c r="G164">
        <v>10</v>
      </c>
    </row>
    <row r="165" spans="1:7" x14ac:dyDescent="0.3">
      <c r="A165">
        <v>2019</v>
      </c>
      <c r="B165" t="s">
        <v>53</v>
      </c>
      <c r="C165" t="s">
        <v>170</v>
      </c>
      <c r="D165" t="s">
        <v>171</v>
      </c>
      <c r="E165" t="s">
        <v>110</v>
      </c>
      <c r="F165" t="s">
        <v>7</v>
      </c>
      <c r="G165">
        <v>1</v>
      </c>
    </row>
    <row r="166" spans="1:7" x14ac:dyDescent="0.3">
      <c r="A166">
        <v>2019</v>
      </c>
      <c r="B166" t="s">
        <v>61</v>
      </c>
      <c r="C166" t="s">
        <v>170</v>
      </c>
      <c r="D166" t="s">
        <v>171</v>
      </c>
      <c r="E166" t="s">
        <v>108</v>
      </c>
      <c r="F166" t="s">
        <v>7</v>
      </c>
      <c r="G166">
        <v>0</v>
      </c>
    </row>
    <row r="167" spans="1:7" x14ac:dyDescent="0.3">
      <c r="A167">
        <v>2019</v>
      </c>
      <c r="B167" t="s">
        <v>61</v>
      </c>
      <c r="C167" t="s">
        <v>170</v>
      </c>
      <c r="D167" t="s">
        <v>171</v>
      </c>
      <c r="E167" t="s">
        <v>91</v>
      </c>
      <c r="F167" t="s">
        <v>7</v>
      </c>
      <c r="G167">
        <v>64</v>
      </c>
    </row>
    <row r="168" spans="1:7" x14ac:dyDescent="0.3">
      <c r="A168">
        <v>2019</v>
      </c>
      <c r="B168" t="s">
        <v>61</v>
      </c>
      <c r="C168" t="s">
        <v>170</v>
      </c>
      <c r="D168" t="s">
        <v>171</v>
      </c>
      <c r="E168" t="s">
        <v>109</v>
      </c>
      <c r="F168" t="s">
        <v>7</v>
      </c>
      <c r="G168">
        <v>12</v>
      </c>
    </row>
    <row r="169" spans="1:7" x14ac:dyDescent="0.3">
      <c r="A169">
        <v>2019</v>
      </c>
      <c r="B169" t="s">
        <v>61</v>
      </c>
      <c r="C169" t="s">
        <v>170</v>
      </c>
      <c r="D169" t="s">
        <v>171</v>
      </c>
      <c r="E169" t="s">
        <v>110</v>
      </c>
      <c r="F169" t="s">
        <v>7</v>
      </c>
      <c r="G169">
        <v>0</v>
      </c>
    </row>
    <row r="170" spans="1:7" x14ac:dyDescent="0.3">
      <c r="A170">
        <v>2019</v>
      </c>
      <c r="B170" t="s">
        <v>54</v>
      </c>
      <c r="C170" t="s">
        <v>170</v>
      </c>
      <c r="D170" t="s">
        <v>171</v>
      </c>
      <c r="E170" t="s">
        <v>108</v>
      </c>
      <c r="F170" t="s">
        <v>7</v>
      </c>
      <c r="G170">
        <v>27</v>
      </c>
    </row>
    <row r="171" spans="1:7" x14ac:dyDescent="0.3">
      <c r="A171">
        <v>2019</v>
      </c>
      <c r="B171" t="s">
        <v>54</v>
      </c>
      <c r="C171" t="s">
        <v>170</v>
      </c>
      <c r="D171" t="s">
        <v>171</v>
      </c>
      <c r="E171" t="s">
        <v>91</v>
      </c>
      <c r="F171" t="s">
        <v>7</v>
      </c>
      <c r="G171">
        <v>13</v>
      </c>
    </row>
    <row r="172" spans="1:7" x14ac:dyDescent="0.3">
      <c r="A172">
        <v>2019</v>
      </c>
      <c r="B172" t="s">
        <v>54</v>
      </c>
      <c r="C172" t="s">
        <v>170</v>
      </c>
      <c r="D172" t="s">
        <v>171</v>
      </c>
      <c r="E172" t="s">
        <v>109</v>
      </c>
      <c r="F172" t="s">
        <v>7</v>
      </c>
      <c r="G172">
        <v>1</v>
      </c>
    </row>
    <row r="173" spans="1:7" x14ac:dyDescent="0.3">
      <c r="A173">
        <v>2019</v>
      </c>
      <c r="B173" t="s">
        <v>54</v>
      </c>
      <c r="C173" t="s">
        <v>170</v>
      </c>
      <c r="D173" t="s">
        <v>171</v>
      </c>
      <c r="E173" t="s">
        <v>110</v>
      </c>
      <c r="F173" t="s">
        <v>7</v>
      </c>
      <c r="G173">
        <v>0</v>
      </c>
    </row>
    <row r="174" spans="1:7" x14ac:dyDescent="0.3">
      <c r="A174">
        <v>2019</v>
      </c>
      <c r="B174" t="s">
        <v>62</v>
      </c>
      <c r="C174" t="s">
        <v>170</v>
      </c>
      <c r="D174" t="s">
        <v>171</v>
      </c>
      <c r="E174" t="s">
        <v>108</v>
      </c>
      <c r="F174" t="s">
        <v>7</v>
      </c>
      <c r="G174">
        <v>19</v>
      </c>
    </row>
    <row r="175" spans="1:7" x14ac:dyDescent="0.3">
      <c r="A175">
        <v>2019</v>
      </c>
      <c r="B175" t="s">
        <v>62</v>
      </c>
      <c r="C175" t="s">
        <v>170</v>
      </c>
      <c r="D175" t="s">
        <v>171</v>
      </c>
      <c r="E175" t="s">
        <v>91</v>
      </c>
      <c r="F175" t="s">
        <v>7</v>
      </c>
      <c r="G175">
        <v>61</v>
      </c>
    </row>
    <row r="176" spans="1:7" x14ac:dyDescent="0.3">
      <c r="A176">
        <v>2019</v>
      </c>
      <c r="B176" t="s">
        <v>62</v>
      </c>
      <c r="C176" t="s">
        <v>170</v>
      </c>
      <c r="D176" t="s">
        <v>171</v>
      </c>
      <c r="E176" t="s">
        <v>109</v>
      </c>
      <c r="F176" t="s">
        <v>7</v>
      </c>
      <c r="G176">
        <v>33</v>
      </c>
    </row>
    <row r="177" spans="1:7" x14ac:dyDescent="0.3">
      <c r="A177">
        <v>2019</v>
      </c>
      <c r="B177" t="s">
        <v>62</v>
      </c>
      <c r="C177" t="s">
        <v>170</v>
      </c>
      <c r="D177" t="s">
        <v>171</v>
      </c>
      <c r="E177" t="s">
        <v>110</v>
      </c>
      <c r="F177" t="s">
        <v>7</v>
      </c>
      <c r="G177">
        <v>4</v>
      </c>
    </row>
    <row r="178" spans="1:7" x14ac:dyDescent="0.3">
      <c r="A178">
        <v>2019</v>
      </c>
      <c r="B178" t="s">
        <v>28</v>
      </c>
      <c r="C178" t="s">
        <v>170</v>
      </c>
      <c r="D178" t="s">
        <v>171</v>
      </c>
      <c r="E178" t="s">
        <v>108</v>
      </c>
      <c r="F178" t="s">
        <v>7</v>
      </c>
      <c r="G178">
        <v>57</v>
      </c>
    </row>
    <row r="179" spans="1:7" x14ac:dyDescent="0.3">
      <c r="A179">
        <v>2019</v>
      </c>
      <c r="B179" t="s">
        <v>28</v>
      </c>
      <c r="C179" t="s">
        <v>170</v>
      </c>
      <c r="D179" t="s">
        <v>171</v>
      </c>
      <c r="E179" t="s">
        <v>91</v>
      </c>
      <c r="F179" t="s">
        <v>7</v>
      </c>
      <c r="G179">
        <v>10</v>
      </c>
    </row>
    <row r="180" spans="1:7" x14ac:dyDescent="0.3">
      <c r="A180">
        <v>2019</v>
      </c>
      <c r="B180" t="s">
        <v>28</v>
      </c>
      <c r="C180" t="s">
        <v>170</v>
      </c>
      <c r="D180" t="s">
        <v>171</v>
      </c>
      <c r="E180" t="s">
        <v>109</v>
      </c>
      <c r="F180" t="s">
        <v>7</v>
      </c>
      <c r="G180">
        <v>51</v>
      </c>
    </row>
    <row r="181" spans="1:7" x14ac:dyDescent="0.3">
      <c r="A181">
        <v>2019</v>
      </c>
      <c r="B181" t="s">
        <v>28</v>
      </c>
      <c r="C181" t="s">
        <v>170</v>
      </c>
      <c r="D181" t="s">
        <v>171</v>
      </c>
      <c r="E181" t="s">
        <v>110</v>
      </c>
      <c r="F181" t="s">
        <v>7</v>
      </c>
      <c r="G181">
        <v>0</v>
      </c>
    </row>
    <row r="182" spans="1:7" x14ac:dyDescent="0.3">
      <c r="A182">
        <v>2019</v>
      </c>
      <c r="B182" t="s">
        <v>43</v>
      </c>
      <c r="C182" t="s">
        <v>170</v>
      </c>
      <c r="D182" t="s">
        <v>171</v>
      </c>
      <c r="E182" t="s">
        <v>108</v>
      </c>
      <c r="F182" t="s">
        <v>7</v>
      </c>
      <c r="G182">
        <v>0</v>
      </c>
    </row>
    <row r="183" spans="1:7" x14ac:dyDescent="0.3">
      <c r="A183">
        <v>2019</v>
      </c>
      <c r="B183" t="s">
        <v>43</v>
      </c>
      <c r="C183" t="s">
        <v>170</v>
      </c>
      <c r="D183" t="s">
        <v>171</v>
      </c>
      <c r="E183" t="s">
        <v>91</v>
      </c>
      <c r="F183" t="s">
        <v>7</v>
      </c>
      <c r="G183">
        <v>0</v>
      </c>
    </row>
    <row r="184" spans="1:7" x14ac:dyDescent="0.3">
      <c r="A184">
        <v>2019</v>
      </c>
      <c r="B184" t="s">
        <v>43</v>
      </c>
      <c r="C184" t="s">
        <v>170</v>
      </c>
      <c r="D184" t="s">
        <v>171</v>
      </c>
      <c r="E184" t="s">
        <v>109</v>
      </c>
      <c r="F184" t="s">
        <v>7</v>
      </c>
      <c r="G184">
        <v>1</v>
      </c>
    </row>
    <row r="185" spans="1:7" x14ac:dyDescent="0.3">
      <c r="A185">
        <v>2019</v>
      </c>
      <c r="B185" t="s">
        <v>43</v>
      </c>
      <c r="C185" t="s">
        <v>170</v>
      </c>
      <c r="D185" t="s">
        <v>171</v>
      </c>
      <c r="E185" t="s">
        <v>110</v>
      </c>
      <c r="F185" t="s">
        <v>7</v>
      </c>
      <c r="G185">
        <v>5</v>
      </c>
    </row>
    <row r="186" spans="1:7" x14ac:dyDescent="0.3">
      <c r="A186">
        <v>2019</v>
      </c>
      <c r="B186" t="s">
        <v>17</v>
      </c>
      <c r="C186" t="s">
        <v>170</v>
      </c>
      <c r="D186" t="s">
        <v>171</v>
      </c>
      <c r="E186" t="s">
        <v>108</v>
      </c>
      <c r="F186" t="s">
        <v>114</v>
      </c>
      <c r="G186">
        <v>0</v>
      </c>
    </row>
    <row r="187" spans="1:7" x14ac:dyDescent="0.3">
      <c r="A187">
        <v>2019</v>
      </c>
      <c r="B187" t="s">
        <v>17</v>
      </c>
      <c r="C187" t="s">
        <v>170</v>
      </c>
      <c r="D187" t="s">
        <v>171</v>
      </c>
      <c r="E187" t="s">
        <v>91</v>
      </c>
      <c r="F187" t="s">
        <v>114</v>
      </c>
      <c r="G187">
        <v>1</v>
      </c>
    </row>
    <row r="188" spans="1:7" x14ac:dyDescent="0.3">
      <c r="A188">
        <v>2019</v>
      </c>
      <c r="B188" t="s">
        <v>17</v>
      </c>
      <c r="C188" t="s">
        <v>170</v>
      </c>
      <c r="D188" t="s">
        <v>171</v>
      </c>
      <c r="E188" t="s">
        <v>109</v>
      </c>
      <c r="F188" t="s">
        <v>114</v>
      </c>
      <c r="G188">
        <v>0</v>
      </c>
    </row>
    <row r="189" spans="1:7" x14ac:dyDescent="0.3">
      <c r="A189">
        <v>2019</v>
      </c>
      <c r="B189" t="s">
        <v>17</v>
      </c>
      <c r="C189" t="s">
        <v>170</v>
      </c>
      <c r="D189" t="s">
        <v>171</v>
      </c>
      <c r="E189" t="s">
        <v>110</v>
      </c>
      <c r="F189" t="s">
        <v>114</v>
      </c>
      <c r="G189">
        <v>0</v>
      </c>
    </row>
    <row r="190" spans="1:7" x14ac:dyDescent="0.3">
      <c r="A190">
        <v>2019</v>
      </c>
      <c r="B190" t="s">
        <v>18</v>
      </c>
      <c r="C190" t="s">
        <v>170</v>
      </c>
      <c r="D190" t="s">
        <v>171</v>
      </c>
      <c r="E190" t="s">
        <v>108</v>
      </c>
      <c r="F190" t="s">
        <v>114</v>
      </c>
      <c r="G190">
        <v>0</v>
      </c>
    </row>
    <row r="191" spans="1:7" x14ac:dyDescent="0.3">
      <c r="A191">
        <v>2019</v>
      </c>
      <c r="B191" t="s">
        <v>18</v>
      </c>
      <c r="C191" t="s">
        <v>170</v>
      </c>
      <c r="D191" t="s">
        <v>171</v>
      </c>
      <c r="E191" t="s">
        <v>91</v>
      </c>
      <c r="F191" t="s">
        <v>114</v>
      </c>
      <c r="G191">
        <v>1</v>
      </c>
    </row>
    <row r="192" spans="1:7" x14ac:dyDescent="0.3">
      <c r="A192">
        <v>2019</v>
      </c>
      <c r="B192" t="s">
        <v>18</v>
      </c>
      <c r="C192" t="s">
        <v>170</v>
      </c>
      <c r="D192" t="s">
        <v>171</v>
      </c>
      <c r="E192" t="s">
        <v>109</v>
      </c>
      <c r="F192" t="s">
        <v>114</v>
      </c>
      <c r="G192">
        <v>0</v>
      </c>
    </row>
    <row r="193" spans="1:7" x14ac:dyDescent="0.3">
      <c r="A193">
        <v>2019</v>
      </c>
      <c r="B193" t="s">
        <v>18</v>
      </c>
      <c r="C193" t="s">
        <v>170</v>
      </c>
      <c r="D193" t="s">
        <v>171</v>
      </c>
      <c r="E193" t="s">
        <v>110</v>
      </c>
      <c r="F193" t="s">
        <v>114</v>
      </c>
      <c r="G193">
        <v>0</v>
      </c>
    </row>
    <row r="194" spans="1:7" x14ac:dyDescent="0.3">
      <c r="A194">
        <v>2019</v>
      </c>
      <c r="B194" t="s">
        <v>19</v>
      </c>
      <c r="C194" t="s">
        <v>170</v>
      </c>
      <c r="D194" t="s">
        <v>171</v>
      </c>
      <c r="E194" t="s">
        <v>108</v>
      </c>
      <c r="F194" t="s">
        <v>114</v>
      </c>
      <c r="G194">
        <v>1</v>
      </c>
    </row>
    <row r="195" spans="1:7" x14ac:dyDescent="0.3">
      <c r="A195">
        <v>2019</v>
      </c>
      <c r="B195" t="s">
        <v>19</v>
      </c>
      <c r="C195" t="s">
        <v>170</v>
      </c>
      <c r="D195" t="s">
        <v>171</v>
      </c>
      <c r="E195" t="s">
        <v>91</v>
      </c>
      <c r="F195" t="s">
        <v>114</v>
      </c>
      <c r="G195">
        <v>1</v>
      </c>
    </row>
    <row r="196" spans="1:7" x14ac:dyDescent="0.3">
      <c r="A196">
        <v>2019</v>
      </c>
      <c r="B196" t="s">
        <v>19</v>
      </c>
      <c r="C196" t="s">
        <v>170</v>
      </c>
      <c r="D196" t="s">
        <v>171</v>
      </c>
      <c r="E196" t="s">
        <v>109</v>
      </c>
      <c r="F196" t="s">
        <v>114</v>
      </c>
      <c r="G196">
        <v>1</v>
      </c>
    </row>
    <row r="197" spans="1:7" x14ac:dyDescent="0.3">
      <c r="A197">
        <v>2019</v>
      </c>
      <c r="B197" t="s">
        <v>19</v>
      </c>
      <c r="C197" t="s">
        <v>170</v>
      </c>
      <c r="D197" t="s">
        <v>171</v>
      </c>
      <c r="E197" t="s">
        <v>110</v>
      </c>
      <c r="F197" t="s">
        <v>114</v>
      </c>
      <c r="G197">
        <v>0</v>
      </c>
    </row>
    <row r="198" spans="1:7" x14ac:dyDescent="0.3">
      <c r="A198">
        <v>2019</v>
      </c>
      <c r="B198" t="s">
        <v>20</v>
      </c>
      <c r="C198" t="s">
        <v>170</v>
      </c>
      <c r="D198" t="s">
        <v>171</v>
      </c>
      <c r="E198" t="s">
        <v>108</v>
      </c>
      <c r="F198" t="s">
        <v>114</v>
      </c>
      <c r="G198">
        <v>0</v>
      </c>
    </row>
    <row r="199" spans="1:7" x14ac:dyDescent="0.3">
      <c r="A199">
        <v>2019</v>
      </c>
      <c r="B199" t="s">
        <v>20</v>
      </c>
      <c r="C199" t="s">
        <v>170</v>
      </c>
      <c r="D199" t="s">
        <v>171</v>
      </c>
      <c r="E199" t="s">
        <v>91</v>
      </c>
      <c r="F199" t="s">
        <v>114</v>
      </c>
      <c r="G199">
        <v>0</v>
      </c>
    </row>
    <row r="200" spans="1:7" x14ac:dyDescent="0.3">
      <c r="A200">
        <v>2019</v>
      </c>
      <c r="B200" t="s">
        <v>20</v>
      </c>
      <c r="C200" t="s">
        <v>170</v>
      </c>
      <c r="D200" t="s">
        <v>171</v>
      </c>
      <c r="E200" t="s">
        <v>109</v>
      </c>
      <c r="F200" t="s">
        <v>114</v>
      </c>
      <c r="G200">
        <v>0</v>
      </c>
    </row>
    <row r="201" spans="1:7" x14ac:dyDescent="0.3">
      <c r="A201">
        <v>2019</v>
      </c>
      <c r="B201" t="s">
        <v>20</v>
      </c>
      <c r="C201" t="s">
        <v>170</v>
      </c>
      <c r="D201" t="s">
        <v>171</v>
      </c>
      <c r="E201" t="s">
        <v>110</v>
      </c>
      <c r="F201" t="s">
        <v>114</v>
      </c>
      <c r="G201">
        <v>0</v>
      </c>
    </row>
    <row r="202" spans="1:7" x14ac:dyDescent="0.3">
      <c r="A202">
        <v>2019</v>
      </c>
      <c r="B202" t="s">
        <v>21</v>
      </c>
      <c r="C202" t="s">
        <v>170</v>
      </c>
      <c r="D202" t="s">
        <v>171</v>
      </c>
      <c r="E202" t="s">
        <v>108</v>
      </c>
      <c r="F202" t="s">
        <v>114</v>
      </c>
      <c r="G202">
        <v>3</v>
      </c>
    </row>
    <row r="203" spans="1:7" x14ac:dyDescent="0.3">
      <c r="A203">
        <v>2019</v>
      </c>
      <c r="B203" t="s">
        <v>21</v>
      </c>
      <c r="C203" t="s">
        <v>170</v>
      </c>
      <c r="D203" t="s">
        <v>171</v>
      </c>
      <c r="E203" t="s">
        <v>91</v>
      </c>
      <c r="F203" t="s">
        <v>114</v>
      </c>
      <c r="G203">
        <v>0</v>
      </c>
    </row>
    <row r="204" spans="1:7" x14ac:dyDescent="0.3">
      <c r="A204">
        <v>2019</v>
      </c>
      <c r="B204" t="s">
        <v>21</v>
      </c>
      <c r="C204" t="s">
        <v>170</v>
      </c>
      <c r="D204" t="s">
        <v>171</v>
      </c>
      <c r="E204" t="s">
        <v>109</v>
      </c>
      <c r="F204" t="s">
        <v>114</v>
      </c>
      <c r="G204">
        <v>0</v>
      </c>
    </row>
    <row r="205" spans="1:7" x14ac:dyDescent="0.3">
      <c r="A205">
        <v>2019</v>
      </c>
      <c r="B205" t="s">
        <v>21</v>
      </c>
      <c r="C205" t="s">
        <v>170</v>
      </c>
      <c r="D205" t="s">
        <v>171</v>
      </c>
      <c r="E205" t="s">
        <v>110</v>
      </c>
      <c r="F205" t="s">
        <v>114</v>
      </c>
      <c r="G205">
        <v>0</v>
      </c>
    </row>
    <row r="206" spans="1:7" x14ac:dyDescent="0.3">
      <c r="A206">
        <v>2019</v>
      </c>
      <c r="B206" t="s">
        <v>22</v>
      </c>
      <c r="C206" t="s">
        <v>170</v>
      </c>
      <c r="D206" t="s">
        <v>171</v>
      </c>
      <c r="E206" t="s">
        <v>108</v>
      </c>
      <c r="F206" t="s">
        <v>114</v>
      </c>
      <c r="G206">
        <v>0</v>
      </c>
    </row>
    <row r="207" spans="1:7" x14ac:dyDescent="0.3">
      <c r="A207">
        <v>2019</v>
      </c>
      <c r="B207" t="s">
        <v>22</v>
      </c>
      <c r="C207" t="s">
        <v>170</v>
      </c>
      <c r="D207" t="s">
        <v>171</v>
      </c>
      <c r="E207" t="s">
        <v>91</v>
      </c>
      <c r="F207" t="s">
        <v>114</v>
      </c>
      <c r="G207">
        <v>0</v>
      </c>
    </row>
    <row r="208" spans="1:7" x14ac:dyDescent="0.3">
      <c r="A208">
        <v>2019</v>
      </c>
      <c r="B208" t="s">
        <v>22</v>
      </c>
      <c r="C208" t="s">
        <v>170</v>
      </c>
      <c r="D208" t="s">
        <v>171</v>
      </c>
      <c r="E208" t="s">
        <v>109</v>
      </c>
      <c r="F208" t="s">
        <v>114</v>
      </c>
      <c r="G208">
        <v>0</v>
      </c>
    </row>
    <row r="209" spans="1:7" x14ac:dyDescent="0.3">
      <c r="A209">
        <v>2019</v>
      </c>
      <c r="B209" t="s">
        <v>22</v>
      </c>
      <c r="C209" t="s">
        <v>170</v>
      </c>
      <c r="D209" t="s">
        <v>171</v>
      </c>
      <c r="E209" t="s">
        <v>110</v>
      </c>
      <c r="F209" t="s">
        <v>114</v>
      </c>
      <c r="G209">
        <v>0</v>
      </c>
    </row>
    <row r="210" spans="1:7" x14ac:dyDescent="0.3">
      <c r="A210">
        <v>2019</v>
      </c>
      <c r="B210" t="s">
        <v>23</v>
      </c>
      <c r="C210" t="s">
        <v>170</v>
      </c>
      <c r="D210" t="s">
        <v>171</v>
      </c>
      <c r="E210" t="s">
        <v>108</v>
      </c>
      <c r="F210" t="s">
        <v>114</v>
      </c>
      <c r="G210">
        <v>0</v>
      </c>
    </row>
    <row r="211" spans="1:7" x14ac:dyDescent="0.3">
      <c r="A211">
        <v>2019</v>
      </c>
      <c r="B211" t="s">
        <v>23</v>
      </c>
      <c r="C211" t="s">
        <v>170</v>
      </c>
      <c r="D211" t="s">
        <v>171</v>
      </c>
      <c r="E211" t="s">
        <v>91</v>
      </c>
      <c r="F211" t="s">
        <v>114</v>
      </c>
      <c r="G211">
        <v>0</v>
      </c>
    </row>
    <row r="212" spans="1:7" x14ac:dyDescent="0.3">
      <c r="A212">
        <v>2019</v>
      </c>
      <c r="B212" t="s">
        <v>23</v>
      </c>
      <c r="C212" t="s">
        <v>170</v>
      </c>
      <c r="D212" t="s">
        <v>171</v>
      </c>
      <c r="E212" t="s">
        <v>109</v>
      </c>
      <c r="F212" t="s">
        <v>114</v>
      </c>
      <c r="G212">
        <v>0</v>
      </c>
    </row>
    <row r="213" spans="1:7" x14ac:dyDescent="0.3">
      <c r="A213">
        <v>2019</v>
      </c>
      <c r="B213" t="s">
        <v>23</v>
      </c>
      <c r="C213" t="s">
        <v>170</v>
      </c>
      <c r="D213" t="s">
        <v>171</v>
      </c>
      <c r="E213" t="s">
        <v>110</v>
      </c>
      <c r="F213" t="s">
        <v>114</v>
      </c>
      <c r="G213">
        <v>0</v>
      </c>
    </row>
    <row r="214" spans="1:7" x14ac:dyDescent="0.3">
      <c r="A214">
        <v>2019</v>
      </c>
      <c r="B214" t="s">
        <v>24</v>
      </c>
      <c r="C214" t="s">
        <v>170</v>
      </c>
      <c r="D214" t="s">
        <v>171</v>
      </c>
      <c r="E214" t="s">
        <v>108</v>
      </c>
      <c r="F214" t="s">
        <v>114</v>
      </c>
      <c r="G214">
        <v>0</v>
      </c>
    </row>
    <row r="215" spans="1:7" x14ac:dyDescent="0.3">
      <c r="A215">
        <v>2019</v>
      </c>
      <c r="B215" t="s">
        <v>24</v>
      </c>
      <c r="C215" t="s">
        <v>170</v>
      </c>
      <c r="D215" t="s">
        <v>171</v>
      </c>
      <c r="E215" t="s">
        <v>91</v>
      </c>
      <c r="F215" t="s">
        <v>114</v>
      </c>
      <c r="G215">
        <v>0</v>
      </c>
    </row>
    <row r="216" spans="1:7" x14ac:dyDescent="0.3">
      <c r="A216">
        <v>2019</v>
      </c>
      <c r="B216" t="s">
        <v>24</v>
      </c>
      <c r="C216" t="s">
        <v>170</v>
      </c>
      <c r="D216" t="s">
        <v>171</v>
      </c>
      <c r="E216" t="s">
        <v>109</v>
      </c>
      <c r="F216" t="s">
        <v>114</v>
      </c>
      <c r="G216">
        <v>0</v>
      </c>
    </row>
    <row r="217" spans="1:7" x14ac:dyDescent="0.3">
      <c r="A217">
        <v>2019</v>
      </c>
      <c r="B217" t="s">
        <v>24</v>
      </c>
      <c r="C217" t="s">
        <v>170</v>
      </c>
      <c r="D217" t="s">
        <v>171</v>
      </c>
      <c r="E217" t="s">
        <v>110</v>
      </c>
      <c r="F217" t="s">
        <v>114</v>
      </c>
      <c r="G217">
        <v>0</v>
      </c>
    </row>
    <row r="218" spans="1:7" x14ac:dyDescent="0.3">
      <c r="A218">
        <v>2019</v>
      </c>
      <c r="B218" t="s">
        <v>25</v>
      </c>
      <c r="C218" t="s">
        <v>170</v>
      </c>
      <c r="D218" t="s">
        <v>171</v>
      </c>
      <c r="E218" t="s">
        <v>108</v>
      </c>
      <c r="F218" t="s">
        <v>114</v>
      </c>
      <c r="G218">
        <v>0</v>
      </c>
    </row>
    <row r="219" spans="1:7" x14ac:dyDescent="0.3">
      <c r="A219">
        <v>2019</v>
      </c>
      <c r="B219" t="s">
        <v>25</v>
      </c>
      <c r="C219" t="s">
        <v>170</v>
      </c>
      <c r="D219" t="s">
        <v>171</v>
      </c>
      <c r="E219" t="s">
        <v>91</v>
      </c>
      <c r="F219" t="s">
        <v>114</v>
      </c>
      <c r="G219">
        <v>0</v>
      </c>
    </row>
    <row r="220" spans="1:7" x14ac:dyDescent="0.3">
      <c r="A220">
        <v>2019</v>
      </c>
      <c r="B220" t="s">
        <v>25</v>
      </c>
      <c r="C220" t="s">
        <v>170</v>
      </c>
      <c r="D220" t="s">
        <v>171</v>
      </c>
      <c r="E220" t="s">
        <v>109</v>
      </c>
      <c r="F220" t="s">
        <v>114</v>
      </c>
      <c r="G220">
        <v>0</v>
      </c>
    </row>
    <row r="221" spans="1:7" x14ac:dyDescent="0.3">
      <c r="A221">
        <v>2019</v>
      </c>
      <c r="B221" t="s">
        <v>25</v>
      </c>
      <c r="C221" t="s">
        <v>170</v>
      </c>
      <c r="D221" t="s">
        <v>171</v>
      </c>
      <c r="E221" t="s">
        <v>110</v>
      </c>
      <c r="F221" t="s">
        <v>114</v>
      </c>
      <c r="G221">
        <v>0</v>
      </c>
    </row>
    <row r="222" spans="1:7" x14ac:dyDescent="0.3">
      <c r="A222">
        <v>2019</v>
      </c>
      <c r="B222" t="s">
        <v>26</v>
      </c>
      <c r="C222" t="s">
        <v>170</v>
      </c>
      <c r="D222" t="s">
        <v>171</v>
      </c>
      <c r="E222" t="s">
        <v>108</v>
      </c>
      <c r="F222" t="s">
        <v>114</v>
      </c>
      <c r="G222">
        <v>2</v>
      </c>
    </row>
    <row r="223" spans="1:7" x14ac:dyDescent="0.3">
      <c r="A223">
        <v>2019</v>
      </c>
      <c r="B223" t="s">
        <v>26</v>
      </c>
      <c r="C223" t="s">
        <v>170</v>
      </c>
      <c r="D223" t="s">
        <v>171</v>
      </c>
      <c r="E223" t="s">
        <v>91</v>
      </c>
      <c r="F223" t="s">
        <v>114</v>
      </c>
      <c r="G223">
        <v>0</v>
      </c>
    </row>
    <row r="224" spans="1:7" x14ac:dyDescent="0.3">
      <c r="A224">
        <v>2019</v>
      </c>
      <c r="B224" t="s">
        <v>26</v>
      </c>
      <c r="C224" t="s">
        <v>170</v>
      </c>
      <c r="D224" t="s">
        <v>171</v>
      </c>
      <c r="E224" t="s">
        <v>109</v>
      </c>
      <c r="F224" t="s">
        <v>114</v>
      </c>
      <c r="G224">
        <v>3</v>
      </c>
    </row>
    <row r="225" spans="1:7" x14ac:dyDescent="0.3">
      <c r="A225">
        <v>2019</v>
      </c>
      <c r="B225" t="s">
        <v>26</v>
      </c>
      <c r="C225" t="s">
        <v>170</v>
      </c>
      <c r="D225" t="s">
        <v>171</v>
      </c>
      <c r="E225" t="s">
        <v>110</v>
      </c>
      <c r="F225" t="s">
        <v>114</v>
      </c>
      <c r="G225">
        <v>0</v>
      </c>
    </row>
    <row r="226" spans="1:7" x14ac:dyDescent="0.3">
      <c r="A226">
        <v>2019</v>
      </c>
      <c r="B226" t="s">
        <v>27</v>
      </c>
      <c r="C226" t="s">
        <v>170</v>
      </c>
      <c r="D226" t="s">
        <v>171</v>
      </c>
      <c r="E226" t="s">
        <v>108</v>
      </c>
      <c r="F226" t="s">
        <v>114</v>
      </c>
      <c r="G226">
        <v>2</v>
      </c>
    </row>
    <row r="227" spans="1:7" x14ac:dyDescent="0.3">
      <c r="A227">
        <v>2019</v>
      </c>
      <c r="B227" t="s">
        <v>27</v>
      </c>
      <c r="C227" t="s">
        <v>170</v>
      </c>
      <c r="D227" t="s">
        <v>171</v>
      </c>
      <c r="E227" t="s">
        <v>91</v>
      </c>
      <c r="F227" t="s">
        <v>114</v>
      </c>
      <c r="G227">
        <v>0</v>
      </c>
    </row>
    <row r="228" spans="1:7" x14ac:dyDescent="0.3">
      <c r="A228">
        <v>2019</v>
      </c>
      <c r="B228" t="s">
        <v>27</v>
      </c>
      <c r="C228" t="s">
        <v>170</v>
      </c>
      <c r="D228" t="s">
        <v>171</v>
      </c>
      <c r="E228" t="s">
        <v>109</v>
      </c>
      <c r="F228" t="s">
        <v>114</v>
      </c>
      <c r="G228">
        <v>1</v>
      </c>
    </row>
    <row r="229" spans="1:7" x14ac:dyDescent="0.3">
      <c r="A229">
        <v>2019</v>
      </c>
      <c r="B229" t="s">
        <v>27</v>
      </c>
      <c r="C229" t="s">
        <v>170</v>
      </c>
      <c r="D229" t="s">
        <v>171</v>
      </c>
      <c r="E229" t="s">
        <v>110</v>
      </c>
      <c r="F229" t="s">
        <v>114</v>
      </c>
      <c r="G229">
        <v>0</v>
      </c>
    </row>
    <row r="230" spans="1:7" x14ac:dyDescent="0.3">
      <c r="A230">
        <v>2019</v>
      </c>
      <c r="B230" t="s">
        <v>29</v>
      </c>
      <c r="C230" t="s">
        <v>170</v>
      </c>
      <c r="D230" t="s">
        <v>171</v>
      </c>
      <c r="E230" t="s">
        <v>108</v>
      </c>
      <c r="F230" t="s">
        <v>114</v>
      </c>
      <c r="G230">
        <v>0</v>
      </c>
    </row>
    <row r="231" spans="1:7" x14ac:dyDescent="0.3">
      <c r="A231">
        <v>2019</v>
      </c>
      <c r="B231" t="s">
        <v>29</v>
      </c>
      <c r="C231" t="s">
        <v>170</v>
      </c>
      <c r="D231" t="s">
        <v>171</v>
      </c>
      <c r="E231" t="s">
        <v>91</v>
      </c>
      <c r="F231" t="s">
        <v>114</v>
      </c>
      <c r="G231">
        <v>0</v>
      </c>
    </row>
    <row r="232" spans="1:7" x14ac:dyDescent="0.3">
      <c r="A232">
        <v>2019</v>
      </c>
      <c r="B232" t="s">
        <v>29</v>
      </c>
      <c r="C232" t="s">
        <v>170</v>
      </c>
      <c r="D232" t="s">
        <v>171</v>
      </c>
      <c r="E232" t="s">
        <v>109</v>
      </c>
      <c r="F232" t="s">
        <v>114</v>
      </c>
      <c r="G232">
        <v>0</v>
      </c>
    </row>
    <row r="233" spans="1:7" x14ac:dyDescent="0.3">
      <c r="A233">
        <v>2019</v>
      </c>
      <c r="B233" t="s">
        <v>29</v>
      </c>
      <c r="C233" t="s">
        <v>170</v>
      </c>
      <c r="D233" t="s">
        <v>171</v>
      </c>
      <c r="E233" t="s">
        <v>110</v>
      </c>
      <c r="F233" t="s">
        <v>114</v>
      </c>
      <c r="G233">
        <v>0</v>
      </c>
    </row>
    <row r="234" spans="1:7" x14ac:dyDescent="0.3">
      <c r="A234">
        <v>2019</v>
      </c>
      <c r="B234" t="s">
        <v>30</v>
      </c>
      <c r="C234" t="s">
        <v>170</v>
      </c>
      <c r="D234" t="s">
        <v>171</v>
      </c>
      <c r="E234" t="s">
        <v>108</v>
      </c>
      <c r="F234" t="s">
        <v>114</v>
      </c>
      <c r="G234">
        <v>1</v>
      </c>
    </row>
    <row r="235" spans="1:7" x14ac:dyDescent="0.3">
      <c r="A235">
        <v>2019</v>
      </c>
      <c r="B235" t="s">
        <v>30</v>
      </c>
      <c r="C235" t="s">
        <v>170</v>
      </c>
      <c r="D235" t="s">
        <v>171</v>
      </c>
      <c r="E235" t="s">
        <v>91</v>
      </c>
      <c r="F235" t="s">
        <v>114</v>
      </c>
      <c r="G235">
        <v>0</v>
      </c>
    </row>
    <row r="236" spans="1:7" x14ac:dyDescent="0.3">
      <c r="A236">
        <v>2019</v>
      </c>
      <c r="B236" t="s">
        <v>30</v>
      </c>
      <c r="C236" t="s">
        <v>170</v>
      </c>
      <c r="D236" t="s">
        <v>171</v>
      </c>
      <c r="E236" t="s">
        <v>109</v>
      </c>
      <c r="F236" t="s">
        <v>114</v>
      </c>
      <c r="G236">
        <v>0</v>
      </c>
    </row>
    <row r="237" spans="1:7" x14ac:dyDescent="0.3">
      <c r="A237">
        <v>2019</v>
      </c>
      <c r="B237" t="s">
        <v>30</v>
      </c>
      <c r="C237" t="s">
        <v>170</v>
      </c>
      <c r="D237" t="s">
        <v>171</v>
      </c>
      <c r="E237" t="s">
        <v>110</v>
      </c>
      <c r="F237" t="s">
        <v>114</v>
      </c>
      <c r="G237">
        <v>0</v>
      </c>
    </row>
    <row r="238" spans="1:7" x14ac:dyDescent="0.3">
      <c r="A238">
        <v>2019</v>
      </c>
      <c r="B238" t="s">
        <v>31</v>
      </c>
      <c r="C238" t="s">
        <v>170</v>
      </c>
      <c r="D238" t="s">
        <v>171</v>
      </c>
      <c r="E238" t="s">
        <v>108</v>
      </c>
      <c r="F238" t="s">
        <v>114</v>
      </c>
      <c r="G238">
        <v>2</v>
      </c>
    </row>
    <row r="239" spans="1:7" x14ac:dyDescent="0.3">
      <c r="A239">
        <v>2019</v>
      </c>
      <c r="B239" t="s">
        <v>31</v>
      </c>
      <c r="C239" t="s">
        <v>170</v>
      </c>
      <c r="D239" t="s">
        <v>171</v>
      </c>
      <c r="E239" t="s">
        <v>91</v>
      </c>
      <c r="F239" t="s">
        <v>114</v>
      </c>
      <c r="G239">
        <v>0</v>
      </c>
    </row>
    <row r="240" spans="1:7" x14ac:dyDescent="0.3">
      <c r="A240">
        <v>2019</v>
      </c>
      <c r="B240" t="s">
        <v>31</v>
      </c>
      <c r="C240" t="s">
        <v>170</v>
      </c>
      <c r="D240" t="s">
        <v>171</v>
      </c>
      <c r="E240" t="s">
        <v>109</v>
      </c>
      <c r="F240" t="s">
        <v>114</v>
      </c>
      <c r="G240">
        <v>0</v>
      </c>
    </row>
    <row r="241" spans="1:7" x14ac:dyDescent="0.3">
      <c r="A241">
        <v>2019</v>
      </c>
      <c r="B241" t="s">
        <v>31</v>
      </c>
      <c r="C241" t="s">
        <v>170</v>
      </c>
      <c r="D241" t="s">
        <v>171</v>
      </c>
      <c r="E241" t="s">
        <v>110</v>
      </c>
      <c r="F241" t="s">
        <v>114</v>
      </c>
      <c r="G241">
        <v>0</v>
      </c>
    </row>
    <row r="242" spans="1:7" x14ac:dyDescent="0.3">
      <c r="A242">
        <v>2019</v>
      </c>
      <c r="B242" t="s">
        <v>32</v>
      </c>
      <c r="C242" t="s">
        <v>170</v>
      </c>
      <c r="D242" t="s">
        <v>171</v>
      </c>
      <c r="E242" t="s">
        <v>108</v>
      </c>
      <c r="F242" t="s">
        <v>114</v>
      </c>
      <c r="G242">
        <v>2</v>
      </c>
    </row>
    <row r="243" spans="1:7" x14ac:dyDescent="0.3">
      <c r="A243">
        <v>2019</v>
      </c>
      <c r="B243" t="s">
        <v>32</v>
      </c>
      <c r="C243" t="s">
        <v>170</v>
      </c>
      <c r="D243" t="s">
        <v>171</v>
      </c>
      <c r="E243" t="s">
        <v>91</v>
      </c>
      <c r="F243" t="s">
        <v>114</v>
      </c>
      <c r="G243">
        <v>1</v>
      </c>
    </row>
    <row r="244" spans="1:7" x14ac:dyDescent="0.3">
      <c r="A244">
        <v>2019</v>
      </c>
      <c r="B244" t="s">
        <v>32</v>
      </c>
      <c r="C244" t="s">
        <v>170</v>
      </c>
      <c r="D244" t="s">
        <v>171</v>
      </c>
      <c r="E244" t="s">
        <v>109</v>
      </c>
      <c r="F244" t="s">
        <v>114</v>
      </c>
      <c r="G244">
        <v>0</v>
      </c>
    </row>
    <row r="245" spans="1:7" x14ac:dyDescent="0.3">
      <c r="A245">
        <v>2019</v>
      </c>
      <c r="B245" t="s">
        <v>32</v>
      </c>
      <c r="C245" t="s">
        <v>170</v>
      </c>
      <c r="D245" t="s">
        <v>171</v>
      </c>
      <c r="E245" t="s">
        <v>110</v>
      </c>
      <c r="F245" t="s">
        <v>114</v>
      </c>
      <c r="G245">
        <v>0</v>
      </c>
    </row>
    <row r="246" spans="1:7" x14ac:dyDescent="0.3">
      <c r="A246">
        <v>2019</v>
      </c>
      <c r="B246" t="s">
        <v>63</v>
      </c>
      <c r="C246" t="s">
        <v>170</v>
      </c>
      <c r="D246" t="s">
        <v>171</v>
      </c>
      <c r="E246" t="s">
        <v>108</v>
      </c>
      <c r="F246" t="s">
        <v>114</v>
      </c>
      <c r="G246">
        <v>0</v>
      </c>
    </row>
    <row r="247" spans="1:7" x14ac:dyDescent="0.3">
      <c r="A247">
        <v>2019</v>
      </c>
      <c r="B247" t="s">
        <v>63</v>
      </c>
      <c r="C247" t="s">
        <v>170</v>
      </c>
      <c r="D247" t="s">
        <v>171</v>
      </c>
      <c r="E247" t="s">
        <v>91</v>
      </c>
      <c r="F247" t="s">
        <v>114</v>
      </c>
      <c r="G247">
        <v>19</v>
      </c>
    </row>
    <row r="248" spans="1:7" x14ac:dyDescent="0.3">
      <c r="A248">
        <v>2019</v>
      </c>
      <c r="B248" t="s">
        <v>63</v>
      </c>
      <c r="C248" t="s">
        <v>170</v>
      </c>
      <c r="D248" t="s">
        <v>171</v>
      </c>
      <c r="E248" t="s">
        <v>109</v>
      </c>
      <c r="F248" t="s">
        <v>114</v>
      </c>
      <c r="G248">
        <v>3</v>
      </c>
    </row>
    <row r="249" spans="1:7" x14ac:dyDescent="0.3">
      <c r="A249">
        <v>2019</v>
      </c>
      <c r="B249" t="s">
        <v>63</v>
      </c>
      <c r="C249" t="s">
        <v>170</v>
      </c>
      <c r="D249" t="s">
        <v>171</v>
      </c>
      <c r="E249" t="s">
        <v>110</v>
      </c>
      <c r="F249" t="s">
        <v>114</v>
      </c>
      <c r="G249">
        <v>0</v>
      </c>
    </row>
    <row r="250" spans="1:7" x14ac:dyDescent="0.3">
      <c r="A250">
        <v>2019</v>
      </c>
      <c r="B250" t="s">
        <v>57</v>
      </c>
      <c r="C250" t="s">
        <v>170</v>
      </c>
      <c r="D250" t="s">
        <v>171</v>
      </c>
      <c r="E250" t="s">
        <v>108</v>
      </c>
      <c r="F250" t="s">
        <v>114</v>
      </c>
      <c r="G250">
        <v>0</v>
      </c>
    </row>
    <row r="251" spans="1:7" x14ac:dyDescent="0.3">
      <c r="A251">
        <v>2019</v>
      </c>
      <c r="B251" t="s">
        <v>57</v>
      </c>
      <c r="C251" t="s">
        <v>170</v>
      </c>
      <c r="D251" t="s">
        <v>171</v>
      </c>
      <c r="E251" t="s">
        <v>91</v>
      </c>
      <c r="F251" t="s">
        <v>114</v>
      </c>
      <c r="G251">
        <v>2</v>
      </c>
    </row>
    <row r="252" spans="1:7" x14ac:dyDescent="0.3">
      <c r="A252">
        <v>2019</v>
      </c>
      <c r="B252" t="s">
        <v>57</v>
      </c>
      <c r="C252" t="s">
        <v>170</v>
      </c>
      <c r="D252" t="s">
        <v>171</v>
      </c>
      <c r="E252" t="s">
        <v>109</v>
      </c>
      <c r="F252" t="s">
        <v>114</v>
      </c>
      <c r="G252">
        <v>0</v>
      </c>
    </row>
    <row r="253" spans="1:7" x14ac:dyDescent="0.3">
      <c r="A253">
        <v>2019</v>
      </c>
      <c r="B253" t="s">
        <v>57</v>
      </c>
      <c r="C253" t="s">
        <v>170</v>
      </c>
      <c r="D253" t="s">
        <v>171</v>
      </c>
      <c r="E253" t="s">
        <v>110</v>
      </c>
      <c r="F253" t="s">
        <v>114</v>
      </c>
      <c r="G253">
        <v>0</v>
      </c>
    </row>
    <row r="254" spans="1:7" x14ac:dyDescent="0.3">
      <c r="A254">
        <v>2019</v>
      </c>
      <c r="B254" t="s">
        <v>33</v>
      </c>
      <c r="C254" t="s">
        <v>170</v>
      </c>
      <c r="D254" t="s">
        <v>171</v>
      </c>
      <c r="E254" t="s">
        <v>108</v>
      </c>
      <c r="F254" t="s">
        <v>114</v>
      </c>
      <c r="G254">
        <v>4</v>
      </c>
    </row>
    <row r="255" spans="1:7" x14ac:dyDescent="0.3">
      <c r="A255">
        <v>2019</v>
      </c>
      <c r="B255" t="s">
        <v>33</v>
      </c>
      <c r="C255" t="s">
        <v>170</v>
      </c>
      <c r="D255" t="s">
        <v>171</v>
      </c>
      <c r="E255" t="s">
        <v>91</v>
      </c>
      <c r="F255" t="s">
        <v>114</v>
      </c>
      <c r="G255">
        <v>0</v>
      </c>
    </row>
    <row r="256" spans="1:7" x14ac:dyDescent="0.3">
      <c r="A256">
        <v>2019</v>
      </c>
      <c r="B256" t="s">
        <v>33</v>
      </c>
      <c r="C256" t="s">
        <v>170</v>
      </c>
      <c r="D256" t="s">
        <v>171</v>
      </c>
      <c r="E256" t="s">
        <v>109</v>
      </c>
      <c r="F256" t="s">
        <v>114</v>
      </c>
      <c r="G256">
        <v>0</v>
      </c>
    </row>
    <row r="257" spans="1:7" x14ac:dyDescent="0.3">
      <c r="A257">
        <v>2019</v>
      </c>
      <c r="B257" t="s">
        <v>33</v>
      </c>
      <c r="C257" t="s">
        <v>170</v>
      </c>
      <c r="D257" t="s">
        <v>171</v>
      </c>
      <c r="E257" t="s">
        <v>110</v>
      </c>
      <c r="F257" t="s">
        <v>114</v>
      </c>
      <c r="G257">
        <v>0</v>
      </c>
    </row>
    <row r="258" spans="1:7" x14ac:dyDescent="0.3">
      <c r="A258">
        <v>2019</v>
      </c>
      <c r="B258" t="s">
        <v>34</v>
      </c>
      <c r="C258" t="s">
        <v>170</v>
      </c>
      <c r="D258" t="s">
        <v>171</v>
      </c>
      <c r="E258" t="s">
        <v>108</v>
      </c>
      <c r="F258" t="s">
        <v>114</v>
      </c>
      <c r="G258">
        <v>2</v>
      </c>
    </row>
    <row r="259" spans="1:7" x14ac:dyDescent="0.3">
      <c r="A259">
        <v>2019</v>
      </c>
      <c r="B259" t="s">
        <v>34</v>
      </c>
      <c r="C259" t="s">
        <v>170</v>
      </c>
      <c r="D259" t="s">
        <v>171</v>
      </c>
      <c r="E259" t="s">
        <v>91</v>
      </c>
      <c r="F259" t="s">
        <v>114</v>
      </c>
      <c r="G259">
        <v>0</v>
      </c>
    </row>
    <row r="260" spans="1:7" x14ac:dyDescent="0.3">
      <c r="A260">
        <v>2019</v>
      </c>
      <c r="B260" t="s">
        <v>34</v>
      </c>
      <c r="C260" t="s">
        <v>170</v>
      </c>
      <c r="D260" t="s">
        <v>171</v>
      </c>
      <c r="E260" t="s">
        <v>109</v>
      </c>
      <c r="F260" t="s">
        <v>114</v>
      </c>
      <c r="G260">
        <v>2</v>
      </c>
    </row>
    <row r="261" spans="1:7" x14ac:dyDescent="0.3">
      <c r="A261">
        <v>2019</v>
      </c>
      <c r="B261" t="s">
        <v>34</v>
      </c>
      <c r="C261" t="s">
        <v>170</v>
      </c>
      <c r="D261" t="s">
        <v>171</v>
      </c>
      <c r="E261" t="s">
        <v>110</v>
      </c>
      <c r="F261" t="s">
        <v>114</v>
      </c>
      <c r="G261">
        <v>0</v>
      </c>
    </row>
    <row r="262" spans="1:7" x14ac:dyDescent="0.3">
      <c r="A262">
        <v>2019</v>
      </c>
      <c r="B262" t="s">
        <v>35</v>
      </c>
      <c r="C262" t="s">
        <v>170</v>
      </c>
      <c r="D262" t="s">
        <v>171</v>
      </c>
      <c r="E262" t="s">
        <v>108</v>
      </c>
      <c r="F262" t="s">
        <v>114</v>
      </c>
      <c r="G262">
        <v>0</v>
      </c>
    </row>
    <row r="263" spans="1:7" x14ac:dyDescent="0.3">
      <c r="A263">
        <v>2019</v>
      </c>
      <c r="B263" t="s">
        <v>35</v>
      </c>
      <c r="C263" t="s">
        <v>170</v>
      </c>
      <c r="D263" t="s">
        <v>171</v>
      </c>
      <c r="E263" t="s">
        <v>91</v>
      </c>
      <c r="F263" t="s">
        <v>114</v>
      </c>
      <c r="G263">
        <v>0</v>
      </c>
    </row>
    <row r="264" spans="1:7" x14ac:dyDescent="0.3">
      <c r="A264">
        <v>2019</v>
      </c>
      <c r="B264" t="s">
        <v>35</v>
      </c>
      <c r="C264" t="s">
        <v>170</v>
      </c>
      <c r="D264" t="s">
        <v>171</v>
      </c>
      <c r="E264" t="s">
        <v>109</v>
      </c>
      <c r="F264" t="s">
        <v>114</v>
      </c>
      <c r="G264">
        <v>0</v>
      </c>
    </row>
    <row r="265" spans="1:7" x14ac:dyDescent="0.3">
      <c r="A265">
        <v>2019</v>
      </c>
      <c r="B265" t="s">
        <v>35</v>
      </c>
      <c r="C265" t="s">
        <v>170</v>
      </c>
      <c r="D265" t="s">
        <v>171</v>
      </c>
      <c r="E265" t="s">
        <v>110</v>
      </c>
      <c r="F265" t="s">
        <v>114</v>
      </c>
      <c r="G265">
        <v>0</v>
      </c>
    </row>
    <row r="266" spans="1:7" x14ac:dyDescent="0.3">
      <c r="A266">
        <v>2019</v>
      </c>
      <c r="B266" t="s">
        <v>36</v>
      </c>
      <c r="C266" t="s">
        <v>170</v>
      </c>
      <c r="D266" t="s">
        <v>171</v>
      </c>
      <c r="E266" t="s">
        <v>108</v>
      </c>
      <c r="F266" t="s">
        <v>114</v>
      </c>
      <c r="G266">
        <v>2</v>
      </c>
    </row>
    <row r="267" spans="1:7" x14ac:dyDescent="0.3">
      <c r="A267">
        <v>2019</v>
      </c>
      <c r="B267" t="s">
        <v>36</v>
      </c>
      <c r="C267" t="s">
        <v>170</v>
      </c>
      <c r="D267" t="s">
        <v>171</v>
      </c>
      <c r="E267" t="s">
        <v>91</v>
      </c>
      <c r="F267" t="s">
        <v>114</v>
      </c>
      <c r="G267">
        <v>0</v>
      </c>
    </row>
    <row r="268" spans="1:7" x14ac:dyDescent="0.3">
      <c r="A268">
        <v>2019</v>
      </c>
      <c r="B268" t="s">
        <v>36</v>
      </c>
      <c r="C268" t="s">
        <v>170</v>
      </c>
      <c r="D268" t="s">
        <v>171</v>
      </c>
      <c r="E268" t="s">
        <v>109</v>
      </c>
      <c r="F268" t="s">
        <v>114</v>
      </c>
      <c r="G268">
        <v>0</v>
      </c>
    </row>
    <row r="269" spans="1:7" x14ac:dyDescent="0.3">
      <c r="A269">
        <v>2019</v>
      </c>
      <c r="B269" t="s">
        <v>36</v>
      </c>
      <c r="C269" t="s">
        <v>170</v>
      </c>
      <c r="D269" t="s">
        <v>171</v>
      </c>
      <c r="E269" t="s">
        <v>110</v>
      </c>
      <c r="F269" t="s">
        <v>114</v>
      </c>
      <c r="G269">
        <v>0</v>
      </c>
    </row>
    <row r="270" spans="1:7" x14ac:dyDescent="0.3">
      <c r="A270">
        <v>2019</v>
      </c>
      <c r="B270" t="s">
        <v>37</v>
      </c>
      <c r="C270" t="s">
        <v>170</v>
      </c>
      <c r="D270" t="s">
        <v>171</v>
      </c>
      <c r="E270" t="s">
        <v>108</v>
      </c>
      <c r="F270" t="s">
        <v>114</v>
      </c>
      <c r="G270">
        <v>0</v>
      </c>
    </row>
    <row r="271" spans="1:7" x14ac:dyDescent="0.3">
      <c r="A271">
        <v>2019</v>
      </c>
      <c r="B271" t="s">
        <v>37</v>
      </c>
      <c r="C271" t="s">
        <v>170</v>
      </c>
      <c r="D271" t="s">
        <v>171</v>
      </c>
      <c r="E271" t="s">
        <v>91</v>
      </c>
      <c r="F271" t="s">
        <v>114</v>
      </c>
      <c r="G271">
        <v>0</v>
      </c>
    </row>
    <row r="272" spans="1:7" x14ac:dyDescent="0.3">
      <c r="A272">
        <v>2019</v>
      </c>
      <c r="B272" t="s">
        <v>37</v>
      </c>
      <c r="C272" t="s">
        <v>170</v>
      </c>
      <c r="D272" t="s">
        <v>171</v>
      </c>
      <c r="E272" t="s">
        <v>109</v>
      </c>
      <c r="F272" t="s">
        <v>114</v>
      </c>
      <c r="G272">
        <v>0</v>
      </c>
    </row>
    <row r="273" spans="1:7" x14ac:dyDescent="0.3">
      <c r="A273">
        <v>2019</v>
      </c>
      <c r="B273" t="s">
        <v>37</v>
      </c>
      <c r="C273" t="s">
        <v>170</v>
      </c>
      <c r="D273" t="s">
        <v>171</v>
      </c>
      <c r="E273" t="s">
        <v>110</v>
      </c>
      <c r="F273" t="s">
        <v>114</v>
      </c>
      <c r="G273">
        <v>0</v>
      </c>
    </row>
    <row r="274" spans="1:7" x14ac:dyDescent="0.3">
      <c r="A274">
        <v>2019</v>
      </c>
      <c r="B274" t="s">
        <v>55</v>
      </c>
      <c r="C274" t="s">
        <v>170</v>
      </c>
      <c r="D274" t="s">
        <v>171</v>
      </c>
      <c r="E274" t="s">
        <v>108</v>
      </c>
      <c r="F274" t="s">
        <v>114</v>
      </c>
      <c r="G274">
        <v>0</v>
      </c>
    </row>
    <row r="275" spans="1:7" x14ac:dyDescent="0.3">
      <c r="A275">
        <v>2019</v>
      </c>
      <c r="B275" t="s">
        <v>55</v>
      </c>
      <c r="C275" t="s">
        <v>170</v>
      </c>
      <c r="D275" t="s">
        <v>171</v>
      </c>
      <c r="E275" t="s">
        <v>91</v>
      </c>
      <c r="F275" t="s">
        <v>114</v>
      </c>
      <c r="G275">
        <v>0</v>
      </c>
    </row>
    <row r="276" spans="1:7" x14ac:dyDescent="0.3">
      <c r="A276">
        <v>2019</v>
      </c>
      <c r="B276" t="s">
        <v>55</v>
      </c>
      <c r="C276" t="s">
        <v>170</v>
      </c>
      <c r="D276" t="s">
        <v>171</v>
      </c>
      <c r="E276" t="s">
        <v>109</v>
      </c>
      <c r="F276" t="s">
        <v>114</v>
      </c>
      <c r="G276">
        <v>0</v>
      </c>
    </row>
    <row r="277" spans="1:7" x14ac:dyDescent="0.3">
      <c r="A277">
        <v>2019</v>
      </c>
      <c r="B277" t="s">
        <v>55</v>
      </c>
      <c r="C277" t="s">
        <v>170</v>
      </c>
      <c r="D277" t="s">
        <v>171</v>
      </c>
      <c r="E277" t="s">
        <v>110</v>
      </c>
      <c r="F277" t="s">
        <v>114</v>
      </c>
      <c r="G277">
        <v>0</v>
      </c>
    </row>
    <row r="278" spans="1:7" x14ac:dyDescent="0.3">
      <c r="A278">
        <v>2019</v>
      </c>
      <c r="B278" t="s">
        <v>38</v>
      </c>
      <c r="C278" t="s">
        <v>170</v>
      </c>
      <c r="D278" t="s">
        <v>171</v>
      </c>
      <c r="E278" t="s">
        <v>108</v>
      </c>
      <c r="F278" t="s">
        <v>114</v>
      </c>
      <c r="G278">
        <v>0</v>
      </c>
    </row>
    <row r="279" spans="1:7" x14ac:dyDescent="0.3">
      <c r="A279">
        <v>2019</v>
      </c>
      <c r="B279" t="s">
        <v>38</v>
      </c>
      <c r="C279" t="s">
        <v>170</v>
      </c>
      <c r="D279" t="s">
        <v>171</v>
      </c>
      <c r="E279" t="s">
        <v>91</v>
      </c>
      <c r="F279" t="s">
        <v>114</v>
      </c>
      <c r="G279">
        <v>0</v>
      </c>
    </row>
    <row r="280" spans="1:7" x14ac:dyDescent="0.3">
      <c r="A280">
        <v>2019</v>
      </c>
      <c r="B280" t="s">
        <v>38</v>
      </c>
      <c r="C280" t="s">
        <v>170</v>
      </c>
      <c r="D280" t="s">
        <v>171</v>
      </c>
      <c r="E280" t="s">
        <v>109</v>
      </c>
      <c r="F280" t="s">
        <v>114</v>
      </c>
      <c r="G280">
        <v>0</v>
      </c>
    </row>
    <row r="281" spans="1:7" x14ac:dyDescent="0.3">
      <c r="A281">
        <v>2019</v>
      </c>
      <c r="B281" t="s">
        <v>38</v>
      </c>
      <c r="C281" t="s">
        <v>170</v>
      </c>
      <c r="D281" t="s">
        <v>171</v>
      </c>
      <c r="E281" t="s">
        <v>110</v>
      </c>
      <c r="F281" t="s">
        <v>114</v>
      </c>
      <c r="G281">
        <v>0</v>
      </c>
    </row>
    <row r="282" spans="1:7" x14ac:dyDescent="0.3">
      <c r="A282">
        <v>2019</v>
      </c>
      <c r="B282" t="s">
        <v>39</v>
      </c>
      <c r="C282" t="s">
        <v>170</v>
      </c>
      <c r="D282" t="s">
        <v>171</v>
      </c>
      <c r="E282" t="s">
        <v>108</v>
      </c>
      <c r="F282" t="s">
        <v>114</v>
      </c>
      <c r="G282">
        <v>0</v>
      </c>
    </row>
    <row r="283" spans="1:7" x14ac:dyDescent="0.3">
      <c r="A283">
        <v>2019</v>
      </c>
      <c r="B283" t="s">
        <v>39</v>
      </c>
      <c r="C283" t="s">
        <v>170</v>
      </c>
      <c r="D283" t="s">
        <v>171</v>
      </c>
      <c r="E283" t="s">
        <v>91</v>
      </c>
      <c r="F283" t="s">
        <v>114</v>
      </c>
      <c r="G283">
        <v>1</v>
      </c>
    </row>
    <row r="284" spans="1:7" x14ac:dyDescent="0.3">
      <c r="A284">
        <v>2019</v>
      </c>
      <c r="B284" t="s">
        <v>39</v>
      </c>
      <c r="C284" t="s">
        <v>170</v>
      </c>
      <c r="D284" t="s">
        <v>171</v>
      </c>
      <c r="E284" t="s">
        <v>109</v>
      </c>
      <c r="F284" t="s">
        <v>114</v>
      </c>
      <c r="G284">
        <v>1</v>
      </c>
    </row>
    <row r="285" spans="1:7" x14ac:dyDescent="0.3">
      <c r="A285">
        <v>2019</v>
      </c>
      <c r="B285" t="s">
        <v>39</v>
      </c>
      <c r="C285" t="s">
        <v>170</v>
      </c>
      <c r="D285" t="s">
        <v>171</v>
      </c>
      <c r="E285" t="s">
        <v>110</v>
      </c>
      <c r="F285" t="s">
        <v>114</v>
      </c>
      <c r="G285">
        <v>0</v>
      </c>
    </row>
    <row r="286" spans="1:7" x14ac:dyDescent="0.3">
      <c r="A286">
        <v>2019</v>
      </c>
      <c r="B286" t="s">
        <v>40</v>
      </c>
      <c r="C286" t="s">
        <v>170</v>
      </c>
      <c r="D286" t="s">
        <v>171</v>
      </c>
      <c r="E286" t="s">
        <v>108</v>
      </c>
      <c r="F286" t="s">
        <v>114</v>
      </c>
      <c r="G286">
        <v>0</v>
      </c>
    </row>
    <row r="287" spans="1:7" x14ac:dyDescent="0.3">
      <c r="A287">
        <v>2019</v>
      </c>
      <c r="B287" t="s">
        <v>40</v>
      </c>
      <c r="C287" t="s">
        <v>170</v>
      </c>
      <c r="D287" t="s">
        <v>171</v>
      </c>
      <c r="E287" t="s">
        <v>91</v>
      </c>
      <c r="F287" t="s">
        <v>114</v>
      </c>
      <c r="G287">
        <v>0</v>
      </c>
    </row>
    <row r="288" spans="1:7" x14ac:dyDescent="0.3">
      <c r="A288">
        <v>2019</v>
      </c>
      <c r="B288" t="s">
        <v>40</v>
      </c>
      <c r="C288" t="s">
        <v>170</v>
      </c>
      <c r="D288" t="s">
        <v>171</v>
      </c>
      <c r="E288" t="s">
        <v>109</v>
      </c>
      <c r="F288" t="s">
        <v>114</v>
      </c>
      <c r="G288">
        <v>0</v>
      </c>
    </row>
    <row r="289" spans="1:7" x14ac:dyDescent="0.3">
      <c r="A289">
        <v>2019</v>
      </c>
      <c r="B289" t="s">
        <v>40</v>
      </c>
      <c r="C289" t="s">
        <v>170</v>
      </c>
      <c r="D289" t="s">
        <v>171</v>
      </c>
      <c r="E289" t="s">
        <v>110</v>
      </c>
      <c r="F289" t="s">
        <v>114</v>
      </c>
      <c r="G289">
        <v>0</v>
      </c>
    </row>
    <row r="290" spans="1:7" x14ac:dyDescent="0.3">
      <c r="A290">
        <v>2019</v>
      </c>
      <c r="B290" t="s">
        <v>41</v>
      </c>
      <c r="C290" t="s">
        <v>170</v>
      </c>
      <c r="D290" t="s">
        <v>171</v>
      </c>
      <c r="E290" t="s">
        <v>108</v>
      </c>
      <c r="F290" t="s">
        <v>114</v>
      </c>
      <c r="G290">
        <v>3</v>
      </c>
    </row>
    <row r="291" spans="1:7" x14ac:dyDescent="0.3">
      <c r="A291">
        <v>2019</v>
      </c>
      <c r="B291" t="s">
        <v>41</v>
      </c>
      <c r="C291" t="s">
        <v>170</v>
      </c>
      <c r="D291" t="s">
        <v>171</v>
      </c>
      <c r="E291" t="s">
        <v>91</v>
      </c>
      <c r="F291" t="s">
        <v>114</v>
      </c>
      <c r="G291">
        <v>0</v>
      </c>
    </row>
    <row r="292" spans="1:7" x14ac:dyDescent="0.3">
      <c r="A292">
        <v>2019</v>
      </c>
      <c r="B292" t="s">
        <v>41</v>
      </c>
      <c r="C292" t="s">
        <v>170</v>
      </c>
      <c r="D292" t="s">
        <v>171</v>
      </c>
      <c r="E292" t="s">
        <v>109</v>
      </c>
      <c r="F292" t="s">
        <v>114</v>
      </c>
      <c r="G292">
        <v>0</v>
      </c>
    </row>
    <row r="293" spans="1:7" x14ac:dyDescent="0.3">
      <c r="A293">
        <v>2019</v>
      </c>
      <c r="B293" t="s">
        <v>41</v>
      </c>
      <c r="C293" t="s">
        <v>170</v>
      </c>
      <c r="D293" t="s">
        <v>171</v>
      </c>
      <c r="E293" t="s">
        <v>110</v>
      </c>
      <c r="F293" t="s">
        <v>114</v>
      </c>
      <c r="G293">
        <v>0</v>
      </c>
    </row>
    <row r="294" spans="1:7" x14ac:dyDescent="0.3">
      <c r="A294">
        <v>2019</v>
      </c>
      <c r="B294" t="s">
        <v>58</v>
      </c>
      <c r="C294" t="s">
        <v>170</v>
      </c>
      <c r="D294" t="s">
        <v>171</v>
      </c>
      <c r="E294" t="s">
        <v>108</v>
      </c>
      <c r="F294" t="s">
        <v>114</v>
      </c>
      <c r="G294">
        <v>0</v>
      </c>
    </row>
    <row r="295" spans="1:7" x14ac:dyDescent="0.3">
      <c r="A295">
        <v>2019</v>
      </c>
      <c r="B295" t="s">
        <v>58</v>
      </c>
      <c r="C295" t="s">
        <v>170</v>
      </c>
      <c r="D295" t="s">
        <v>171</v>
      </c>
      <c r="E295" t="s">
        <v>91</v>
      </c>
      <c r="F295" t="s">
        <v>114</v>
      </c>
      <c r="G295">
        <v>0</v>
      </c>
    </row>
    <row r="296" spans="1:7" x14ac:dyDescent="0.3">
      <c r="A296">
        <v>2019</v>
      </c>
      <c r="B296" t="s">
        <v>58</v>
      </c>
      <c r="C296" t="s">
        <v>170</v>
      </c>
      <c r="D296" t="s">
        <v>171</v>
      </c>
      <c r="E296" t="s">
        <v>109</v>
      </c>
      <c r="F296" t="s">
        <v>114</v>
      </c>
      <c r="G296">
        <v>1</v>
      </c>
    </row>
    <row r="297" spans="1:7" x14ac:dyDescent="0.3">
      <c r="A297">
        <v>2019</v>
      </c>
      <c r="B297" t="s">
        <v>58</v>
      </c>
      <c r="C297" t="s">
        <v>170</v>
      </c>
      <c r="D297" t="s">
        <v>171</v>
      </c>
      <c r="E297" t="s">
        <v>110</v>
      </c>
      <c r="F297" t="s">
        <v>114</v>
      </c>
      <c r="G297">
        <v>0</v>
      </c>
    </row>
    <row r="298" spans="1:7" x14ac:dyDescent="0.3">
      <c r="A298">
        <v>2019</v>
      </c>
      <c r="B298" t="s">
        <v>42</v>
      </c>
      <c r="C298" t="s">
        <v>170</v>
      </c>
      <c r="D298" t="s">
        <v>171</v>
      </c>
      <c r="E298" t="s">
        <v>108</v>
      </c>
      <c r="F298" t="s">
        <v>114</v>
      </c>
      <c r="G298">
        <v>1</v>
      </c>
    </row>
    <row r="299" spans="1:7" x14ac:dyDescent="0.3">
      <c r="A299">
        <v>2019</v>
      </c>
      <c r="B299" t="s">
        <v>42</v>
      </c>
      <c r="C299" t="s">
        <v>170</v>
      </c>
      <c r="D299" t="s">
        <v>171</v>
      </c>
      <c r="E299" t="s">
        <v>91</v>
      </c>
      <c r="F299" t="s">
        <v>114</v>
      </c>
      <c r="G299">
        <v>3</v>
      </c>
    </row>
    <row r="300" spans="1:7" x14ac:dyDescent="0.3">
      <c r="A300">
        <v>2019</v>
      </c>
      <c r="B300" t="s">
        <v>42</v>
      </c>
      <c r="C300" t="s">
        <v>170</v>
      </c>
      <c r="D300" t="s">
        <v>171</v>
      </c>
      <c r="E300" t="s">
        <v>109</v>
      </c>
      <c r="F300" t="s">
        <v>114</v>
      </c>
      <c r="G300">
        <v>0</v>
      </c>
    </row>
    <row r="301" spans="1:7" x14ac:dyDescent="0.3">
      <c r="A301">
        <v>2019</v>
      </c>
      <c r="B301" t="s">
        <v>42</v>
      </c>
      <c r="C301" t="s">
        <v>170</v>
      </c>
      <c r="D301" t="s">
        <v>171</v>
      </c>
      <c r="E301" t="s">
        <v>110</v>
      </c>
      <c r="F301" t="s">
        <v>114</v>
      </c>
      <c r="G301">
        <v>0</v>
      </c>
    </row>
    <row r="302" spans="1:7" x14ac:dyDescent="0.3">
      <c r="A302">
        <v>2019</v>
      </c>
      <c r="B302" t="s">
        <v>44</v>
      </c>
      <c r="C302" t="s">
        <v>170</v>
      </c>
      <c r="D302" t="s">
        <v>171</v>
      </c>
      <c r="E302" t="s">
        <v>108</v>
      </c>
      <c r="F302" t="s">
        <v>114</v>
      </c>
      <c r="G302">
        <v>0</v>
      </c>
    </row>
    <row r="303" spans="1:7" x14ac:dyDescent="0.3">
      <c r="A303">
        <v>2019</v>
      </c>
      <c r="B303" t="s">
        <v>44</v>
      </c>
      <c r="C303" t="s">
        <v>170</v>
      </c>
      <c r="D303" t="s">
        <v>171</v>
      </c>
      <c r="E303" t="s">
        <v>91</v>
      </c>
      <c r="F303" t="s">
        <v>114</v>
      </c>
      <c r="G303">
        <v>1</v>
      </c>
    </row>
    <row r="304" spans="1:7" x14ac:dyDescent="0.3">
      <c r="A304">
        <v>2019</v>
      </c>
      <c r="B304" t="s">
        <v>44</v>
      </c>
      <c r="C304" t="s">
        <v>170</v>
      </c>
      <c r="D304" t="s">
        <v>171</v>
      </c>
      <c r="E304" t="s">
        <v>109</v>
      </c>
      <c r="F304" t="s">
        <v>114</v>
      </c>
      <c r="G304">
        <v>0</v>
      </c>
    </row>
    <row r="305" spans="1:7" x14ac:dyDescent="0.3">
      <c r="A305">
        <v>2019</v>
      </c>
      <c r="B305" t="s">
        <v>44</v>
      </c>
      <c r="C305" t="s">
        <v>170</v>
      </c>
      <c r="D305" t="s">
        <v>171</v>
      </c>
      <c r="E305" t="s">
        <v>110</v>
      </c>
      <c r="F305" t="s">
        <v>114</v>
      </c>
      <c r="G305">
        <v>0</v>
      </c>
    </row>
    <row r="306" spans="1:7" x14ac:dyDescent="0.3">
      <c r="A306">
        <v>2019</v>
      </c>
      <c r="B306" t="s">
        <v>45</v>
      </c>
      <c r="C306" t="s">
        <v>170</v>
      </c>
      <c r="D306" t="s">
        <v>171</v>
      </c>
      <c r="E306" t="s">
        <v>108</v>
      </c>
      <c r="F306" t="s">
        <v>114</v>
      </c>
      <c r="G306">
        <v>0</v>
      </c>
    </row>
    <row r="307" spans="1:7" x14ac:dyDescent="0.3">
      <c r="A307">
        <v>2019</v>
      </c>
      <c r="B307" t="s">
        <v>45</v>
      </c>
      <c r="C307" t="s">
        <v>170</v>
      </c>
      <c r="D307" t="s">
        <v>171</v>
      </c>
      <c r="E307" t="s">
        <v>91</v>
      </c>
      <c r="F307" t="s">
        <v>114</v>
      </c>
      <c r="G307">
        <v>0</v>
      </c>
    </row>
    <row r="308" spans="1:7" x14ac:dyDescent="0.3">
      <c r="A308">
        <v>2019</v>
      </c>
      <c r="B308" t="s">
        <v>45</v>
      </c>
      <c r="C308" t="s">
        <v>170</v>
      </c>
      <c r="D308" t="s">
        <v>171</v>
      </c>
      <c r="E308" t="s">
        <v>109</v>
      </c>
      <c r="F308" t="s">
        <v>114</v>
      </c>
      <c r="G308">
        <v>0</v>
      </c>
    </row>
    <row r="309" spans="1:7" x14ac:dyDescent="0.3">
      <c r="A309">
        <v>2019</v>
      </c>
      <c r="B309" t="s">
        <v>45</v>
      </c>
      <c r="C309" t="s">
        <v>170</v>
      </c>
      <c r="D309" t="s">
        <v>171</v>
      </c>
      <c r="E309" t="s">
        <v>110</v>
      </c>
      <c r="F309" t="s">
        <v>114</v>
      </c>
      <c r="G309">
        <v>0</v>
      </c>
    </row>
    <row r="310" spans="1:7" x14ac:dyDescent="0.3">
      <c r="A310">
        <v>2019</v>
      </c>
      <c r="B310" t="s">
        <v>46</v>
      </c>
      <c r="C310" t="s">
        <v>170</v>
      </c>
      <c r="D310" t="s">
        <v>171</v>
      </c>
      <c r="E310" t="s">
        <v>108</v>
      </c>
      <c r="F310" t="s">
        <v>114</v>
      </c>
      <c r="G310">
        <v>1</v>
      </c>
    </row>
    <row r="311" spans="1:7" x14ac:dyDescent="0.3">
      <c r="A311">
        <v>2019</v>
      </c>
      <c r="B311" t="s">
        <v>46</v>
      </c>
      <c r="C311" t="s">
        <v>170</v>
      </c>
      <c r="D311" t="s">
        <v>171</v>
      </c>
      <c r="E311" t="s">
        <v>91</v>
      </c>
      <c r="F311" t="s">
        <v>114</v>
      </c>
      <c r="G311">
        <v>0</v>
      </c>
    </row>
    <row r="312" spans="1:7" x14ac:dyDescent="0.3">
      <c r="A312">
        <v>2019</v>
      </c>
      <c r="B312" t="s">
        <v>46</v>
      </c>
      <c r="C312" t="s">
        <v>170</v>
      </c>
      <c r="D312" t="s">
        <v>171</v>
      </c>
      <c r="E312" t="s">
        <v>109</v>
      </c>
      <c r="F312" t="s">
        <v>114</v>
      </c>
      <c r="G312">
        <v>0</v>
      </c>
    </row>
    <row r="313" spans="1:7" x14ac:dyDescent="0.3">
      <c r="A313">
        <v>2019</v>
      </c>
      <c r="B313" t="s">
        <v>46</v>
      </c>
      <c r="C313" t="s">
        <v>170</v>
      </c>
      <c r="D313" t="s">
        <v>171</v>
      </c>
      <c r="E313" t="s">
        <v>110</v>
      </c>
      <c r="F313" t="s">
        <v>114</v>
      </c>
      <c r="G313">
        <v>0</v>
      </c>
    </row>
    <row r="314" spans="1:7" x14ac:dyDescent="0.3">
      <c r="A314">
        <v>2019</v>
      </c>
      <c r="B314" t="s">
        <v>47</v>
      </c>
      <c r="C314" t="s">
        <v>170</v>
      </c>
      <c r="D314" t="s">
        <v>171</v>
      </c>
      <c r="E314" t="s">
        <v>108</v>
      </c>
      <c r="F314" t="s">
        <v>114</v>
      </c>
      <c r="G314">
        <v>0</v>
      </c>
    </row>
    <row r="315" spans="1:7" x14ac:dyDescent="0.3">
      <c r="A315">
        <v>2019</v>
      </c>
      <c r="B315" t="s">
        <v>47</v>
      </c>
      <c r="C315" t="s">
        <v>170</v>
      </c>
      <c r="D315" t="s">
        <v>171</v>
      </c>
      <c r="E315" t="s">
        <v>91</v>
      </c>
      <c r="F315" t="s">
        <v>114</v>
      </c>
      <c r="G315">
        <v>0</v>
      </c>
    </row>
    <row r="316" spans="1:7" x14ac:dyDescent="0.3">
      <c r="A316">
        <v>2019</v>
      </c>
      <c r="B316" t="s">
        <v>47</v>
      </c>
      <c r="C316" t="s">
        <v>170</v>
      </c>
      <c r="D316" t="s">
        <v>171</v>
      </c>
      <c r="E316" t="s">
        <v>109</v>
      </c>
      <c r="F316" t="s">
        <v>114</v>
      </c>
      <c r="G316">
        <v>0</v>
      </c>
    </row>
    <row r="317" spans="1:7" x14ac:dyDescent="0.3">
      <c r="A317">
        <v>2019</v>
      </c>
      <c r="B317" t="s">
        <v>47</v>
      </c>
      <c r="C317" t="s">
        <v>170</v>
      </c>
      <c r="D317" t="s">
        <v>171</v>
      </c>
      <c r="E317" t="s">
        <v>110</v>
      </c>
      <c r="F317" t="s">
        <v>114</v>
      </c>
      <c r="G317">
        <v>0</v>
      </c>
    </row>
    <row r="318" spans="1:7" x14ac:dyDescent="0.3">
      <c r="A318">
        <v>2019</v>
      </c>
      <c r="B318" t="s">
        <v>48</v>
      </c>
      <c r="C318" t="s">
        <v>170</v>
      </c>
      <c r="D318" t="s">
        <v>171</v>
      </c>
      <c r="E318" t="s">
        <v>108</v>
      </c>
      <c r="F318" t="s">
        <v>114</v>
      </c>
      <c r="G318">
        <v>4</v>
      </c>
    </row>
    <row r="319" spans="1:7" x14ac:dyDescent="0.3">
      <c r="A319">
        <v>2019</v>
      </c>
      <c r="B319" t="s">
        <v>48</v>
      </c>
      <c r="C319" t="s">
        <v>170</v>
      </c>
      <c r="D319" t="s">
        <v>171</v>
      </c>
      <c r="E319" t="s">
        <v>91</v>
      </c>
      <c r="F319" t="s">
        <v>114</v>
      </c>
      <c r="G319">
        <v>0</v>
      </c>
    </row>
    <row r="320" spans="1:7" x14ac:dyDescent="0.3">
      <c r="A320">
        <v>2019</v>
      </c>
      <c r="B320" t="s">
        <v>48</v>
      </c>
      <c r="C320" t="s">
        <v>170</v>
      </c>
      <c r="D320" t="s">
        <v>171</v>
      </c>
      <c r="E320" t="s">
        <v>109</v>
      </c>
      <c r="F320" t="s">
        <v>114</v>
      </c>
      <c r="G320">
        <v>2</v>
      </c>
    </row>
    <row r="321" spans="1:7" x14ac:dyDescent="0.3">
      <c r="A321">
        <v>2019</v>
      </c>
      <c r="B321" t="s">
        <v>48</v>
      </c>
      <c r="C321" t="s">
        <v>170</v>
      </c>
      <c r="D321" t="s">
        <v>171</v>
      </c>
      <c r="E321" t="s">
        <v>110</v>
      </c>
      <c r="F321" t="s">
        <v>114</v>
      </c>
      <c r="G321">
        <v>0</v>
      </c>
    </row>
    <row r="322" spans="1:7" x14ac:dyDescent="0.3">
      <c r="A322">
        <v>2019</v>
      </c>
      <c r="B322" t="s">
        <v>49</v>
      </c>
      <c r="C322" t="s">
        <v>170</v>
      </c>
      <c r="D322" t="s">
        <v>171</v>
      </c>
      <c r="E322" t="s">
        <v>108</v>
      </c>
      <c r="F322" t="s">
        <v>114</v>
      </c>
      <c r="G322">
        <v>0</v>
      </c>
    </row>
    <row r="323" spans="1:7" x14ac:dyDescent="0.3">
      <c r="A323">
        <v>2019</v>
      </c>
      <c r="B323" t="s">
        <v>49</v>
      </c>
      <c r="C323" t="s">
        <v>170</v>
      </c>
      <c r="D323" t="s">
        <v>171</v>
      </c>
      <c r="E323" t="s">
        <v>91</v>
      </c>
      <c r="F323" t="s">
        <v>114</v>
      </c>
      <c r="G323">
        <v>0</v>
      </c>
    </row>
    <row r="324" spans="1:7" x14ac:dyDescent="0.3">
      <c r="A324">
        <v>2019</v>
      </c>
      <c r="B324" t="s">
        <v>49</v>
      </c>
      <c r="C324" t="s">
        <v>170</v>
      </c>
      <c r="D324" t="s">
        <v>171</v>
      </c>
      <c r="E324" t="s">
        <v>109</v>
      </c>
      <c r="F324" t="s">
        <v>114</v>
      </c>
      <c r="G324">
        <v>0</v>
      </c>
    </row>
    <row r="325" spans="1:7" x14ac:dyDescent="0.3">
      <c r="A325">
        <v>2019</v>
      </c>
      <c r="B325" t="s">
        <v>49</v>
      </c>
      <c r="C325" t="s">
        <v>170</v>
      </c>
      <c r="D325" t="s">
        <v>171</v>
      </c>
      <c r="E325" t="s">
        <v>110</v>
      </c>
      <c r="F325" t="s">
        <v>114</v>
      </c>
      <c r="G325">
        <v>0</v>
      </c>
    </row>
    <row r="326" spans="1:7" x14ac:dyDescent="0.3">
      <c r="A326">
        <v>2019</v>
      </c>
      <c r="B326" t="s">
        <v>59</v>
      </c>
      <c r="C326" t="s">
        <v>170</v>
      </c>
      <c r="D326" t="s">
        <v>171</v>
      </c>
      <c r="E326" t="s">
        <v>108</v>
      </c>
      <c r="F326" t="s">
        <v>114</v>
      </c>
      <c r="G326">
        <v>0</v>
      </c>
    </row>
    <row r="327" spans="1:7" x14ac:dyDescent="0.3">
      <c r="A327">
        <v>2019</v>
      </c>
      <c r="B327" t="s">
        <v>59</v>
      </c>
      <c r="C327" t="s">
        <v>170</v>
      </c>
      <c r="D327" t="s">
        <v>171</v>
      </c>
      <c r="E327" t="s">
        <v>91</v>
      </c>
      <c r="F327" t="s">
        <v>114</v>
      </c>
      <c r="G327">
        <v>0</v>
      </c>
    </row>
    <row r="328" spans="1:7" x14ac:dyDescent="0.3">
      <c r="A328">
        <v>2019</v>
      </c>
      <c r="B328" t="s">
        <v>59</v>
      </c>
      <c r="C328" t="s">
        <v>170</v>
      </c>
      <c r="D328" t="s">
        <v>171</v>
      </c>
      <c r="E328" t="s">
        <v>109</v>
      </c>
      <c r="F328" t="s">
        <v>114</v>
      </c>
      <c r="G328">
        <v>0</v>
      </c>
    </row>
    <row r="329" spans="1:7" x14ac:dyDescent="0.3">
      <c r="A329">
        <v>2019</v>
      </c>
      <c r="B329" t="s">
        <v>59</v>
      </c>
      <c r="C329" t="s">
        <v>170</v>
      </c>
      <c r="D329" t="s">
        <v>171</v>
      </c>
      <c r="E329" t="s">
        <v>110</v>
      </c>
      <c r="F329" t="s">
        <v>114</v>
      </c>
      <c r="G329">
        <v>0</v>
      </c>
    </row>
    <row r="330" spans="1:7" x14ac:dyDescent="0.3">
      <c r="A330">
        <v>2019</v>
      </c>
      <c r="B330" t="s">
        <v>50</v>
      </c>
      <c r="C330" t="s">
        <v>170</v>
      </c>
      <c r="D330" t="s">
        <v>171</v>
      </c>
      <c r="E330" t="s">
        <v>108</v>
      </c>
      <c r="F330" t="s">
        <v>114</v>
      </c>
      <c r="G330">
        <v>0</v>
      </c>
    </row>
    <row r="331" spans="1:7" x14ac:dyDescent="0.3">
      <c r="A331">
        <v>2019</v>
      </c>
      <c r="B331" t="s">
        <v>50</v>
      </c>
      <c r="C331" t="s">
        <v>170</v>
      </c>
      <c r="D331" t="s">
        <v>171</v>
      </c>
      <c r="E331" t="s">
        <v>91</v>
      </c>
      <c r="F331" t="s">
        <v>114</v>
      </c>
      <c r="G331">
        <v>0</v>
      </c>
    </row>
    <row r="332" spans="1:7" x14ac:dyDescent="0.3">
      <c r="A332">
        <v>2019</v>
      </c>
      <c r="B332" t="s">
        <v>50</v>
      </c>
      <c r="C332" t="s">
        <v>170</v>
      </c>
      <c r="D332" t="s">
        <v>171</v>
      </c>
      <c r="E332" t="s">
        <v>109</v>
      </c>
      <c r="F332" t="s">
        <v>114</v>
      </c>
      <c r="G332">
        <v>0</v>
      </c>
    </row>
    <row r="333" spans="1:7" x14ac:dyDescent="0.3">
      <c r="A333">
        <v>2019</v>
      </c>
      <c r="B333" t="s">
        <v>50</v>
      </c>
      <c r="C333" t="s">
        <v>170</v>
      </c>
      <c r="D333" t="s">
        <v>171</v>
      </c>
      <c r="E333" t="s">
        <v>110</v>
      </c>
      <c r="F333" t="s">
        <v>114</v>
      </c>
      <c r="G333">
        <v>0</v>
      </c>
    </row>
    <row r="334" spans="1:7" x14ac:dyDescent="0.3">
      <c r="A334">
        <v>2019</v>
      </c>
      <c r="B334" t="s">
        <v>51</v>
      </c>
      <c r="C334" t="s">
        <v>170</v>
      </c>
      <c r="D334" t="s">
        <v>171</v>
      </c>
      <c r="E334" t="s">
        <v>108</v>
      </c>
      <c r="F334" t="s">
        <v>114</v>
      </c>
      <c r="G334">
        <v>0</v>
      </c>
    </row>
    <row r="335" spans="1:7" x14ac:dyDescent="0.3">
      <c r="A335">
        <v>2019</v>
      </c>
      <c r="B335" t="s">
        <v>51</v>
      </c>
      <c r="C335" t="s">
        <v>170</v>
      </c>
      <c r="D335" t="s">
        <v>171</v>
      </c>
      <c r="E335" t="s">
        <v>91</v>
      </c>
      <c r="F335" t="s">
        <v>114</v>
      </c>
      <c r="G335">
        <v>0</v>
      </c>
    </row>
    <row r="336" spans="1:7" x14ac:dyDescent="0.3">
      <c r="A336">
        <v>2019</v>
      </c>
      <c r="B336" t="s">
        <v>51</v>
      </c>
      <c r="C336" t="s">
        <v>170</v>
      </c>
      <c r="D336" t="s">
        <v>171</v>
      </c>
      <c r="E336" t="s">
        <v>109</v>
      </c>
      <c r="F336" t="s">
        <v>114</v>
      </c>
      <c r="G336">
        <v>0</v>
      </c>
    </row>
    <row r="337" spans="1:7" x14ac:dyDescent="0.3">
      <c r="A337">
        <v>2019</v>
      </c>
      <c r="B337" t="s">
        <v>51</v>
      </c>
      <c r="C337" t="s">
        <v>170</v>
      </c>
      <c r="D337" t="s">
        <v>171</v>
      </c>
      <c r="E337" t="s">
        <v>110</v>
      </c>
      <c r="F337" t="s">
        <v>114</v>
      </c>
      <c r="G337">
        <v>0</v>
      </c>
    </row>
    <row r="338" spans="1:7" x14ac:dyDescent="0.3">
      <c r="A338">
        <v>2019</v>
      </c>
      <c r="B338" t="s">
        <v>52</v>
      </c>
      <c r="C338" t="s">
        <v>170</v>
      </c>
      <c r="D338" t="s">
        <v>171</v>
      </c>
      <c r="E338" t="s">
        <v>108</v>
      </c>
      <c r="F338" t="s">
        <v>114</v>
      </c>
      <c r="G338">
        <v>0</v>
      </c>
    </row>
    <row r="339" spans="1:7" x14ac:dyDescent="0.3">
      <c r="A339">
        <v>2019</v>
      </c>
      <c r="B339" t="s">
        <v>52</v>
      </c>
      <c r="C339" t="s">
        <v>170</v>
      </c>
      <c r="D339" t="s">
        <v>171</v>
      </c>
      <c r="E339" t="s">
        <v>91</v>
      </c>
      <c r="F339" t="s">
        <v>114</v>
      </c>
      <c r="G339">
        <v>0</v>
      </c>
    </row>
    <row r="340" spans="1:7" x14ac:dyDescent="0.3">
      <c r="A340">
        <v>2019</v>
      </c>
      <c r="B340" t="s">
        <v>52</v>
      </c>
      <c r="C340" t="s">
        <v>170</v>
      </c>
      <c r="D340" t="s">
        <v>171</v>
      </c>
      <c r="E340" t="s">
        <v>109</v>
      </c>
      <c r="F340" t="s">
        <v>114</v>
      </c>
      <c r="G340">
        <v>0</v>
      </c>
    </row>
    <row r="341" spans="1:7" x14ac:dyDescent="0.3">
      <c r="A341">
        <v>2019</v>
      </c>
      <c r="B341" t="s">
        <v>52</v>
      </c>
      <c r="C341" t="s">
        <v>170</v>
      </c>
      <c r="D341" t="s">
        <v>171</v>
      </c>
      <c r="E341" t="s">
        <v>110</v>
      </c>
      <c r="F341" t="s">
        <v>114</v>
      </c>
      <c r="G341">
        <v>0</v>
      </c>
    </row>
    <row r="342" spans="1:7" x14ac:dyDescent="0.3">
      <c r="A342">
        <v>2019</v>
      </c>
      <c r="B342" t="s">
        <v>60</v>
      </c>
      <c r="C342" t="s">
        <v>170</v>
      </c>
      <c r="D342" t="s">
        <v>171</v>
      </c>
      <c r="E342" t="s">
        <v>108</v>
      </c>
      <c r="F342" t="s">
        <v>114</v>
      </c>
      <c r="G342">
        <v>0</v>
      </c>
    </row>
    <row r="343" spans="1:7" x14ac:dyDescent="0.3">
      <c r="A343">
        <v>2019</v>
      </c>
      <c r="B343" t="s">
        <v>60</v>
      </c>
      <c r="C343" t="s">
        <v>170</v>
      </c>
      <c r="D343" t="s">
        <v>171</v>
      </c>
      <c r="E343" t="s">
        <v>91</v>
      </c>
      <c r="F343" t="s">
        <v>114</v>
      </c>
      <c r="G343">
        <v>0</v>
      </c>
    </row>
    <row r="344" spans="1:7" x14ac:dyDescent="0.3">
      <c r="A344">
        <v>2019</v>
      </c>
      <c r="B344" t="s">
        <v>60</v>
      </c>
      <c r="C344" t="s">
        <v>170</v>
      </c>
      <c r="D344" t="s">
        <v>171</v>
      </c>
      <c r="E344" t="s">
        <v>109</v>
      </c>
      <c r="F344" t="s">
        <v>114</v>
      </c>
      <c r="G344">
        <v>0</v>
      </c>
    </row>
    <row r="345" spans="1:7" x14ac:dyDescent="0.3">
      <c r="A345">
        <v>2019</v>
      </c>
      <c r="B345" t="s">
        <v>60</v>
      </c>
      <c r="C345" t="s">
        <v>170</v>
      </c>
      <c r="D345" t="s">
        <v>171</v>
      </c>
      <c r="E345" t="s">
        <v>110</v>
      </c>
      <c r="F345" t="s">
        <v>114</v>
      </c>
      <c r="G345">
        <v>0</v>
      </c>
    </row>
    <row r="346" spans="1:7" x14ac:dyDescent="0.3">
      <c r="A346">
        <v>2019</v>
      </c>
      <c r="B346" t="s">
        <v>53</v>
      </c>
      <c r="C346" t="s">
        <v>170</v>
      </c>
      <c r="D346" t="s">
        <v>171</v>
      </c>
      <c r="E346" t="s">
        <v>108</v>
      </c>
      <c r="F346" t="s">
        <v>114</v>
      </c>
      <c r="G346">
        <v>0</v>
      </c>
    </row>
    <row r="347" spans="1:7" x14ac:dyDescent="0.3">
      <c r="A347">
        <v>2019</v>
      </c>
      <c r="B347" t="s">
        <v>53</v>
      </c>
      <c r="C347" t="s">
        <v>170</v>
      </c>
      <c r="D347" t="s">
        <v>171</v>
      </c>
      <c r="E347" t="s">
        <v>91</v>
      </c>
      <c r="F347" t="s">
        <v>114</v>
      </c>
      <c r="G347">
        <v>0</v>
      </c>
    </row>
    <row r="348" spans="1:7" x14ac:dyDescent="0.3">
      <c r="A348">
        <v>2019</v>
      </c>
      <c r="B348" t="s">
        <v>53</v>
      </c>
      <c r="C348" t="s">
        <v>170</v>
      </c>
      <c r="D348" t="s">
        <v>171</v>
      </c>
      <c r="E348" t="s">
        <v>109</v>
      </c>
      <c r="F348" t="s">
        <v>114</v>
      </c>
      <c r="G348">
        <v>0</v>
      </c>
    </row>
    <row r="349" spans="1:7" x14ac:dyDescent="0.3">
      <c r="A349">
        <v>2019</v>
      </c>
      <c r="B349" t="s">
        <v>53</v>
      </c>
      <c r="C349" t="s">
        <v>170</v>
      </c>
      <c r="D349" t="s">
        <v>171</v>
      </c>
      <c r="E349" t="s">
        <v>110</v>
      </c>
      <c r="F349" t="s">
        <v>114</v>
      </c>
      <c r="G349">
        <v>0</v>
      </c>
    </row>
    <row r="350" spans="1:7" x14ac:dyDescent="0.3">
      <c r="A350">
        <v>2019</v>
      </c>
      <c r="B350" t="s">
        <v>61</v>
      </c>
      <c r="C350" t="s">
        <v>170</v>
      </c>
      <c r="D350" t="s">
        <v>171</v>
      </c>
      <c r="E350" t="s">
        <v>108</v>
      </c>
      <c r="F350" t="s">
        <v>114</v>
      </c>
      <c r="G350">
        <v>0</v>
      </c>
    </row>
    <row r="351" spans="1:7" x14ac:dyDescent="0.3">
      <c r="A351">
        <v>2019</v>
      </c>
      <c r="B351" t="s">
        <v>61</v>
      </c>
      <c r="C351" t="s">
        <v>170</v>
      </c>
      <c r="D351" t="s">
        <v>171</v>
      </c>
      <c r="E351" t="s">
        <v>91</v>
      </c>
      <c r="F351" t="s">
        <v>114</v>
      </c>
      <c r="G351">
        <v>2</v>
      </c>
    </row>
    <row r="352" spans="1:7" x14ac:dyDescent="0.3">
      <c r="A352">
        <v>2019</v>
      </c>
      <c r="B352" t="s">
        <v>61</v>
      </c>
      <c r="C352" t="s">
        <v>170</v>
      </c>
      <c r="D352" t="s">
        <v>171</v>
      </c>
      <c r="E352" t="s">
        <v>109</v>
      </c>
      <c r="F352" t="s">
        <v>114</v>
      </c>
      <c r="G352">
        <v>0</v>
      </c>
    </row>
    <row r="353" spans="1:7" x14ac:dyDescent="0.3">
      <c r="A353">
        <v>2019</v>
      </c>
      <c r="B353" t="s">
        <v>61</v>
      </c>
      <c r="C353" t="s">
        <v>170</v>
      </c>
      <c r="D353" t="s">
        <v>171</v>
      </c>
      <c r="E353" t="s">
        <v>110</v>
      </c>
      <c r="F353" t="s">
        <v>114</v>
      </c>
      <c r="G353">
        <v>0</v>
      </c>
    </row>
    <row r="354" spans="1:7" x14ac:dyDescent="0.3">
      <c r="A354">
        <v>2019</v>
      </c>
      <c r="B354" t="s">
        <v>54</v>
      </c>
      <c r="C354" t="s">
        <v>170</v>
      </c>
      <c r="D354" t="s">
        <v>171</v>
      </c>
      <c r="E354" t="s">
        <v>108</v>
      </c>
      <c r="F354" t="s">
        <v>114</v>
      </c>
      <c r="G354">
        <v>1</v>
      </c>
    </row>
    <row r="355" spans="1:7" x14ac:dyDescent="0.3">
      <c r="A355">
        <v>2019</v>
      </c>
      <c r="B355" t="s">
        <v>54</v>
      </c>
      <c r="C355" t="s">
        <v>170</v>
      </c>
      <c r="D355" t="s">
        <v>171</v>
      </c>
      <c r="E355" t="s">
        <v>91</v>
      </c>
      <c r="F355" t="s">
        <v>114</v>
      </c>
      <c r="G355">
        <v>0</v>
      </c>
    </row>
    <row r="356" spans="1:7" x14ac:dyDescent="0.3">
      <c r="A356">
        <v>2019</v>
      </c>
      <c r="B356" t="s">
        <v>54</v>
      </c>
      <c r="C356" t="s">
        <v>170</v>
      </c>
      <c r="D356" t="s">
        <v>171</v>
      </c>
      <c r="E356" t="s">
        <v>109</v>
      </c>
      <c r="F356" t="s">
        <v>114</v>
      </c>
      <c r="G356">
        <v>0</v>
      </c>
    </row>
    <row r="357" spans="1:7" x14ac:dyDescent="0.3">
      <c r="A357">
        <v>2019</v>
      </c>
      <c r="B357" t="s">
        <v>54</v>
      </c>
      <c r="C357" t="s">
        <v>170</v>
      </c>
      <c r="D357" t="s">
        <v>171</v>
      </c>
      <c r="E357" t="s">
        <v>110</v>
      </c>
      <c r="F357" t="s">
        <v>114</v>
      </c>
      <c r="G357">
        <v>0</v>
      </c>
    </row>
    <row r="358" spans="1:7" x14ac:dyDescent="0.3">
      <c r="A358">
        <v>2019</v>
      </c>
      <c r="B358" t="s">
        <v>62</v>
      </c>
      <c r="C358" t="s">
        <v>170</v>
      </c>
      <c r="D358" t="s">
        <v>171</v>
      </c>
      <c r="E358" t="s">
        <v>108</v>
      </c>
      <c r="F358" t="s">
        <v>114</v>
      </c>
      <c r="G358">
        <v>1</v>
      </c>
    </row>
    <row r="359" spans="1:7" x14ac:dyDescent="0.3">
      <c r="A359">
        <v>2019</v>
      </c>
      <c r="B359" t="s">
        <v>62</v>
      </c>
      <c r="C359" t="s">
        <v>170</v>
      </c>
      <c r="D359" t="s">
        <v>171</v>
      </c>
      <c r="E359" t="s">
        <v>91</v>
      </c>
      <c r="F359" t="s">
        <v>114</v>
      </c>
      <c r="G359">
        <v>1</v>
      </c>
    </row>
    <row r="360" spans="1:7" x14ac:dyDescent="0.3">
      <c r="A360">
        <v>2019</v>
      </c>
      <c r="B360" t="s">
        <v>62</v>
      </c>
      <c r="C360" t="s">
        <v>170</v>
      </c>
      <c r="D360" t="s">
        <v>171</v>
      </c>
      <c r="E360" t="s">
        <v>109</v>
      </c>
      <c r="F360" t="s">
        <v>114</v>
      </c>
      <c r="G360">
        <v>0</v>
      </c>
    </row>
    <row r="361" spans="1:7" x14ac:dyDescent="0.3">
      <c r="A361">
        <v>2019</v>
      </c>
      <c r="B361" t="s">
        <v>62</v>
      </c>
      <c r="C361" t="s">
        <v>170</v>
      </c>
      <c r="D361" t="s">
        <v>171</v>
      </c>
      <c r="E361" t="s">
        <v>110</v>
      </c>
      <c r="F361" t="s">
        <v>114</v>
      </c>
      <c r="G361">
        <v>0</v>
      </c>
    </row>
    <row r="362" spans="1:7" x14ac:dyDescent="0.3">
      <c r="A362">
        <v>2019</v>
      </c>
      <c r="B362" t="s">
        <v>28</v>
      </c>
      <c r="C362" t="s">
        <v>170</v>
      </c>
      <c r="D362" t="s">
        <v>171</v>
      </c>
      <c r="E362" t="s">
        <v>108</v>
      </c>
      <c r="F362" t="s">
        <v>114</v>
      </c>
      <c r="G362">
        <v>3</v>
      </c>
    </row>
    <row r="363" spans="1:7" x14ac:dyDescent="0.3">
      <c r="A363">
        <v>2019</v>
      </c>
      <c r="B363" t="s">
        <v>28</v>
      </c>
      <c r="C363" t="s">
        <v>170</v>
      </c>
      <c r="D363" t="s">
        <v>171</v>
      </c>
      <c r="E363" t="s">
        <v>91</v>
      </c>
      <c r="F363" t="s">
        <v>114</v>
      </c>
      <c r="G363">
        <v>0</v>
      </c>
    </row>
    <row r="364" spans="1:7" x14ac:dyDescent="0.3">
      <c r="A364">
        <v>2019</v>
      </c>
      <c r="B364" t="s">
        <v>28</v>
      </c>
      <c r="C364" t="s">
        <v>170</v>
      </c>
      <c r="D364" t="s">
        <v>171</v>
      </c>
      <c r="E364" t="s">
        <v>109</v>
      </c>
      <c r="F364" t="s">
        <v>114</v>
      </c>
      <c r="G364">
        <v>0</v>
      </c>
    </row>
    <row r="365" spans="1:7" x14ac:dyDescent="0.3">
      <c r="A365">
        <v>2019</v>
      </c>
      <c r="B365" t="s">
        <v>28</v>
      </c>
      <c r="C365" t="s">
        <v>170</v>
      </c>
      <c r="D365" t="s">
        <v>171</v>
      </c>
      <c r="E365" t="s">
        <v>110</v>
      </c>
      <c r="F365" t="s">
        <v>114</v>
      </c>
      <c r="G365">
        <v>0</v>
      </c>
    </row>
    <row r="366" spans="1:7" x14ac:dyDescent="0.3">
      <c r="A366">
        <v>2019</v>
      </c>
      <c r="B366" t="s">
        <v>43</v>
      </c>
      <c r="C366" t="s">
        <v>170</v>
      </c>
      <c r="D366" t="s">
        <v>171</v>
      </c>
      <c r="E366" t="s">
        <v>108</v>
      </c>
      <c r="F366" t="s">
        <v>114</v>
      </c>
      <c r="G366">
        <v>0</v>
      </c>
    </row>
    <row r="367" spans="1:7" x14ac:dyDescent="0.3">
      <c r="A367">
        <v>2019</v>
      </c>
      <c r="B367" t="s">
        <v>43</v>
      </c>
      <c r="C367" t="s">
        <v>170</v>
      </c>
      <c r="D367" t="s">
        <v>171</v>
      </c>
      <c r="E367" t="s">
        <v>91</v>
      </c>
      <c r="F367" t="s">
        <v>114</v>
      </c>
      <c r="G367">
        <v>0</v>
      </c>
    </row>
    <row r="368" spans="1:7" x14ac:dyDescent="0.3">
      <c r="A368">
        <v>2019</v>
      </c>
      <c r="B368" t="s">
        <v>43</v>
      </c>
      <c r="C368" t="s">
        <v>170</v>
      </c>
      <c r="D368" t="s">
        <v>171</v>
      </c>
      <c r="E368" t="s">
        <v>109</v>
      </c>
      <c r="F368" t="s">
        <v>114</v>
      </c>
      <c r="G368">
        <v>0</v>
      </c>
    </row>
    <row r="369" spans="1:7" x14ac:dyDescent="0.3">
      <c r="A369">
        <v>2019</v>
      </c>
      <c r="B369" t="s">
        <v>43</v>
      </c>
      <c r="C369" t="s">
        <v>170</v>
      </c>
      <c r="D369" t="s">
        <v>171</v>
      </c>
      <c r="E369" t="s">
        <v>110</v>
      </c>
      <c r="F369" t="s">
        <v>114</v>
      </c>
      <c r="G369">
        <v>0</v>
      </c>
    </row>
    <row r="370" spans="1:7" x14ac:dyDescent="0.3">
      <c r="A370">
        <v>2019</v>
      </c>
      <c r="B370" t="s">
        <v>17</v>
      </c>
      <c r="C370" t="s">
        <v>170</v>
      </c>
      <c r="D370" t="s">
        <v>171</v>
      </c>
      <c r="E370" t="s">
        <v>108</v>
      </c>
      <c r="F370" t="s">
        <v>8</v>
      </c>
      <c r="G370">
        <v>0</v>
      </c>
    </row>
    <row r="371" spans="1:7" x14ac:dyDescent="0.3">
      <c r="A371">
        <v>2019</v>
      </c>
      <c r="B371" t="s">
        <v>17</v>
      </c>
      <c r="C371" t="s">
        <v>170</v>
      </c>
      <c r="D371" t="s">
        <v>171</v>
      </c>
      <c r="E371" t="s">
        <v>91</v>
      </c>
      <c r="F371" t="s">
        <v>8</v>
      </c>
      <c r="G371">
        <v>0</v>
      </c>
    </row>
    <row r="372" spans="1:7" x14ac:dyDescent="0.3">
      <c r="A372">
        <v>2019</v>
      </c>
      <c r="B372" t="s">
        <v>17</v>
      </c>
      <c r="C372" t="s">
        <v>170</v>
      </c>
      <c r="D372" t="s">
        <v>171</v>
      </c>
      <c r="E372" t="s">
        <v>109</v>
      </c>
      <c r="F372" t="s">
        <v>8</v>
      </c>
      <c r="G372">
        <v>0</v>
      </c>
    </row>
    <row r="373" spans="1:7" x14ac:dyDescent="0.3">
      <c r="A373">
        <v>2019</v>
      </c>
      <c r="B373" t="s">
        <v>17</v>
      </c>
      <c r="C373" t="s">
        <v>170</v>
      </c>
      <c r="D373" t="s">
        <v>171</v>
      </c>
      <c r="E373" t="s">
        <v>110</v>
      </c>
      <c r="F373" t="s">
        <v>8</v>
      </c>
      <c r="G373">
        <v>0</v>
      </c>
    </row>
    <row r="374" spans="1:7" x14ac:dyDescent="0.3">
      <c r="A374">
        <v>2019</v>
      </c>
      <c r="B374" t="s">
        <v>18</v>
      </c>
      <c r="C374" t="s">
        <v>170</v>
      </c>
      <c r="D374" t="s">
        <v>171</v>
      </c>
      <c r="E374" t="s">
        <v>108</v>
      </c>
      <c r="F374" t="s">
        <v>8</v>
      </c>
      <c r="G374">
        <v>1</v>
      </c>
    </row>
    <row r="375" spans="1:7" x14ac:dyDescent="0.3">
      <c r="A375">
        <v>2019</v>
      </c>
      <c r="B375" t="s">
        <v>18</v>
      </c>
      <c r="C375" t="s">
        <v>170</v>
      </c>
      <c r="D375" t="s">
        <v>171</v>
      </c>
      <c r="E375" t="s">
        <v>91</v>
      </c>
      <c r="F375" t="s">
        <v>8</v>
      </c>
      <c r="G375">
        <v>0</v>
      </c>
    </row>
    <row r="376" spans="1:7" x14ac:dyDescent="0.3">
      <c r="A376">
        <v>2019</v>
      </c>
      <c r="B376" t="s">
        <v>18</v>
      </c>
      <c r="C376" t="s">
        <v>170</v>
      </c>
      <c r="D376" t="s">
        <v>171</v>
      </c>
      <c r="E376" t="s">
        <v>109</v>
      </c>
      <c r="F376" t="s">
        <v>8</v>
      </c>
      <c r="G376">
        <v>1</v>
      </c>
    </row>
    <row r="377" spans="1:7" x14ac:dyDescent="0.3">
      <c r="A377">
        <v>2019</v>
      </c>
      <c r="B377" t="s">
        <v>18</v>
      </c>
      <c r="C377" t="s">
        <v>170</v>
      </c>
      <c r="D377" t="s">
        <v>171</v>
      </c>
      <c r="E377" t="s">
        <v>110</v>
      </c>
      <c r="F377" t="s">
        <v>8</v>
      </c>
      <c r="G377">
        <v>0</v>
      </c>
    </row>
    <row r="378" spans="1:7" x14ac:dyDescent="0.3">
      <c r="A378">
        <v>2019</v>
      </c>
      <c r="B378" t="s">
        <v>19</v>
      </c>
      <c r="C378" t="s">
        <v>170</v>
      </c>
      <c r="D378" t="s">
        <v>171</v>
      </c>
      <c r="E378" t="s">
        <v>108</v>
      </c>
      <c r="F378" t="s">
        <v>8</v>
      </c>
      <c r="G378">
        <v>1</v>
      </c>
    </row>
    <row r="379" spans="1:7" x14ac:dyDescent="0.3">
      <c r="A379">
        <v>2019</v>
      </c>
      <c r="B379" t="s">
        <v>19</v>
      </c>
      <c r="C379" t="s">
        <v>170</v>
      </c>
      <c r="D379" t="s">
        <v>171</v>
      </c>
      <c r="E379" t="s">
        <v>91</v>
      </c>
      <c r="F379" t="s">
        <v>8</v>
      </c>
      <c r="G379">
        <v>1</v>
      </c>
    </row>
    <row r="380" spans="1:7" x14ac:dyDescent="0.3">
      <c r="A380">
        <v>2019</v>
      </c>
      <c r="B380" t="s">
        <v>19</v>
      </c>
      <c r="C380" t="s">
        <v>170</v>
      </c>
      <c r="D380" t="s">
        <v>171</v>
      </c>
      <c r="E380" t="s">
        <v>109</v>
      </c>
      <c r="F380" t="s">
        <v>8</v>
      </c>
      <c r="G380">
        <v>1</v>
      </c>
    </row>
    <row r="381" spans="1:7" x14ac:dyDescent="0.3">
      <c r="A381">
        <v>2019</v>
      </c>
      <c r="B381" t="s">
        <v>19</v>
      </c>
      <c r="C381" t="s">
        <v>170</v>
      </c>
      <c r="D381" t="s">
        <v>171</v>
      </c>
      <c r="E381" t="s">
        <v>110</v>
      </c>
      <c r="F381" t="s">
        <v>8</v>
      </c>
      <c r="G381">
        <v>0</v>
      </c>
    </row>
    <row r="382" spans="1:7" x14ac:dyDescent="0.3">
      <c r="A382">
        <v>2019</v>
      </c>
      <c r="B382" t="s">
        <v>20</v>
      </c>
      <c r="C382" t="s">
        <v>170</v>
      </c>
      <c r="D382" t="s">
        <v>171</v>
      </c>
      <c r="E382" t="s">
        <v>108</v>
      </c>
      <c r="F382" t="s">
        <v>8</v>
      </c>
      <c r="G382">
        <v>0</v>
      </c>
    </row>
    <row r="383" spans="1:7" x14ac:dyDescent="0.3">
      <c r="A383">
        <v>2019</v>
      </c>
      <c r="B383" t="s">
        <v>20</v>
      </c>
      <c r="C383" t="s">
        <v>170</v>
      </c>
      <c r="D383" t="s">
        <v>171</v>
      </c>
      <c r="E383" t="s">
        <v>91</v>
      </c>
      <c r="F383" t="s">
        <v>8</v>
      </c>
      <c r="G383">
        <v>3</v>
      </c>
    </row>
    <row r="384" spans="1:7" x14ac:dyDescent="0.3">
      <c r="A384">
        <v>2019</v>
      </c>
      <c r="B384" t="s">
        <v>20</v>
      </c>
      <c r="C384" t="s">
        <v>170</v>
      </c>
      <c r="D384" t="s">
        <v>171</v>
      </c>
      <c r="E384" t="s">
        <v>109</v>
      </c>
      <c r="F384" t="s">
        <v>8</v>
      </c>
      <c r="G384">
        <v>0</v>
      </c>
    </row>
    <row r="385" spans="1:7" x14ac:dyDescent="0.3">
      <c r="A385">
        <v>2019</v>
      </c>
      <c r="B385" t="s">
        <v>20</v>
      </c>
      <c r="C385" t="s">
        <v>170</v>
      </c>
      <c r="D385" t="s">
        <v>171</v>
      </c>
      <c r="E385" t="s">
        <v>110</v>
      </c>
      <c r="F385" t="s">
        <v>8</v>
      </c>
      <c r="G385">
        <v>0</v>
      </c>
    </row>
    <row r="386" spans="1:7" x14ac:dyDescent="0.3">
      <c r="A386">
        <v>2019</v>
      </c>
      <c r="B386" t="s">
        <v>21</v>
      </c>
      <c r="C386" t="s">
        <v>170</v>
      </c>
      <c r="D386" t="s">
        <v>171</v>
      </c>
      <c r="E386" t="s">
        <v>108</v>
      </c>
      <c r="F386" t="s">
        <v>8</v>
      </c>
      <c r="G386">
        <v>0</v>
      </c>
    </row>
    <row r="387" spans="1:7" x14ac:dyDescent="0.3">
      <c r="A387">
        <v>2019</v>
      </c>
      <c r="B387" t="s">
        <v>21</v>
      </c>
      <c r="C387" t="s">
        <v>170</v>
      </c>
      <c r="D387" t="s">
        <v>171</v>
      </c>
      <c r="E387" t="s">
        <v>91</v>
      </c>
      <c r="F387" t="s">
        <v>8</v>
      </c>
      <c r="G387">
        <v>0</v>
      </c>
    </row>
    <row r="388" spans="1:7" x14ac:dyDescent="0.3">
      <c r="A388">
        <v>2019</v>
      </c>
      <c r="B388" t="s">
        <v>21</v>
      </c>
      <c r="C388" t="s">
        <v>170</v>
      </c>
      <c r="D388" t="s">
        <v>171</v>
      </c>
      <c r="E388" t="s">
        <v>109</v>
      </c>
      <c r="F388" t="s">
        <v>8</v>
      </c>
      <c r="G388">
        <v>1</v>
      </c>
    </row>
    <row r="389" spans="1:7" x14ac:dyDescent="0.3">
      <c r="A389">
        <v>2019</v>
      </c>
      <c r="B389" t="s">
        <v>21</v>
      </c>
      <c r="C389" t="s">
        <v>170</v>
      </c>
      <c r="D389" t="s">
        <v>171</v>
      </c>
      <c r="E389" t="s">
        <v>110</v>
      </c>
      <c r="F389" t="s">
        <v>8</v>
      </c>
      <c r="G389">
        <v>0</v>
      </c>
    </row>
    <row r="390" spans="1:7" x14ac:dyDescent="0.3">
      <c r="A390">
        <v>2019</v>
      </c>
      <c r="B390" t="s">
        <v>22</v>
      </c>
      <c r="C390" t="s">
        <v>170</v>
      </c>
      <c r="D390" t="s">
        <v>171</v>
      </c>
      <c r="E390" t="s">
        <v>108</v>
      </c>
      <c r="F390" t="s">
        <v>8</v>
      </c>
      <c r="G390">
        <v>0</v>
      </c>
    </row>
    <row r="391" spans="1:7" x14ac:dyDescent="0.3">
      <c r="A391">
        <v>2019</v>
      </c>
      <c r="B391" t="s">
        <v>22</v>
      </c>
      <c r="C391" t="s">
        <v>170</v>
      </c>
      <c r="D391" t="s">
        <v>171</v>
      </c>
      <c r="E391" t="s">
        <v>91</v>
      </c>
      <c r="F391" t="s">
        <v>8</v>
      </c>
      <c r="G391">
        <v>0</v>
      </c>
    </row>
    <row r="392" spans="1:7" x14ac:dyDescent="0.3">
      <c r="A392">
        <v>2019</v>
      </c>
      <c r="B392" t="s">
        <v>22</v>
      </c>
      <c r="C392" t="s">
        <v>170</v>
      </c>
      <c r="D392" t="s">
        <v>171</v>
      </c>
      <c r="E392" t="s">
        <v>109</v>
      </c>
      <c r="F392" t="s">
        <v>8</v>
      </c>
      <c r="G392">
        <v>0</v>
      </c>
    </row>
    <row r="393" spans="1:7" x14ac:dyDescent="0.3">
      <c r="A393">
        <v>2019</v>
      </c>
      <c r="B393" t="s">
        <v>22</v>
      </c>
      <c r="C393" t="s">
        <v>170</v>
      </c>
      <c r="D393" t="s">
        <v>171</v>
      </c>
      <c r="E393" t="s">
        <v>110</v>
      </c>
      <c r="F393" t="s">
        <v>8</v>
      </c>
      <c r="G393">
        <v>0</v>
      </c>
    </row>
    <row r="394" spans="1:7" x14ac:dyDescent="0.3">
      <c r="A394">
        <v>2019</v>
      </c>
      <c r="B394" t="s">
        <v>23</v>
      </c>
      <c r="C394" t="s">
        <v>170</v>
      </c>
      <c r="D394" t="s">
        <v>171</v>
      </c>
      <c r="E394" t="s">
        <v>108</v>
      </c>
      <c r="F394" t="s">
        <v>8</v>
      </c>
      <c r="G394">
        <v>0</v>
      </c>
    </row>
    <row r="395" spans="1:7" x14ac:dyDescent="0.3">
      <c r="A395">
        <v>2019</v>
      </c>
      <c r="B395" t="s">
        <v>23</v>
      </c>
      <c r="C395" t="s">
        <v>170</v>
      </c>
      <c r="D395" t="s">
        <v>171</v>
      </c>
      <c r="E395" t="s">
        <v>91</v>
      </c>
      <c r="F395" t="s">
        <v>8</v>
      </c>
      <c r="G395">
        <v>0</v>
      </c>
    </row>
    <row r="396" spans="1:7" x14ac:dyDescent="0.3">
      <c r="A396">
        <v>2019</v>
      </c>
      <c r="B396" t="s">
        <v>23</v>
      </c>
      <c r="C396" t="s">
        <v>170</v>
      </c>
      <c r="D396" t="s">
        <v>171</v>
      </c>
      <c r="E396" t="s">
        <v>109</v>
      </c>
      <c r="F396" t="s">
        <v>8</v>
      </c>
      <c r="G396">
        <v>0</v>
      </c>
    </row>
    <row r="397" spans="1:7" x14ac:dyDescent="0.3">
      <c r="A397">
        <v>2019</v>
      </c>
      <c r="B397" t="s">
        <v>23</v>
      </c>
      <c r="C397" t="s">
        <v>170</v>
      </c>
      <c r="D397" t="s">
        <v>171</v>
      </c>
      <c r="E397" t="s">
        <v>110</v>
      </c>
      <c r="F397" t="s">
        <v>8</v>
      </c>
      <c r="G397">
        <v>0</v>
      </c>
    </row>
    <row r="398" spans="1:7" x14ac:dyDescent="0.3">
      <c r="A398">
        <v>2019</v>
      </c>
      <c r="B398" t="s">
        <v>24</v>
      </c>
      <c r="C398" t="s">
        <v>170</v>
      </c>
      <c r="D398" t="s">
        <v>171</v>
      </c>
      <c r="E398" t="s">
        <v>108</v>
      </c>
      <c r="F398" t="s">
        <v>8</v>
      </c>
      <c r="G398">
        <v>0</v>
      </c>
    </row>
    <row r="399" spans="1:7" x14ac:dyDescent="0.3">
      <c r="A399">
        <v>2019</v>
      </c>
      <c r="B399" t="s">
        <v>24</v>
      </c>
      <c r="C399" t="s">
        <v>170</v>
      </c>
      <c r="D399" t="s">
        <v>171</v>
      </c>
      <c r="E399" t="s">
        <v>91</v>
      </c>
      <c r="F399" t="s">
        <v>8</v>
      </c>
      <c r="G399">
        <v>0</v>
      </c>
    </row>
    <row r="400" spans="1:7" x14ac:dyDescent="0.3">
      <c r="A400">
        <v>2019</v>
      </c>
      <c r="B400" t="s">
        <v>24</v>
      </c>
      <c r="C400" t="s">
        <v>170</v>
      </c>
      <c r="D400" t="s">
        <v>171</v>
      </c>
      <c r="E400" t="s">
        <v>109</v>
      </c>
      <c r="F400" t="s">
        <v>8</v>
      </c>
      <c r="G400">
        <v>0</v>
      </c>
    </row>
    <row r="401" spans="1:7" x14ac:dyDescent="0.3">
      <c r="A401">
        <v>2019</v>
      </c>
      <c r="B401" t="s">
        <v>24</v>
      </c>
      <c r="C401" t="s">
        <v>170</v>
      </c>
      <c r="D401" t="s">
        <v>171</v>
      </c>
      <c r="E401" t="s">
        <v>110</v>
      </c>
      <c r="F401" t="s">
        <v>8</v>
      </c>
      <c r="G401">
        <v>0</v>
      </c>
    </row>
    <row r="402" spans="1:7" x14ac:dyDescent="0.3">
      <c r="A402">
        <v>2019</v>
      </c>
      <c r="B402" t="s">
        <v>25</v>
      </c>
      <c r="C402" t="s">
        <v>170</v>
      </c>
      <c r="D402" t="s">
        <v>171</v>
      </c>
      <c r="E402" t="s">
        <v>108</v>
      </c>
      <c r="F402" t="s">
        <v>8</v>
      </c>
      <c r="G402">
        <v>0</v>
      </c>
    </row>
    <row r="403" spans="1:7" x14ac:dyDescent="0.3">
      <c r="A403">
        <v>2019</v>
      </c>
      <c r="B403" t="s">
        <v>25</v>
      </c>
      <c r="C403" t="s">
        <v>170</v>
      </c>
      <c r="D403" t="s">
        <v>171</v>
      </c>
      <c r="E403" t="s">
        <v>91</v>
      </c>
      <c r="F403" t="s">
        <v>8</v>
      </c>
      <c r="G403">
        <v>0</v>
      </c>
    </row>
    <row r="404" spans="1:7" x14ac:dyDescent="0.3">
      <c r="A404">
        <v>2019</v>
      </c>
      <c r="B404" t="s">
        <v>25</v>
      </c>
      <c r="C404" t="s">
        <v>170</v>
      </c>
      <c r="D404" t="s">
        <v>171</v>
      </c>
      <c r="E404" t="s">
        <v>109</v>
      </c>
      <c r="F404" t="s">
        <v>8</v>
      </c>
      <c r="G404">
        <v>0</v>
      </c>
    </row>
    <row r="405" spans="1:7" x14ac:dyDescent="0.3">
      <c r="A405">
        <v>2019</v>
      </c>
      <c r="B405" t="s">
        <v>25</v>
      </c>
      <c r="C405" t="s">
        <v>170</v>
      </c>
      <c r="D405" t="s">
        <v>171</v>
      </c>
      <c r="E405" t="s">
        <v>110</v>
      </c>
      <c r="F405" t="s">
        <v>8</v>
      </c>
      <c r="G405">
        <v>0</v>
      </c>
    </row>
    <row r="406" spans="1:7" x14ac:dyDescent="0.3">
      <c r="A406">
        <v>2019</v>
      </c>
      <c r="B406" t="s">
        <v>26</v>
      </c>
      <c r="C406" t="s">
        <v>170</v>
      </c>
      <c r="D406" t="s">
        <v>171</v>
      </c>
      <c r="E406" t="s">
        <v>108</v>
      </c>
      <c r="F406" t="s">
        <v>8</v>
      </c>
      <c r="G406">
        <v>0</v>
      </c>
    </row>
    <row r="407" spans="1:7" x14ac:dyDescent="0.3">
      <c r="A407">
        <v>2019</v>
      </c>
      <c r="B407" t="s">
        <v>26</v>
      </c>
      <c r="C407" t="s">
        <v>170</v>
      </c>
      <c r="D407" t="s">
        <v>171</v>
      </c>
      <c r="E407" t="s">
        <v>91</v>
      </c>
      <c r="F407" t="s">
        <v>8</v>
      </c>
      <c r="G407">
        <v>0</v>
      </c>
    </row>
    <row r="408" spans="1:7" x14ac:dyDescent="0.3">
      <c r="A408">
        <v>2019</v>
      </c>
      <c r="B408" t="s">
        <v>26</v>
      </c>
      <c r="C408" t="s">
        <v>170</v>
      </c>
      <c r="D408" t="s">
        <v>171</v>
      </c>
      <c r="E408" t="s">
        <v>109</v>
      </c>
      <c r="F408" t="s">
        <v>8</v>
      </c>
      <c r="G408">
        <v>0</v>
      </c>
    </row>
    <row r="409" spans="1:7" x14ac:dyDescent="0.3">
      <c r="A409">
        <v>2019</v>
      </c>
      <c r="B409" t="s">
        <v>26</v>
      </c>
      <c r="C409" t="s">
        <v>170</v>
      </c>
      <c r="D409" t="s">
        <v>171</v>
      </c>
      <c r="E409" t="s">
        <v>110</v>
      </c>
      <c r="F409" t="s">
        <v>8</v>
      </c>
      <c r="G409">
        <v>0</v>
      </c>
    </row>
    <row r="410" spans="1:7" x14ac:dyDescent="0.3">
      <c r="A410">
        <v>2019</v>
      </c>
      <c r="B410" t="s">
        <v>27</v>
      </c>
      <c r="C410" t="s">
        <v>170</v>
      </c>
      <c r="D410" t="s">
        <v>171</v>
      </c>
      <c r="E410" t="s">
        <v>108</v>
      </c>
      <c r="F410" t="s">
        <v>8</v>
      </c>
      <c r="G410">
        <v>2</v>
      </c>
    </row>
    <row r="411" spans="1:7" x14ac:dyDescent="0.3">
      <c r="A411">
        <v>2019</v>
      </c>
      <c r="B411" t="s">
        <v>27</v>
      </c>
      <c r="C411" t="s">
        <v>170</v>
      </c>
      <c r="D411" t="s">
        <v>171</v>
      </c>
      <c r="E411" t="s">
        <v>91</v>
      </c>
      <c r="F411" t="s">
        <v>8</v>
      </c>
      <c r="G411">
        <v>0</v>
      </c>
    </row>
    <row r="412" spans="1:7" x14ac:dyDescent="0.3">
      <c r="A412">
        <v>2019</v>
      </c>
      <c r="B412" t="s">
        <v>27</v>
      </c>
      <c r="C412" t="s">
        <v>170</v>
      </c>
      <c r="D412" t="s">
        <v>171</v>
      </c>
      <c r="E412" t="s">
        <v>109</v>
      </c>
      <c r="F412" t="s">
        <v>8</v>
      </c>
      <c r="G412">
        <v>0</v>
      </c>
    </row>
    <row r="413" spans="1:7" x14ac:dyDescent="0.3">
      <c r="A413">
        <v>2019</v>
      </c>
      <c r="B413" t="s">
        <v>27</v>
      </c>
      <c r="C413" t="s">
        <v>170</v>
      </c>
      <c r="D413" t="s">
        <v>171</v>
      </c>
      <c r="E413" t="s">
        <v>110</v>
      </c>
      <c r="F413" t="s">
        <v>8</v>
      </c>
      <c r="G413">
        <v>0</v>
      </c>
    </row>
    <row r="414" spans="1:7" x14ac:dyDescent="0.3">
      <c r="A414">
        <v>2019</v>
      </c>
      <c r="B414" t="s">
        <v>29</v>
      </c>
      <c r="C414" t="s">
        <v>170</v>
      </c>
      <c r="D414" t="s">
        <v>171</v>
      </c>
      <c r="E414" t="s">
        <v>108</v>
      </c>
      <c r="F414" t="s">
        <v>8</v>
      </c>
      <c r="G414">
        <v>0</v>
      </c>
    </row>
    <row r="415" spans="1:7" x14ac:dyDescent="0.3">
      <c r="A415">
        <v>2019</v>
      </c>
      <c r="B415" t="s">
        <v>29</v>
      </c>
      <c r="C415" t="s">
        <v>170</v>
      </c>
      <c r="D415" t="s">
        <v>171</v>
      </c>
      <c r="E415" t="s">
        <v>91</v>
      </c>
      <c r="F415" t="s">
        <v>8</v>
      </c>
      <c r="G415">
        <v>0</v>
      </c>
    </row>
    <row r="416" spans="1:7" x14ac:dyDescent="0.3">
      <c r="A416">
        <v>2019</v>
      </c>
      <c r="B416" t="s">
        <v>29</v>
      </c>
      <c r="C416" t="s">
        <v>170</v>
      </c>
      <c r="D416" t="s">
        <v>171</v>
      </c>
      <c r="E416" t="s">
        <v>109</v>
      </c>
      <c r="F416" t="s">
        <v>8</v>
      </c>
      <c r="G416">
        <v>0</v>
      </c>
    </row>
    <row r="417" spans="1:7" x14ac:dyDescent="0.3">
      <c r="A417">
        <v>2019</v>
      </c>
      <c r="B417" t="s">
        <v>29</v>
      </c>
      <c r="C417" t="s">
        <v>170</v>
      </c>
      <c r="D417" t="s">
        <v>171</v>
      </c>
      <c r="E417" t="s">
        <v>110</v>
      </c>
      <c r="F417" t="s">
        <v>8</v>
      </c>
      <c r="G417">
        <v>0</v>
      </c>
    </row>
    <row r="418" spans="1:7" x14ac:dyDescent="0.3">
      <c r="A418">
        <v>2019</v>
      </c>
      <c r="B418" t="s">
        <v>30</v>
      </c>
      <c r="C418" t="s">
        <v>170</v>
      </c>
      <c r="D418" t="s">
        <v>171</v>
      </c>
      <c r="E418" t="s">
        <v>108</v>
      </c>
      <c r="F418" t="s">
        <v>8</v>
      </c>
      <c r="G418">
        <v>1</v>
      </c>
    </row>
    <row r="419" spans="1:7" x14ac:dyDescent="0.3">
      <c r="A419">
        <v>2019</v>
      </c>
      <c r="B419" t="s">
        <v>30</v>
      </c>
      <c r="C419" t="s">
        <v>170</v>
      </c>
      <c r="D419" t="s">
        <v>171</v>
      </c>
      <c r="E419" t="s">
        <v>91</v>
      </c>
      <c r="F419" t="s">
        <v>8</v>
      </c>
      <c r="G419">
        <v>0</v>
      </c>
    </row>
    <row r="420" spans="1:7" x14ac:dyDescent="0.3">
      <c r="A420">
        <v>2019</v>
      </c>
      <c r="B420" t="s">
        <v>30</v>
      </c>
      <c r="C420" t="s">
        <v>170</v>
      </c>
      <c r="D420" t="s">
        <v>171</v>
      </c>
      <c r="E420" t="s">
        <v>109</v>
      </c>
      <c r="F420" t="s">
        <v>8</v>
      </c>
      <c r="G420">
        <v>0</v>
      </c>
    </row>
    <row r="421" spans="1:7" x14ac:dyDescent="0.3">
      <c r="A421">
        <v>2019</v>
      </c>
      <c r="B421" t="s">
        <v>30</v>
      </c>
      <c r="C421" t="s">
        <v>170</v>
      </c>
      <c r="D421" t="s">
        <v>171</v>
      </c>
      <c r="E421" t="s">
        <v>110</v>
      </c>
      <c r="F421" t="s">
        <v>8</v>
      </c>
      <c r="G421">
        <v>0</v>
      </c>
    </row>
    <row r="422" spans="1:7" x14ac:dyDescent="0.3">
      <c r="A422">
        <v>2019</v>
      </c>
      <c r="B422" t="s">
        <v>31</v>
      </c>
      <c r="C422" t="s">
        <v>170</v>
      </c>
      <c r="D422" t="s">
        <v>171</v>
      </c>
      <c r="E422" t="s">
        <v>108</v>
      </c>
      <c r="F422" t="s">
        <v>8</v>
      </c>
      <c r="G422">
        <v>0</v>
      </c>
    </row>
    <row r="423" spans="1:7" x14ac:dyDescent="0.3">
      <c r="A423">
        <v>2019</v>
      </c>
      <c r="B423" t="s">
        <v>31</v>
      </c>
      <c r="C423" t="s">
        <v>170</v>
      </c>
      <c r="D423" t="s">
        <v>171</v>
      </c>
      <c r="E423" t="s">
        <v>91</v>
      </c>
      <c r="F423" t="s">
        <v>8</v>
      </c>
      <c r="G423">
        <v>0</v>
      </c>
    </row>
    <row r="424" spans="1:7" x14ac:dyDescent="0.3">
      <c r="A424">
        <v>2019</v>
      </c>
      <c r="B424" t="s">
        <v>31</v>
      </c>
      <c r="C424" t="s">
        <v>170</v>
      </c>
      <c r="D424" t="s">
        <v>171</v>
      </c>
      <c r="E424" t="s">
        <v>109</v>
      </c>
      <c r="F424" t="s">
        <v>8</v>
      </c>
      <c r="G424">
        <v>0</v>
      </c>
    </row>
    <row r="425" spans="1:7" x14ac:dyDescent="0.3">
      <c r="A425">
        <v>2019</v>
      </c>
      <c r="B425" t="s">
        <v>31</v>
      </c>
      <c r="C425" t="s">
        <v>170</v>
      </c>
      <c r="D425" t="s">
        <v>171</v>
      </c>
      <c r="E425" t="s">
        <v>110</v>
      </c>
      <c r="F425" t="s">
        <v>8</v>
      </c>
      <c r="G425">
        <v>0</v>
      </c>
    </row>
    <row r="426" spans="1:7" x14ac:dyDescent="0.3">
      <c r="A426">
        <v>2019</v>
      </c>
      <c r="B426" t="s">
        <v>32</v>
      </c>
      <c r="C426" t="s">
        <v>170</v>
      </c>
      <c r="D426" t="s">
        <v>171</v>
      </c>
      <c r="E426" t="s">
        <v>108</v>
      </c>
      <c r="F426" t="s">
        <v>8</v>
      </c>
      <c r="G426">
        <v>0</v>
      </c>
    </row>
    <row r="427" spans="1:7" x14ac:dyDescent="0.3">
      <c r="A427">
        <v>2019</v>
      </c>
      <c r="B427" t="s">
        <v>32</v>
      </c>
      <c r="C427" t="s">
        <v>170</v>
      </c>
      <c r="D427" t="s">
        <v>171</v>
      </c>
      <c r="E427" t="s">
        <v>91</v>
      </c>
      <c r="F427" t="s">
        <v>8</v>
      </c>
      <c r="G427">
        <v>0</v>
      </c>
    </row>
    <row r="428" spans="1:7" x14ac:dyDescent="0.3">
      <c r="A428">
        <v>2019</v>
      </c>
      <c r="B428" t="s">
        <v>32</v>
      </c>
      <c r="C428" t="s">
        <v>170</v>
      </c>
      <c r="D428" t="s">
        <v>171</v>
      </c>
      <c r="E428" t="s">
        <v>109</v>
      </c>
      <c r="F428" t="s">
        <v>8</v>
      </c>
      <c r="G428">
        <v>0</v>
      </c>
    </row>
    <row r="429" spans="1:7" x14ac:dyDescent="0.3">
      <c r="A429">
        <v>2019</v>
      </c>
      <c r="B429" t="s">
        <v>32</v>
      </c>
      <c r="C429" t="s">
        <v>170</v>
      </c>
      <c r="D429" t="s">
        <v>171</v>
      </c>
      <c r="E429" t="s">
        <v>110</v>
      </c>
      <c r="F429" t="s">
        <v>8</v>
      </c>
      <c r="G429">
        <v>0</v>
      </c>
    </row>
    <row r="430" spans="1:7" x14ac:dyDescent="0.3">
      <c r="A430">
        <v>2019</v>
      </c>
      <c r="B430" t="s">
        <v>63</v>
      </c>
      <c r="C430" t="s">
        <v>170</v>
      </c>
      <c r="D430" t="s">
        <v>171</v>
      </c>
      <c r="E430" t="s">
        <v>108</v>
      </c>
      <c r="F430" t="s">
        <v>8</v>
      </c>
      <c r="G430">
        <v>0</v>
      </c>
    </row>
    <row r="431" spans="1:7" x14ac:dyDescent="0.3">
      <c r="A431">
        <v>2019</v>
      </c>
      <c r="B431" t="s">
        <v>63</v>
      </c>
      <c r="C431" t="s">
        <v>170</v>
      </c>
      <c r="D431" t="s">
        <v>171</v>
      </c>
      <c r="E431" t="s">
        <v>91</v>
      </c>
      <c r="F431" t="s">
        <v>8</v>
      </c>
      <c r="G431">
        <v>18</v>
      </c>
    </row>
    <row r="432" spans="1:7" x14ac:dyDescent="0.3">
      <c r="A432">
        <v>2019</v>
      </c>
      <c r="B432" t="s">
        <v>63</v>
      </c>
      <c r="C432" t="s">
        <v>170</v>
      </c>
      <c r="D432" t="s">
        <v>171</v>
      </c>
      <c r="E432" t="s">
        <v>109</v>
      </c>
      <c r="F432" t="s">
        <v>8</v>
      </c>
      <c r="G432">
        <v>4</v>
      </c>
    </row>
    <row r="433" spans="1:7" x14ac:dyDescent="0.3">
      <c r="A433">
        <v>2019</v>
      </c>
      <c r="B433" t="s">
        <v>63</v>
      </c>
      <c r="C433" t="s">
        <v>170</v>
      </c>
      <c r="D433" t="s">
        <v>171</v>
      </c>
      <c r="E433" t="s">
        <v>110</v>
      </c>
      <c r="F433" t="s">
        <v>8</v>
      </c>
      <c r="G433">
        <v>0</v>
      </c>
    </row>
    <row r="434" spans="1:7" x14ac:dyDescent="0.3">
      <c r="A434">
        <v>2019</v>
      </c>
      <c r="B434" t="s">
        <v>57</v>
      </c>
      <c r="C434" t="s">
        <v>170</v>
      </c>
      <c r="D434" t="s">
        <v>171</v>
      </c>
      <c r="E434" t="s">
        <v>108</v>
      </c>
      <c r="F434" t="s">
        <v>8</v>
      </c>
      <c r="G434">
        <v>0</v>
      </c>
    </row>
    <row r="435" spans="1:7" x14ac:dyDescent="0.3">
      <c r="A435">
        <v>2019</v>
      </c>
      <c r="B435" t="s">
        <v>57</v>
      </c>
      <c r="C435" t="s">
        <v>170</v>
      </c>
      <c r="D435" t="s">
        <v>171</v>
      </c>
      <c r="E435" t="s">
        <v>91</v>
      </c>
      <c r="F435" t="s">
        <v>8</v>
      </c>
      <c r="G435">
        <v>4</v>
      </c>
    </row>
    <row r="436" spans="1:7" x14ac:dyDescent="0.3">
      <c r="A436">
        <v>2019</v>
      </c>
      <c r="B436" t="s">
        <v>57</v>
      </c>
      <c r="C436" t="s">
        <v>170</v>
      </c>
      <c r="D436" t="s">
        <v>171</v>
      </c>
      <c r="E436" t="s">
        <v>109</v>
      </c>
      <c r="F436" t="s">
        <v>8</v>
      </c>
      <c r="G436">
        <v>0</v>
      </c>
    </row>
    <row r="437" spans="1:7" x14ac:dyDescent="0.3">
      <c r="A437">
        <v>2019</v>
      </c>
      <c r="B437" t="s">
        <v>57</v>
      </c>
      <c r="C437" t="s">
        <v>170</v>
      </c>
      <c r="D437" t="s">
        <v>171</v>
      </c>
      <c r="E437" t="s">
        <v>110</v>
      </c>
      <c r="F437" t="s">
        <v>8</v>
      </c>
      <c r="G437">
        <v>0</v>
      </c>
    </row>
    <row r="438" spans="1:7" x14ac:dyDescent="0.3">
      <c r="A438">
        <v>2019</v>
      </c>
      <c r="B438" t="s">
        <v>33</v>
      </c>
      <c r="C438" t="s">
        <v>170</v>
      </c>
      <c r="D438" t="s">
        <v>171</v>
      </c>
      <c r="E438" t="s">
        <v>108</v>
      </c>
      <c r="F438" t="s">
        <v>8</v>
      </c>
      <c r="G438">
        <v>0</v>
      </c>
    </row>
    <row r="439" spans="1:7" x14ac:dyDescent="0.3">
      <c r="A439">
        <v>2019</v>
      </c>
      <c r="B439" t="s">
        <v>33</v>
      </c>
      <c r="C439" t="s">
        <v>170</v>
      </c>
      <c r="D439" t="s">
        <v>171</v>
      </c>
      <c r="E439" t="s">
        <v>91</v>
      </c>
      <c r="F439" t="s">
        <v>8</v>
      </c>
      <c r="G439">
        <v>0</v>
      </c>
    </row>
    <row r="440" spans="1:7" x14ac:dyDescent="0.3">
      <c r="A440">
        <v>2019</v>
      </c>
      <c r="B440" t="s">
        <v>33</v>
      </c>
      <c r="C440" t="s">
        <v>170</v>
      </c>
      <c r="D440" t="s">
        <v>171</v>
      </c>
      <c r="E440" t="s">
        <v>109</v>
      </c>
      <c r="F440" t="s">
        <v>8</v>
      </c>
      <c r="G440">
        <v>0</v>
      </c>
    </row>
    <row r="441" spans="1:7" x14ac:dyDescent="0.3">
      <c r="A441">
        <v>2019</v>
      </c>
      <c r="B441" t="s">
        <v>33</v>
      </c>
      <c r="C441" t="s">
        <v>170</v>
      </c>
      <c r="D441" t="s">
        <v>171</v>
      </c>
      <c r="E441" t="s">
        <v>110</v>
      </c>
      <c r="F441" t="s">
        <v>8</v>
      </c>
      <c r="G441">
        <v>0</v>
      </c>
    </row>
    <row r="442" spans="1:7" x14ac:dyDescent="0.3">
      <c r="A442">
        <v>2019</v>
      </c>
      <c r="B442" t="s">
        <v>34</v>
      </c>
      <c r="C442" t="s">
        <v>170</v>
      </c>
      <c r="D442" t="s">
        <v>171</v>
      </c>
      <c r="E442" t="s">
        <v>108</v>
      </c>
      <c r="F442" t="s">
        <v>8</v>
      </c>
      <c r="G442">
        <v>0</v>
      </c>
    </row>
    <row r="443" spans="1:7" x14ac:dyDescent="0.3">
      <c r="A443">
        <v>2019</v>
      </c>
      <c r="B443" t="s">
        <v>34</v>
      </c>
      <c r="C443" t="s">
        <v>170</v>
      </c>
      <c r="D443" t="s">
        <v>171</v>
      </c>
      <c r="E443" t="s">
        <v>91</v>
      </c>
      <c r="F443" t="s">
        <v>8</v>
      </c>
      <c r="G443">
        <v>1</v>
      </c>
    </row>
    <row r="444" spans="1:7" x14ac:dyDescent="0.3">
      <c r="A444">
        <v>2019</v>
      </c>
      <c r="B444" t="s">
        <v>34</v>
      </c>
      <c r="C444" t="s">
        <v>170</v>
      </c>
      <c r="D444" t="s">
        <v>171</v>
      </c>
      <c r="E444" t="s">
        <v>109</v>
      </c>
      <c r="F444" t="s">
        <v>8</v>
      </c>
      <c r="G444">
        <v>0</v>
      </c>
    </row>
    <row r="445" spans="1:7" x14ac:dyDescent="0.3">
      <c r="A445">
        <v>2019</v>
      </c>
      <c r="B445" t="s">
        <v>34</v>
      </c>
      <c r="C445" t="s">
        <v>170</v>
      </c>
      <c r="D445" t="s">
        <v>171</v>
      </c>
      <c r="E445" t="s">
        <v>110</v>
      </c>
      <c r="F445" t="s">
        <v>8</v>
      </c>
      <c r="G445">
        <v>0</v>
      </c>
    </row>
    <row r="446" spans="1:7" x14ac:dyDescent="0.3">
      <c r="A446">
        <v>2019</v>
      </c>
      <c r="B446" t="s">
        <v>35</v>
      </c>
      <c r="C446" t="s">
        <v>170</v>
      </c>
      <c r="D446" t="s">
        <v>171</v>
      </c>
      <c r="E446" t="s">
        <v>108</v>
      </c>
      <c r="F446" t="s">
        <v>8</v>
      </c>
      <c r="G446">
        <v>0</v>
      </c>
    </row>
    <row r="447" spans="1:7" x14ac:dyDescent="0.3">
      <c r="A447">
        <v>2019</v>
      </c>
      <c r="B447" t="s">
        <v>35</v>
      </c>
      <c r="C447" t="s">
        <v>170</v>
      </c>
      <c r="D447" t="s">
        <v>171</v>
      </c>
      <c r="E447" t="s">
        <v>91</v>
      </c>
      <c r="F447" t="s">
        <v>8</v>
      </c>
      <c r="G447">
        <v>2</v>
      </c>
    </row>
    <row r="448" spans="1:7" x14ac:dyDescent="0.3">
      <c r="A448">
        <v>2019</v>
      </c>
      <c r="B448" t="s">
        <v>35</v>
      </c>
      <c r="C448" t="s">
        <v>170</v>
      </c>
      <c r="D448" t="s">
        <v>171</v>
      </c>
      <c r="E448" t="s">
        <v>109</v>
      </c>
      <c r="F448" t="s">
        <v>8</v>
      </c>
      <c r="G448">
        <v>1</v>
      </c>
    </row>
    <row r="449" spans="1:7" x14ac:dyDescent="0.3">
      <c r="A449">
        <v>2019</v>
      </c>
      <c r="B449" t="s">
        <v>35</v>
      </c>
      <c r="C449" t="s">
        <v>170</v>
      </c>
      <c r="D449" t="s">
        <v>171</v>
      </c>
      <c r="E449" t="s">
        <v>110</v>
      </c>
      <c r="F449" t="s">
        <v>8</v>
      </c>
      <c r="G449">
        <v>0</v>
      </c>
    </row>
    <row r="450" spans="1:7" x14ac:dyDescent="0.3">
      <c r="A450">
        <v>2019</v>
      </c>
      <c r="B450" t="s">
        <v>36</v>
      </c>
      <c r="C450" t="s">
        <v>170</v>
      </c>
      <c r="D450" t="s">
        <v>171</v>
      </c>
      <c r="E450" t="s">
        <v>108</v>
      </c>
      <c r="F450" t="s">
        <v>8</v>
      </c>
      <c r="G450">
        <v>0</v>
      </c>
    </row>
    <row r="451" spans="1:7" x14ac:dyDescent="0.3">
      <c r="A451">
        <v>2019</v>
      </c>
      <c r="B451" t="s">
        <v>36</v>
      </c>
      <c r="C451" t="s">
        <v>170</v>
      </c>
      <c r="D451" t="s">
        <v>171</v>
      </c>
      <c r="E451" t="s">
        <v>91</v>
      </c>
      <c r="F451" t="s">
        <v>8</v>
      </c>
      <c r="G451">
        <v>0</v>
      </c>
    </row>
    <row r="452" spans="1:7" x14ac:dyDescent="0.3">
      <c r="A452">
        <v>2019</v>
      </c>
      <c r="B452" t="s">
        <v>36</v>
      </c>
      <c r="C452" t="s">
        <v>170</v>
      </c>
      <c r="D452" t="s">
        <v>171</v>
      </c>
      <c r="E452" t="s">
        <v>109</v>
      </c>
      <c r="F452" t="s">
        <v>8</v>
      </c>
      <c r="G452">
        <v>0</v>
      </c>
    </row>
    <row r="453" spans="1:7" x14ac:dyDescent="0.3">
      <c r="A453">
        <v>2019</v>
      </c>
      <c r="B453" t="s">
        <v>36</v>
      </c>
      <c r="C453" t="s">
        <v>170</v>
      </c>
      <c r="D453" t="s">
        <v>171</v>
      </c>
      <c r="E453" t="s">
        <v>110</v>
      </c>
      <c r="F453" t="s">
        <v>8</v>
      </c>
      <c r="G453">
        <v>0</v>
      </c>
    </row>
    <row r="454" spans="1:7" x14ac:dyDescent="0.3">
      <c r="A454">
        <v>2019</v>
      </c>
      <c r="B454" t="s">
        <v>37</v>
      </c>
      <c r="C454" t="s">
        <v>170</v>
      </c>
      <c r="D454" t="s">
        <v>171</v>
      </c>
      <c r="E454" t="s">
        <v>108</v>
      </c>
      <c r="F454" t="s">
        <v>8</v>
      </c>
      <c r="G454">
        <v>0</v>
      </c>
    </row>
    <row r="455" spans="1:7" x14ac:dyDescent="0.3">
      <c r="A455">
        <v>2019</v>
      </c>
      <c r="B455" t="s">
        <v>37</v>
      </c>
      <c r="C455" t="s">
        <v>170</v>
      </c>
      <c r="D455" t="s">
        <v>171</v>
      </c>
      <c r="E455" t="s">
        <v>91</v>
      </c>
      <c r="F455" t="s">
        <v>8</v>
      </c>
      <c r="G455">
        <v>0</v>
      </c>
    </row>
    <row r="456" spans="1:7" x14ac:dyDescent="0.3">
      <c r="A456">
        <v>2019</v>
      </c>
      <c r="B456" t="s">
        <v>37</v>
      </c>
      <c r="C456" t="s">
        <v>170</v>
      </c>
      <c r="D456" t="s">
        <v>171</v>
      </c>
      <c r="E456" t="s">
        <v>109</v>
      </c>
      <c r="F456" t="s">
        <v>8</v>
      </c>
      <c r="G456">
        <v>0</v>
      </c>
    </row>
    <row r="457" spans="1:7" x14ac:dyDescent="0.3">
      <c r="A457">
        <v>2019</v>
      </c>
      <c r="B457" t="s">
        <v>37</v>
      </c>
      <c r="C457" t="s">
        <v>170</v>
      </c>
      <c r="D457" t="s">
        <v>171</v>
      </c>
      <c r="E457" t="s">
        <v>110</v>
      </c>
      <c r="F457" t="s">
        <v>8</v>
      </c>
      <c r="G457">
        <v>0</v>
      </c>
    </row>
    <row r="458" spans="1:7" x14ac:dyDescent="0.3">
      <c r="A458">
        <v>2019</v>
      </c>
      <c r="B458" t="s">
        <v>55</v>
      </c>
      <c r="C458" t="s">
        <v>170</v>
      </c>
      <c r="D458" t="s">
        <v>171</v>
      </c>
      <c r="E458" t="s">
        <v>108</v>
      </c>
      <c r="F458" t="s">
        <v>8</v>
      </c>
      <c r="G458">
        <v>0</v>
      </c>
    </row>
    <row r="459" spans="1:7" x14ac:dyDescent="0.3">
      <c r="A459">
        <v>2019</v>
      </c>
      <c r="B459" t="s">
        <v>55</v>
      </c>
      <c r="C459" t="s">
        <v>170</v>
      </c>
      <c r="D459" t="s">
        <v>171</v>
      </c>
      <c r="E459" t="s">
        <v>91</v>
      </c>
      <c r="F459" t="s">
        <v>8</v>
      </c>
      <c r="G459">
        <v>0</v>
      </c>
    </row>
    <row r="460" spans="1:7" x14ac:dyDescent="0.3">
      <c r="A460">
        <v>2019</v>
      </c>
      <c r="B460" t="s">
        <v>55</v>
      </c>
      <c r="C460" t="s">
        <v>170</v>
      </c>
      <c r="D460" t="s">
        <v>171</v>
      </c>
      <c r="E460" t="s">
        <v>109</v>
      </c>
      <c r="F460" t="s">
        <v>8</v>
      </c>
      <c r="G460">
        <v>0</v>
      </c>
    </row>
    <row r="461" spans="1:7" x14ac:dyDescent="0.3">
      <c r="A461">
        <v>2019</v>
      </c>
      <c r="B461" t="s">
        <v>55</v>
      </c>
      <c r="C461" t="s">
        <v>170</v>
      </c>
      <c r="D461" t="s">
        <v>171</v>
      </c>
      <c r="E461" t="s">
        <v>110</v>
      </c>
      <c r="F461" t="s">
        <v>8</v>
      </c>
      <c r="G461">
        <v>0</v>
      </c>
    </row>
    <row r="462" spans="1:7" x14ac:dyDescent="0.3">
      <c r="A462">
        <v>2019</v>
      </c>
      <c r="B462" t="s">
        <v>38</v>
      </c>
      <c r="C462" t="s">
        <v>170</v>
      </c>
      <c r="D462" t="s">
        <v>171</v>
      </c>
      <c r="E462" t="s">
        <v>108</v>
      </c>
      <c r="F462" t="s">
        <v>8</v>
      </c>
      <c r="G462">
        <v>0</v>
      </c>
    </row>
    <row r="463" spans="1:7" x14ac:dyDescent="0.3">
      <c r="A463">
        <v>2019</v>
      </c>
      <c r="B463" t="s">
        <v>38</v>
      </c>
      <c r="C463" t="s">
        <v>170</v>
      </c>
      <c r="D463" t="s">
        <v>171</v>
      </c>
      <c r="E463" t="s">
        <v>91</v>
      </c>
      <c r="F463" t="s">
        <v>8</v>
      </c>
      <c r="G463">
        <v>0</v>
      </c>
    </row>
    <row r="464" spans="1:7" x14ac:dyDescent="0.3">
      <c r="A464">
        <v>2019</v>
      </c>
      <c r="B464" t="s">
        <v>38</v>
      </c>
      <c r="C464" t="s">
        <v>170</v>
      </c>
      <c r="D464" t="s">
        <v>171</v>
      </c>
      <c r="E464" t="s">
        <v>109</v>
      </c>
      <c r="F464" t="s">
        <v>8</v>
      </c>
      <c r="G464">
        <v>0</v>
      </c>
    </row>
    <row r="465" spans="1:7" x14ac:dyDescent="0.3">
      <c r="A465">
        <v>2019</v>
      </c>
      <c r="B465" t="s">
        <v>38</v>
      </c>
      <c r="C465" t="s">
        <v>170</v>
      </c>
      <c r="D465" t="s">
        <v>171</v>
      </c>
      <c r="E465" t="s">
        <v>110</v>
      </c>
      <c r="F465" t="s">
        <v>8</v>
      </c>
      <c r="G465">
        <v>0</v>
      </c>
    </row>
    <row r="466" spans="1:7" x14ac:dyDescent="0.3">
      <c r="A466">
        <v>2019</v>
      </c>
      <c r="B466" t="s">
        <v>39</v>
      </c>
      <c r="C466" t="s">
        <v>170</v>
      </c>
      <c r="D466" t="s">
        <v>171</v>
      </c>
      <c r="E466" t="s">
        <v>108</v>
      </c>
      <c r="F466" t="s">
        <v>8</v>
      </c>
      <c r="G466">
        <v>0</v>
      </c>
    </row>
    <row r="467" spans="1:7" x14ac:dyDescent="0.3">
      <c r="A467">
        <v>2019</v>
      </c>
      <c r="B467" t="s">
        <v>39</v>
      </c>
      <c r="C467" t="s">
        <v>170</v>
      </c>
      <c r="D467" t="s">
        <v>171</v>
      </c>
      <c r="E467" t="s">
        <v>91</v>
      </c>
      <c r="F467" t="s">
        <v>8</v>
      </c>
      <c r="G467">
        <v>3</v>
      </c>
    </row>
    <row r="468" spans="1:7" x14ac:dyDescent="0.3">
      <c r="A468">
        <v>2019</v>
      </c>
      <c r="B468" t="s">
        <v>39</v>
      </c>
      <c r="C468" t="s">
        <v>170</v>
      </c>
      <c r="D468" t="s">
        <v>171</v>
      </c>
      <c r="E468" t="s">
        <v>109</v>
      </c>
      <c r="F468" t="s">
        <v>8</v>
      </c>
      <c r="G468">
        <v>0</v>
      </c>
    </row>
    <row r="469" spans="1:7" x14ac:dyDescent="0.3">
      <c r="A469">
        <v>2019</v>
      </c>
      <c r="B469" t="s">
        <v>39</v>
      </c>
      <c r="C469" t="s">
        <v>170</v>
      </c>
      <c r="D469" t="s">
        <v>171</v>
      </c>
      <c r="E469" t="s">
        <v>110</v>
      </c>
      <c r="F469" t="s">
        <v>8</v>
      </c>
      <c r="G469">
        <v>0</v>
      </c>
    </row>
    <row r="470" spans="1:7" x14ac:dyDescent="0.3">
      <c r="A470">
        <v>2019</v>
      </c>
      <c r="B470" t="s">
        <v>40</v>
      </c>
      <c r="C470" t="s">
        <v>170</v>
      </c>
      <c r="D470" t="s">
        <v>171</v>
      </c>
      <c r="E470" t="s">
        <v>108</v>
      </c>
      <c r="F470" t="s">
        <v>8</v>
      </c>
      <c r="G470">
        <v>1</v>
      </c>
    </row>
    <row r="471" spans="1:7" x14ac:dyDescent="0.3">
      <c r="A471">
        <v>2019</v>
      </c>
      <c r="B471" t="s">
        <v>40</v>
      </c>
      <c r="C471" t="s">
        <v>170</v>
      </c>
      <c r="D471" t="s">
        <v>171</v>
      </c>
      <c r="E471" t="s">
        <v>91</v>
      </c>
      <c r="F471" t="s">
        <v>8</v>
      </c>
      <c r="G471">
        <v>0</v>
      </c>
    </row>
    <row r="472" spans="1:7" x14ac:dyDescent="0.3">
      <c r="A472">
        <v>2019</v>
      </c>
      <c r="B472" t="s">
        <v>40</v>
      </c>
      <c r="C472" t="s">
        <v>170</v>
      </c>
      <c r="D472" t="s">
        <v>171</v>
      </c>
      <c r="E472" t="s">
        <v>109</v>
      </c>
      <c r="F472" t="s">
        <v>8</v>
      </c>
      <c r="G472">
        <v>0</v>
      </c>
    </row>
    <row r="473" spans="1:7" x14ac:dyDescent="0.3">
      <c r="A473">
        <v>2019</v>
      </c>
      <c r="B473" t="s">
        <v>40</v>
      </c>
      <c r="C473" t="s">
        <v>170</v>
      </c>
      <c r="D473" t="s">
        <v>171</v>
      </c>
      <c r="E473" t="s">
        <v>110</v>
      </c>
      <c r="F473" t="s">
        <v>8</v>
      </c>
      <c r="G473">
        <v>0</v>
      </c>
    </row>
    <row r="474" spans="1:7" x14ac:dyDescent="0.3">
      <c r="A474">
        <v>2019</v>
      </c>
      <c r="B474" t="s">
        <v>41</v>
      </c>
      <c r="C474" t="s">
        <v>170</v>
      </c>
      <c r="D474" t="s">
        <v>171</v>
      </c>
      <c r="E474" t="s">
        <v>108</v>
      </c>
      <c r="F474" t="s">
        <v>8</v>
      </c>
      <c r="G474">
        <v>0</v>
      </c>
    </row>
    <row r="475" spans="1:7" x14ac:dyDescent="0.3">
      <c r="A475">
        <v>2019</v>
      </c>
      <c r="B475" t="s">
        <v>41</v>
      </c>
      <c r="C475" t="s">
        <v>170</v>
      </c>
      <c r="D475" t="s">
        <v>171</v>
      </c>
      <c r="E475" t="s">
        <v>91</v>
      </c>
      <c r="F475" t="s">
        <v>8</v>
      </c>
      <c r="G475">
        <v>1</v>
      </c>
    </row>
    <row r="476" spans="1:7" x14ac:dyDescent="0.3">
      <c r="A476">
        <v>2019</v>
      </c>
      <c r="B476" t="s">
        <v>41</v>
      </c>
      <c r="C476" t="s">
        <v>170</v>
      </c>
      <c r="D476" t="s">
        <v>171</v>
      </c>
      <c r="E476" t="s">
        <v>109</v>
      </c>
      <c r="F476" t="s">
        <v>8</v>
      </c>
      <c r="G476">
        <v>0</v>
      </c>
    </row>
    <row r="477" spans="1:7" x14ac:dyDescent="0.3">
      <c r="A477">
        <v>2019</v>
      </c>
      <c r="B477" t="s">
        <v>41</v>
      </c>
      <c r="C477" t="s">
        <v>170</v>
      </c>
      <c r="D477" t="s">
        <v>171</v>
      </c>
      <c r="E477" t="s">
        <v>110</v>
      </c>
      <c r="F477" t="s">
        <v>8</v>
      </c>
      <c r="G477">
        <v>0</v>
      </c>
    </row>
    <row r="478" spans="1:7" x14ac:dyDescent="0.3">
      <c r="A478">
        <v>2019</v>
      </c>
      <c r="B478" t="s">
        <v>58</v>
      </c>
      <c r="C478" t="s">
        <v>170</v>
      </c>
      <c r="D478" t="s">
        <v>171</v>
      </c>
      <c r="E478" t="s">
        <v>108</v>
      </c>
      <c r="F478" t="s">
        <v>8</v>
      </c>
      <c r="G478">
        <v>2</v>
      </c>
    </row>
    <row r="479" spans="1:7" x14ac:dyDescent="0.3">
      <c r="A479">
        <v>2019</v>
      </c>
      <c r="B479" t="s">
        <v>58</v>
      </c>
      <c r="C479" t="s">
        <v>170</v>
      </c>
      <c r="D479" t="s">
        <v>171</v>
      </c>
      <c r="E479" t="s">
        <v>91</v>
      </c>
      <c r="F479" t="s">
        <v>8</v>
      </c>
      <c r="G479">
        <v>3</v>
      </c>
    </row>
    <row r="480" spans="1:7" x14ac:dyDescent="0.3">
      <c r="A480">
        <v>2019</v>
      </c>
      <c r="B480" t="s">
        <v>58</v>
      </c>
      <c r="C480" t="s">
        <v>170</v>
      </c>
      <c r="D480" t="s">
        <v>171</v>
      </c>
      <c r="E480" t="s">
        <v>109</v>
      </c>
      <c r="F480" t="s">
        <v>8</v>
      </c>
      <c r="G480">
        <v>0</v>
      </c>
    </row>
    <row r="481" spans="1:7" x14ac:dyDescent="0.3">
      <c r="A481">
        <v>2019</v>
      </c>
      <c r="B481" t="s">
        <v>58</v>
      </c>
      <c r="C481" t="s">
        <v>170</v>
      </c>
      <c r="D481" t="s">
        <v>171</v>
      </c>
      <c r="E481" t="s">
        <v>110</v>
      </c>
      <c r="F481" t="s">
        <v>8</v>
      </c>
      <c r="G481">
        <v>0</v>
      </c>
    </row>
    <row r="482" spans="1:7" x14ac:dyDescent="0.3">
      <c r="A482">
        <v>2019</v>
      </c>
      <c r="B482" t="s">
        <v>42</v>
      </c>
      <c r="C482" t="s">
        <v>170</v>
      </c>
      <c r="D482" t="s">
        <v>171</v>
      </c>
      <c r="E482" t="s">
        <v>108</v>
      </c>
      <c r="F482" t="s">
        <v>8</v>
      </c>
      <c r="G482">
        <v>0</v>
      </c>
    </row>
    <row r="483" spans="1:7" x14ac:dyDescent="0.3">
      <c r="A483">
        <v>2019</v>
      </c>
      <c r="B483" t="s">
        <v>42</v>
      </c>
      <c r="C483" t="s">
        <v>170</v>
      </c>
      <c r="D483" t="s">
        <v>171</v>
      </c>
      <c r="E483" t="s">
        <v>91</v>
      </c>
      <c r="F483" t="s">
        <v>8</v>
      </c>
      <c r="G483">
        <v>1</v>
      </c>
    </row>
    <row r="484" spans="1:7" x14ac:dyDescent="0.3">
      <c r="A484">
        <v>2019</v>
      </c>
      <c r="B484" t="s">
        <v>42</v>
      </c>
      <c r="C484" t="s">
        <v>170</v>
      </c>
      <c r="D484" t="s">
        <v>171</v>
      </c>
      <c r="E484" t="s">
        <v>109</v>
      </c>
      <c r="F484" t="s">
        <v>8</v>
      </c>
      <c r="G484">
        <v>0</v>
      </c>
    </row>
    <row r="485" spans="1:7" x14ac:dyDescent="0.3">
      <c r="A485">
        <v>2019</v>
      </c>
      <c r="B485" t="s">
        <v>42</v>
      </c>
      <c r="C485" t="s">
        <v>170</v>
      </c>
      <c r="D485" t="s">
        <v>171</v>
      </c>
      <c r="E485" t="s">
        <v>110</v>
      </c>
      <c r="F485" t="s">
        <v>8</v>
      </c>
      <c r="G485">
        <v>0</v>
      </c>
    </row>
    <row r="486" spans="1:7" x14ac:dyDescent="0.3">
      <c r="A486">
        <v>2019</v>
      </c>
      <c r="B486" t="s">
        <v>44</v>
      </c>
      <c r="C486" t="s">
        <v>170</v>
      </c>
      <c r="D486" t="s">
        <v>171</v>
      </c>
      <c r="E486" t="s">
        <v>108</v>
      </c>
      <c r="F486" t="s">
        <v>8</v>
      </c>
      <c r="G486">
        <v>0</v>
      </c>
    </row>
    <row r="487" spans="1:7" x14ac:dyDescent="0.3">
      <c r="A487">
        <v>2019</v>
      </c>
      <c r="B487" t="s">
        <v>44</v>
      </c>
      <c r="C487" t="s">
        <v>170</v>
      </c>
      <c r="D487" t="s">
        <v>171</v>
      </c>
      <c r="E487" t="s">
        <v>91</v>
      </c>
      <c r="F487" t="s">
        <v>8</v>
      </c>
      <c r="G487">
        <v>0</v>
      </c>
    </row>
    <row r="488" spans="1:7" x14ac:dyDescent="0.3">
      <c r="A488">
        <v>2019</v>
      </c>
      <c r="B488" t="s">
        <v>44</v>
      </c>
      <c r="C488" t="s">
        <v>170</v>
      </c>
      <c r="D488" t="s">
        <v>171</v>
      </c>
      <c r="E488" t="s">
        <v>109</v>
      </c>
      <c r="F488" t="s">
        <v>8</v>
      </c>
      <c r="G488">
        <v>0</v>
      </c>
    </row>
    <row r="489" spans="1:7" x14ac:dyDescent="0.3">
      <c r="A489">
        <v>2019</v>
      </c>
      <c r="B489" t="s">
        <v>44</v>
      </c>
      <c r="C489" t="s">
        <v>170</v>
      </c>
      <c r="D489" t="s">
        <v>171</v>
      </c>
      <c r="E489" t="s">
        <v>110</v>
      </c>
      <c r="F489" t="s">
        <v>8</v>
      </c>
      <c r="G489">
        <v>0</v>
      </c>
    </row>
    <row r="490" spans="1:7" x14ac:dyDescent="0.3">
      <c r="A490">
        <v>2019</v>
      </c>
      <c r="B490" t="s">
        <v>45</v>
      </c>
      <c r="C490" t="s">
        <v>170</v>
      </c>
      <c r="D490" t="s">
        <v>171</v>
      </c>
      <c r="E490" t="s">
        <v>108</v>
      </c>
      <c r="F490" t="s">
        <v>8</v>
      </c>
      <c r="G490">
        <v>0</v>
      </c>
    </row>
    <row r="491" spans="1:7" x14ac:dyDescent="0.3">
      <c r="A491">
        <v>2019</v>
      </c>
      <c r="B491" t="s">
        <v>45</v>
      </c>
      <c r="C491" t="s">
        <v>170</v>
      </c>
      <c r="D491" t="s">
        <v>171</v>
      </c>
      <c r="E491" t="s">
        <v>91</v>
      </c>
      <c r="F491" t="s">
        <v>8</v>
      </c>
      <c r="G491">
        <v>0</v>
      </c>
    </row>
    <row r="492" spans="1:7" x14ac:dyDescent="0.3">
      <c r="A492">
        <v>2019</v>
      </c>
      <c r="B492" t="s">
        <v>45</v>
      </c>
      <c r="C492" t="s">
        <v>170</v>
      </c>
      <c r="D492" t="s">
        <v>171</v>
      </c>
      <c r="E492" t="s">
        <v>109</v>
      </c>
      <c r="F492" t="s">
        <v>8</v>
      </c>
      <c r="G492">
        <v>0</v>
      </c>
    </row>
    <row r="493" spans="1:7" x14ac:dyDescent="0.3">
      <c r="A493">
        <v>2019</v>
      </c>
      <c r="B493" t="s">
        <v>45</v>
      </c>
      <c r="C493" t="s">
        <v>170</v>
      </c>
      <c r="D493" t="s">
        <v>171</v>
      </c>
      <c r="E493" t="s">
        <v>110</v>
      </c>
      <c r="F493" t="s">
        <v>8</v>
      </c>
      <c r="G493">
        <v>0</v>
      </c>
    </row>
    <row r="494" spans="1:7" x14ac:dyDescent="0.3">
      <c r="A494">
        <v>2019</v>
      </c>
      <c r="B494" t="s">
        <v>46</v>
      </c>
      <c r="C494" t="s">
        <v>170</v>
      </c>
      <c r="D494" t="s">
        <v>171</v>
      </c>
      <c r="E494" t="s">
        <v>108</v>
      </c>
      <c r="F494" t="s">
        <v>8</v>
      </c>
      <c r="G494">
        <v>0</v>
      </c>
    </row>
    <row r="495" spans="1:7" x14ac:dyDescent="0.3">
      <c r="A495">
        <v>2019</v>
      </c>
      <c r="B495" t="s">
        <v>46</v>
      </c>
      <c r="C495" t="s">
        <v>170</v>
      </c>
      <c r="D495" t="s">
        <v>171</v>
      </c>
      <c r="E495" t="s">
        <v>91</v>
      </c>
      <c r="F495" t="s">
        <v>8</v>
      </c>
      <c r="G495">
        <v>0</v>
      </c>
    </row>
    <row r="496" spans="1:7" x14ac:dyDescent="0.3">
      <c r="A496">
        <v>2019</v>
      </c>
      <c r="B496" t="s">
        <v>46</v>
      </c>
      <c r="C496" t="s">
        <v>170</v>
      </c>
      <c r="D496" t="s">
        <v>171</v>
      </c>
      <c r="E496" t="s">
        <v>109</v>
      </c>
      <c r="F496" t="s">
        <v>8</v>
      </c>
      <c r="G496">
        <v>0</v>
      </c>
    </row>
    <row r="497" spans="1:7" x14ac:dyDescent="0.3">
      <c r="A497">
        <v>2019</v>
      </c>
      <c r="B497" t="s">
        <v>46</v>
      </c>
      <c r="C497" t="s">
        <v>170</v>
      </c>
      <c r="D497" t="s">
        <v>171</v>
      </c>
      <c r="E497" t="s">
        <v>110</v>
      </c>
      <c r="F497" t="s">
        <v>8</v>
      </c>
      <c r="G497">
        <v>0</v>
      </c>
    </row>
    <row r="498" spans="1:7" x14ac:dyDescent="0.3">
      <c r="A498">
        <v>2019</v>
      </c>
      <c r="B498" t="s">
        <v>47</v>
      </c>
      <c r="C498" t="s">
        <v>170</v>
      </c>
      <c r="D498" t="s">
        <v>171</v>
      </c>
      <c r="E498" t="s">
        <v>108</v>
      </c>
      <c r="F498" t="s">
        <v>8</v>
      </c>
      <c r="G498">
        <v>0</v>
      </c>
    </row>
    <row r="499" spans="1:7" x14ac:dyDescent="0.3">
      <c r="A499">
        <v>2019</v>
      </c>
      <c r="B499" t="s">
        <v>47</v>
      </c>
      <c r="C499" t="s">
        <v>170</v>
      </c>
      <c r="D499" t="s">
        <v>171</v>
      </c>
      <c r="E499" t="s">
        <v>91</v>
      </c>
      <c r="F499" t="s">
        <v>8</v>
      </c>
      <c r="G499">
        <v>5</v>
      </c>
    </row>
    <row r="500" spans="1:7" x14ac:dyDescent="0.3">
      <c r="A500">
        <v>2019</v>
      </c>
      <c r="B500" t="s">
        <v>47</v>
      </c>
      <c r="C500" t="s">
        <v>170</v>
      </c>
      <c r="D500" t="s">
        <v>171</v>
      </c>
      <c r="E500" t="s">
        <v>109</v>
      </c>
      <c r="F500" t="s">
        <v>8</v>
      </c>
      <c r="G500">
        <v>0</v>
      </c>
    </row>
    <row r="501" spans="1:7" x14ac:dyDescent="0.3">
      <c r="A501">
        <v>2019</v>
      </c>
      <c r="B501" t="s">
        <v>47</v>
      </c>
      <c r="C501" t="s">
        <v>170</v>
      </c>
      <c r="D501" t="s">
        <v>171</v>
      </c>
      <c r="E501" t="s">
        <v>110</v>
      </c>
      <c r="F501" t="s">
        <v>8</v>
      </c>
      <c r="G501">
        <v>0</v>
      </c>
    </row>
    <row r="502" spans="1:7" x14ac:dyDescent="0.3">
      <c r="A502">
        <v>2019</v>
      </c>
      <c r="B502" t="s">
        <v>48</v>
      </c>
      <c r="C502" t="s">
        <v>170</v>
      </c>
      <c r="D502" t="s">
        <v>171</v>
      </c>
      <c r="E502" t="s">
        <v>108</v>
      </c>
      <c r="F502" t="s">
        <v>8</v>
      </c>
      <c r="G502">
        <v>1</v>
      </c>
    </row>
    <row r="503" spans="1:7" x14ac:dyDescent="0.3">
      <c r="A503">
        <v>2019</v>
      </c>
      <c r="B503" t="s">
        <v>48</v>
      </c>
      <c r="C503" t="s">
        <v>170</v>
      </c>
      <c r="D503" t="s">
        <v>171</v>
      </c>
      <c r="E503" t="s">
        <v>91</v>
      </c>
      <c r="F503" t="s">
        <v>8</v>
      </c>
      <c r="G503">
        <v>0</v>
      </c>
    </row>
    <row r="504" spans="1:7" x14ac:dyDescent="0.3">
      <c r="A504">
        <v>2019</v>
      </c>
      <c r="B504" t="s">
        <v>48</v>
      </c>
      <c r="C504" t="s">
        <v>170</v>
      </c>
      <c r="D504" t="s">
        <v>171</v>
      </c>
      <c r="E504" t="s">
        <v>109</v>
      </c>
      <c r="F504" t="s">
        <v>8</v>
      </c>
      <c r="G504">
        <v>0</v>
      </c>
    </row>
    <row r="505" spans="1:7" x14ac:dyDescent="0.3">
      <c r="A505">
        <v>2019</v>
      </c>
      <c r="B505" t="s">
        <v>48</v>
      </c>
      <c r="C505" t="s">
        <v>170</v>
      </c>
      <c r="D505" t="s">
        <v>171</v>
      </c>
      <c r="E505" t="s">
        <v>110</v>
      </c>
      <c r="F505" t="s">
        <v>8</v>
      </c>
      <c r="G505">
        <v>0</v>
      </c>
    </row>
    <row r="506" spans="1:7" x14ac:dyDescent="0.3">
      <c r="A506">
        <v>2019</v>
      </c>
      <c r="B506" t="s">
        <v>49</v>
      </c>
      <c r="C506" t="s">
        <v>170</v>
      </c>
      <c r="D506" t="s">
        <v>171</v>
      </c>
      <c r="E506" t="s">
        <v>108</v>
      </c>
      <c r="F506" t="s">
        <v>8</v>
      </c>
      <c r="G506">
        <v>0</v>
      </c>
    </row>
    <row r="507" spans="1:7" x14ac:dyDescent="0.3">
      <c r="A507">
        <v>2019</v>
      </c>
      <c r="B507" t="s">
        <v>49</v>
      </c>
      <c r="C507" t="s">
        <v>170</v>
      </c>
      <c r="D507" t="s">
        <v>171</v>
      </c>
      <c r="E507" t="s">
        <v>91</v>
      </c>
      <c r="F507" t="s">
        <v>8</v>
      </c>
      <c r="G507">
        <v>0</v>
      </c>
    </row>
    <row r="508" spans="1:7" x14ac:dyDescent="0.3">
      <c r="A508">
        <v>2019</v>
      </c>
      <c r="B508" t="s">
        <v>49</v>
      </c>
      <c r="C508" t="s">
        <v>170</v>
      </c>
      <c r="D508" t="s">
        <v>171</v>
      </c>
      <c r="E508" t="s">
        <v>109</v>
      </c>
      <c r="F508" t="s">
        <v>8</v>
      </c>
      <c r="G508">
        <v>0</v>
      </c>
    </row>
    <row r="509" spans="1:7" x14ac:dyDescent="0.3">
      <c r="A509">
        <v>2019</v>
      </c>
      <c r="B509" t="s">
        <v>49</v>
      </c>
      <c r="C509" t="s">
        <v>170</v>
      </c>
      <c r="D509" t="s">
        <v>171</v>
      </c>
      <c r="E509" t="s">
        <v>110</v>
      </c>
      <c r="F509" t="s">
        <v>8</v>
      </c>
      <c r="G509">
        <v>0</v>
      </c>
    </row>
    <row r="510" spans="1:7" x14ac:dyDescent="0.3">
      <c r="A510">
        <v>2019</v>
      </c>
      <c r="B510" t="s">
        <v>59</v>
      </c>
      <c r="C510" t="s">
        <v>170</v>
      </c>
      <c r="D510" t="s">
        <v>171</v>
      </c>
      <c r="E510" t="s">
        <v>108</v>
      </c>
      <c r="F510" t="s">
        <v>8</v>
      </c>
      <c r="G510">
        <v>0</v>
      </c>
    </row>
    <row r="511" spans="1:7" x14ac:dyDescent="0.3">
      <c r="A511">
        <v>2019</v>
      </c>
      <c r="B511" t="s">
        <v>59</v>
      </c>
      <c r="C511" t="s">
        <v>170</v>
      </c>
      <c r="D511" t="s">
        <v>171</v>
      </c>
      <c r="E511" t="s">
        <v>91</v>
      </c>
      <c r="F511" t="s">
        <v>8</v>
      </c>
      <c r="G511">
        <v>3</v>
      </c>
    </row>
    <row r="512" spans="1:7" x14ac:dyDescent="0.3">
      <c r="A512">
        <v>2019</v>
      </c>
      <c r="B512" t="s">
        <v>59</v>
      </c>
      <c r="C512" t="s">
        <v>170</v>
      </c>
      <c r="D512" t="s">
        <v>171</v>
      </c>
      <c r="E512" t="s">
        <v>109</v>
      </c>
      <c r="F512" t="s">
        <v>8</v>
      </c>
      <c r="G512">
        <v>0</v>
      </c>
    </row>
    <row r="513" spans="1:7" x14ac:dyDescent="0.3">
      <c r="A513">
        <v>2019</v>
      </c>
      <c r="B513" t="s">
        <v>59</v>
      </c>
      <c r="C513" t="s">
        <v>170</v>
      </c>
      <c r="D513" t="s">
        <v>171</v>
      </c>
      <c r="E513" t="s">
        <v>110</v>
      </c>
      <c r="F513" t="s">
        <v>8</v>
      </c>
      <c r="G513">
        <v>0</v>
      </c>
    </row>
    <row r="514" spans="1:7" x14ac:dyDescent="0.3">
      <c r="A514">
        <v>2019</v>
      </c>
      <c r="B514" t="s">
        <v>50</v>
      </c>
      <c r="C514" t="s">
        <v>170</v>
      </c>
      <c r="D514" t="s">
        <v>171</v>
      </c>
      <c r="E514" t="s">
        <v>108</v>
      </c>
      <c r="F514" t="s">
        <v>8</v>
      </c>
      <c r="G514">
        <v>0</v>
      </c>
    </row>
    <row r="515" spans="1:7" x14ac:dyDescent="0.3">
      <c r="A515">
        <v>2019</v>
      </c>
      <c r="B515" t="s">
        <v>50</v>
      </c>
      <c r="C515" t="s">
        <v>170</v>
      </c>
      <c r="D515" t="s">
        <v>171</v>
      </c>
      <c r="E515" t="s">
        <v>91</v>
      </c>
      <c r="F515" t="s">
        <v>8</v>
      </c>
      <c r="G515">
        <v>0</v>
      </c>
    </row>
    <row r="516" spans="1:7" x14ac:dyDescent="0.3">
      <c r="A516">
        <v>2019</v>
      </c>
      <c r="B516" t="s">
        <v>50</v>
      </c>
      <c r="C516" t="s">
        <v>170</v>
      </c>
      <c r="D516" t="s">
        <v>171</v>
      </c>
      <c r="E516" t="s">
        <v>109</v>
      </c>
      <c r="F516" t="s">
        <v>8</v>
      </c>
      <c r="G516">
        <v>0</v>
      </c>
    </row>
    <row r="517" spans="1:7" x14ac:dyDescent="0.3">
      <c r="A517">
        <v>2019</v>
      </c>
      <c r="B517" t="s">
        <v>50</v>
      </c>
      <c r="C517" t="s">
        <v>170</v>
      </c>
      <c r="D517" t="s">
        <v>171</v>
      </c>
      <c r="E517" t="s">
        <v>110</v>
      </c>
      <c r="F517" t="s">
        <v>8</v>
      </c>
      <c r="G517">
        <v>0</v>
      </c>
    </row>
    <row r="518" spans="1:7" x14ac:dyDescent="0.3">
      <c r="A518">
        <v>2019</v>
      </c>
      <c r="B518" t="s">
        <v>51</v>
      </c>
      <c r="C518" t="s">
        <v>170</v>
      </c>
      <c r="D518" t="s">
        <v>171</v>
      </c>
      <c r="E518" t="s">
        <v>108</v>
      </c>
      <c r="F518" t="s">
        <v>8</v>
      </c>
      <c r="G518">
        <v>0</v>
      </c>
    </row>
    <row r="519" spans="1:7" x14ac:dyDescent="0.3">
      <c r="A519">
        <v>2019</v>
      </c>
      <c r="B519" t="s">
        <v>51</v>
      </c>
      <c r="C519" t="s">
        <v>170</v>
      </c>
      <c r="D519" t="s">
        <v>171</v>
      </c>
      <c r="E519" t="s">
        <v>91</v>
      </c>
      <c r="F519" t="s">
        <v>8</v>
      </c>
      <c r="G519">
        <v>1</v>
      </c>
    </row>
    <row r="520" spans="1:7" x14ac:dyDescent="0.3">
      <c r="A520">
        <v>2019</v>
      </c>
      <c r="B520" t="s">
        <v>51</v>
      </c>
      <c r="C520" t="s">
        <v>170</v>
      </c>
      <c r="D520" t="s">
        <v>171</v>
      </c>
      <c r="E520" t="s">
        <v>109</v>
      </c>
      <c r="F520" t="s">
        <v>8</v>
      </c>
      <c r="G520">
        <v>0</v>
      </c>
    </row>
    <row r="521" spans="1:7" x14ac:dyDescent="0.3">
      <c r="A521">
        <v>2019</v>
      </c>
      <c r="B521" t="s">
        <v>51</v>
      </c>
      <c r="C521" t="s">
        <v>170</v>
      </c>
      <c r="D521" t="s">
        <v>171</v>
      </c>
      <c r="E521" t="s">
        <v>110</v>
      </c>
      <c r="F521" t="s">
        <v>8</v>
      </c>
      <c r="G521">
        <v>0</v>
      </c>
    </row>
    <row r="522" spans="1:7" x14ac:dyDescent="0.3">
      <c r="A522">
        <v>2019</v>
      </c>
      <c r="B522" t="s">
        <v>52</v>
      </c>
      <c r="C522" t="s">
        <v>170</v>
      </c>
      <c r="D522" t="s">
        <v>171</v>
      </c>
      <c r="E522" t="s">
        <v>108</v>
      </c>
      <c r="F522" t="s">
        <v>8</v>
      </c>
      <c r="G522">
        <v>0</v>
      </c>
    </row>
    <row r="523" spans="1:7" x14ac:dyDescent="0.3">
      <c r="A523">
        <v>2019</v>
      </c>
      <c r="B523" t="s">
        <v>52</v>
      </c>
      <c r="C523" t="s">
        <v>170</v>
      </c>
      <c r="D523" t="s">
        <v>171</v>
      </c>
      <c r="E523" t="s">
        <v>91</v>
      </c>
      <c r="F523" t="s">
        <v>8</v>
      </c>
      <c r="G523">
        <v>0</v>
      </c>
    </row>
    <row r="524" spans="1:7" x14ac:dyDescent="0.3">
      <c r="A524">
        <v>2019</v>
      </c>
      <c r="B524" t="s">
        <v>52</v>
      </c>
      <c r="C524" t="s">
        <v>170</v>
      </c>
      <c r="D524" t="s">
        <v>171</v>
      </c>
      <c r="E524" t="s">
        <v>109</v>
      </c>
      <c r="F524" t="s">
        <v>8</v>
      </c>
      <c r="G524">
        <v>0</v>
      </c>
    </row>
    <row r="525" spans="1:7" x14ac:dyDescent="0.3">
      <c r="A525">
        <v>2019</v>
      </c>
      <c r="B525" t="s">
        <v>52</v>
      </c>
      <c r="C525" t="s">
        <v>170</v>
      </c>
      <c r="D525" t="s">
        <v>171</v>
      </c>
      <c r="E525" t="s">
        <v>110</v>
      </c>
      <c r="F525" t="s">
        <v>8</v>
      </c>
      <c r="G525">
        <v>0</v>
      </c>
    </row>
    <row r="526" spans="1:7" x14ac:dyDescent="0.3">
      <c r="A526">
        <v>2019</v>
      </c>
      <c r="B526" t="s">
        <v>60</v>
      </c>
      <c r="C526" t="s">
        <v>170</v>
      </c>
      <c r="D526" t="s">
        <v>171</v>
      </c>
      <c r="E526" t="s">
        <v>108</v>
      </c>
      <c r="F526" t="s">
        <v>8</v>
      </c>
      <c r="G526">
        <v>0</v>
      </c>
    </row>
    <row r="527" spans="1:7" x14ac:dyDescent="0.3">
      <c r="A527">
        <v>2019</v>
      </c>
      <c r="B527" t="s">
        <v>60</v>
      </c>
      <c r="C527" t="s">
        <v>170</v>
      </c>
      <c r="D527" t="s">
        <v>171</v>
      </c>
      <c r="E527" t="s">
        <v>91</v>
      </c>
      <c r="F527" t="s">
        <v>8</v>
      </c>
      <c r="G527">
        <v>0</v>
      </c>
    </row>
    <row r="528" spans="1:7" x14ac:dyDescent="0.3">
      <c r="A528">
        <v>2019</v>
      </c>
      <c r="B528" t="s">
        <v>60</v>
      </c>
      <c r="C528" t="s">
        <v>170</v>
      </c>
      <c r="D528" t="s">
        <v>171</v>
      </c>
      <c r="E528" t="s">
        <v>109</v>
      </c>
      <c r="F528" t="s">
        <v>8</v>
      </c>
      <c r="G528">
        <v>0</v>
      </c>
    </row>
    <row r="529" spans="1:7" x14ac:dyDescent="0.3">
      <c r="A529">
        <v>2019</v>
      </c>
      <c r="B529" t="s">
        <v>60</v>
      </c>
      <c r="C529" t="s">
        <v>170</v>
      </c>
      <c r="D529" t="s">
        <v>171</v>
      </c>
      <c r="E529" t="s">
        <v>110</v>
      </c>
      <c r="F529" t="s">
        <v>8</v>
      </c>
      <c r="G529">
        <v>0</v>
      </c>
    </row>
    <row r="530" spans="1:7" x14ac:dyDescent="0.3">
      <c r="A530">
        <v>2019</v>
      </c>
      <c r="B530" t="s">
        <v>53</v>
      </c>
      <c r="C530" t="s">
        <v>170</v>
      </c>
      <c r="D530" t="s">
        <v>171</v>
      </c>
      <c r="E530" t="s">
        <v>108</v>
      </c>
      <c r="F530" t="s">
        <v>8</v>
      </c>
      <c r="G530">
        <v>0</v>
      </c>
    </row>
    <row r="531" spans="1:7" x14ac:dyDescent="0.3">
      <c r="A531">
        <v>2019</v>
      </c>
      <c r="B531" t="s">
        <v>53</v>
      </c>
      <c r="C531" t="s">
        <v>170</v>
      </c>
      <c r="D531" t="s">
        <v>171</v>
      </c>
      <c r="E531" t="s">
        <v>91</v>
      </c>
      <c r="F531" t="s">
        <v>8</v>
      </c>
      <c r="G531">
        <v>0</v>
      </c>
    </row>
    <row r="532" spans="1:7" x14ac:dyDescent="0.3">
      <c r="A532">
        <v>2019</v>
      </c>
      <c r="B532" t="s">
        <v>53</v>
      </c>
      <c r="C532" t="s">
        <v>170</v>
      </c>
      <c r="D532" t="s">
        <v>171</v>
      </c>
      <c r="E532" t="s">
        <v>109</v>
      </c>
      <c r="F532" t="s">
        <v>8</v>
      </c>
      <c r="G532">
        <v>0</v>
      </c>
    </row>
    <row r="533" spans="1:7" x14ac:dyDescent="0.3">
      <c r="A533">
        <v>2019</v>
      </c>
      <c r="B533" t="s">
        <v>53</v>
      </c>
      <c r="C533" t="s">
        <v>170</v>
      </c>
      <c r="D533" t="s">
        <v>171</v>
      </c>
      <c r="E533" t="s">
        <v>110</v>
      </c>
      <c r="F533" t="s">
        <v>8</v>
      </c>
      <c r="G533">
        <v>0</v>
      </c>
    </row>
    <row r="534" spans="1:7" x14ac:dyDescent="0.3">
      <c r="A534">
        <v>2019</v>
      </c>
      <c r="B534" t="s">
        <v>61</v>
      </c>
      <c r="C534" t="s">
        <v>170</v>
      </c>
      <c r="D534" t="s">
        <v>171</v>
      </c>
      <c r="E534" t="s">
        <v>108</v>
      </c>
      <c r="F534" t="s">
        <v>8</v>
      </c>
      <c r="G534">
        <v>0</v>
      </c>
    </row>
    <row r="535" spans="1:7" x14ac:dyDescent="0.3">
      <c r="A535">
        <v>2019</v>
      </c>
      <c r="B535" t="s">
        <v>61</v>
      </c>
      <c r="C535" t="s">
        <v>170</v>
      </c>
      <c r="D535" t="s">
        <v>171</v>
      </c>
      <c r="E535" t="s">
        <v>91</v>
      </c>
      <c r="F535" t="s">
        <v>8</v>
      </c>
      <c r="G535">
        <v>8</v>
      </c>
    </row>
    <row r="536" spans="1:7" x14ac:dyDescent="0.3">
      <c r="A536">
        <v>2019</v>
      </c>
      <c r="B536" t="s">
        <v>61</v>
      </c>
      <c r="C536" t="s">
        <v>170</v>
      </c>
      <c r="D536" t="s">
        <v>171</v>
      </c>
      <c r="E536" t="s">
        <v>109</v>
      </c>
      <c r="F536" t="s">
        <v>8</v>
      </c>
      <c r="G536">
        <v>2</v>
      </c>
    </row>
    <row r="537" spans="1:7" x14ac:dyDescent="0.3">
      <c r="A537">
        <v>2019</v>
      </c>
      <c r="B537" t="s">
        <v>61</v>
      </c>
      <c r="C537" t="s">
        <v>170</v>
      </c>
      <c r="D537" t="s">
        <v>171</v>
      </c>
      <c r="E537" t="s">
        <v>110</v>
      </c>
      <c r="F537" t="s">
        <v>8</v>
      </c>
      <c r="G537">
        <v>0</v>
      </c>
    </row>
    <row r="538" spans="1:7" x14ac:dyDescent="0.3">
      <c r="A538">
        <v>2019</v>
      </c>
      <c r="B538" t="s">
        <v>54</v>
      </c>
      <c r="C538" t="s">
        <v>170</v>
      </c>
      <c r="D538" t="s">
        <v>171</v>
      </c>
      <c r="E538" t="s">
        <v>108</v>
      </c>
      <c r="F538" t="s">
        <v>8</v>
      </c>
      <c r="G538">
        <v>0</v>
      </c>
    </row>
    <row r="539" spans="1:7" x14ac:dyDescent="0.3">
      <c r="A539">
        <v>2019</v>
      </c>
      <c r="B539" t="s">
        <v>54</v>
      </c>
      <c r="C539" t="s">
        <v>170</v>
      </c>
      <c r="D539" t="s">
        <v>171</v>
      </c>
      <c r="E539" t="s">
        <v>91</v>
      </c>
      <c r="F539" t="s">
        <v>8</v>
      </c>
      <c r="G539">
        <v>0</v>
      </c>
    </row>
    <row r="540" spans="1:7" x14ac:dyDescent="0.3">
      <c r="A540">
        <v>2019</v>
      </c>
      <c r="B540" t="s">
        <v>54</v>
      </c>
      <c r="C540" t="s">
        <v>170</v>
      </c>
      <c r="D540" t="s">
        <v>171</v>
      </c>
      <c r="E540" t="s">
        <v>109</v>
      </c>
      <c r="F540" t="s">
        <v>8</v>
      </c>
      <c r="G540">
        <v>0</v>
      </c>
    </row>
    <row r="541" spans="1:7" x14ac:dyDescent="0.3">
      <c r="A541">
        <v>2019</v>
      </c>
      <c r="B541" t="s">
        <v>54</v>
      </c>
      <c r="C541" t="s">
        <v>170</v>
      </c>
      <c r="D541" t="s">
        <v>171</v>
      </c>
      <c r="E541" t="s">
        <v>110</v>
      </c>
      <c r="F541" t="s">
        <v>8</v>
      </c>
      <c r="G541">
        <v>0</v>
      </c>
    </row>
    <row r="542" spans="1:7" x14ac:dyDescent="0.3">
      <c r="A542">
        <v>2019</v>
      </c>
      <c r="B542" t="s">
        <v>62</v>
      </c>
      <c r="C542" t="s">
        <v>170</v>
      </c>
      <c r="D542" t="s">
        <v>171</v>
      </c>
      <c r="E542" t="s">
        <v>108</v>
      </c>
      <c r="F542" t="s">
        <v>8</v>
      </c>
      <c r="G542">
        <v>0</v>
      </c>
    </row>
    <row r="543" spans="1:7" x14ac:dyDescent="0.3">
      <c r="A543">
        <v>2019</v>
      </c>
      <c r="B543" t="s">
        <v>62</v>
      </c>
      <c r="C543" t="s">
        <v>170</v>
      </c>
      <c r="D543" t="s">
        <v>171</v>
      </c>
      <c r="E543" t="s">
        <v>91</v>
      </c>
      <c r="F543" t="s">
        <v>8</v>
      </c>
      <c r="G543">
        <v>2</v>
      </c>
    </row>
    <row r="544" spans="1:7" x14ac:dyDescent="0.3">
      <c r="A544">
        <v>2019</v>
      </c>
      <c r="B544" t="s">
        <v>62</v>
      </c>
      <c r="C544" t="s">
        <v>170</v>
      </c>
      <c r="D544" t="s">
        <v>171</v>
      </c>
      <c r="E544" t="s">
        <v>109</v>
      </c>
      <c r="F544" t="s">
        <v>8</v>
      </c>
      <c r="G544">
        <v>0</v>
      </c>
    </row>
    <row r="545" spans="1:7" x14ac:dyDescent="0.3">
      <c r="A545">
        <v>2019</v>
      </c>
      <c r="B545" t="s">
        <v>62</v>
      </c>
      <c r="C545" t="s">
        <v>170</v>
      </c>
      <c r="D545" t="s">
        <v>171</v>
      </c>
      <c r="E545" t="s">
        <v>110</v>
      </c>
      <c r="F545" t="s">
        <v>8</v>
      </c>
      <c r="G545">
        <v>1</v>
      </c>
    </row>
    <row r="546" spans="1:7" x14ac:dyDescent="0.3">
      <c r="A546">
        <v>2019</v>
      </c>
      <c r="B546" t="s">
        <v>28</v>
      </c>
      <c r="C546" t="s">
        <v>170</v>
      </c>
      <c r="D546" t="s">
        <v>171</v>
      </c>
      <c r="E546" t="s">
        <v>108</v>
      </c>
      <c r="F546" t="s">
        <v>8</v>
      </c>
      <c r="G546">
        <v>0</v>
      </c>
    </row>
    <row r="547" spans="1:7" x14ac:dyDescent="0.3">
      <c r="A547">
        <v>2019</v>
      </c>
      <c r="B547" t="s">
        <v>28</v>
      </c>
      <c r="C547" t="s">
        <v>170</v>
      </c>
      <c r="D547" t="s">
        <v>171</v>
      </c>
      <c r="E547" t="s">
        <v>91</v>
      </c>
      <c r="F547" t="s">
        <v>8</v>
      </c>
      <c r="G547">
        <v>0</v>
      </c>
    </row>
    <row r="548" spans="1:7" x14ac:dyDescent="0.3">
      <c r="A548">
        <v>2019</v>
      </c>
      <c r="B548" t="s">
        <v>28</v>
      </c>
      <c r="C548" t="s">
        <v>170</v>
      </c>
      <c r="D548" t="s">
        <v>171</v>
      </c>
      <c r="E548" t="s">
        <v>109</v>
      </c>
      <c r="F548" t="s">
        <v>8</v>
      </c>
      <c r="G548">
        <v>0</v>
      </c>
    </row>
    <row r="549" spans="1:7" x14ac:dyDescent="0.3">
      <c r="A549">
        <v>2019</v>
      </c>
      <c r="B549" t="s">
        <v>28</v>
      </c>
      <c r="C549" t="s">
        <v>170</v>
      </c>
      <c r="D549" t="s">
        <v>171</v>
      </c>
      <c r="E549" t="s">
        <v>110</v>
      </c>
      <c r="F549" t="s">
        <v>8</v>
      </c>
      <c r="G549">
        <v>0</v>
      </c>
    </row>
    <row r="550" spans="1:7" x14ac:dyDescent="0.3">
      <c r="A550">
        <v>2019</v>
      </c>
      <c r="B550" t="s">
        <v>43</v>
      </c>
      <c r="C550" t="s">
        <v>170</v>
      </c>
      <c r="D550" t="s">
        <v>171</v>
      </c>
      <c r="E550" t="s">
        <v>108</v>
      </c>
      <c r="F550" t="s">
        <v>8</v>
      </c>
      <c r="G550">
        <v>0</v>
      </c>
    </row>
    <row r="551" spans="1:7" x14ac:dyDescent="0.3">
      <c r="A551">
        <v>2019</v>
      </c>
      <c r="B551" t="s">
        <v>43</v>
      </c>
      <c r="C551" t="s">
        <v>170</v>
      </c>
      <c r="D551" t="s">
        <v>171</v>
      </c>
      <c r="E551" t="s">
        <v>91</v>
      </c>
      <c r="F551" t="s">
        <v>8</v>
      </c>
      <c r="G551">
        <v>0</v>
      </c>
    </row>
    <row r="552" spans="1:7" x14ac:dyDescent="0.3">
      <c r="A552">
        <v>2019</v>
      </c>
      <c r="B552" t="s">
        <v>43</v>
      </c>
      <c r="C552" t="s">
        <v>170</v>
      </c>
      <c r="D552" t="s">
        <v>171</v>
      </c>
      <c r="E552" t="s">
        <v>109</v>
      </c>
      <c r="F552" t="s">
        <v>8</v>
      </c>
      <c r="G552">
        <v>0</v>
      </c>
    </row>
    <row r="553" spans="1:7" x14ac:dyDescent="0.3">
      <c r="A553">
        <v>2019</v>
      </c>
      <c r="B553" t="s">
        <v>43</v>
      </c>
      <c r="C553" t="s">
        <v>170</v>
      </c>
      <c r="D553" t="s">
        <v>171</v>
      </c>
      <c r="E553" t="s">
        <v>110</v>
      </c>
      <c r="F553" t="s">
        <v>8</v>
      </c>
      <c r="G553">
        <v>0</v>
      </c>
    </row>
    <row r="554" spans="1:7" x14ac:dyDescent="0.3">
      <c r="A554">
        <v>2019</v>
      </c>
      <c r="B554" t="s">
        <v>17</v>
      </c>
      <c r="C554" t="s">
        <v>170</v>
      </c>
      <c r="D554" t="s">
        <v>171</v>
      </c>
      <c r="E554" t="s">
        <v>108</v>
      </c>
      <c r="F554" t="s">
        <v>115</v>
      </c>
      <c r="G554">
        <v>0</v>
      </c>
    </row>
    <row r="555" spans="1:7" x14ac:dyDescent="0.3">
      <c r="A555">
        <v>2019</v>
      </c>
      <c r="B555" t="s">
        <v>17</v>
      </c>
      <c r="C555" t="s">
        <v>170</v>
      </c>
      <c r="D555" t="s">
        <v>171</v>
      </c>
      <c r="E555" t="s">
        <v>91</v>
      </c>
      <c r="F555" t="s">
        <v>115</v>
      </c>
      <c r="G555">
        <v>0</v>
      </c>
    </row>
    <row r="556" spans="1:7" x14ac:dyDescent="0.3">
      <c r="A556">
        <v>2019</v>
      </c>
      <c r="B556" t="s">
        <v>17</v>
      </c>
      <c r="C556" t="s">
        <v>170</v>
      </c>
      <c r="D556" t="s">
        <v>171</v>
      </c>
      <c r="E556" t="s">
        <v>109</v>
      </c>
      <c r="F556" t="s">
        <v>115</v>
      </c>
      <c r="G556">
        <v>0</v>
      </c>
    </row>
    <row r="557" spans="1:7" x14ac:dyDescent="0.3">
      <c r="A557">
        <v>2019</v>
      </c>
      <c r="B557" t="s">
        <v>17</v>
      </c>
      <c r="C557" t="s">
        <v>170</v>
      </c>
      <c r="D557" t="s">
        <v>171</v>
      </c>
      <c r="E557" t="s">
        <v>110</v>
      </c>
      <c r="F557" t="s">
        <v>115</v>
      </c>
      <c r="G557">
        <v>0</v>
      </c>
    </row>
    <row r="558" spans="1:7" x14ac:dyDescent="0.3">
      <c r="A558">
        <v>2019</v>
      </c>
      <c r="B558" t="s">
        <v>18</v>
      </c>
      <c r="C558" t="s">
        <v>170</v>
      </c>
      <c r="D558" t="s">
        <v>171</v>
      </c>
      <c r="E558" t="s">
        <v>108</v>
      </c>
      <c r="F558" t="s">
        <v>115</v>
      </c>
      <c r="G558">
        <v>0</v>
      </c>
    </row>
    <row r="559" spans="1:7" x14ac:dyDescent="0.3">
      <c r="A559">
        <v>2019</v>
      </c>
      <c r="B559" t="s">
        <v>18</v>
      </c>
      <c r="C559" t="s">
        <v>170</v>
      </c>
      <c r="D559" t="s">
        <v>171</v>
      </c>
      <c r="E559" t="s">
        <v>91</v>
      </c>
      <c r="F559" t="s">
        <v>115</v>
      </c>
      <c r="G559">
        <v>0</v>
      </c>
    </row>
    <row r="560" spans="1:7" x14ac:dyDescent="0.3">
      <c r="A560">
        <v>2019</v>
      </c>
      <c r="B560" t="s">
        <v>18</v>
      </c>
      <c r="C560" t="s">
        <v>170</v>
      </c>
      <c r="D560" t="s">
        <v>171</v>
      </c>
      <c r="E560" t="s">
        <v>109</v>
      </c>
      <c r="F560" t="s">
        <v>115</v>
      </c>
      <c r="G560">
        <v>1</v>
      </c>
    </row>
    <row r="561" spans="1:7" x14ac:dyDescent="0.3">
      <c r="A561">
        <v>2019</v>
      </c>
      <c r="B561" t="s">
        <v>18</v>
      </c>
      <c r="C561" t="s">
        <v>170</v>
      </c>
      <c r="D561" t="s">
        <v>171</v>
      </c>
      <c r="E561" t="s">
        <v>110</v>
      </c>
      <c r="F561" t="s">
        <v>115</v>
      </c>
      <c r="G561">
        <v>0</v>
      </c>
    </row>
    <row r="562" spans="1:7" x14ac:dyDescent="0.3">
      <c r="A562">
        <v>2019</v>
      </c>
      <c r="B562" t="s">
        <v>19</v>
      </c>
      <c r="C562" t="s">
        <v>170</v>
      </c>
      <c r="D562" t="s">
        <v>171</v>
      </c>
      <c r="E562" t="s">
        <v>108</v>
      </c>
      <c r="F562" t="s">
        <v>115</v>
      </c>
      <c r="G562">
        <v>0</v>
      </c>
    </row>
    <row r="563" spans="1:7" x14ac:dyDescent="0.3">
      <c r="A563">
        <v>2019</v>
      </c>
      <c r="B563" t="s">
        <v>19</v>
      </c>
      <c r="C563" t="s">
        <v>170</v>
      </c>
      <c r="D563" t="s">
        <v>171</v>
      </c>
      <c r="E563" t="s">
        <v>91</v>
      </c>
      <c r="F563" t="s">
        <v>115</v>
      </c>
      <c r="G563">
        <v>0</v>
      </c>
    </row>
    <row r="564" spans="1:7" x14ac:dyDescent="0.3">
      <c r="A564">
        <v>2019</v>
      </c>
      <c r="B564" t="s">
        <v>19</v>
      </c>
      <c r="C564" t="s">
        <v>170</v>
      </c>
      <c r="D564" t="s">
        <v>171</v>
      </c>
      <c r="E564" t="s">
        <v>109</v>
      </c>
      <c r="F564" t="s">
        <v>115</v>
      </c>
      <c r="G564">
        <v>3</v>
      </c>
    </row>
    <row r="565" spans="1:7" x14ac:dyDescent="0.3">
      <c r="A565">
        <v>2019</v>
      </c>
      <c r="B565" t="s">
        <v>19</v>
      </c>
      <c r="C565" t="s">
        <v>170</v>
      </c>
      <c r="D565" t="s">
        <v>171</v>
      </c>
      <c r="E565" t="s">
        <v>110</v>
      </c>
      <c r="F565" t="s">
        <v>115</v>
      </c>
      <c r="G565">
        <v>0</v>
      </c>
    </row>
    <row r="566" spans="1:7" x14ac:dyDescent="0.3">
      <c r="A566">
        <v>2019</v>
      </c>
      <c r="B566" t="s">
        <v>20</v>
      </c>
      <c r="C566" t="s">
        <v>170</v>
      </c>
      <c r="D566" t="s">
        <v>171</v>
      </c>
      <c r="E566" t="s">
        <v>108</v>
      </c>
      <c r="F566" t="s">
        <v>115</v>
      </c>
      <c r="G566">
        <v>1</v>
      </c>
    </row>
    <row r="567" spans="1:7" x14ac:dyDescent="0.3">
      <c r="A567">
        <v>2019</v>
      </c>
      <c r="B567" t="s">
        <v>20</v>
      </c>
      <c r="C567" t="s">
        <v>170</v>
      </c>
      <c r="D567" t="s">
        <v>171</v>
      </c>
      <c r="E567" t="s">
        <v>91</v>
      </c>
      <c r="F567" t="s">
        <v>115</v>
      </c>
      <c r="G567">
        <v>0</v>
      </c>
    </row>
    <row r="568" spans="1:7" x14ac:dyDescent="0.3">
      <c r="A568">
        <v>2019</v>
      </c>
      <c r="B568" t="s">
        <v>20</v>
      </c>
      <c r="C568" t="s">
        <v>170</v>
      </c>
      <c r="D568" t="s">
        <v>171</v>
      </c>
      <c r="E568" t="s">
        <v>109</v>
      </c>
      <c r="F568" t="s">
        <v>115</v>
      </c>
      <c r="G568">
        <v>0</v>
      </c>
    </row>
    <row r="569" spans="1:7" x14ac:dyDescent="0.3">
      <c r="A569">
        <v>2019</v>
      </c>
      <c r="B569" t="s">
        <v>20</v>
      </c>
      <c r="C569" t="s">
        <v>170</v>
      </c>
      <c r="D569" t="s">
        <v>171</v>
      </c>
      <c r="E569" t="s">
        <v>110</v>
      </c>
      <c r="F569" t="s">
        <v>115</v>
      </c>
      <c r="G569">
        <v>0</v>
      </c>
    </row>
    <row r="570" spans="1:7" x14ac:dyDescent="0.3">
      <c r="A570">
        <v>2019</v>
      </c>
      <c r="B570" t="s">
        <v>21</v>
      </c>
      <c r="C570" t="s">
        <v>170</v>
      </c>
      <c r="D570" t="s">
        <v>171</v>
      </c>
      <c r="E570" t="s">
        <v>108</v>
      </c>
      <c r="F570" t="s">
        <v>115</v>
      </c>
      <c r="G570">
        <v>0</v>
      </c>
    </row>
    <row r="571" spans="1:7" x14ac:dyDescent="0.3">
      <c r="A571">
        <v>2019</v>
      </c>
      <c r="B571" t="s">
        <v>21</v>
      </c>
      <c r="C571" t="s">
        <v>170</v>
      </c>
      <c r="D571" t="s">
        <v>171</v>
      </c>
      <c r="E571" t="s">
        <v>91</v>
      </c>
      <c r="F571" t="s">
        <v>115</v>
      </c>
      <c r="G571">
        <v>0</v>
      </c>
    </row>
    <row r="572" spans="1:7" x14ac:dyDescent="0.3">
      <c r="A572">
        <v>2019</v>
      </c>
      <c r="B572" t="s">
        <v>21</v>
      </c>
      <c r="C572" t="s">
        <v>170</v>
      </c>
      <c r="D572" t="s">
        <v>171</v>
      </c>
      <c r="E572" t="s">
        <v>109</v>
      </c>
      <c r="F572" t="s">
        <v>115</v>
      </c>
      <c r="G572">
        <v>1</v>
      </c>
    </row>
    <row r="573" spans="1:7" x14ac:dyDescent="0.3">
      <c r="A573">
        <v>2019</v>
      </c>
      <c r="B573" t="s">
        <v>21</v>
      </c>
      <c r="C573" t="s">
        <v>170</v>
      </c>
      <c r="D573" t="s">
        <v>171</v>
      </c>
      <c r="E573" t="s">
        <v>110</v>
      </c>
      <c r="F573" t="s">
        <v>115</v>
      </c>
      <c r="G573">
        <v>0</v>
      </c>
    </row>
    <row r="574" spans="1:7" x14ac:dyDescent="0.3">
      <c r="A574">
        <v>2019</v>
      </c>
      <c r="B574" t="s">
        <v>22</v>
      </c>
      <c r="C574" t="s">
        <v>170</v>
      </c>
      <c r="D574" t="s">
        <v>171</v>
      </c>
      <c r="E574" t="s">
        <v>108</v>
      </c>
      <c r="F574" t="s">
        <v>115</v>
      </c>
      <c r="G574">
        <v>0</v>
      </c>
    </row>
    <row r="575" spans="1:7" x14ac:dyDescent="0.3">
      <c r="A575">
        <v>2019</v>
      </c>
      <c r="B575" t="s">
        <v>22</v>
      </c>
      <c r="C575" t="s">
        <v>170</v>
      </c>
      <c r="D575" t="s">
        <v>171</v>
      </c>
      <c r="E575" t="s">
        <v>91</v>
      </c>
      <c r="F575" t="s">
        <v>115</v>
      </c>
      <c r="G575">
        <v>0</v>
      </c>
    </row>
    <row r="576" spans="1:7" x14ac:dyDescent="0.3">
      <c r="A576">
        <v>2019</v>
      </c>
      <c r="B576" t="s">
        <v>22</v>
      </c>
      <c r="C576" t="s">
        <v>170</v>
      </c>
      <c r="D576" t="s">
        <v>171</v>
      </c>
      <c r="E576" t="s">
        <v>109</v>
      </c>
      <c r="F576" t="s">
        <v>115</v>
      </c>
      <c r="G576">
        <v>0</v>
      </c>
    </row>
    <row r="577" spans="1:7" x14ac:dyDescent="0.3">
      <c r="A577">
        <v>2019</v>
      </c>
      <c r="B577" t="s">
        <v>22</v>
      </c>
      <c r="C577" t="s">
        <v>170</v>
      </c>
      <c r="D577" t="s">
        <v>171</v>
      </c>
      <c r="E577" t="s">
        <v>110</v>
      </c>
      <c r="F577" t="s">
        <v>115</v>
      </c>
      <c r="G577">
        <v>0</v>
      </c>
    </row>
    <row r="578" spans="1:7" x14ac:dyDescent="0.3">
      <c r="A578">
        <v>2019</v>
      </c>
      <c r="B578" t="s">
        <v>23</v>
      </c>
      <c r="C578" t="s">
        <v>170</v>
      </c>
      <c r="D578" t="s">
        <v>171</v>
      </c>
      <c r="E578" t="s">
        <v>108</v>
      </c>
      <c r="F578" t="s">
        <v>115</v>
      </c>
      <c r="G578">
        <v>0</v>
      </c>
    </row>
    <row r="579" spans="1:7" x14ac:dyDescent="0.3">
      <c r="A579">
        <v>2019</v>
      </c>
      <c r="B579" t="s">
        <v>23</v>
      </c>
      <c r="C579" t="s">
        <v>170</v>
      </c>
      <c r="D579" t="s">
        <v>171</v>
      </c>
      <c r="E579" t="s">
        <v>91</v>
      </c>
      <c r="F579" t="s">
        <v>115</v>
      </c>
      <c r="G579">
        <v>0</v>
      </c>
    </row>
    <row r="580" spans="1:7" x14ac:dyDescent="0.3">
      <c r="A580">
        <v>2019</v>
      </c>
      <c r="B580" t="s">
        <v>23</v>
      </c>
      <c r="C580" t="s">
        <v>170</v>
      </c>
      <c r="D580" t="s">
        <v>171</v>
      </c>
      <c r="E580" t="s">
        <v>109</v>
      </c>
      <c r="F580" t="s">
        <v>115</v>
      </c>
      <c r="G580">
        <v>0</v>
      </c>
    </row>
    <row r="581" spans="1:7" x14ac:dyDescent="0.3">
      <c r="A581">
        <v>2019</v>
      </c>
      <c r="B581" t="s">
        <v>23</v>
      </c>
      <c r="C581" t="s">
        <v>170</v>
      </c>
      <c r="D581" t="s">
        <v>171</v>
      </c>
      <c r="E581" t="s">
        <v>110</v>
      </c>
      <c r="F581" t="s">
        <v>115</v>
      </c>
      <c r="G581">
        <v>0</v>
      </c>
    </row>
    <row r="582" spans="1:7" x14ac:dyDescent="0.3">
      <c r="A582">
        <v>2019</v>
      </c>
      <c r="B582" t="s">
        <v>24</v>
      </c>
      <c r="C582" t="s">
        <v>170</v>
      </c>
      <c r="D582" t="s">
        <v>171</v>
      </c>
      <c r="E582" t="s">
        <v>108</v>
      </c>
      <c r="F582" t="s">
        <v>115</v>
      </c>
      <c r="G582">
        <v>0</v>
      </c>
    </row>
    <row r="583" spans="1:7" x14ac:dyDescent="0.3">
      <c r="A583">
        <v>2019</v>
      </c>
      <c r="B583" t="s">
        <v>24</v>
      </c>
      <c r="C583" t="s">
        <v>170</v>
      </c>
      <c r="D583" t="s">
        <v>171</v>
      </c>
      <c r="E583" t="s">
        <v>91</v>
      </c>
      <c r="F583" t="s">
        <v>115</v>
      </c>
      <c r="G583">
        <v>0</v>
      </c>
    </row>
    <row r="584" spans="1:7" x14ac:dyDescent="0.3">
      <c r="A584">
        <v>2019</v>
      </c>
      <c r="B584" t="s">
        <v>24</v>
      </c>
      <c r="C584" t="s">
        <v>170</v>
      </c>
      <c r="D584" t="s">
        <v>171</v>
      </c>
      <c r="E584" t="s">
        <v>109</v>
      </c>
      <c r="F584" t="s">
        <v>115</v>
      </c>
      <c r="G584">
        <v>0</v>
      </c>
    </row>
    <row r="585" spans="1:7" x14ac:dyDescent="0.3">
      <c r="A585">
        <v>2019</v>
      </c>
      <c r="B585" t="s">
        <v>24</v>
      </c>
      <c r="C585" t="s">
        <v>170</v>
      </c>
      <c r="D585" t="s">
        <v>171</v>
      </c>
      <c r="E585" t="s">
        <v>110</v>
      </c>
      <c r="F585" t="s">
        <v>115</v>
      </c>
      <c r="G585">
        <v>0</v>
      </c>
    </row>
    <row r="586" spans="1:7" x14ac:dyDescent="0.3">
      <c r="A586">
        <v>2019</v>
      </c>
      <c r="B586" t="s">
        <v>25</v>
      </c>
      <c r="C586" t="s">
        <v>170</v>
      </c>
      <c r="D586" t="s">
        <v>171</v>
      </c>
      <c r="E586" t="s">
        <v>108</v>
      </c>
      <c r="F586" t="s">
        <v>115</v>
      </c>
      <c r="G586">
        <v>0</v>
      </c>
    </row>
    <row r="587" spans="1:7" x14ac:dyDescent="0.3">
      <c r="A587">
        <v>2019</v>
      </c>
      <c r="B587" t="s">
        <v>25</v>
      </c>
      <c r="C587" t="s">
        <v>170</v>
      </c>
      <c r="D587" t="s">
        <v>171</v>
      </c>
      <c r="E587" t="s">
        <v>91</v>
      </c>
      <c r="F587" t="s">
        <v>115</v>
      </c>
      <c r="G587">
        <v>0</v>
      </c>
    </row>
    <row r="588" spans="1:7" x14ac:dyDescent="0.3">
      <c r="A588">
        <v>2019</v>
      </c>
      <c r="B588" t="s">
        <v>25</v>
      </c>
      <c r="C588" t="s">
        <v>170</v>
      </c>
      <c r="D588" t="s">
        <v>171</v>
      </c>
      <c r="E588" t="s">
        <v>109</v>
      </c>
      <c r="F588" t="s">
        <v>115</v>
      </c>
      <c r="G588">
        <v>0</v>
      </c>
    </row>
    <row r="589" spans="1:7" x14ac:dyDescent="0.3">
      <c r="A589">
        <v>2019</v>
      </c>
      <c r="B589" t="s">
        <v>25</v>
      </c>
      <c r="C589" t="s">
        <v>170</v>
      </c>
      <c r="D589" t="s">
        <v>171</v>
      </c>
      <c r="E589" t="s">
        <v>110</v>
      </c>
      <c r="F589" t="s">
        <v>115</v>
      </c>
      <c r="G589">
        <v>0</v>
      </c>
    </row>
    <row r="590" spans="1:7" x14ac:dyDescent="0.3">
      <c r="A590">
        <v>2019</v>
      </c>
      <c r="B590" t="s">
        <v>26</v>
      </c>
      <c r="C590" t="s">
        <v>170</v>
      </c>
      <c r="D590" t="s">
        <v>171</v>
      </c>
      <c r="E590" t="s">
        <v>108</v>
      </c>
      <c r="F590" t="s">
        <v>115</v>
      </c>
      <c r="G590">
        <v>0</v>
      </c>
    </row>
    <row r="591" spans="1:7" x14ac:dyDescent="0.3">
      <c r="A591">
        <v>2019</v>
      </c>
      <c r="B591" t="s">
        <v>26</v>
      </c>
      <c r="C591" t="s">
        <v>170</v>
      </c>
      <c r="D591" t="s">
        <v>171</v>
      </c>
      <c r="E591" t="s">
        <v>91</v>
      </c>
      <c r="F591" t="s">
        <v>115</v>
      </c>
      <c r="G591">
        <v>0</v>
      </c>
    </row>
    <row r="592" spans="1:7" x14ac:dyDescent="0.3">
      <c r="A592">
        <v>2019</v>
      </c>
      <c r="B592" t="s">
        <v>26</v>
      </c>
      <c r="C592" t="s">
        <v>170</v>
      </c>
      <c r="D592" t="s">
        <v>171</v>
      </c>
      <c r="E592" t="s">
        <v>109</v>
      </c>
      <c r="F592" t="s">
        <v>115</v>
      </c>
      <c r="G592">
        <v>1</v>
      </c>
    </row>
    <row r="593" spans="1:7" x14ac:dyDescent="0.3">
      <c r="A593">
        <v>2019</v>
      </c>
      <c r="B593" t="s">
        <v>26</v>
      </c>
      <c r="C593" t="s">
        <v>170</v>
      </c>
      <c r="D593" t="s">
        <v>171</v>
      </c>
      <c r="E593" t="s">
        <v>110</v>
      </c>
      <c r="F593" t="s">
        <v>115</v>
      </c>
      <c r="G593">
        <v>0</v>
      </c>
    </row>
    <row r="594" spans="1:7" x14ac:dyDescent="0.3">
      <c r="A594">
        <v>2019</v>
      </c>
      <c r="B594" t="s">
        <v>27</v>
      </c>
      <c r="C594" t="s">
        <v>170</v>
      </c>
      <c r="D594" t="s">
        <v>171</v>
      </c>
      <c r="E594" t="s">
        <v>108</v>
      </c>
      <c r="F594" t="s">
        <v>115</v>
      </c>
      <c r="G594">
        <v>0</v>
      </c>
    </row>
    <row r="595" spans="1:7" x14ac:dyDescent="0.3">
      <c r="A595">
        <v>2019</v>
      </c>
      <c r="B595" t="s">
        <v>27</v>
      </c>
      <c r="C595" t="s">
        <v>170</v>
      </c>
      <c r="D595" t="s">
        <v>171</v>
      </c>
      <c r="E595" t="s">
        <v>91</v>
      </c>
      <c r="F595" t="s">
        <v>115</v>
      </c>
      <c r="G595">
        <v>0</v>
      </c>
    </row>
    <row r="596" spans="1:7" x14ac:dyDescent="0.3">
      <c r="A596">
        <v>2019</v>
      </c>
      <c r="B596" t="s">
        <v>27</v>
      </c>
      <c r="C596" t="s">
        <v>170</v>
      </c>
      <c r="D596" t="s">
        <v>171</v>
      </c>
      <c r="E596" t="s">
        <v>109</v>
      </c>
      <c r="F596" t="s">
        <v>115</v>
      </c>
      <c r="G596">
        <v>0</v>
      </c>
    </row>
    <row r="597" spans="1:7" x14ac:dyDescent="0.3">
      <c r="A597">
        <v>2019</v>
      </c>
      <c r="B597" t="s">
        <v>27</v>
      </c>
      <c r="C597" t="s">
        <v>170</v>
      </c>
      <c r="D597" t="s">
        <v>171</v>
      </c>
      <c r="E597" t="s">
        <v>110</v>
      </c>
      <c r="F597" t="s">
        <v>115</v>
      </c>
      <c r="G597">
        <v>0</v>
      </c>
    </row>
    <row r="598" spans="1:7" x14ac:dyDescent="0.3">
      <c r="A598">
        <v>2019</v>
      </c>
      <c r="B598" t="s">
        <v>29</v>
      </c>
      <c r="C598" t="s">
        <v>170</v>
      </c>
      <c r="D598" t="s">
        <v>171</v>
      </c>
      <c r="E598" t="s">
        <v>108</v>
      </c>
      <c r="F598" t="s">
        <v>115</v>
      </c>
      <c r="G598">
        <v>0</v>
      </c>
    </row>
    <row r="599" spans="1:7" x14ac:dyDescent="0.3">
      <c r="A599">
        <v>2019</v>
      </c>
      <c r="B599" t="s">
        <v>29</v>
      </c>
      <c r="C599" t="s">
        <v>170</v>
      </c>
      <c r="D599" t="s">
        <v>171</v>
      </c>
      <c r="E599" t="s">
        <v>91</v>
      </c>
      <c r="F599" t="s">
        <v>115</v>
      </c>
      <c r="G599">
        <v>0</v>
      </c>
    </row>
    <row r="600" spans="1:7" x14ac:dyDescent="0.3">
      <c r="A600">
        <v>2019</v>
      </c>
      <c r="B600" t="s">
        <v>29</v>
      </c>
      <c r="C600" t="s">
        <v>170</v>
      </c>
      <c r="D600" t="s">
        <v>171</v>
      </c>
      <c r="E600" t="s">
        <v>109</v>
      </c>
      <c r="F600" t="s">
        <v>115</v>
      </c>
      <c r="G600">
        <v>0</v>
      </c>
    </row>
    <row r="601" spans="1:7" x14ac:dyDescent="0.3">
      <c r="A601">
        <v>2019</v>
      </c>
      <c r="B601" t="s">
        <v>29</v>
      </c>
      <c r="C601" t="s">
        <v>170</v>
      </c>
      <c r="D601" t="s">
        <v>171</v>
      </c>
      <c r="E601" t="s">
        <v>110</v>
      </c>
      <c r="F601" t="s">
        <v>115</v>
      </c>
      <c r="G601">
        <v>0</v>
      </c>
    </row>
    <row r="602" spans="1:7" x14ac:dyDescent="0.3">
      <c r="A602">
        <v>2019</v>
      </c>
      <c r="B602" t="s">
        <v>30</v>
      </c>
      <c r="C602" t="s">
        <v>170</v>
      </c>
      <c r="D602" t="s">
        <v>171</v>
      </c>
      <c r="E602" t="s">
        <v>108</v>
      </c>
      <c r="F602" t="s">
        <v>115</v>
      </c>
      <c r="G602">
        <v>0</v>
      </c>
    </row>
    <row r="603" spans="1:7" x14ac:dyDescent="0.3">
      <c r="A603">
        <v>2019</v>
      </c>
      <c r="B603" t="s">
        <v>30</v>
      </c>
      <c r="C603" t="s">
        <v>170</v>
      </c>
      <c r="D603" t="s">
        <v>171</v>
      </c>
      <c r="E603" t="s">
        <v>91</v>
      </c>
      <c r="F603" t="s">
        <v>115</v>
      </c>
      <c r="G603">
        <v>0</v>
      </c>
    </row>
    <row r="604" spans="1:7" x14ac:dyDescent="0.3">
      <c r="A604">
        <v>2019</v>
      </c>
      <c r="B604" t="s">
        <v>30</v>
      </c>
      <c r="C604" t="s">
        <v>170</v>
      </c>
      <c r="D604" t="s">
        <v>171</v>
      </c>
      <c r="E604" t="s">
        <v>109</v>
      </c>
      <c r="F604" t="s">
        <v>115</v>
      </c>
      <c r="G604">
        <v>0</v>
      </c>
    </row>
    <row r="605" spans="1:7" x14ac:dyDescent="0.3">
      <c r="A605">
        <v>2019</v>
      </c>
      <c r="B605" t="s">
        <v>30</v>
      </c>
      <c r="C605" t="s">
        <v>170</v>
      </c>
      <c r="D605" t="s">
        <v>171</v>
      </c>
      <c r="E605" t="s">
        <v>110</v>
      </c>
      <c r="F605" t="s">
        <v>115</v>
      </c>
      <c r="G605">
        <v>0</v>
      </c>
    </row>
    <row r="606" spans="1:7" x14ac:dyDescent="0.3">
      <c r="A606">
        <v>2019</v>
      </c>
      <c r="B606" t="s">
        <v>31</v>
      </c>
      <c r="C606" t="s">
        <v>170</v>
      </c>
      <c r="D606" t="s">
        <v>171</v>
      </c>
      <c r="E606" t="s">
        <v>108</v>
      </c>
      <c r="F606" t="s">
        <v>115</v>
      </c>
      <c r="G606">
        <v>0</v>
      </c>
    </row>
    <row r="607" spans="1:7" x14ac:dyDescent="0.3">
      <c r="A607">
        <v>2019</v>
      </c>
      <c r="B607" t="s">
        <v>31</v>
      </c>
      <c r="C607" t="s">
        <v>170</v>
      </c>
      <c r="D607" t="s">
        <v>171</v>
      </c>
      <c r="E607" t="s">
        <v>91</v>
      </c>
      <c r="F607" t="s">
        <v>115</v>
      </c>
      <c r="G607">
        <v>1</v>
      </c>
    </row>
    <row r="608" spans="1:7" x14ac:dyDescent="0.3">
      <c r="A608">
        <v>2019</v>
      </c>
      <c r="B608" t="s">
        <v>31</v>
      </c>
      <c r="C608" t="s">
        <v>170</v>
      </c>
      <c r="D608" t="s">
        <v>171</v>
      </c>
      <c r="E608" t="s">
        <v>109</v>
      </c>
      <c r="F608" t="s">
        <v>115</v>
      </c>
      <c r="G608">
        <v>0</v>
      </c>
    </row>
    <row r="609" spans="1:7" x14ac:dyDescent="0.3">
      <c r="A609">
        <v>2019</v>
      </c>
      <c r="B609" t="s">
        <v>31</v>
      </c>
      <c r="C609" t="s">
        <v>170</v>
      </c>
      <c r="D609" t="s">
        <v>171</v>
      </c>
      <c r="E609" t="s">
        <v>110</v>
      </c>
      <c r="F609" t="s">
        <v>115</v>
      </c>
      <c r="G609">
        <v>0</v>
      </c>
    </row>
    <row r="610" spans="1:7" x14ac:dyDescent="0.3">
      <c r="A610">
        <v>2019</v>
      </c>
      <c r="B610" t="s">
        <v>32</v>
      </c>
      <c r="C610" t="s">
        <v>170</v>
      </c>
      <c r="D610" t="s">
        <v>171</v>
      </c>
      <c r="E610" t="s">
        <v>108</v>
      </c>
      <c r="F610" t="s">
        <v>115</v>
      </c>
      <c r="G610">
        <v>1</v>
      </c>
    </row>
    <row r="611" spans="1:7" x14ac:dyDescent="0.3">
      <c r="A611">
        <v>2019</v>
      </c>
      <c r="B611" t="s">
        <v>32</v>
      </c>
      <c r="C611" t="s">
        <v>170</v>
      </c>
      <c r="D611" t="s">
        <v>171</v>
      </c>
      <c r="E611" t="s">
        <v>91</v>
      </c>
      <c r="F611" t="s">
        <v>115</v>
      </c>
      <c r="G611">
        <v>0</v>
      </c>
    </row>
    <row r="612" spans="1:7" x14ac:dyDescent="0.3">
      <c r="A612">
        <v>2019</v>
      </c>
      <c r="B612" t="s">
        <v>32</v>
      </c>
      <c r="C612" t="s">
        <v>170</v>
      </c>
      <c r="D612" t="s">
        <v>171</v>
      </c>
      <c r="E612" t="s">
        <v>109</v>
      </c>
      <c r="F612" t="s">
        <v>115</v>
      </c>
      <c r="G612">
        <v>0</v>
      </c>
    </row>
    <row r="613" spans="1:7" x14ac:dyDescent="0.3">
      <c r="A613">
        <v>2019</v>
      </c>
      <c r="B613" t="s">
        <v>32</v>
      </c>
      <c r="C613" t="s">
        <v>170</v>
      </c>
      <c r="D613" t="s">
        <v>171</v>
      </c>
      <c r="E613" t="s">
        <v>110</v>
      </c>
      <c r="F613" t="s">
        <v>115</v>
      </c>
      <c r="G613">
        <v>0</v>
      </c>
    </row>
    <row r="614" spans="1:7" x14ac:dyDescent="0.3">
      <c r="A614">
        <v>2019</v>
      </c>
      <c r="B614" t="s">
        <v>63</v>
      </c>
      <c r="C614" t="s">
        <v>170</v>
      </c>
      <c r="D614" t="s">
        <v>171</v>
      </c>
      <c r="E614" t="s">
        <v>108</v>
      </c>
      <c r="F614" t="s">
        <v>115</v>
      </c>
      <c r="G614">
        <v>0</v>
      </c>
    </row>
    <row r="615" spans="1:7" x14ac:dyDescent="0.3">
      <c r="A615">
        <v>2019</v>
      </c>
      <c r="B615" t="s">
        <v>63</v>
      </c>
      <c r="C615" t="s">
        <v>170</v>
      </c>
      <c r="D615" t="s">
        <v>171</v>
      </c>
      <c r="E615" t="s">
        <v>91</v>
      </c>
      <c r="F615" t="s">
        <v>115</v>
      </c>
      <c r="G615">
        <v>2</v>
      </c>
    </row>
    <row r="616" spans="1:7" x14ac:dyDescent="0.3">
      <c r="A616">
        <v>2019</v>
      </c>
      <c r="B616" t="s">
        <v>63</v>
      </c>
      <c r="C616" t="s">
        <v>170</v>
      </c>
      <c r="D616" t="s">
        <v>171</v>
      </c>
      <c r="E616" t="s">
        <v>109</v>
      </c>
      <c r="F616" t="s">
        <v>115</v>
      </c>
      <c r="G616">
        <v>7</v>
      </c>
    </row>
    <row r="617" spans="1:7" x14ac:dyDescent="0.3">
      <c r="A617">
        <v>2019</v>
      </c>
      <c r="B617" t="s">
        <v>63</v>
      </c>
      <c r="C617" t="s">
        <v>170</v>
      </c>
      <c r="D617" t="s">
        <v>171</v>
      </c>
      <c r="E617" t="s">
        <v>110</v>
      </c>
      <c r="F617" t="s">
        <v>115</v>
      </c>
      <c r="G617">
        <v>0</v>
      </c>
    </row>
    <row r="618" spans="1:7" x14ac:dyDescent="0.3">
      <c r="A618">
        <v>2019</v>
      </c>
      <c r="B618" t="s">
        <v>57</v>
      </c>
      <c r="C618" t="s">
        <v>170</v>
      </c>
      <c r="D618" t="s">
        <v>171</v>
      </c>
      <c r="E618" t="s">
        <v>108</v>
      </c>
      <c r="F618" t="s">
        <v>115</v>
      </c>
      <c r="G618">
        <v>0</v>
      </c>
    </row>
    <row r="619" spans="1:7" x14ac:dyDescent="0.3">
      <c r="A619">
        <v>2019</v>
      </c>
      <c r="B619" t="s">
        <v>57</v>
      </c>
      <c r="C619" t="s">
        <v>170</v>
      </c>
      <c r="D619" t="s">
        <v>171</v>
      </c>
      <c r="E619" t="s">
        <v>91</v>
      </c>
      <c r="F619" t="s">
        <v>115</v>
      </c>
      <c r="G619">
        <v>2</v>
      </c>
    </row>
    <row r="620" spans="1:7" x14ac:dyDescent="0.3">
      <c r="A620">
        <v>2019</v>
      </c>
      <c r="B620" t="s">
        <v>57</v>
      </c>
      <c r="C620" t="s">
        <v>170</v>
      </c>
      <c r="D620" t="s">
        <v>171</v>
      </c>
      <c r="E620" t="s">
        <v>109</v>
      </c>
      <c r="F620" t="s">
        <v>115</v>
      </c>
      <c r="G620">
        <v>1</v>
      </c>
    </row>
    <row r="621" spans="1:7" x14ac:dyDescent="0.3">
      <c r="A621">
        <v>2019</v>
      </c>
      <c r="B621" t="s">
        <v>57</v>
      </c>
      <c r="C621" t="s">
        <v>170</v>
      </c>
      <c r="D621" t="s">
        <v>171</v>
      </c>
      <c r="E621" t="s">
        <v>110</v>
      </c>
      <c r="F621" t="s">
        <v>115</v>
      </c>
      <c r="G621">
        <v>0</v>
      </c>
    </row>
    <row r="622" spans="1:7" x14ac:dyDescent="0.3">
      <c r="A622">
        <v>2019</v>
      </c>
      <c r="B622" t="s">
        <v>33</v>
      </c>
      <c r="C622" t="s">
        <v>170</v>
      </c>
      <c r="D622" t="s">
        <v>171</v>
      </c>
      <c r="E622" t="s">
        <v>108</v>
      </c>
      <c r="F622" t="s">
        <v>115</v>
      </c>
      <c r="G622">
        <v>0</v>
      </c>
    </row>
    <row r="623" spans="1:7" x14ac:dyDescent="0.3">
      <c r="A623">
        <v>2019</v>
      </c>
      <c r="B623" t="s">
        <v>33</v>
      </c>
      <c r="C623" t="s">
        <v>170</v>
      </c>
      <c r="D623" t="s">
        <v>171</v>
      </c>
      <c r="E623" t="s">
        <v>91</v>
      </c>
      <c r="F623" t="s">
        <v>115</v>
      </c>
      <c r="G623">
        <v>0</v>
      </c>
    </row>
    <row r="624" spans="1:7" x14ac:dyDescent="0.3">
      <c r="A624">
        <v>2019</v>
      </c>
      <c r="B624" t="s">
        <v>33</v>
      </c>
      <c r="C624" t="s">
        <v>170</v>
      </c>
      <c r="D624" t="s">
        <v>171</v>
      </c>
      <c r="E624" t="s">
        <v>109</v>
      </c>
      <c r="F624" t="s">
        <v>115</v>
      </c>
      <c r="G624">
        <v>0</v>
      </c>
    </row>
    <row r="625" spans="1:7" x14ac:dyDescent="0.3">
      <c r="A625">
        <v>2019</v>
      </c>
      <c r="B625" t="s">
        <v>33</v>
      </c>
      <c r="C625" t="s">
        <v>170</v>
      </c>
      <c r="D625" t="s">
        <v>171</v>
      </c>
      <c r="E625" t="s">
        <v>110</v>
      </c>
      <c r="F625" t="s">
        <v>115</v>
      </c>
      <c r="G625">
        <v>0</v>
      </c>
    </row>
    <row r="626" spans="1:7" x14ac:dyDescent="0.3">
      <c r="A626">
        <v>2019</v>
      </c>
      <c r="B626" t="s">
        <v>34</v>
      </c>
      <c r="C626" t="s">
        <v>170</v>
      </c>
      <c r="D626" t="s">
        <v>171</v>
      </c>
      <c r="E626" t="s">
        <v>108</v>
      </c>
      <c r="F626" t="s">
        <v>115</v>
      </c>
      <c r="G626">
        <v>0</v>
      </c>
    </row>
    <row r="627" spans="1:7" x14ac:dyDescent="0.3">
      <c r="A627">
        <v>2019</v>
      </c>
      <c r="B627" t="s">
        <v>34</v>
      </c>
      <c r="C627" t="s">
        <v>170</v>
      </c>
      <c r="D627" t="s">
        <v>171</v>
      </c>
      <c r="E627" t="s">
        <v>91</v>
      </c>
      <c r="F627" t="s">
        <v>115</v>
      </c>
      <c r="G627">
        <v>0</v>
      </c>
    </row>
    <row r="628" spans="1:7" x14ac:dyDescent="0.3">
      <c r="A628">
        <v>2019</v>
      </c>
      <c r="B628" t="s">
        <v>34</v>
      </c>
      <c r="C628" t="s">
        <v>170</v>
      </c>
      <c r="D628" t="s">
        <v>171</v>
      </c>
      <c r="E628" t="s">
        <v>109</v>
      </c>
      <c r="F628" t="s">
        <v>115</v>
      </c>
      <c r="G628">
        <v>0</v>
      </c>
    </row>
    <row r="629" spans="1:7" x14ac:dyDescent="0.3">
      <c r="A629">
        <v>2019</v>
      </c>
      <c r="B629" t="s">
        <v>34</v>
      </c>
      <c r="C629" t="s">
        <v>170</v>
      </c>
      <c r="D629" t="s">
        <v>171</v>
      </c>
      <c r="E629" t="s">
        <v>110</v>
      </c>
      <c r="F629" t="s">
        <v>115</v>
      </c>
      <c r="G629">
        <v>0</v>
      </c>
    </row>
    <row r="630" spans="1:7" x14ac:dyDescent="0.3">
      <c r="A630">
        <v>2019</v>
      </c>
      <c r="B630" t="s">
        <v>35</v>
      </c>
      <c r="C630" t="s">
        <v>170</v>
      </c>
      <c r="D630" t="s">
        <v>171</v>
      </c>
      <c r="E630" t="s">
        <v>108</v>
      </c>
      <c r="F630" t="s">
        <v>115</v>
      </c>
      <c r="G630">
        <v>0</v>
      </c>
    </row>
    <row r="631" spans="1:7" x14ac:dyDescent="0.3">
      <c r="A631">
        <v>2019</v>
      </c>
      <c r="B631" t="s">
        <v>35</v>
      </c>
      <c r="C631" t="s">
        <v>170</v>
      </c>
      <c r="D631" t="s">
        <v>171</v>
      </c>
      <c r="E631" t="s">
        <v>91</v>
      </c>
      <c r="F631" t="s">
        <v>115</v>
      </c>
      <c r="G631">
        <v>0</v>
      </c>
    </row>
    <row r="632" spans="1:7" x14ac:dyDescent="0.3">
      <c r="A632">
        <v>2019</v>
      </c>
      <c r="B632" t="s">
        <v>35</v>
      </c>
      <c r="C632" t="s">
        <v>170</v>
      </c>
      <c r="D632" t="s">
        <v>171</v>
      </c>
      <c r="E632" t="s">
        <v>109</v>
      </c>
      <c r="F632" t="s">
        <v>115</v>
      </c>
      <c r="G632">
        <v>0</v>
      </c>
    </row>
    <row r="633" spans="1:7" x14ac:dyDescent="0.3">
      <c r="A633">
        <v>2019</v>
      </c>
      <c r="B633" t="s">
        <v>35</v>
      </c>
      <c r="C633" t="s">
        <v>170</v>
      </c>
      <c r="D633" t="s">
        <v>171</v>
      </c>
      <c r="E633" t="s">
        <v>110</v>
      </c>
      <c r="F633" t="s">
        <v>115</v>
      </c>
      <c r="G633">
        <v>0</v>
      </c>
    </row>
    <row r="634" spans="1:7" x14ac:dyDescent="0.3">
      <c r="A634">
        <v>2019</v>
      </c>
      <c r="B634" t="s">
        <v>36</v>
      </c>
      <c r="C634" t="s">
        <v>170</v>
      </c>
      <c r="D634" t="s">
        <v>171</v>
      </c>
      <c r="E634" t="s">
        <v>108</v>
      </c>
      <c r="F634" t="s">
        <v>115</v>
      </c>
      <c r="G634">
        <v>0</v>
      </c>
    </row>
    <row r="635" spans="1:7" x14ac:dyDescent="0.3">
      <c r="A635">
        <v>2019</v>
      </c>
      <c r="B635" t="s">
        <v>36</v>
      </c>
      <c r="C635" t="s">
        <v>170</v>
      </c>
      <c r="D635" t="s">
        <v>171</v>
      </c>
      <c r="E635" t="s">
        <v>91</v>
      </c>
      <c r="F635" t="s">
        <v>115</v>
      </c>
      <c r="G635">
        <v>0</v>
      </c>
    </row>
    <row r="636" spans="1:7" x14ac:dyDescent="0.3">
      <c r="A636">
        <v>2019</v>
      </c>
      <c r="B636" t="s">
        <v>36</v>
      </c>
      <c r="C636" t="s">
        <v>170</v>
      </c>
      <c r="D636" t="s">
        <v>171</v>
      </c>
      <c r="E636" t="s">
        <v>109</v>
      </c>
      <c r="F636" t="s">
        <v>115</v>
      </c>
      <c r="G636">
        <v>1</v>
      </c>
    </row>
    <row r="637" spans="1:7" x14ac:dyDescent="0.3">
      <c r="A637">
        <v>2019</v>
      </c>
      <c r="B637" t="s">
        <v>36</v>
      </c>
      <c r="C637" t="s">
        <v>170</v>
      </c>
      <c r="D637" t="s">
        <v>171</v>
      </c>
      <c r="E637" t="s">
        <v>110</v>
      </c>
      <c r="F637" t="s">
        <v>115</v>
      </c>
      <c r="G637">
        <v>0</v>
      </c>
    </row>
    <row r="638" spans="1:7" x14ac:dyDescent="0.3">
      <c r="A638">
        <v>2019</v>
      </c>
      <c r="B638" t="s">
        <v>37</v>
      </c>
      <c r="C638" t="s">
        <v>170</v>
      </c>
      <c r="D638" t="s">
        <v>171</v>
      </c>
      <c r="E638" t="s">
        <v>108</v>
      </c>
      <c r="F638" t="s">
        <v>115</v>
      </c>
      <c r="G638">
        <v>0</v>
      </c>
    </row>
    <row r="639" spans="1:7" x14ac:dyDescent="0.3">
      <c r="A639">
        <v>2019</v>
      </c>
      <c r="B639" t="s">
        <v>37</v>
      </c>
      <c r="C639" t="s">
        <v>170</v>
      </c>
      <c r="D639" t="s">
        <v>171</v>
      </c>
      <c r="E639" t="s">
        <v>91</v>
      </c>
      <c r="F639" t="s">
        <v>115</v>
      </c>
      <c r="G639">
        <v>0</v>
      </c>
    </row>
    <row r="640" spans="1:7" x14ac:dyDescent="0.3">
      <c r="A640">
        <v>2019</v>
      </c>
      <c r="B640" t="s">
        <v>37</v>
      </c>
      <c r="C640" t="s">
        <v>170</v>
      </c>
      <c r="D640" t="s">
        <v>171</v>
      </c>
      <c r="E640" t="s">
        <v>109</v>
      </c>
      <c r="F640" t="s">
        <v>115</v>
      </c>
      <c r="G640">
        <v>0</v>
      </c>
    </row>
    <row r="641" spans="1:7" x14ac:dyDescent="0.3">
      <c r="A641">
        <v>2019</v>
      </c>
      <c r="B641" t="s">
        <v>37</v>
      </c>
      <c r="C641" t="s">
        <v>170</v>
      </c>
      <c r="D641" t="s">
        <v>171</v>
      </c>
      <c r="E641" t="s">
        <v>110</v>
      </c>
      <c r="F641" t="s">
        <v>115</v>
      </c>
      <c r="G641">
        <v>0</v>
      </c>
    </row>
    <row r="642" spans="1:7" x14ac:dyDescent="0.3">
      <c r="A642">
        <v>2019</v>
      </c>
      <c r="B642" t="s">
        <v>55</v>
      </c>
      <c r="C642" t="s">
        <v>170</v>
      </c>
      <c r="D642" t="s">
        <v>171</v>
      </c>
      <c r="E642" t="s">
        <v>108</v>
      </c>
      <c r="F642" t="s">
        <v>115</v>
      </c>
      <c r="G642">
        <v>0</v>
      </c>
    </row>
    <row r="643" spans="1:7" x14ac:dyDescent="0.3">
      <c r="A643">
        <v>2019</v>
      </c>
      <c r="B643" t="s">
        <v>55</v>
      </c>
      <c r="C643" t="s">
        <v>170</v>
      </c>
      <c r="D643" t="s">
        <v>171</v>
      </c>
      <c r="E643" t="s">
        <v>91</v>
      </c>
      <c r="F643" t="s">
        <v>115</v>
      </c>
      <c r="G643">
        <v>0</v>
      </c>
    </row>
    <row r="644" spans="1:7" x14ac:dyDescent="0.3">
      <c r="A644">
        <v>2019</v>
      </c>
      <c r="B644" t="s">
        <v>55</v>
      </c>
      <c r="C644" t="s">
        <v>170</v>
      </c>
      <c r="D644" t="s">
        <v>171</v>
      </c>
      <c r="E644" t="s">
        <v>109</v>
      </c>
      <c r="F644" t="s">
        <v>115</v>
      </c>
      <c r="G644">
        <v>0</v>
      </c>
    </row>
    <row r="645" spans="1:7" x14ac:dyDescent="0.3">
      <c r="A645">
        <v>2019</v>
      </c>
      <c r="B645" t="s">
        <v>55</v>
      </c>
      <c r="C645" t="s">
        <v>170</v>
      </c>
      <c r="D645" t="s">
        <v>171</v>
      </c>
      <c r="E645" t="s">
        <v>110</v>
      </c>
      <c r="F645" t="s">
        <v>115</v>
      </c>
      <c r="G645">
        <v>0</v>
      </c>
    </row>
    <row r="646" spans="1:7" x14ac:dyDescent="0.3">
      <c r="A646">
        <v>2019</v>
      </c>
      <c r="B646" t="s">
        <v>38</v>
      </c>
      <c r="C646" t="s">
        <v>170</v>
      </c>
      <c r="D646" t="s">
        <v>171</v>
      </c>
      <c r="E646" t="s">
        <v>108</v>
      </c>
      <c r="F646" t="s">
        <v>115</v>
      </c>
      <c r="G646">
        <v>0</v>
      </c>
    </row>
    <row r="647" spans="1:7" x14ac:dyDescent="0.3">
      <c r="A647">
        <v>2019</v>
      </c>
      <c r="B647" t="s">
        <v>38</v>
      </c>
      <c r="C647" t="s">
        <v>170</v>
      </c>
      <c r="D647" t="s">
        <v>171</v>
      </c>
      <c r="E647" t="s">
        <v>91</v>
      </c>
      <c r="F647" t="s">
        <v>115</v>
      </c>
      <c r="G647">
        <v>0</v>
      </c>
    </row>
    <row r="648" spans="1:7" x14ac:dyDescent="0.3">
      <c r="A648">
        <v>2019</v>
      </c>
      <c r="B648" t="s">
        <v>38</v>
      </c>
      <c r="C648" t="s">
        <v>170</v>
      </c>
      <c r="D648" t="s">
        <v>171</v>
      </c>
      <c r="E648" t="s">
        <v>109</v>
      </c>
      <c r="F648" t="s">
        <v>115</v>
      </c>
      <c r="G648">
        <v>0</v>
      </c>
    </row>
    <row r="649" spans="1:7" x14ac:dyDescent="0.3">
      <c r="A649">
        <v>2019</v>
      </c>
      <c r="B649" t="s">
        <v>38</v>
      </c>
      <c r="C649" t="s">
        <v>170</v>
      </c>
      <c r="D649" t="s">
        <v>171</v>
      </c>
      <c r="E649" t="s">
        <v>110</v>
      </c>
      <c r="F649" t="s">
        <v>115</v>
      </c>
      <c r="G649">
        <v>0</v>
      </c>
    </row>
    <row r="650" spans="1:7" x14ac:dyDescent="0.3">
      <c r="A650">
        <v>2019</v>
      </c>
      <c r="B650" t="s">
        <v>39</v>
      </c>
      <c r="C650" t="s">
        <v>170</v>
      </c>
      <c r="D650" t="s">
        <v>171</v>
      </c>
      <c r="E650" t="s">
        <v>108</v>
      </c>
      <c r="F650" t="s">
        <v>115</v>
      </c>
      <c r="G650">
        <v>1</v>
      </c>
    </row>
    <row r="651" spans="1:7" x14ac:dyDescent="0.3">
      <c r="A651">
        <v>2019</v>
      </c>
      <c r="B651" t="s">
        <v>39</v>
      </c>
      <c r="C651" t="s">
        <v>170</v>
      </c>
      <c r="D651" t="s">
        <v>171</v>
      </c>
      <c r="E651" t="s">
        <v>91</v>
      </c>
      <c r="F651" t="s">
        <v>115</v>
      </c>
      <c r="G651">
        <v>1</v>
      </c>
    </row>
    <row r="652" spans="1:7" x14ac:dyDescent="0.3">
      <c r="A652">
        <v>2019</v>
      </c>
      <c r="B652" t="s">
        <v>39</v>
      </c>
      <c r="C652" t="s">
        <v>170</v>
      </c>
      <c r="D652" t="s">
        <v>171</v>
      </c>
      <c r="E652" t="s">
        <v>109</v>
      </c>
      <c r="F652" t="s">
        <v>115</v>
      </c>
      <c r="G652">
        <v>2</v>
      </c>
    </row>
    <row r="653" spans="1:7" x14ac:dyDescent="0.3">
      <c r="A653">
        <v>2019</v>
      </c>
      <c r="B653" t="s">
        <v>39</v>
      </c>
      <c r="C653" t="s">
        <v>170</v>
      </c>
      <c r="D653" t="s">
        <v>171</v>
      </c>
      <c r="E653" t="s">
        <v>110</v>
      </c>
      <c r="F653" t="s">
        <v>115</v>
      </c>
      <c r="G653">
        <v>0</v>
      </c>
    </row>
    <row r="654" spans="1:7" x14ac:dyDescent="0.3">
      <c r="A654">
        <v>2019</v>
      </c>
      <c r="B654" t="s">
        <v>40</v>
      </c>
      <c r="C654" t="s">
        <v>170</v>
      </c>
      <c r="D654" t="s">
        <v>171</v>
      </c>
      <c r="E654" t="s">
        <v>108</v>
      </c>
      <c r="F654" t="s">
        <v>115</v>
      </c>
      <c r="G654">
        <v>0</v>
      </c>
    </row>
    <row r="655" spans="1:7" x14ac:dyDescent="0.3">
      <c r="A655">
        <v>2019</v>
      </c>
      <c r="B655" t="s">
        <v>40</v>
      </c>
      <c r="C655" t="s">
        <v>170</v>
      </c>
      <c r="D655" t="s">
        <v>171</v>
      </c>
      <c r="E655" t="s">
        <v>91</v>
      </c>
      <c r="F655" t="s">
        <v>115</v>
      </c>
      <c r="G655">
        <v>0</v>
      </c>
    </row>
    <row r="656" spans="1:7" x14ac:dyDescent="0.3">
      <c r="A656">
        <v>2019</v>
      </c>
      <c r="B656" t="s">
        <v>40</v>
      </c>
      <c r="C656" t="s">
        <v>170</v>
      </c>
      <c r="D656" t="s">
        <v>171</v>
      </c>
      <c r="E656" t="s">
        <v>109</v>
      </c>
      <c r="F656" t="s">
        <v>115</v>
      </c>
      <c r="G656">
        <v>0</v>
      </c>
    </row>
    <row r="657" spans="1:7" x14ac:dyDescent="0.3">
      <c r="A657">
        <v>2019</v>
      </c>
      <c r="B657" t="s">
        <v>40</v>
      </c>
      <c r="C657" t="s">
        <v>170</v>
      </c>
      <c r="D657" t="s">
        <v>171</v>
      </c>
      <c r="E657" t="s">
        <v>110</v>
      </c>
      <c r="F657" t="s">
        <v>115</v>
      </c>
      <c r="G657">
        <v>0</v>
      </c>
    </row>
    <row r="658" spans="1:7" x14ac:dyDescent="0.3">
      <c r="A658">
        <v>2019</v>
      </c>
      <c r="B658" t="s">
        <v>41</v>
      </c>
      <c r="C658" t="s">
        <v>170</v>
      </c>
      <c r="D658" t="s">
        <v>171</v>
      </c>
      <c r="E658" t="s">
        <v>108</v>
      </c>
      <c r="F658" t="s">
        <v>115</v>
      </c>
      <c r="G658">
        <v>0</v>
      </c>
    </row>
    <row r="659" spans="1:7" x14ac:dyDescent="0.3">
      <c r="A659">
        <v>2019</v>
      </c>
      <c r="B659" t="s">
        <v>41</v>
      </c>
      <c r="C659" t="s">
        <v>170</v>
      </c>
      <c r="D659" t="s">
        <v>171</v>
      </c>
      <c r="E659" t="s">
        <v>91</v>
      </c>
      <c r="F659" t="s">
        <v>115</v>
      </c>
      <c r="G659">
        <v>0</v>
      </c>
    </row>
    <row r="660" spans="1:7" x14ac:dyDescent="0.3">
      <c r="A660">
        <v>2019</v>
      </c>
      <c r="B660" t="s">
        <v>41</v>
      </c>
      <c r="C660" t="s">
        <v>170</v>
      </c>
      <c r="D660" t="s">
        <v>171</v>
      </c>
      <c r="E660" t="s">
        <v>109</v>
      </c>
      <c r="F660" t="s">
        <v>115</v>
      </c>
      <c r="G660">
        <v>0</v>
      </c>
    </row>
    <row r="661" spans="1:7" x14ac:dyDescent="0.3">
      <c r="A661">
        <v>2019</v>
      </c>
      <c r="B661" t="s">
        <v>41</v>
      </c>
      <c r="C661" t="s">
        <v>170</v>
      </c>
      <c r="D661" t="s">
        <v>171</v>
      </c>
      <c r="E661" t="s">
        <v>110</v>
      </c>
      <c r="F661" t="s">
        <v>115</v>
      </c>
      <c r="G661">
        <v>0</v>
      </c>
    </row>
    <row r="662" spans="1:7" x14ac:dyDescent="0.3">
      <c r="A662">
        <v>2019</v>
      </c>
      <c r="B662" t="s">
        <v>58</v>
      </c>
      <c r="C662" t="s">
        <v>170</v>
      </c>
      <c r="D662" t="s">
        <v>171</v>
      </c>
      <c r="E662" t="s">
        <v>108</v>
      </c>
      <c r="F662" t="s">
        <v>115</v>
      </c>
      <c r="G662">
        <v>0</v>
      </c>
    </row>
    <row r="663" spans="1:7" x14ac:dyDescent="0.3">
      <c r="A663">
        <v>2019</v>
      </c>
      <c r="B663" t="s">
        <v>58</v>
      </c>
      <c r="C663" t="s">
        <v>170</v>
      </c>
      <c r="D663" t="s">
        <v>171</v>
      </c>
      <c r="E663" t="s">
        <v>91</v>
      </c>
      <c r="F663" t="s">
        <v>115</v>
      </c>
      <c r="G663">
        <v>0</v>
      </c>
    </row>
    <row r="664" spans="1:7" x14ac:dyDescent="0.3">
      <c r="A664">
        <v>2019</v>
      </c>
      <c r="B664" t="s">
        <v>58</v>
      </c>
      <c r="C664" t="s">
        <v>170</v>
      </c>
      <c r="D664" t="s">
        <v>171</v>
      </c>
      <c r="E664" t="s">
        <v>109</v>
      </c>
      <c r="F664" t="s">
        <v>115</v>
      </c>
      <c r="G664">
        <v>0</v>
      </c>
    </row>
    <row r="665" spans="1:7" x14ac:dyDescent="0.3">
      <c r="A665">
        <v>2019</v>
      </c>
      <c r="B665" t="s">
        <v>58</v>
      </c>
      <c r="C665" t="s">
        <v>170</v>
      </c>
      <c r="D665" t="s">
        <v>171</v>
      </c>
      <c r="E665" t="s">
        <v>110</v>
      </c>
      <c r="F665" t="s">
        <v>115</v>
      </c>
      <c r="G665">
        <v>0</v>
      </c>
    </row>
    <row r="666" spans="1:7" x14ac:dyDescent="0.3">
      <c r="A666">
        <v>2019</v>
      </c>
      <c r="B666" t="s">
        <v>42</v>
      </c>
      <c r="C666" t="s">
        <v>170</v>
      </c>
      <c r="D666" t="s">
        <v>171</v>
      </c>
      <c r="E666" t="s">
        <v>108</v>
      </c>
      <c r="F666" t="s">
        <v>115</v>
      </c>
      <c r="G666">
        <v>0</v>
      </c>
    </row>
    <row r="667" spans="1:7" x14ac:dyDescent="0.3">
      <c r="A667">
        <v>2019</v>
      </c>
      <c r="B667" t="s">
        <v>42</v>
      </c>
      <c r="C667" t="s">
        <v>170</v>
      </c>
      <c r="D667" t="s">
        <v>171</v>
      </c>
      <c r="E667" t="s">
        <v>91</v>
      </c>
      <c r="F667" t="s">
        <v>115</v>
      </c>
      <c r="G667">
        <v>0</v>
      </c>
    </row>
    <row r="668" spans="1:7" x14ac:dyDescent="0.3">
      <c r="A668">
        <v>2019</v>
      </c>
      <c r="B668" t="s">
        <v>42</v>
      </c>
      <c r="C668" t="s">
        <v>170</v>
      </c>
      <c r="D668" t="s">
        <v>171</v>
      </c>
      <c r="E668" t="s">
        <v>109</v>
      </c>
      <c r="F668" t="s">
        <v>115</v>
      </c>
      <c r="G668">
        <v>0</v>
      </c>
    </row>
    <row r="669" spans="1:7" x14ac:dyDescent="0.3">
      <c r="A669">
        <v>2019</v>
      </c>
      <c r="B669" t="s">
        <v>42</v>
      </c>
      <c r="C669" t="s">
        <v>170</v>
      </c>
      <c r="D669" t="s">
        <v>171</v>
      </c>
      <c r="E669" t="s">
        <v>110</v>
      </c>
      <c r="F669" t="s">
        <v>115</v>
      </c>
      <c r="G669">
        <v>0</v>
      </c>
    </row>
    <row r="670" spans="1:7" x14ac:dyDescent="0.3">
      <c r="A670">
        <v>2019</v>
      </c>
      <c r="B670" t="s">
        <v>44</v>
      </c>
      <c r="C670" t="s">
        <v>170</v>
      </c>
      <c r="D670" t="s">
        <v>171</v>
      </c>
      <c r="E670" t="s">
        <v>108</v>
      </c>
      <c r="F670" t="s">
        <v>115</v>
      </c>
      <c r="G670">
        <v>0</v>
      </c>
    </row>
    <row r="671" spans="1:7" x14ac:dyDescent="0.3">
      <c r="A671">
        <v>2019</v>
      </c>
      <c r="B671" t="s">
        <v>44</v>
      </c>
      <c r="C671" t="s">
        <v>170</v>
      </c>
      <c r="D671" t="s">
        <v>171</v>
      </c>
      <c r="E671" t="s">
        <v>91</v>
      </c>
      <c r="F671" t="s">
        <v>115</v>
      </c>
      <c r="G671">
        <v>0</v>
      </c>
    </row>
    <row r="672" spans="1:7" x14ac:dyDescent="0.3">
      <c r="A672">
        <v>2019</v>
      </c>
      <c r="B672" t="s">
        <v>44</v>
      </c>
      <c r="C672" t="s">
        <v>170</v>
      </c>
      <c r="D672" t="s">
        <v>171</v>
      </c>
      <c r="E672" t="s">
        <v>109</v>
      </c>
      <c r="F672" t="s">
        <v>115</v>
      </c>
      <c r="G672">
        <v>0</v>
      </c>
    </row>
    <row r="673" spans="1:7" x14ac:dyDescent="0.3">
      <c r="A673">
        <v>2019</v>
      </c>
      <c r="B673" t="s">
        <v>44</v>
      </c>
      <c r="C673" t="s">
        <v>170</v>
      </c>
      <c r="D673" t="s">
        <v>171</v>
      </c>
      <c r="E673" t="s">
        <v>110</v>
      </c>
      <c r="F673" t="s">
        <v>115</v>
      </c>
      <c r="G673">
        <v>0</v>
      </c>
    </row>
    <row r="674" spans="1:7" x14ac:dyDescent="0.3">
      <c r="A674">
        <v>2019</v>
      </c>
      <c r="B674" t="s">
        <v>45</v>
      </c>
      <c r="C674" t="s">
        <v>170</v>
      </c>
      <c r="D674" t="s">
        <v>171</v>
      </c>
      <c r="E674" t="s">
        <v>108</v>
      </c>
      <c r="F674" t="s">
        <v>115</v>
      </c>
      <c r="G674">
        <v>0</v>
      </c>
    </row>
    <row r="675" spans="1:7" x14ac:dyDescent="0.3">
      <c r="A675">
        <v>2019</v>
      </c>
      <c r="B675" t="s">
        <v>45</v>
      </c>
      <c r="C675" t="s">
        <v>170</v>
      </c>
      <c r="D675" t="s">
        <v>171</v>
      </c>
      <c r="E675" t="s">
        <v>91</v>
      </c>
      <c r="F675" t="s">
        <v>115</v>
      </c>
      <c r="G675">
        <v>0</v>
      </c>
    </row>
    <row r="676" spans="1:7" x14ac:dyDescent="0.3">
      <c r="A676">
        <v>2019</v>
      </c>
      <c r="B676" t="s">
        <v>45</v>
      </c>
      <c r="C676" t="s">
        <v>170</v>
      </c>
      <c r="D676" t="s">
        <v>171</v>
      </c>
      <c r="E676" t="s">
        <v>109</v>
      </c>
      <c r="F676" t="s">
        <v>115</v>
      </c>
      <c r="G676">
        <v>0</v>
      </c>
    </row>
    <row r="677" spans="1:7" x14ac:dyDescent="0.3">
      <c r="A677">
        <v>2019</v>
      </c>
      <c r="B677" t="s">
        <v>45</v>
      </c>
      <c r="C677" t="s">
        <v>170</v>
      </c>
      <c r="D677" t="s">
        <v>171</v>
      </c>
      <c r="E677" t="s">
        <v>110</v>
      </c>
      <c r="F677" t="s">
        <v>115</v>
      </c>
      <c r="G677">
        <v>0</v>
      </c>
    </row>
    <row r="678" spans="1:7" x14ac:dyDescent="0.3">
      <c r="A678">
        <v>2019</v>
      </c>
      <c r="B678" t="s">
        <v>46</v>
      </c>
      <c r="C678" t="s">
        <v>170</v>
      </c>
      <c r="D678" t="s">
        <v>171</v>
      </c>
      <c r="E678" t="s">
        <v>108</v>
      </c>
      <c r="F678" t="s">
        <v>115</v>
      </c>
      <c r="G678">
        <v>0</v>
      </c>
    </row>
    <row r="679" spans="1:7" x14ac:dyDescent="0.3">
      <c r="A679">
        <v>2019</v>
      </c>
      <c r="B679" t="s">
        <v>46</v>
      </c>
      <c r="C679" t="s">
        <v>170</v>
      </c>
      <c r="D679" t="s">
        <v>171</v>
      </c>
      <c r="E679" t="s">
        <v>91</v>
      </c>
      <c r="F679" t="s">
        <v>115</v>
      </c>
      <c r="G679">
        <v>0</v>
      </c>
    </row>
    <row r="680" spans="1:7" x14ac:dyDescent="0.3">
      <c r="A680">
        <v>2019</v>
      </c>
      <c r="B680" t="s">
        <v>46</v>
      </c>
      <c r="C680" t="s">
        <v>170</v>
      </c>
      <c r="D680" t="s">
        <v>171</v>
      </c>
      <c r="E680" t="s">
        <v>109</v>
      </c>
      <c r="F680" t="s">
        <v>115</v>
      </c>
      <c r="G680">
        <v>0</v>
      </c>
    </row>
    <row r="681" spans="1:7" x14ac:dyDescent="0.3">
      <c r="A681">
        <v>2019</v>
      </c>
      <c r="B681" t="s">
        <v>46</v>
      </c>
      <c r="C681" t="s">
        <v>170</v>
      </c>
      <c r="D681" t="s">
        <v>171</v>
      </c>
      <c r="E681" t="s">
        <v>110</v>
      </c>
      <c r="F681" t="s">
        <v>115</v>
      </c>
      <c r="G681">
        <v>0</v>
      </c>
    </row>
    <row r="682" spans="1:7" x14ac:dyDescent="0.3">
      <c r="A682">
        <v>2019</v>
      </c>
      <c r="B682" t="s">
        <v>47</v>
      </c>
      <c r="C682" t="s">
        <v>170</v>
      </c>
      <c r="D682" t="s">
        <v>171</v>
      </c>
      <c r="E682" t="s">
        <v>108</v>
      </c>
      <c r="F682" t="s">
        <v>115</v>
      </c>
      <c r="G682">
        <v>0</v>
      </c>
    </row>
    <row r="683" spans="1:7" x14ac:dyDescent="0.3">
      <c r="A683">
        <v>2019</v>
      </c>
      <c r="B683" t="s">
        <v>47</v>
      </c>
      <c r="C683" t="s">
        <v>170</v>
      </c>
      <c r="D683" t="s">
        <v>171</v>
      </c>
      <c r="E683" t="s">
        <v>91</v>
      </c>
      <c r="F683" t="s">
        <v>115</v>
      </c>
      <c r="G683">
        <v>1</v>
      </c>
    </row>
    <row r="684" spans="1:7" x14ac:dyDescent="0.3">
      <c r="A684">
        <v>2019</v>
      </c>
      <c r="B684" t="s">
        <v>47</v>
      </c>
      <c r="C684" t="s">
        <v>170</v>
      </c>
      <c r="D684" t="s">
        <v>171</v>
      </c>
      <c r="E684" t="s">
        <v>109</v>
      </c>
      <c r="F684" t="s">
        <v>115</v>
      </c>
      <c r="G684">
        <v>0</v>
      </c>
    </row>
    <row r="685" spans="1:7" x14ac:dyDescent="0.3">
      <c r="A685">
        <v>2019</v>
      </c>
      <c r="B685" t="s">
        <v>47</v>
      </c>
      <c r="C685" t="s">
        <v>170</v>
      </c>
      <c r="D685" t="s">
        <v>171</v>
      </c>
      <c r="E685" t="s">
        <v>110</v>
      </c>
      <c r="F685" t="s">
        <v>115</v>
      </c>
      <c r="G685">
        <v>0</v>
      </c>
    </row>
    <row r="686" spans="1:7" x14ac:dyDescent="0.3">
      <c r="A686">
        <v>2019</v>
      </c>
      <c r="B686" t="s">
        <v>48</v>
      </c>
      <c r="C686" t="s">
        <v>170</v>
      </c>
      <c r="D686" t="s">
        <v>171</v>
      </c>
      <c r="E686" t="s">
        <v>108</v>
      </c>
      <c r="F686" t="s">
        <v>115</v>
      </c>
      <c r="G686">
        <v>0</v>
      </c>
    </row>
    <row r="687" spans="1:7" x14ac:dyDescent="0.3">
      <c r="A687">
        <v>2019</v>
      </c>
      <c r="B687" t="s">
        <v>48</v>
      </c>
      <c r="C687" t="s">
        <v>170</v>
      </c>
      <c r="D687" t="s">
        <v>171</v>
      </c>
      <c r="E687" t="s">
        <v>91</v>
      </c>
      <c r="F687" t="s">
        <v>115</v>
      </c>
      <c r="G687">
        <v>0</v>
      </c>
    </row>
    <row r="688" spans="1:7" x14ac:dyDescent="0.3">
      <c r="A688">
        <v>2019</v>
      </c>
      <c r="B688" t="s">
        <v>48</v>
      </c>
      <c r="C688" t="s">
        <v>170</v>
      </c>
      <c r="D688" t="s">
        <v>171</v>
      </c>
      <c r="E688" t="s">
        <v>109</v>
      </c>
      <c r="F688" t="s">
        <v>115</v>
      </c>
      <c r="G688">
        <v>0</v>
      </c>
    </row>
    <row r="689" spans="1:7" x14ac:dyDescent="0.3">
      <c r="A689">
        <v>2019</v>
      </c>
      <c r="B689" t="s">
        <v>48</v>
      </c>
      <c r="C689" t="s">
        <v>170</v>
      </c>
      <c r="D689" t="s">
        <v>171</v>
      </c>
      <c r="E689" t="s">
        <v>110</v>
      </c>
      <c r="F689" t="s">
        <v>115</v>
      </c>
      <c r="G689">
        <v>0</v>
      </c>
    </row>
    <row r="690" spans="1:7" x14ac:dyDescent="0.3">
      <c r="A690">
        <v>2019</v>
      </c>
      <c r="B690" t="s">
        <v>49</v>
      </c>
      <c r="C690" t="s">
        <v>170</v>
      </c>
      <c r="D690" t="s">
        <v>171</v>
      </c>
      <c r="E690" t="s">
        <v>108</v>
      </c>
      <c r="F690" t="s">
        <v>115</v>
      </c>
      <c r="G690">
        <v>0</v>
      </c>
    </row>
    <row r="691" spans="1:7" x14ac:dyDescent="0.3">
      <c r="A691">
        <v>2019</v>
      </c>
      <c r="B691" t="s">
        <v>49</v>
      </c>
      <c r="C691" t="s">
        <v>170</v>
      </c>
      <c r="D691" t="s">
        <v>171</v>
      </c>
      <c r="E691" t="s">
        <v>91</v>
      </c>
      <c r="F691" t="s">
        <v>115</v>
      </c>
      <c r="G691">
        <v>0</v>
      </c>
    </row>
    <row r="692" spans="1:7" x14ac:dyDescent="0.3">
      <c r="A692">
        <v>2019</v>
      </c>
      <c r="B692" t="s">
        <v>49</v>
      </c>
      <c r="C692" t="s">
        <v>170</v>
      </c>
      <c r="D692" t="s">
        <v>171</v>
      </c>
      <c r="E692" t="s">
        <v>109</v>
      </c>
      <c r="F692" t="s">
        <v>115</v>
      </c>
      <c r="G692">
        <v>0</v>
      </c>
    </row>
    <row r="693" spans="1:7" x14ac:dyDescent="0.3">
      <c r="A693">
        <v>2019</v>
      </c>
      <c r="B693" t="s">
        <v>49</v>
      </c>
      <c r="C693" t="s">
        <v>170</v>
      </c>
      <c r="D693" t="s">
        <v>171</v>
      </c>
      <c r="E693" t="s">
        <v>110</v>
      </c>
      <c r="F693" t="s">
        <v>115</v>
      </c>
      <c r="G693">
        <v>0</v>
      </c>
    </row>
    <row r="694" spans="1:7" x14ac:dyDescent="0.3">
      <c r="A694">
        <v>2019</v>
      </c>
      <c r="B694" t="s">
        <v>59</v>
      </c>
      <c r="C694" t="s">
        <v>170</v>
      </c>
      <c r="D694" t="s">
        <v>171</v>
      </c>
      <c r="E694" t="s">
        <v>108</v>
      </c>
      <c r="F694" t="s">
        <v>115</v>
      </c>
      <c r="G694">
        <v>0</v>
      </c>
    </row>
    <row r="695" spans="1:7" x14ac:dyDescent="0.3">
      <c r="A695">
        <v>2019</v>
      </c>
      <c r="B695" t="s">
        <v>59</v>
      </c>
      <c r="C695" t="s">
        <v>170</v>
      </c>
      <c r="D695" t="s">
        <v>171</v>
      </c>
      <c r="E695" t="s">
        <v>91</v>
      </c>
      <c r="F695" t="s">
        <v>115</v>
      </c>
      <c r="G695">
        <v>0</v>
      </c>
    </row>
    <row r="696" spans="1:7" x14ac:dyDescent="0.3">
      <c r="A696">
        <v>2019</v>
      </c>
      <c r="B696" t="s">
        <v>59</v>
      </c>
      <c r="C696" t="s">
        <v>170</v>
      </c>
      <c r="D696" t="s">
        <v>171</v>
      </c>
      <c r="E696" t="s">
        <v>109</v>
      </c>
      <c r="F696" t="s">
        <v>115</v>
      </c>
      <c r="G696">
        <v>0</v>
      </c>
    </row>
    <row r="697" spans="1:7" x14ac:dyDescent="0.3">
      <c r="A697">
        <v>2019</v>
      </c>
      <c r="B697" t="s">
        <v>59</v>
      </c>
      <c r="C697" t="s">
        <v>170</v>
      </c>
      <c r="D697" t="s">
        <v>171</v>
      </c>
      <c r="E697" t="s">
        <v>110</v>
      </c>
      <c r="F697" t="s">
        <v>115</v>
      </c>
      <c r="G697">
        <v>0</v>
      </c>
    </row>
    <row r="698" spans="1:7" x14ac:dyDescent="0.3">
      <c r="A698">
        <v>2019</v>
      </c>
      <c r="B698" t="s">
        <v>50</v>
      </c>
      <c r="C698" t="s">
        <v>170</v>
      </c>
      <c r="D698" t="s">
        <v>171</v>
      </c>
      <c r="E698" t="s">
        <v>108</v>
      </c>
      <c r="F698" t="s">
        <v>115</v>
      </c>
      <c r="G698">
        <v>0</v>
      </c>
    </row>
    <row r="699" spans="1:7" x14ac:dyDescent="0.3">
      <c r="A699">
        <v>2019</v>
      </c>
      <c r="B699" t="s">
        <v>50</v>
      </c>
      <c r="C699" t="s">
        <v>170</v>
      </c>
      <c r="D699" t="s">
        <v>171</v>
      </c>
      <c r="E699" t="s">
        <v>91</v>
      </c>
      <c r="F699" t="s">
        <v>115</v>
      </c>
      <c r="G699">
        <v>0</v>
      </c>
    </row>
    <row r="700" spans="1:7" x14ac:dyDescent="0.3">
      <c r="A700">
        <v>2019</v>
      </c>
      <c r="B700" t="s">
        <v>50</v>
      </c>
      <c r="C700" t="s">
        <v>170</v>
      </c>
      <c r="D700" t="s">
        <v>171</v>
      </c>
      <c r="E700" t="s">
        <v>109</v>
      </c>
      <c r="F700" t="s">
        <v>115</v>
      </c>
      <c r="G700">
        <v>0</v>
      </c>
    </row>
    <row r="701" spans="1:7" x14ac:dyDescent="0.3">
      <c r="A701">
        <v>2019</v>
      </c>
      <c r="B701" t="s">
        <v>50</v>
      </c>
      <c r="C701" t="s">
        <v>170</v>
      </c>
      <c r="D701" t="s">
        <v>171</v>
      </c>
      <c r="E701" t="s">
        <v>110</v>
      </c>
      <c r="F701" t="s">
        <v>115</v>
      </c>
      <c r="G701">
        <v>0</v>
      </c>
    </row>
    <row r="702" spans="1:7" x14ac:dyDescent="0.3">
      <c r="A702">
        <v>2019</v>
      </c>
      <c r="B702" t="s">
        <v>51</v>
      </c>
      <c r="C702" t="s">
        <v>170</v>
      </c>
      <c r="D702" t="s">
        <v>171</v>
      </c>
      <c r="E702" t="s">
        <v>108</v>
      </c>
      <c r="F702" t="s">
        <v>115</v>
      </c>
      <c r="G702">
        <v>0</v>
      </c>
    </row>
    <row r="703" spans="1:7" x14ac:dyDescent="0.3">
      <c r="A703">
        <v>2019</v>
      </c>
      <c r="B703" t="s">
        <v>51</v>
      </c>
      <c r="C703" t="s">
        <v>170</v>
      </c>
      <c r="D703" t="s">
        <v>171</v>
      </c>
      <c r="E703" t="s">
        <v>91</v>
      </c>
      <c r="F703" t="s">
        <v>115</v>
      </c>
      <c r="G703">
        <v>0</v>
      </c>
    </row>
    <row r="704" spans="1:7" x14ac:dyDescent="0.3">
      <c r="A704">
        <v>2019</v>
      </c>
      <c r="B704" t="s">
        <v>51</v>
      </c>
      <c r="C704" t="s">
        <v>170</v>
      </c>
      <c r="D704" t="s">
        <v>171</v>
      </c>
      <c r="E704" t="s">
        <v>109</v>
      </c>
      <c r="F704" t="s">
        <v>115</v>
      </c>
      <c r="G704">
        <v>0</v>
      </c>
    </row>
    <row r="705" spans="1:7" x14ac:dyDescent="0.3">
      <c r="A705">
        <v>2019</v>
      </c>
      <c r="B705" t="s">
        <v>51</v>
      </c>
      <c r="C705" t="s">
        <v>170</v>
      </c>
      <c r="D705" t="s">
        <v>171</v>
      </c>
      <c r="E705" t="s">
        <v>110</v>
      </c>
      <c r="F705" t="s">
        <v>115</v>
      </c>
      <c r="G705">
        <v>0</v>
      </c>
    </row>
    <row r="706" spans="1:7" x14ac:dyDescent="0.3">
      <c r="A706">
        <v>2019</v>
      </c>
      <c r="B706" t="s">
        <v>52</v>
      </c>
      <c r="C706" t="s">
        <v>170</v>
      </c>
      <c r="D706" t="s">
        <v>171</v>
      </c>
      <c r="E706" t="s">
        <v>108</v>
      </c>
      <c r="F706" t="s">
        <v>115</v>
      </c>
      <c r="G706">
        <v>0</v>
      </c>
    </row>
    <row r="707" spans="1:7" x14ac:dyDescent="0.3">
      <c r="A707">
        <v>2019</v>
      </c>
      <c r="B707" t="s">
        <v>52</v>
      </c>
      <c r="C707" t="s">
        <v>170</v>
      </c>
      <c r="D707" t="s">
        <v>171</v>
      </c>
      <c r="E707" t="s">
        <v>91</v>
      </c>
      <c r="F707" t="s">
        <v>115</v>
      </c>
      <c r="G707">
        <v>0</v>
      </c>
    </row>
    <row r="708" spans="1:7" x14ac:dyDescent="0.3">
      <c r="A708">
        <v>2019</v>
      </c>
      <c r="B708" t="s">
        <v>52</v>
      </c>
      <c r="C708" t="s">
        <v>170</v>
      </c>
      <c r="D708" t="s">
        <v>171</v>
      </c>
      <c r="E708" t="s">
        <v>109</v>
      </c>
      <c r="F708" t="s">
        <v>115</v>
      </c>
      <c r="G708">
        <v>0</v>
      </c>
    </row>
    <row r="709" spans="1:7" x14ac:dyDescent="0.3">
      <c r="A709">
        <v>2019</v>
      </c>
      <c r="B709" t="s">
        <v>52</v>
      </c>
      <c r="C709" t="s">
        <v>170</v>
      </c>
      <c r="D709" t="s">
        <v>171</v>
      </c>
      <c r="E709" t="s">
        <v>110</v>
      </c>
      <c r="F709" t="s">
        <v>115</v>
      </c>
      <c r="G709">
        <v>0</v>
      </c>
    </row>
    <row r="710" spans="1:7" x14ac:dyDescent="0.3">
      <c r="A710">
        <v>2019</v>
      </c>
      <c r="B710" t="s">
        <v>60</v>
      </c>
      <c r="C710" t="s">
        <v>170</v>
      </c>
      <c r="D710" t="s">
        <v>171</v>
      </c>
      <c r="E710" t="s">
        <v>108</v>
      </c>
      <c r="F710" t="s">
        <v>115</v>
      </c>
      <c r="G710">
        <v>0</v>
      </c>
    </row>
    <row r="711" spans="1:7" x14ac:dyDescent="0.3">
      <c r="A711">
        <v>2019</v>
      </c>
      <c r="B711" t="s">
        <v>60</v>
      </c>
      <c r="C711" t="s">
        <v>170</v>
      </c>
      <c r="D711" t="s">
        <v>171</v>
      </c>
      <c r="E711" t="s">
        <v>91</v>
      </c>
      <c r="F711" t="s">
        <v>115</v>
      </c>
      <c r="G711">
        <v>1</v>
      </c>
    </row>
    <row r="712" spans="1:7" x14ac:dyDescent="0.3">
      <c r="A712">
        <v>2019</v>
      </c>
      <c r="B712" t="s">
        <v>60</v>
      </c>
      <c r="C712" t="s">
        <v>170</v>
      </c>
      <c r="D712" t="s">
        <v>171</v>
      </c>
      <c r="E712" t="s">
        <v>109</v>
      </c>
      <c r="F712" t="s">
        <v>115</v>
      </c>
      <c r="G712">
        <v>0</v>
      </c>
    </row>
    <row r="713" spans="1:7" x14ac:dyDescent="0.3">
      <c r="A713">
        <v>2019</v>
      </c>
      <c r="B713" t="s">
        <v>60</v>
      </c>
      <c r="C713" t="s">
        <v>170</v>
      </c>
      <c r="D713" t="s">
        <v>171</v>
      </c>
      <c r="E713" t="s">
        <v>110</v>
      </c>
      <c r="F713" t="s">
        <v>115</v>
      </c>
      <c r="G713">
        <v>0</v>
      </c>
    </row>
    <row r="714" spans="1:7" x14ac:dyDescent="0.3">
      <c r="A714">
        <v>2019</v>
      </c>
      <c r="B714" t="s">
        <v>53</v>
      </c>
      <c r="C714" t="s">
        <v>170</v>
      </c>
      <c r="D714" t="s">
        <v>171</v>
      </c>
      <c r="E714" t="s">
        <v>108</v>
      </c>
      <c r="F714" t="s">
        <v>115</v>
      </c>
      <c r="G714">
        <v>0</v>
      </c>
    </row>
    <row r="715" spans="1:7" x14ac:dyDescent="0.3">
      <c r="A715">
        <v>2019</v>
      </c>
      <c r="B715" t="s">
        <v>53</v>
      </c>
      <c r="C715" t="s">
        <v>170</v>
      </c>
      <c r="D715" t="s">
        <v>171</v>
      </c>
      <c r="E715" t="s">
        <v>91</v>
      </c>
      <c r="F715" t="s">
        <v>115</v>
      </c>
      <c r="G715">
        <v>0</v>
      </c>
    </row>
    <row r="716" spans="1:7" x14ac:dyDescent="0.3">
      <c r="A716">
        <v>2019</v>
      </c>
      <c r="B716" t="s">
        <v>53</v>
      </c>
      <c r="C716" t="s">
        <v>170</v>
      </c>
      <c r="D716" t="s">
        <v>171</v>
      </c>
      <c r="E716" t="s">
        <v>109</v>
      </c>
      <c r="F716" t="s">
        <v>115</v>
      </c>
      <c r="G716">
        <v>1</v>
      </c>
    </row>
    <row r="717" spans="1:7" x14ac:dyDescent="0.3">
      <c r="A717">
        <v>2019</v>
      </c>
      <c r="B717" t="s">
        <v>53</v>
      </c>
      <c r="C717" t="s">
        <v>170</v>
      </c>
      <c r="D717" t="s">
        <v>171</v>
      </c>
      <c r="E717" t="s">
        <v>110</v>
      </c>
      <c r="F717" t="s">
        <v>115</v>
      </c>
      <c r="G717">
        <v>0</v>
      </c>
    </row>
    <row r="718" spans="1:7" x14ac:dyDescent="0.3">
      <c r="A718">
        <v>2019</v>
      </c>
      <c r="B718" t="s">
        <v>61</v>
      </c>
      <c r="C718" t="s">
        <v>170</v>
      </c>
      <c r="D718" t="s">
        <v>171</v>
      </c>
      <c r="E718" t="s">
        <v>108</v>
      </c>
      <c r="F718" t="s">
        <v>115</v>
      </c>
      <c r="G718">
        <v>0</v>
      </c>
    </row>
    <row r="719" spans="1:7" x14ac:dyDescent="0.3">
      <c r="A719">
        <v>2019</v>
      </c>
      <c r="B719" t="s">
        <v>61</v>
      </c>
      <c r="C719" t="s">
        <v>170</v>
      </c>
      <c r="D719" t="s">
        <v>171</v>
      </c>
      <c r="E719" t="s">
        <v>91</v>
      </c>
      <c r="F719" t="s">
        <v>115</v>
      </c>
      <c r="G719">
        <v>5</v>
      </c>
    </row>
    <row r="720" spans="1:7" x14ac:dyDescent="0.3">
      <c r="A720">
        <v>2019</v>
      </c>
      <c r="B720" t="s">
        <v>61</v>
      </c>
      <c r="C720" t="s">
        <v>170</v>
      </c>
      <c r="D720" t="s">
        <v>171</v>
      </c>
      <c r="E720" t="s">
        <v>109</v>
      </c>
      <c r="F720" t="s">
        <v>115</v>
      </c>
      <c r="G720">
        <v>3</v>
      </c>
    </row>
    <row r="721" spans="1:7" x14ac:dyDescent="0.3">
      <c r="A721">
        <v>2019</v>
      </c>
      <c r="B721" t="s">
        <v>61</v>
      </c>
      <c r="C721" t="s">
        <v>170</v>
      </c>
      <c r="D721" t="s">
        <v>171</v>
      </c>
      <c r="E721" t="s">
        <v>110</v>
      </c>
      <c r="F721" t="s">
        <v>115</v>
      </c>
      <c r="G721">
        <v>0</v>
      </c>
    </row>
    <row r="722" spans="1:7" x14ac:dyDescent="0.3">
      <c r="A722">
        <v>2019</v>
      </c>
      <c r="B722" t="s">
        <v>54</v>
      </c>
      <c r="C722" t="s">
        <v>170</v>
      </c>
      <c r="D722" t="s">
        <v>171</v>
      </c>
      <c r="E722" t="s">
        <v>108</v>
      </c>
      <c r="F722" t="s">
        <v>115</v>
      </c>
      <c r="G722">
        <v>0</v>
      </c>
    </row>
    <row r="723" spans="1:7" x14ac:dyDescent="0.3">
      <c r="A723">
        <v>2019</v>
      </c>
      <c r="B723" t="s">
        <v>54</v>
      </c>
      <c r="C723" t="s">
        <v>170</v>
      </c>
      <c r="D723" t="s">
        <v>171</v>
      </c>
      <c r="E723" t="s">
        <v>91</v>
      </c>
      <c r="F723" t="s">
        <v>115</v>
      </c>
      <c r="G723">
        <v>0</v>
      </c>
    </row>
    <row r="724" spans="1:7" x14ac:dyDescent="0.3">
      <c r="A724">
        <v>2019</v>
      </c>
      <c r="B724" t="s">
        <v>54</v>
      </c>
      <c r="C724" t="s">
        <v>170</v>
      </c>
      <c r="D724" t="s">
        <v>171</v>
      </c>
      <c r="E724" t="s">
        <v>109</v>
      </c>
      <c r="F724" t="s">
        <v>115</v>
      </c>
      <c r="G724">
        <v>0</v>
      </c>
    </row>
    <row r="725" spans="1:7" x14ac:dyDescent="0.3">
      <c r="A725">
        <v>2019</v>
      </c>
      <c r="B725" t="s">
        <v>54</v>
      </c>
      <c r="C725" t="s">
        <v>170</v>
      </c>
      <c r="D725" t="s">
        <v>171</v>
      </c>
      <c r="E725" t="s">
        <v>110</v>
      </c>
      <c r="F725" t="s">
        <v>115</v>
      </c>
      <c r="G725">
        <v>0</v>
      </c>
    </row>
    <row r="726" spans="1:7" x14ac:dyDescent="0.3">
      <c r="A726">
        <v>2019</v>
      </c>
      <c r="B726" t="s">
        <v>62</v>
      </c>
      <c r="C726" t="s">
        <v>170</v>
      </c>
      <c r="D726" t="s">
        <v>171</v>
      </c>
      <c r="E726" t="s">
        <v>108</v>
      </c>
      <c r="F726" t="s">
        <v>115</v>
      </c>
      <c r="G726">
        <v>0</v>
      </c>
    </row>
    <row r="727" spans="1:7" x14ac:dyDescent="0.3">
      <c r="A727">
        <v>2019</v>
      </c>
      <c r="B727" t="s">
        <v>62</v>
      </c>
      <c r="C727" t="s">
        <v>170</v>
      </c>
      <c r="D727" t="s">
        <v>171</v>
      </c>
      <c r="E727" t="s">
        <v>91</v>
      </c>
      <c r="F727" t="s">
        <v>115</v>
      </c>
      <c r="G727">
        <v>1</v>
      </c>
    </row>
    <row r="728" spans="1:7" x14ac:dyDescent="0.3">
      <c r="A728">
        <v>2019</v>
      </c>
      <c r="B728" t="s">
        <v>62</v>
      </c>
      <c r="C728" t="s">
        <v>170</v>
      </c>
      <c r="D728" t="s">
        <v>171</v>
      </c>
      <c r="E728" t="s">
        <v>109</v>
      </c>
      <c r="F728" t="s">
        <v>115</v>
      </c>
      <c r="G728">
        <v>6</v>
      </c>
    </row>
    <row r="729" spans="1:7" x14ac:dyDescent="0.3">
      <c r="A729">
        <v>2019</v>
      </c>
      <c r="B729" t="s">
        <v>62</v>
      </c>
      <c r="C729" t="s">
        <v>170</v>
      </c>
      <c r="D729" t="s">
        <v>171</v>
      </c>
      <c r="E729" t="s">
        <v>110</v>
      </c>
      <c r="F729" t="s">
        <v>115</v>
      </c>
      <c r="G729">
        <v>0</v>
      </c>
    </row>
    <row r="730" spans="1:7" x14ac:dyDescent="0.3">
      <c r="A730">
        <v>2019</v>
      </c>
      <c r="B730" t="s">
        <v>28</v>
      </c>
      <c r="C730" t="s">
        <v>170</v>
      </c>
      <c r="D730" t="s">
        <v>171</v>
      </c>
      <c r="E730" t="s">
        <v>108</v>
      </c>
      <c r="F730" t="s">
        <v>115</v>
      </c>
      <c r="G730">
        <v>0</v>
      </c>
    </row>
    <row r="731" spans="1:7" x14ac:dyDescent="0.3">
      <c r="A731">
        <v>2019</v>
      </c>
      <c r="B731" t="s">
        <v>28</v>
      </c>
      <c r="C731" t="s">
        <v>170</v>
      </c>
      <c r="D731" t="s">
        <v>171</v>
      </c>
      <c r="E731" t="s">
        <v>91</v>
      </c>
      <c r="F731" t="s">
        <v>115</v>
      </c>
      <c r="G731">
        <v>0</v>
      </c>
    </row>
    <row r="732" spans="1:7" x14ac:dyDescent="0.3">
      <c r="A732">
        <v>2019</v>
      </c>
      <c r="B732" t="s">
        <v>28</v>
      </c>
      <c r="C732" t="s">
        <v>170</v>
      </c>
      <c r="D732" t="s">
        <v>171</v>
      </c>
      <c r="E732" t="s">
        <v>109</v>
      </c>
      <c r="F732" t="s">
        <v>115</v>
      </c>
      <c r="G732">
        <v>0</v>
      </c>
    </row>
    <row r="733" spans="1:7" x14ac:dyDescent="0.3">
      <c r="A733">
        <v>2019</v>
      </c>
      <c r="B733" t="s">
        <v>28</v>
      </c>
      <c r="C733" t="s">
        <v>170</v>
      </c>
      <c r="D733" t="s">
        <v>171</v>
      </c>
      <c r="E733" t="s">
        <v>110</v>
      </c>
      <c r="F733" t="s">
        <v>115</v>
      </c>
      <c r="G733">
        <v>0</v>
      </c>
    </row>
    <row r="734" spans="1:7" x14ac:dyDescent="0.3">
      <c r="A734">
        <v>2019</v>
      </c>
      <c r="B734" t="s">
        <v>43</v>
      </c>
      <c r="C734" t="s">
        <v>170</v>
      </c>
      <c r="D734" t="s">
        <v>171</v>
      </c>
      <c r="E734" t="s">
        <v>108</v>
      </c>
      <c r="F734" t="s">
        <v>115</v>
      </c>
      <c r="G734">
        <v>0</v>
      </c>
    </row>
    <row r="735" spans="1:7" x14ac:dyDescent="0.3">
      <c r="A735">
        <v>2019</v>
      </c>
      <c r="B735" t="s">
        <v>43</v>
      </c>
      <c r="C735" t="s">
        <v>170</v>
      </c>
      <c r="D735" t="s">
        <v>171</v>
      </c>
      <c r="E735" t="s">
        <v>91</v>
      </c>
      <c r="F735" t="s">
        <v>115</v>
      </c>
      <c r="G735">
        <v>0</v>
      </c>
    </row>
    <row r="736" spans="1:7" x14ac:dyDescent="0.3">
      <c r="A736">
        <v>2019</v>
      </c>
      <c r="B736" t="s">
        <v>43</v>
      </c>
      <c r="C736" t="s">
        <v>170</v>
      </c>
      <c r="D736" t="s">
        <v>171</v>
      </c>
      <c r="E736" t="s">
        <v>109</v>
      </c>
      <c r="F736" t="s">
        <v>115</v>
      </c>
      <c r="G736">
        <v>0</v>
      </c>
    </row>
    <row r="737" spans="1:7" x14ac:dyDescent="0.3">
      <c r="A737">
        <v>2019</v>
      </c>
      <c r="B737" t="s">
        <v>43</v>
      </c>
      <c r="C737" t="s">
        <v>170</v>
      </c>
      <c r="D737" t="s">
        <v>171</v>
      </c>
      <c r="E737" t="s">
        <v>110</v>
      </c>
      <c r="F737" t="s">
        <v>115</v>
      </c>
      <c r="G737">
        <v>0</v>
      </c>
    </row>
    <row r="738" spans="1:7" x14ac:dyDescent="0.3">
      <c r="A738">
        <v>2019</v>
      </c>
      <c r="B738" t="s">
        <v>17</v>
      </c>
      <c r="C738" t="s">
        <v>170</v>
      </c>
      <c r="D738" t="s">
        <v>171</v>
      </c>
      <c r="E738" t="s">
        <v>108</v>
      </c>
      <c r="F738" t="s">
        <v>116</v>
      </c>
      <c r="G738">
        <v>0</v>
      </c>
    </row>
    <row r="739" spans="1:7" x14ac:dyDescent="0.3">
      <c r="A739">
        <v>2019</v>
      </c>
      <c r="B739" t="s">
        <v>17</v>
      </c>
      <c r="C739" t="s">
        <v>170</v>
      </c>
      <c r="D739" t="s">
        <v>171</v>
      </c>
      <c r="E739" t="s">
        <v>91</v>
      </c>
      <c r="F739" t="s">
        <v>116</v>
      </c>
      <c r="G739">
        <v>1</v>
      </c>
    </row>
    <row r="740" spans="1:7" x14ac:dyDescent="0.3">
      <c r="A740">
        <v>2019</v>
      </c>
      <c r="B740" t="s">
        <v>17</v>
      </c>
      <c r="C740" t="s">
        <v>170</v>
      </c>
      <c r="D740" t="s">
        <v>171</v>
      </c>
      <c r="E740" t="s">
        <v>109</v>
      </c>
      <c r="F740" t="s">
        <v>116</v>
      </c>
      <c r="G740">
        <v>0</v>
      </c>
    </row>
    <row r="741" spans="1:7" x14ac:dyDescent="0.3">
      <c r="A741">
        <v>2019</v>
      </c>
      <c r="B741" t="s">
        <v>17</v>
      </c>
      <c r="C741" t="s">
        <v>170</v>
      </c>
      <c r="D741" t="s">
        <v>171</v>
      </c>
      <c r="E741" t="s">
        <v>110</v>
      </c>
      <c r="F741" t="s">
        <v>116</v>
      </c>
      <c r="G741">
        <v>0</v>
      </c>
    </row>
    <row r="742" spans="1:7" x14ac:dyDescent="0.3">
      <c r="A742">
        <v>2019</v>
      </c>
      <c r="B742" t="s">
        <v>18</v>
      </c>
      <c r="C742" t="s">
        <v>170</v>
      </c>
      <c r="D742" t="s">
        <v>171</v>
      </c>
      <c r="E742" t="s">
        <v>108</v>
      </c>
      <c r="F742" t="s">
        <v>116</v>
      </c>
      <c r="G742">
        <v>0</v>
      </c>
    </row>
    <row r="743" spans="1:7" x14ac:dyDescent="0.3">
      <c r="A743">
        <v>2019</v>
      </c>
      <c r="B743" t="s">
        <v>18</v>
      </c>
      <c r="C743" t="s">
        <v>170</v>
      </c>
      <c r="D743" t="s">
        <v>171</v>
      </c>
      <c r="E743" t="s">
        <v>91</v>
      </c>
      <c r="F743" t="s">
        <v>116</v>
      </c>
      <c r="G743">
        <v>0</v>
      </c>
    </row>
    <row r="744" spans="1:7" x14ac:dyDescent="0.3">
      <c r="A744">
        <v>2019</v>
      </c>
      <c r="B744" t="s">
        <v>18</v>
      </c>
      <c r="C744" t="s">
        <v>170</v>
      </c>
      <c r="D744" t="s">
        <v>171</v>
      </c>
      <c r="E744" t="s">
        <v>109</v>
      </c>
      <c r="F744" t="s">
        <v>116</v>
      </c>
      <c r="G744">
        <v>0</v>
      </c>
    </row>
    <row r="745" spans="1:7" x14ac:dyDescent="0.3">
      <c r="A745">
        <v>2019</v>
      </c>
      <c r="B745" t="s">
        <v>18</v>
      </c>
      <c r="C745" t="s">
        <v>170</v>
      </c>
      <c r="D745" t="s">
        <v>171</v>
      </c>
      <c r="E745" t="s">
        <v>110</v>
      </c>
      <c r="F745" t="s">
        <v>116</v>
      </c>
      <c r="G745">
        <v>0</v>
      </c>
    </row>
    <row r="746" spans="1:7" x14ac:dyDescent="0.3">
      <c r="A746">
        <v>2019</v>
      </c>
      <c r="B746" t="s">
        <v>19</v>
      </c>
      <c r="C746" t="s">
        <v>170</v>
      </c>
      <c r="D746" t="s">
        <v>171</v>
      </c>
      <c r="E746" t="s">
        <v>108</v>
      </c>
      <c r="F746" t="s">
        <v>116</v>
      </c>
      <c r="G746">
        <v>0</v>
      </c>
    </row>
    <row r="747" spans="1:7" x14ac:dyDescent="0.3">
      <c r="A747">
        <v>2019</v>
      </c>
      <c r="B747" t="s">
        <v>19</v>
      </c>
      <c r="C747" t="s">
        <v>170</v>
      </c>
      <c r="D747" t="s">
        <v>171</v>
      </c>
      <c r="E747" t="s">
        <v>91</v>
      </c>
      <c r="F747" t="s">
        <v>116</v>
      </c>
      <c r="G747">
        <v>0</v>
      </c>
    </row>
    <row r="748" spans="1:7" x14ac:dyDescent="0.3">
      <c r="A748">
        <v>2019</v>
      </c>
      <c r="B748" t="s">
        <v>19</v>
      </c>
      <c r="C748" t="s">
        <v>170</v>
      </c>
      <c r="D748" t="s">
        <v>171</v>
      </c>
      <c r="E748" t="s">
        <v>109</v>
      </c>
      <c r="F748" t="s">
        <v>116</v>
      </c>
      <c r="G748">
        <v>2</v>
      </c>
    </row>
    <row r="749" spans="1:7" x14ac:dyDescent="0.3">
      <c r="A749">
        <v>2019</v>
      </c>
      <c r="B749" t="s">
        <v>19</v>
      </c>
      <c r="C749" t="s">
        <v>170</v>
      </c>
      <c r="D749" t="s">
        <v>171</v>
      </c>
      <c r="E749" t="s">
        <v>110</v>
      </c>
      <c r="F749" t="s">
        <v>116</v>
      </c>
      <c r="G749">
        <v>0</v>
      </c>
    </row>
    <row r="750" spans="1:7" x14ac:dyDescent="0.3">
      <c r="A750">
        <v>2019</v>
      </c>
      <c r="B750" t="s">
        <v>20</v>
      </c>
      <c r="C750" t="s">
        <v>170</v>
      </c>
      <c r="D750" t="s">
        <v>171</v>
      </c>
      <c r="E750" t="s">
        <v>108</v>
      </c>
      <c r="F750" t="s">
        <v>116</v>
      </c>
      <c r="G750">
        <v>0</v>
      </c>
    </row>
    <row r="751" spans="1:7" x14ac:dyDescent="0.3">
      <c r="A751">
        <v>2019</v>
      </c>
      <c r="B751" t="s">
        <v>20</v>
      </c>
      <c r="C751" t="s">
        <v>170</v>
      </c>
      <c r="D751" t="s">
        <v>171</v>
      </c>
      <c r="E751" t="s">
        <v>91</v>
      </c>
      <c r="F751" t="s">
        <v>116</v>
      </c>
      <c r="G751">
        <v>0</v>
      </c>
    </row>
    <row r="752" spans="1:7" x14ac:dyDescent="0.3">
      <c r="A752">
        <v>2019</v>
      </c>
      <c r="B752" t="s">
        <v>20</v>
      </c>
      <c r="C752" t="s">
        <v>170</v>
      </c>
      <c r="D752" t="s">
        <v>171</v>
      </c>
      <c r="E752" t="s">
        <v>109</v>
      </c>
      <c r="F752" t="s">
        <v>116</v>
      </c>
      <c r="G752">
        <v>1</v>
      </c>
    </row>
    <row r="753" spans="1:7" x14ac:dyDescent="0.3">
      <c r="A753">
        <v>2019</v>
      </c>
      <c r="B753" t="s">
        <v>20</v>
      </c>
      <c r="C753" t="s">
        <v>170</v>
      </c>
      <c r="D753" t="s">
        <v>171</v>
      </c>
      <c r="E753" t="s">
        <v>110</v>
      </c>
      <c r="F753" t="s">
        <v>116</v>
      </c>
      <c r="G753">
        <v>0</v>
      </c>
    </row>
    <row r="754" spans="1:7" x14ac:dyDescent="0.3">
      <c r="A754">
        <v>2019</v>
      </c>
      <c r="B754" t="s">
        <v>21</v>
      </c>
      <c r="C754" t="s">
        <v>170</v>
      </c>
      <c r="D754" t="s">
        <v>171</v>
      </c>
      <c r="E754" t="s">
        <v>108</v>
      </c>
      <c r="F754" t="s">
        <v>116</v>
      </c>
      <c r="G754">
        <v>0</v>
      </c>
    </row>
    <row r="755" spans="1:7" x14ac:dyDescent="0.3">
      <c r="A755">
        <v>2019</v>
      </c>
      <c r="B755" t="s">
        <v>21</v>
      </c>
      <c r="C755" t="s">
        <v>170</v>
      </c>
      <c r="D755" t="s">
        <v>171</v>
      </c>
      <c r="E755" t="s">
        <v>91</v>
      </c>
      <c r="F755" t="s">
        <v>116</v>
      </c>
      <c r="G755">
        <v>0</v>
      </c>
    </row>
    <row r="756" spans="1:7" x14ac:dyDescent="0.3">
      <c r="A756">
        <v>2019</v>
      </c>
      <c r="B756" t="s">
        <v>21</v>
      </c>
      <c r="C756" t="s">
        <v>170</v>
      </c>
      <c r="D756" t="s">
        <v>171</v>
      </c>
      <c r="E756" t="s">
        <v>109</v>
      </c>
      <c r="F756" t="s">
        <v>116</v>
      </c>
      <c r="G756">
        <v>2</v>
      </c>
    </row>
    <row r="757" spans="1:7" x14ac:dyDescent="0.3">
      <c r="A757">
        <v>2019</v>
      </c>
      <c r="B757" t="s">
        <v>21</v>
      </c>
      <c r="C757" t="s">
        <v>170</v>
      </c>
      <c r="D757" t="s">
        <v>171</v>
      </c>
      <c r="E757" t="s">
        <v>110</v>
      </c>
      <c r="F757" t="s">
        <v>116</v>
      </c>
      <c r="G757">
        <v>0</v>
      </c>
    </row>
    <row r="758" spans="1:7" x14ac:dyDescent="0.3">
      <c r="A758">
        <v>2019</v>
      </c>
      <c r="B758" t="s">
        <v>22</v>
      </c>
      <c r="C758" t="s">
        <v>170</v>
      </c>
      <c r="D758" t="s">
        <v>171</v>
      </c>
      <c r="E758" t="s">
        <v>108</v>
      </c>
      <c r="F758" t="s">
        <v>116</v>
      </c>
      <c r="G758">
        <v>0</v>
      </c>
    </row>
    <row r="759" spans="1:7" x14ac:dyDescent="0.3">
      <c r="A759">
        <v>2019</v>
      </c>
      <c r="B759" t="s">
        <v>22</v>
      </c>
      <c r="C759" t="s">
        <v>170</v>
      </c>
      <c r="D759" t="s">
        <v>171</v>
      </c>
      <c r="E759" t="s">
        <v>91</v>
      </c>
      <c r="F759" t="s">
        <v>116</v>
      </c>
      <c r="G759">
        <v>0</v>
      </c>
    </row>
    <row r="760" spans="1:7" x14ac:dyDescent="0.3">
      <c r="A760">
        <v>2019</v>
      </c>
      <c r="B760" t="s">
        <v>22</v>
      </c>
      <c r="C760" t="s">
        <v>170</v>
      </c>
      <c r="D760" t="s">
        <v>171</v>
      </c>
      <c r="E760" t="s">
        <v>109</v>
      </c>
      <c r="F760" t="s">
        <v>116</v>
      </c>
      <c r="G760">
        <v>0</v>
      </c>
    </row>
    <row r="761" spans="1:7" x14ac:dyDescent="0.3">
      <c r="A761">
        <v>2019</v>
      </c>
      <c r="B761" t="s">
        <v>22</v>
      </c>
      <c r="C761" t="s">
        <v>170</v>
      </c>
      <c r="D761" t="s">
        <v>171</v>
      </c>
      <c r="E761" t="s">
        <v>110</v>
      </c>
      <c r="F761" t="s">
        <v>116</v>
      </c>
      <c r="G761">
        <v>0</v>
      </c>
    </row>
    <row r="762" spans="1:7" x14ac:dyDescent="0.3">
      <c r="A762">
        <v>2019</v>
      </c>
      <c r="B762" t="s">
        <v>23</v>
      </c>
      <c r="C762" t="s">
        <v>170</v>
      </c>
      <c r="D762" t="s">
        <v>171</v>
      </c>
      <c r="E762" t="s">
        <v>108</v>
      </c>
      <c r="F762" t="s">
        <v>116</v>
      </c>
      <c r="G762">
        <v>0</v>
      </c>
    </row>
    <row r="763" spans="1:7" x14ac:dyDescent="0.3">
      <c r="A763">
        <v>2019</v>
      </c>
      <c r="B763" t="s">
        <v>23</v>
      </c>
      <c r="C763" t="s">
        <v>170</v>
      </c>
      <c r="D763" t="s">
        <v>171</v>
      </c>
      <c r="E763" t="s">
        <v>91</v>
      </c>
      <c r="F763" t="s">
        <v>116</v>
      </c>
      <c r="G763">
        <v>0</v>
      </c>
    </row>
    <row r="764" spans="1:7" x14ac:dyDescent="0.3">
      <c r="A764">
        <v>2019</v>
      </c>
      <c r="B764" t="s">
        <v>23</v>
      </c>
      <c r="C764" t="s">
        <v>170</v>
      </c>
      <c r="D764" t="s">
        <v>171</v>
      </c>
      <c r="E764" t="s">
        <v>109</v>
      </c>
      <c r="F764" t="s">
        <v>116</v>
      </c>
      <c r="G764">
        <v>0</v>
      </c>
    </row>
    <row r="765" spans="1:7" x14ac:dyDescent="0.3">
      <c r="A765">
        <v>2019</v>
      </c>
      <c r="B765" t="s">
        <v>23</v>
      </c>
      <c r="C765" t="s">
        <v>170</v>
      </c>
      <c r="D765" t="s">
        <v>171</v>
      </c>
      <c r="E765" t="s">
        <v>110</v>
      </c>
      <c r="F765" t="s">
        <v>116</v>
      </c>
      <c r="G765">
        <v>0</v>
      </c>
    </row>
    <row r="766" spans="1:7" x14ac:dyDescent="0.3">
      <c r="A766">
        <v>2019</v>
      </c>
      <c r="B766" t="s">
        <v>24</v>
      </c>
      <c r="C766" t="s">
        <v>170</v>
      </c>
      <c r="D766" t="s">
        <v>171</v>
      </c>
      <c r="E766" t="s">
        <v>108</v>
      </c>
      <c r="F766" t="s">
        <v>116</v>
      </c>
      <c r="G766">
        <v>0</v>
      </c>
    </row>
    <row r="767" spans="1:7" x14ac:dyDescent="0.3">
      <c r="A767">
        <v>2019</v>
      </c>
      <c r="B767" t="s">
        <v>24</v>
      </c>
      <c r="C767" t="s">
        <v>170</v>
      </c>
      <c r="D767" t="s">
        <v>171</v>
      </c>
      <c r="E767" t="s">
        <v>91</v>
      </c>
      <c r="F767" t="s">
        <v>116</v>
      </c>
      <c r="G767">
        <v>1</v>
      </c>
    </row>
    <row r="768" spans="1:7" x14ac:dyDescent="0.3">
      <c r="A768">
        <v>2019</v>
      </c>
      <c r="B768" t="s">
        <v>24</v>
      </c>
      <c r="C768" t="s">
        <v>170</v>
      </c>
      <c r="D768" t="s">
        <v>171</v>
      </c>
      <c r="E768" t="s">
        <v>109</v>
      </c>
      <c r="F768" t="s">
        <v>116</v>
      </c>
      <c r="G768">
        <v>0</v>
      </c>
    </row>
    <row r="769" spans="1:7" x14ac:dyDescent="0.3">
      <c r="A769">
        <v>2019</v>
      </c>
      <c r="B769" t="s">
        <v>24</v>
      </c>
      <c r="C769" t="s">
        <v>170</v>
      </c>
      <c r="D769" t="s">
        <v>171</v>
      </c>
      <c r="E769" t="s">
        <v>110</v>
      </c>
      <c r="F769" t="s">
        <v>116</v>
      </c>
      <c r="G769">
        <v>0</v>
      </c>
    </row>
    <row r="770" spans="1:7" x14ac:dyDescent="0.3">
      <c r="A770">
        <v>2019</v>
      </c>
      <c r="B770" t="s">
        <v>25</v>
      </c>
      <c r="C770" t="s">
        <v>170</v>
      </c>
      <c r="D770" t="s">
        <v>171</v>
      </c>
      <c r="E770" t="s">
        <v>108</v>
      </c>
      <c r="F770" t="s">
        <v>116</v>
      </c>
      <c r="G770">
        <v>0</v>
      </c>
    </row>
    <row r="771" spans="1:7" x14ac:dyDescent="0.3">
      <c r="A771">
        <v>2019</v>
      </c>
      <c r="B771" t="s">
        <v>25</v>
      </c>
      <c r="C771" t="s">
        <v>170</v>
      </c>
      <c r="D771" t="s">
        <v>171</v>
      </c>
      <c r="E771" t="s">
        <v>91</v>
      </c>
      <c r="F771" t="s">
        <v>116</v>
      </c>
      <c r="G771">
        <v>0</v>
      </c>
    </row>
    <row r="772" spans="1:7" x14ac:dyDescent="0.3">
      <c r="A772">
        <v>2019</v>
      </c>
      <c r="B772" t="s">
        <v>25</v>
      </c>
      <c r="C772" t="s">
        <v>170</v>
      </c>
      <c r="D772" t="s">
        <v>171</v>
      </c>
      <c r="E772" t="s">
        <v>109</v>
      </c>
      <c r="F772" t="s">
        <v>116</v>
      </c>
      <c r="G772">
        <v>0</v>
      </c>
    </row>
    <row r="773" spans="1:7" x14ac:dyDescent="0.3">
      <c r="A773">
        <v>2019</v>
      </c>
      <c r="B773" t="s">
        <v>25</v>
      </c>
      <c r="C773" t="s">
        <v>170</v>
      </c>
      <c r="D773" t="s">
        <v>171</v>
      </c>
      <c r="E773" t="s">
        <v>110</v>
      </c>
      <c r="F773" t="s">
        <v>116</v>
      </c>
      <c r="G773">
        <v>0</v>
      </c>
    </row>
    <row r="774" spans="1:7" x14ac:dyDescent="0.3">
      <c r="A774">
        <v>2019</v>
      </c>
      <c r="B774" t="s">
        <v>26</v>
      </c>
      <c r="C774" t="s">
        <v>170</v>
      </c>
      <c r="D774" t="s">
        <v>171</v>
      </c>
      <c r="E774" t="s">
        <v>108</v>
      </c>
      <c r="F774" t="s">
        <v>116</v>
      </c>
      <c r="G774">
        <v>0</v>
      </c>
    </row>
    <row r="775" spans="1:7" x14ac:dyDescent="0.3">
      <c r="A775">
        <v>2019</v>
      </c>
      <c r="B775" t="s">
        <v>26</v>
      </c>
      <c r="C775" t="s">
        <v>170</v>
      </c>
      <c r="D775" t="s">
        <v>171</v>
      </c>
      <c r="E775" t="s">
        <v>91</v>
      </c>
      <c r="F775" t="s">
        <v>116</v>
      </c>
      <c r="G775">
        <v>0</v>
      </c>
    </row>
    <row r="776" spans="1:7" x14ac:dyDescent="0.3">
      <c r="A776">
        <v>2019</v>
      </c>
      <c r="B776" t="s">
        <v>26</v>
      </c>
      <c r="C776" t="s">
        <v>170</v>
      </c>
      <c r="D776" t="s">
        <v>171</v>
      </c>
      <c r="E776" t="s">
        <v>109</v>
      </c>
      <c r="F776" t="s">
        <v>116</v>
      </c>
      <c r="G776">
        <v>0</v>
      </c>
    </row>
    <row r="777" spans="1:7" x14ac:dyDescent="0.3">
      <c r="A777">
        <v>2019</v>
      </c>
      <c r="B777" t="s">
        <v>26</v>
      </c>
      <c r="C777" t="s">
        <v>170</v>
      </c>
      <c r="D777" t="s">
        <v>171</v>
      </c>
      <c r="E777" t="s">
        <v>110</v>
      </c>
      <c r="F777" t="s">
        <v>116</v>
      </c>
      <c r="G777">
        <v>0</v>
      </c>
    </row>
    <row r="778" spans="1:7" x14ac:dyDescent="0.3">
      <c r="A778">
        <v>2019</v>
      </c>
      <c r="B778" t="s">
        <v>27</v>
      </c>
      <c r="C778" t="s">
        <v>170</v>
      </c>
      <c r="D778" t="s">
        <v>171</v>
      </c>
      <c r="E778" t="s">
        <v>108</v>
      </c>
      <c r="F778" t="s">
        <v>116</v>
      </c>
      <c r="G778">
        <v>0</v>
      </c>
    </row>
    <row r="779" spans="1:7" x14ac:dyDescent="0.3">
      <c r="A779">
        <v>2019</v>
      </c>
      <c r="B779" t="s">
        <v>27</v>
      </c>
      <c r="C779" t="s">
        <v>170</v>
      </c>
      <c r="D779" t="s">
        <v>171</v>
      </c>
      <c r="E779" t="s">
        <v>91</v>
      </c>
      <c r="F779" t="s">
        <v>116</v>
      </c>
      <c r="G779">
        <v>0</v>
      </c>
    </row>
    <row r="780" spans="1:7" x14ac:dyDescent="0.3">
      <c r="A780">
        <v>2019</v>
      </c>
      <c r="B780" t="s">
        <v>27</v>
      </c>
      <c r="C780" t="s">
        <v>170</v>
      </c>
      <c r="D780" t="s">
        <v>171</v>
      </c>
      <c r="E780" t="s">
        <v>109</v>
      </c>
      <c r="F780" t="s">
        <v>116</v>
      </c>
      <c r="G780">
        <v>0</v>
      </c>
    </row>
    <row r="781" spans="1:7" x14ac:dyDescent="0.3">
      <c r="A781">
        <v>2019</v>
      </c>
      <c r="B781" t="s">
        <v>27</v>
      </c>
      <c r="C781" t="s">
        <v>170</v>
      </c>
      <c r="D781" t="s">
        <v>171</v>
      </c>
      <c r="E781" t="s">
        <v>110</v>
      </c>
      <c r="F781" t="s">
        <v>116</v>
      </c>
      <c r="G781">
        <v>0</v>
      </c>
    </row>
    <row r="782" spans="1:7" x14ac:dyDescent="0.3">
      <c r="A782">
        <v>2019</v>
      </c>
      <c r="B782" t="s">
        <v>29</v>
      </c>
      <c r="C782" t="s">
        <v>170</v>
      </c>
      <c r="D782" t="s">
        <v>171</v>
      </c>
      <c r="E782" t="s">
        <v>108</v>
      </c>
      <c r="F782" t="s">
        <v>116</v>
      </c>
      <c r="G782">
        <v>0</v>
      </c>
    </row>
    <row r="783" spans="1:7" x14ac:dyDescent="0.3">
      <c r="A783">
        <v>2019</v>
      </c>
      <c r="B783" t="s">
        <v>29</v>
      </c>
      <c r="C783" t="s">
        <v>170</v>
      </c>
      <c r="D783" t="s">
        <v>171</v>
      </c>
      <c r="E783" t="s">
        <v>91</v>
      </c>
      <c r="F783" t="s">
        <v>116</v>
      </c>
      <c r="G783">
        <v>0</v>
      </c>
    </row>
    <row r="784" spans="1:7" x14ac:dyDescent="0.3">
      <c r="A784">
        <v>2019</v>
      </c>
      <c r="B784" t="s">
        <v>29</v>
      </c>
      <c r="C784" t="s">
        <v>170</v>
      </c>
      <c r="D784" t="s">
        <v>171</v>
      </c>
      <c r="E784" t="s">
        <v>109</v>
      </c>
      <c r="F784" t="s">
        <v>116</v>
      </c>
      <c r="G784">
        <v>0</v>
      </c>
    </row>
    <row r="785" spans="1:7" x14ac:dyDescent="0.3">
      <c r="A785">
        <v>2019</v>
      </c>
      <c r="B785" t="s">
        <v>29</v>
      </c>
      <c r="C785" t="s">
        <v>170</v>
      </c>
      <c r="D785" t="s">
        <v>171</v>
      </c>
      <c r="E785" t="s">
        <v>110</v>
      </c>
      <c r="F785" t="s">
        <v>116</v>
      </c>
      <c r="G785">
        <v>0</v>
      </c>
    </row>
    <row r="786" spans="1:7" x14ac:dyDescent="0.3">
      <c r="A786">
        <v>2019</v>
      </c>
      <c r="B786" t="s">
        <v>30</v>
      </c>
      <c r="C786" t="s">
        <v>170</v>
      </c>
      <c r="D786" t="s">
        <v>171</v>
      </c>
      <c r="E786" t="s">
        <v>108</v>
      </c>
      <c r="F786" t="s">
        <v>116</v>
      </c>
      <c r="G786">
        <v>0</v>
      </c>
    </row>
    <row r="787" spans="1:7" x14ac:dyDescent="0.3">
      <c r="A787">
        <v>2019</v>
      </c>
      <c r="B787" t="s">
        <v>30</v>
      </c>
      <c r="C787" t="s">
        <v>170</v>
      </c>
      <c r="D787" t="s">
        <v>171</v>
      </c>
      <c r="E787" t="s">
        <v>91</v>
      </c>
      <c r="F787" t="s">
        <v>116</v>
      </c>
      <c r="G787">
        <v>0</v>
      </c>
    </row>
    <row r="788" spans="1:7" x14ac:dyDescent="0.3">
      <c r="A788">
        <v>2019</v>
      </c>
      <c r="B788" t="s">
        <v>30</v>
      </c>
      <c r="C788" t="s">
        <v>170</v>
      </c>
      <c r="D788" t="s">
        <v>171</v>
      </c>
      <c r="E788" t="s">
        <v>109</v>
      </c>
      <c r="F788" t="s">
        <v>116</v>
      </c>
      <c r="G788">
        <v>1</v>
      </c>
    </row>
    <row r="789" spans="1:7" x14ac:dyDescent="0.3">
      <c r="A789">
        <v>2019</v>
      </c>
      <c r="B789" t="s">
        <v>30</v>
      </c>
      <c r="C789" t="s">
        <v>170</v>
      </c>
      <c r="D789" t="s">
        <v>171</v>
      </c>
      <c r="E789" t="s">
        <v>110</v>
      </c>
      <c r="F789" t="s">
        <v>116</v>
      </c>
      <c r="G789">
        <v>0</v>
      </c>
    </row>
    <row r="790" spans="1:7" x14ac:dyDescent="0.3">
      <c r="A790">
        <v>2019</v>
      </c>
      <c r="B790" t="s">
        <v>31</v>
      </c>
      <c r="C790" t="s">
        <v>170</v>
      </c>
      <c r="D790" t="s">
        <v>171</v>
      </c>
      <c r="E790" t="s">
        <v>108</v>
      </c>
      <c r="F790" t="s">
        <v>116</v>
      </c>
      <c r="G790">
        <v>1</v>
      </c>
    </row>
    <row r="791" spans="1:7" x14ac:dyDescent="0.3">
      <c r="A791">
        <v>2019</v>
      </c>
      <c r="B791" t="s">
        <v>31</v>
      </c>
      <c r="C791" t="s">
        <v>170</v>
      </c>
      <c r="D791" t="s">
        <v>171</v>
      </c>
      <c r="E791" t="s">
        <v>91</v>
      </c>
      <c r="F791" t="s">
        <v>116</v>
      </c>
      <c r="G791">
        <v>0</v>
      </c>
    </row>
    <row r="792" spans="1:7" x14ac:dyDescent="0.3">
      <c r="A792">
        <v>2019</v>
      </c>
      <c r="B792" t="s">
        <v>31</v>
      </c>
      <c r="C792" t="s">
        <v>170</v>
      </c>
      <c r="D792" t="s">
        <v>171</v>
      </c>
      <c r="E792" t="s">
        <v>109</v>
      </c>
      <c r="F792" t="s">
        <v>116</v>
      </c>
      <c r="G792">
        <v>0</v>
      </c>
    </row>
    <row r="793" spans="1:7" x14ac:dyDescent="0.3">
      <c r="A793">
        <v>2019</v>
      </c>
      <c r="B793" t="s">
        <v>31</v>
      </c>
      <c r="C793" t="s">
        <v>170</v>
      </c>
      <c r="D793" t="s">
        <v>171</v>
      </c>
      <c r="E793" t="s">
        <v>110</v>
      </c>
      <c r="F793" t="s">
        <v>116</v>
      </c>
      <c r="G793">
        <v>0</v>
      </c>
    </row>
    <row r="794" spans="1:7" x14ac:dyDescent="0.3">
      <c r="A794">
        <v>2019</v>
      </c>
      <c r="B794" t="s">
        <v>32</v>
      </c>
      <c r="C794" t="s">
        <v>170</v>
      </c>
      <c r="D794" t="s">
        <v>171</v>
      </c>
      <c r="E794" t="s">
        <v>108</v>
      </c>
      <c r="F794" t="s">
        <v>116</v>
      </c>
      <c r="G794">
        <v>0</v>
      </c>
    </row>
    <row r="795" spans="1:7" x14ac:dyDescent="0.3">
      <c r="A795">
        <v>2019</v>
      </c>
      <c r="B795" t="s">
        <v>32</v>
      </c>
      <c r="C795" t="s">
        <v>170</v>
      </c>
      <c r="D795" t="s">
        <v>171</v>
      </c>
      <c r="E795" t="s">
        <v>91</v>
      </c>
      <c r="F795" t="s">
        <v>116</v>
      </c>
      <c r="G795">
        <v>0</v>
      </c>
    </row>
    <row r="796" spans="1:7" x14ac:dyDescent="0.3">
      <c r="A796">
        <v>2019</v>
      </c>
      <c r="B796" t="s">
        <v>32</v>
      </c>
      <c r="C796" t="s">
        <v>170</v>
      </c>
      <c r="D796" t="s">
        <v>171</v>
      </c>
      <c r="E796" t="s">
        <v>109</v>
      </c>
      <c r="F796" t="s">
        <v>116</v>
      </c>
      <c r="G796">
        <v>0</v>
      </c>
    </row>
    <row r="797" spans="1:7" x14ac:dyDescent="0.3">
      <c r="A797">
        <v>2019</v>
      </c>
      <c r="B797" t="s">
        <v>32</v>
      </c>
      <c r="C797" t="s">
        <v>170</v>
      </c>
      <c r="D797" t="s">
        <v>171</v>
      </c>
      <c r="E797" t="s">
        <v>110</v>
      </c>
      <c r="F797" t="s">
        <v>116</v>
      </c>
      <c r="G797">
        <v>0</v>
      </c>
    </row>
    <row r="798" spans="1:7" x14ac:dyDescent="0.3">
      <c r="A798">
        <v>2019</v>
      </c>
      <c r="B798" t="s">
        <v>63</v>
      </c>
      <c r="C798" t="s">
        <v>170</v>
      </c>
      <c r="D798" t="s">
        <v>171</v>
      </c>
      <c r="E798" t="s">
        <v>108</v>
      </c>
      <c r="F798" t="s">
        <v>116</v>
      </c>
      <c r="G798">
        <v>0</v>
      </c>
    </row>
    <row r="799" spans="1:7" x14ac:dyDescent="0.3">
      <c r="A799">
        <v>2019</v>
      </c>
      <c r="B799" t="s">
        <v>63</v>
      </c>
      <c r="C799" t="s">
        <v>170</v>
      </c>
      <c r="D799" t="s">
        <v>171</v>
      </c>
      <c r="E799" t="s">
        <v>91</v>
      </c>
      <c r="F799" t="s">
        <v>116</v>
      </c>
      <c r="G799">
        <v>11</v>
      </c>
    </row>
    <row r="800" spans="1:7" x14ac:dyDescent="0.3">
      <c r="A800">
        <v>2019</v>
      </c>
      <c r="B800" t="s">
        <v>63</v>
      </c>
      <c r="C800" t="s">
        <v>170</v>
      </c>
      <c r="D800" t="s">
        <v>171</v>
      </c>
      <c r="E800" t="s">
        <v>109</v>
      </c>
      <c r="F800" t="s">
        <v>116</v>
      </c>
      <c r="G800">
        <v>14</v>
      </c>
    </row>
    <row r="801" spans="1:7" x14ac:dyDescent="0.3">
      <c r="A801">
        <v>2019</v>
      </c>
      <c r="B801" t="s">
        <v>63</v>
      </c>
      <c r="C801" t="s">
        <v>170</v>
      </c>
      <c r="D801" t="s">
        <v>171</v>
      </c>
      <c r="E801" t="s">
        <v>110</v>
      </c>
      <c r="F801" t="s">
        <v>116</v>
      </c>
      <c r="G801">
        <v>0</v>
      </c>
    </row>
    <row r="802" spans="1:7" x14ac:dyDescent="0.3">
      <c r="A802">
        <v>2019</v>
      </c>
      <c r="B802" t="s">
        <v>57</v>
      </c>
      <c r="C802" t="s">
        <v>170</v>
      </c>
      <c r="D802" t="s">
        <v>171</v>
      </c>
      <c r="E802" t="s">
        <v>108</v>
      </c>
      <c r="F802" t="s">
        <v>116</v>
      </c>
      <c r="G802">
        <v>0</v>
      </c>
    </row>
    <row r="803" spans="1:7" x14ac:dyDescent="0.3">
      <c r="A803">
        <v>2019</v>
      </c>
      <c r="B803" t="s">
        <v>57</v>
      </c>
      <c r="C803" t="s">
        <v>170</v>
      </c>
      <c r="D803" t="s">
        <v>171</v>
      </c>
      <c r="E803" t="s">
        <v>91</v>
      </c>
      <c r="F803" t="s">
        <v>116</v>
      </c>
      <c r="G803">
        <v>0</v>
      </c>
    </row>
    <row r="804" spans="1:7" x14ac:dyDescent="0.3">
      <c r="A804">
        <v>2019</v>
      </c>
      <c r="B804" t="s">
        <v>57</v>
      </c>
      <c r="C804" t="s">
        <v>170</v>
      </c>
      <c r="D804" t="s">
        <v>171</v>
      </c>
      <c r="E804" t="s">
        <v>109</v>
      </c>
      <c r="F804" t="s">
        <v>116</v>
      </c>
      <c r="G804">
        <v>0</v>
      </c>
    </row>
    <row r="805" spans="1:7" x14ac:dyDescent="0.3">
      <c r="A805">
        <v>2019</v>
      </c>
      <c r="B805" t="s">
        <v>57</v>
      </c>
      <c r="C805" t="s">
        <v>170</v>
      </c>
      <c r="D805" t="s">
        <v>171</v>
      </c>
      <c r="E805" t="s">
        <v>110</v>
      </c>
      <c r="F805" t="s">
        <v>116</v>
      </c>
      <c r="G805">
        <v>0</v>
      </c>
    </row>
    <row r="806" spans="1:7" x14ac:dyDescent="0.3">
      <c r="A806">
        <v>2019</v>
      </c>
      <c r="B806" t="s">
        <v>33</v>
      </c>
      <c r="C806" t="s">
        <v>170</v>
      </c>
      <c r="D806" t="s">
        <v>171</v>
      </c>
      <c r="E806" t="s">
        <v>108</v>
      </c>
      <c r="F806" t="s">
        <v>116</v>
      </c>
      <c r="G806">
        <v>1</v>
      </c>
    </row>
    <row r="807" spans="1:7" x14ac:dyDescent="0.3">
      <c r="A807">
        <v>2019</v>
      </c>
      <c r="B807" t="s">
        <v>33</v>
      </c>
      <c r="C807" t="s">
        <v>170</v>
      </c>
      <c r="D807" t="s">
        <v>171</v>
      </c>
      <c r="E807" t="s">
        <v>91</v>
      </c>
      <c r="F807" t="s">
        <v>116</v>
      </c>
      <c r="G807">
        <v>0</v>
      </c>
    </row>
    <row r="808" spans="1:7" x14ac:dyDescent="0.3">
      <c r="A808">
        <v>2019</v>
      </c>
      <c r="B808" t="s">
        <v>33</v>
      </c>
      <c r="C808" t="s">
        <v>170</v>
      </c>
      <c r="D808" t="s">
        <v>171</v>
      </c>
      <c r="E808" t="s">
        <v>109</v>
      </c>
      <c r="F808" t="s">
        <v>116</v>
      </c>
      <c r="G808">
        <v>0</v>
      </c>
    </row>
    <row r="809" spans="1:7" x14ac:dyDescent="0.3">
      <c r="A809">
        <v>2019</v>
      </c>
      <c r="B809" t="s">
        <v>33</v>
      </c>
      <c r="C809" t="s">
        <v>170</v>
      </c>
      <c r="D809" t="s">
        <v>171</v>
      </c>
      <c r="E809" t="s">
        <v>110</v>
      </c>
      <c r="F809" t="s">
        <v>116</v>
      </c>
      <c r="G809">
        <v>0</v>
      </c>
    </row>
    <row r="810" spans="1:7" x14ac:dyDescent="0.3">
      <c r="A810">
        <v>2019</v>
      </c>
      <c r="B810" t="s">
        <v>34</v>
      </c>
      <c r="C810" t="s">
        <v>170</v>
      </c>
      <c r="D810" t="s">
        <v>171</v>
      </c>
      <c r="E810" t="s">
        <v>108</v>
      </c>
      <c r="F810" t="s">
        <v>116</v>
      </c>
      <c r="G810">
        <v>0</v>
      </c>
    </row>
    <row r="811" spans="1:7" x14ac:dyDescent="0.3">
      <c r="A811">
        <v>2019</v>
      </c>
      <c r="B811" t="s">
        <v>34</v>
      </c>
      <c r="C811" t="s">
        <v>170</v>
      </c>
      <c r="D811" t="s">
        <v>171</v>
      </c>
      <c r="E811" t="s">
        <v>91</v>
      </c>
      <c r="F811" t="s">
        <v>116</v>
      </c>
      <c r="G811">
        <v>0</v>
      </c>
    </row>
    <row r="812" spans="1:7" x14ac:dyDescent="0.3">
      <c r="A812">
        <v>2019</v>
      </c>
      <c r="B812" t="s">
        <v>34</v>
      </c>
      <c r="C812" t="s">
        <v>170</v>
      </c>
      <c r="D812" t="s">
        <v>171</v>
      </c>
      <c r="E812" t="s">
        <v>109</v>
      </c>
      <c r="F812" t="s">
        <v>116</v>
      </c>
      <c r="G812">
        <v>1</v>
      </c>
    </row>
    <row r="813" spans="1:7" x14ac:dyDescent="0.3">
      <c r="A813">
        <v>2019</v>
      </c>
      <c r="B813" t="s">
        <v>34</v>
      </c>
      <c r="C813" t="s">
        <v>170</v>
      </c>
      <c r="D813" t="s">
        <v>171</v>
      </c>
      <c r="E813" t="s">
        <v>110</v>
      </c>
      <c r="F813" t="s">
        <v>116</v>
      </c>
      <c r="G813">
        <v>0</v>
      </c>
    </row>
    <row r="814" spans="1:7" x14ac:dyDescent="0.3">
      <c r="A814">
        <v>2019</v>
      </c>
      <c r="B814" t="s">
        <v>35</v>
      </c>
      <c r="C814" t="s">
        <v>170</v>
      </c>
      <c r="D814" t="s">
        <v>171</v>
      </c>
      <c r="E814" t="s">
        <v>108</v>
      </c>
      <c r="F814" t="s">
        <v>116</v>
      </c>
      <c r="G814">
        <v>0</v>
      </c>
    </row>
    <row r="815" spans="1:7" x14ac:dyDescent="0.3">
      <c r="A815">
        <v>2019</v>
      </c>
      <c r="B815" t="s">
        <v>35</v>
      </c>
      <c r="C815" t="s">
        <v>170</v>
      </c>
      <c r="D815" t="s">
        <v>171</v>
      </c>
      <c r="E815" t="s">
        <v>91</v>
      </c>
      <c r="F815" t="s">
        <v>116</v>
      </c>
      <c r="G815">
        <v>0</v>
      </c>
    </row>
    <row r="816" spans="1:7" x14ac:dyDescent="0.3">
      <c r="A816">
        <v>2019</v>
      </c>
      <c r="B816" t="s">
        <v>35</v>
      </c>
      <c r="C816" t="s">
        <v>170</v>
      </c>
      <c r="D816" t="s">
        <v>171</v>
      </c>
      <c r="E816" t="s">
        <v>109</v>
      </c>
      <c r="F816" t="s">
        <v>116</v>
      </c>
      <c r="G816">
        <v>1</v>
      </c>
    </row>
    <row r="817" spans="1:7" x14ac:dyDescent="0.3">
      <c r="A817">
        <v>2019</v>
      </c>
      <c r="B817" t="s">
        <v>35</v>
      </c>
      <c r="C817" t="s">
        <v>170</v>
      </c>
      <c r="D817" t="s">
        <v>171</v>
      </c>
      <c r="E817" t="s">
        <v>110</v>
      </c>
      <c r="F817" t="s">
        <v>116</v>
      </c>
      <c r="G817">
        <v>0</v>
      </c>
    </row>
    <row r="818" spans="1:7" x14ac:dyDescent="0.3">
      <c r="A818">
        <v>2019</v>
      </c>
      <c r="B818" t="s">
        <v>36</v>
      </c>
      <c r="C818" t="s">
        <v>170</v>
      </c>
      <c r="D818" t="s">
        <v>171</v>
      </c>
      <c r="E818" t="s">
        <v>108</v>
      </c>
      <c r="F818" t="s">
        <v>116</v>
      </c>
      <c r="G818">
        <v>0</v>
      </c>
    </row>
    <row r="819" spans="1:7" x14ac:dyDescent="0.3">
      <c r="A819">
        <v>2019</v>
      </c>
      <c r="B819" t="s">
        <v>36</v>
      </c>
      <c r="C819" t="s">
        <v>170</v>
      </c>
      <c r="D819" t="s">
        <v>171</v>
      </c>
      <c r="E819" t="s">
        <v>91</v>
      </c>
      <c r="F819" t="s">
        <v>116</v>
      </c>
      <c r="G819">
        <v>0</v>
      </c>
    </row>
    <row r="820" spans="1:7" x14ac:dyDescent="0.3">
      <c r="A820">
        <v>2019</v>
      </c>
      <c r="B820" t="s">
        <v>36</v>
      </c>
      <c r="C820" t="s">
        <v>170</v>
      </c>
      <c r="D820" t="s">
        <v>171</v>
      </c>
      <c r="E820" t="s">
        <v>109</v>
      </c>
      <c r="F820" t="s">
        <v>116</v>
      </c>
      <c r="G820">
        <v>0</v>
      </c>
    </row>
    <row r="821" spans="1:7" x14ac:dyDescent="0.3">
      <c r="A821">
        <v>2019</v>
      </c>
      <c r="B821" t="s">
        <v>36</v>
      </c>
      <c r="C821" t="s">
        <v>170</v>
      </c>
      <c r="D821" t="s">
        <v>171</v>
      </c>
      <c r="E821" t="s">
        <v>110</v>
      </c>
      <c r="F821" t="s">
        <v>116</v>
      </c>
      <c r="G821">
        <v>0</v>
      </c>
    </row>
    <row r="822" spans="1:7" x14ac:dyDescent="0.3">
      <c r="A822">
        <v>2019</v>
      </c>
      <c r="B822" t="s">
        <v>37</v>
      </c>
      <c r="C822" t="s">
        <v>170</v>
      </c>
      <c r="D822" t="s">
        <v>171</v>
      </c>
      <c r="E822" t="s">
        <v>108</v>
      </c>
      <c r="F822" t="s">
        <v>116</v>
      </c>
      <c r="G822">
        <v>0</v>
      </c>
    </row>
    <row r="823" spans="1:7" x14ac:dyDescent="0.3">
      <c r="A823">
        <v>2019</v>
      </c>
      <c r="B823" t="s">
        <v>37</v>
      </c>
      <c r="C823" t="s">
        <v>170</v>
      </c>
      <c r="D823" t="s">
        <v>171</v>
      </c>
      <c r="E823" t="s">
        <v>91</v>
      </c>
      <c r="F823" t="s">
        <v>116</v>
      </c>
      <c r="G823">
        <v>0</v>
      </c>
    </row>
    <row r="824" spans="1:7" x14ac:dyDescent="0.3">
      <c r="A824">
        <v>2019</v>
      </c>
      <c r="B824" t="s">
        <v>37</v>
      </c>
      <c r="C824" t="s">
        <v>170</v>
      </c>
      <c r="D824" t="s">
        <v>171</v>
      </c>
      <c r="E824" t="s">
        <v>109</v>
      </c>
      <c r="F824" t="s">
        <v>116</v>
      </c>
      <c r="G824">
        <v>0</v>
      </c>
    </row>
    <row r="825" spans="1:7" x14ac:dyDescent="0.3">
      <c r="A825">
        <v>2019</v>
      </c>
      <c r="B825" t="s">
        <v>37</v>
      </c>
      <c r="C825" t="s">
        <v>170</v>
      </c>
      <c r="D825" t="s">
        <v>171</v>
      </c>
      <c r="E825" t="s">
        <v>110</v>
      </c>
      <c r="F825" t="s">
        <v>116</v>
      </c>
      <c r="G825">
        <v>0</v>
      </c>
    </row>
    <row r="826" spans="1:7" x14ac:dyDescent="0.3">
      <c r="A826">
        <v>2019</v>
      </c>
      <c r="B826" t="s">
        <v>55</v>
      </c>
      <c r="C826" t="s">
        <v>170</v>
      </c>
      <c r="D826" t="s">
        <v>171</v>
      </c>
      <c r="E826" t="s">
        <v>108</v>
      </c>
      <c r="F826" t="s">
        <v>116</v>
      </c>
      <c r="G826">
        <v>1</v>
      </c>
    </row>
    <row r="827" spans="1:7" x14ac:dyDescent="0.3">
      <c r="A827">
        <v>2019</v>
      </c>
      <c r="B827" t="s">
        <v>55</v>
      </c>
      <c r="C827" t="s">
        <v>170</v>
      </c>
      <c r="D827" t="s">
        <v>171</v>
      </c>
      <c r="E827" t="s">
        <v>91</v>
      </c>
      <c r="F827" t="s">
        <v>116</v>
      </c>
      <c r="G827">
        <v>0</v>
      </c>
    </row>
    <row r="828" spans="1:7" x14ac:dyDescent="0.3">
      <c r="A828">
        <v>2019</v>
      </c>
      <c r="B828" t="s">
        <v>55</v>
      </c>
      <c r="C828" t="s">
        <v>170</v>
      </c>
      <c r="D828" t="s">
        <v>171</v>
      </c>
      <c r="E828" t="s">
        <v>109</v>
      </c>
      <c r="F828" t="s">
        <v>116</v>
      </c>
      <c r="G828">
        <v>0</v>
      </c>
    </row>
    <row r="829" spans="1:7" x14ac:dyDescent="0.3">
      <c r="A829">
        <v>2019</v>
      </c>
      <c r="B829" t="s">
        <v>55</v>
      </c>
      <c r="C829" t="s">
        <v>170</v>
      </c>
      <c r="D829" t="s">
        <v>171</v>
      </c>
      <c r="E829" t="s">
        <v>110</v>
      </c>
      <c r="F829" t="s">
        <v>116</v>
      </c>
      <c r="G829">
        <v>0</v>
      </c>
    </row>
    <row r="830" spans="1:7" x14ac:dyDescent="0.3">
      <c r="A830">
        <v>2019</v>
      </c>
      <c r="B830" t="s">
        <v>38</v>
      </c>
      <c r="C830" t="s">
        <v>170</v>
      </c>
      <c r="D830" t="s">
        <v>171</v>
      </c>
      <c r="E830" t="s">
        <v>108</v>
      </c>
      <c r="F830" t="s">
        <v>116</v>
      </c>
      <c r="G830">
        <v>0</v>
      </c>
    </row>
    <row r="831" spans="1:7" x14ac:dyDescent="0.3">
      <c r="A831">
        <v>2019</v>
      </c>
      <c r="B831" t="s">
        <v>38</v>
      </c>
      <c r="C831" t="s">
        <v>170</v>
      </c>
      <c r="D831" t="s">
        <v>171</v>
      </c>
      <c r="E831" t="s">
        <v>91</v>
      </c>
      <c r="F831" t="s">
        <v>116</v>
      </c>
      <c r="G831">
        <v>0</v>
      </c>
    </row>
    <row r="832" spans="1:7" x14ac:dyDescent="0.3">
      <c r="A832">
        <v>2019</v>
      </c>
      <c r="B832" t="s">
        <v>38</v>
      </c>
      <c r="C832" t="s">
        <v>170</v>
      </c>
      <c r="D832" t="s">
        <v>171</v>
      </c>
      <c r="E832" t="s">
        <v>109</v>
      </c>
      <c r="F832" t="s">
        <v>116</v>
      </c>
      <c r="G832">
        <v>0</v>
      </c>
    </row>
    <row r="833" spans="1:7" x14ac:dyDescent="0.3">
      <c r="A833">
        <v>2019</v>
      </c>
      <c r="B833" t="s">
        <v>38</v>
      </c>
      <c r="C833" t="s">
        <v>170</v>
      </c>
      <c r="D833" t="s">
        <v>171</v>
      </c>
      <c r="E833" t="s">
        <v>110</v>
      </c>
      <c r="F833" t="s">
        <v>116</v>
      </c>
      <c r="G833">
        <v>0</v>
      </c>
    </row>
    <row r="834" spans="1:7" x14ac:dyDescent="0.3">
      <c r="A834">
        <v>2019</v>
      </c>
      <c r="B834" t="s">
        <v>39</v>
      </c>
      <c r="C834" t="s">
        <v>170</v>
      </c>
      <c r="D834" t="s">
        <v>171</v>
      </c>
      <c r="E834" t="s">
        <v>108</v>
      </c>
      <c r="F834" t="s">
        <v>116</v>
      </c>
      <c r="G834">
        <v>0</v>
      </c>
    </row>
    <row r="835" spans="1:7" x14ac:dyDescent="0.3">
      <c r="A835">
        <v>2019</v>
      </c>
      <c r="B835" t="s">
        <v>39</v>
      </c>
      <c r="C835" t="s">
        <v>170</v>
      </c>
      <c r="D835" t="s">
        <v>171</v>
      </c>
      <c r="E835" t="s">
        <v>91</v>
      </c>
      <c r="F835" t="s">
        <v>116</v>
      </c>
      <c r="G835">
        <v>0</v>
      </c>
    </row>
    <row r="836" spans="1:7" x14ac:dyDescent="0.3">
      <c r="A836">
        <v>2019</v>
      </c>
      <c r="B836" t="s">
        <v>39</v>
      </c>
      <c r="C836" t="s">
        <v>170</v>
      </c>
      <c r="D836" t="s">
        <v>171</v>
      </c>
      <c r="E836" t="s">
        <v>109</v>
      </c>
      <c r="F836" t="s">
        <v>116</v>
      </c>
      <c r="G836">
        <v>0</v>
      </c>
    </row>
    <row r="837" spans="1:7" x14ac:dyDescent="0.3">
      <c r="A837">
        <v>2019</v>
      </c>
      <c r="B837" t="s">
        <v>39</v>
      </c>
      <c r="C837" t="s">
        <v>170</v>
      </c>
      <c r="D837" t="s">
        <v>171</v>
      </c>
      <c r="E837" t="s">
        <v>110</v>
      </c>
      <c r="F837" t="s">
        <v>116</v>
      </c>
      <c r="G837">
        <v>0</v>
      </c>
    </row>
    <row r="838" spans="1:7" x14ac:dyDescent="0.3">
      <c r="A838">
        <v>2019</v>
      </c>
      <c r="B838" t="s">
        <v>40</v>
      </c>
      <c r="C838" t="s">
        <v>170</v>
      </c>
      <c r="D838" t="s">
        <v>171</v>
      </c>
      <c r="E838" t="s">
        <v>108</v>
      </c>
      <c r="F838" t="s">
        <v>116</v>
      </c>
      <c r="G838">
        <v>0</v>
      </c>
    </row>
    <row r="839" spans="1:7" x14ac:dyDescent="0.3">
      <c r="A839">
        <v>2019</v>
      </c>
      <c r="B839" t="s">
        <v>40</v>
      </c>
      <c r="C839" t="s">
        <v>170</v>
      </c>
      <c r="D839" t="s">
        <v>171</v>
      </c>
      <c r="E839" t="s">
        <v>91</v>
      </c>
      <c r="F839" t="s">
        <v>116</v>
      </c>
      <c r="G839">
        <v>0</v>
      </c>
    </row>
    <row r="840" spans="1:7" x14ac:dyDescent="0.3">
      <c r="A840">
        <v>2019</v>
      </c>
      <c r="B840" t="s">
        <v>40</v>
      </c>
      <c r="C840" t="s">
        <v>170</v>
      </c>
      <c r="D840" t="s">
        <v>171</v>
      </c>
      <c r="E840" t="s">
        <v>109</v>
      </c>
      <c r="F840" t="s">
        <v>116</v>
      </c>
      <c r="G840">
        <v>0</v>
      </c>
    </row>
    <row r="841" spans="1:7" x14ac:dyDescent="0.3">
      <c r="A841">
        <v>2019</v>
      </c>
      <c r="B841" t="s">
        <v>40</v>
      </c>
      <c r="C841" t="s">
        <v>170</v>
      </c>
      <c r="D841" t="s">
        <v>171</v>
      </c>
      <c r="E841" t="s">
        <v>110</v>
      </c>
      <c r="F841" t="s">
        <v>116</v>
      </c>
      <c r="G841">
        <v>0</v>
      </c>
    </row>
    <row r="842" spans="1:7" x14ac:dyDescent="0.3">
      <c r="A842">
        <v>2019</v>
      </c>
      <c r="B842" t="s">
        <v>41</v>
      </c>
      <c r="C842" t="s">
        <v>170</v>
      </c>
      <c r="D842" t="s">
        <v>171</v>
      </c>
      <c r="E842" t="s">
        <v>108</v>
      </c>
      <c r="F842" t="s">
        <v>116</v>
      </c>
      <c r="G842">
        <v>0</v>
      </c>
    </row>
    <row r="843" spans="1:7" x14ac:dyDescent="0.3">
      <c r="A843">
        <v>2019</v>
      </c>
      <c r="B843" t="s">
        <v>41</v>
      </c>
      <c r="C843" t="s">
        <v>170</v>
      </c>
      <c r="D843" t="s">
        <v>171</v>
      </c>
      <c r="E843" t="s">
        <v>91</v>
      </c>
      <c r="F843" t="s">
        <v>116</v>
      </c>
      <c r="G843">
        <v>0</v>
      </c>
    </row>
    <row r="844" spans="1:7" x14ac:dyDescent="0.3">
      <c r="A844">
        <v>2019</v>
      </c>
      <c r="B844" t="s">
        <v>41</v>
      </c>
      <c r="C844" t="s">
        <v>170</v>
      </c>
      <c r="D844" t="s">
        <v>171</v>
      </c>
      <c r="E844" t="s">
        <v>109</v>
      </c>
      <c r="F844" t="s">
        <v>116</v>
      </c>
      <c r="G844">
        <v>1</v>
      </c>
    </row>
    <row r="845" spans="1:7" x14ac:dyDescent="0.3">
      <c r="A845">
        <v>2019</v>
      </c>
      <c r="B845" t="s">
        <v>41</v>
      </c>
      <c r="C845" t="s">
        <v>170</v>
      </c>
      <c r="D845" t="s">
        <v>171</v>
      </c>
      <c r="E845" t="s">
        <v>110</v>
      </c>
      <c r="F845" t="s">
        <v>116</v>
      </c>
      <c r="G845">
        <v>0</v>
      </c>
    </row>
    <row r="846" spans="1:7" x14ac:dyDescent="0.3">
      <c r="A846">
        <v>2019</v>
      </c>
      <c r="B846" t="s">
        <v>58</v>
      </c>
      <c r="C846" t="s">
        <v>170</v>
      </c>
      <c r="D846" t="s">
        <v>171</v>
      </c>
      <c r="E846" t="s">
        <v>108</v>
      </c>
      <c r="F846" t="s">
        <v>116</v>
      </c>
      <c r="G846">
        <v>0</v>
      </c>
    </row>
    <row r="847" spans="1:7" x14ac:dyDescent="0.3">
      <c r="A847">
        <v>2019</v>
      </c>
      <c r="B847" t="s">
        <v>58</v>
      </c>
      <c r="C847" t="s">
        <v>170</v>
      </c>
      <c r="D847" t="s">
        <v>171</v>
      </c>
      <c r="E847" t="s">
        <v>91</v>
      </c>
      <c r="F847" t="s">
        <v>116</v>
      </c>
      <c r="G847">
        <v>0</v>
      </c>
    </row>
    <row r="848" spans="1:7" x14ac:dyDescent="0.3">
      <c r="A848">
        <v>2019</v>
      </c>
      <c r="B848" t="s">
        <v>58</v>
      </c>
      <c r="C848" t="s">
        <v>170</v>
      </c>
      <c r="D848" t="s">
        <v>171</v>
      </c>
      <c r="E848" t="s">
        <v>109</v>
      </c>
      <c r="F848" t="s">
        <v>116</v>
      </c>
      <c r="G848">
        <v>1</v>
      </c>
    </row>
    <row r="849" spans="1:7" x14ac:dyDescent="0.3">
      <c r="A849">
        <v>2019</v>
      </c>
      <c r="B849" t="s">
        <v>58</v>
      </c>
      <c r="C849" t="s">
        <v>170</v>
      </c>
      <c r="D849" t="s">
        <v>171</v>
      </c>
      <c r="E849" t="s">
        <v>110</v>
      </c>
      <c r="F849" t="s">
        <v>116</v>
      </c>
      <c r="G849">
        <v>0</v>
      </c>
    </row>
    <row r="850" spans="1:7" x14ac:dyDescent="0.3">
      <c r="A850">
        <v>2019</v>
      </c>
      <c r="B850" t="s">
        <v>42</v>
      </c>
      <c r="C850" t="s">
        <v>170</v>
      </c>
      <c r="D850" t="s">
        <v>171</v>
      </c>
      <c r="E850" t="s">
        <v>108</v>
      </c>
      <c r="F850" t="s">
        <v>116</v>
      </c>
      <c r="G850">
        <v>0</v>
      </c>
    </row>
    <row r="851" spans="1:7" x14ac:dyDescent="0.3">
      <c r="A851">
        <v>2019</v>
      </c>
      <c r="B851" t="s">
        <v>42</v>
      </c>
      <c r="C851" t="s">
        <v>170</v>
      </c>
      <c r="D851" t="s">
        <v>171</v>
      </c>
      <c r="E851" t="s">
        <v>91</v>
      </c>
      <c r="F851" t="s">
        <v>116</v>
      </c>
      <c r="G851">
        <v>0</v>
      </c>
    </row>
    <row r="852" spans="1:7" x14ac:dyDescent="0.3">
      <c r="A852">
        <v>2019</v>
      </c>
      <c r="B852" t="s">
        <v>42</v>
      </c>
      <c r="C852" t="s">
        <v>170</v>
      </c>
      <c r="D852" t="s">
        <v>171</v>
      </c>
      <c r="E852" t="s">
        <v>109</v>
      </c>
      <c r="F852" t="s">
        <v>116</v>
      </c>
      <c r="G852">
        <v>0</v>
      </c>
    </row>
    <row r="853" spans="1:7" x14ac:dyDescent="0.3">
      <c r="A853">
        <v>2019</v>
      </c>
      <c r="B853" t="s">
        <v>42</v>
      </c>
      <c r="C853" t="s">
        <v>170</v>
      </c>
      <c r="D853" t="s">
        <v>171</v>
      </c>
      <c r="E853" t="s">
        <v>110</v>
      </c>
      <c r="F853" t="s">
        <v>116</v>
      </c>
      <c r="G853">
        <v>0</v>
      </c>
    </row>
    <row r="854" spans="1:7" x14ac:dyDescent="0.3">
      <c r="A854">
        <v>2019</v>
      </c>
      <c r="B854" t="s">
        <v>44</v>
      </c>
      <c r="C854" t="s">
        <v>170</v>
      </c>
      <c r="D854" t="s">
        <v>171</v>
      </c>
      <c r="E854" t="s">
        <v>108</v>
      </c>
      <c r="F854" t="s">
        <v>116</v>
      </c>
      <c r="G854">
        <v>0</v>
      </c>
    </row>
    <row r="855" spans="1:7" x14ac:dyDescent="0.3">
      <c r="A855">
        <v>2019</v>
      </c>
      <c r="B855" t="s">
        <v>44</v>
      </c>
      <c r="C855" t="s">
        <v>170</v>
      </c>
      <c r="D855" t="s">
        <v>171</v>
      </c>
      <c r="E855" t="s">
        <v>91</v>
      </c>
      <c r="F855" t="s">
        <v>116</v>
      </c>
      <c r="G855">
        <v>0</v>
      </c>
    </row>
    <row r="856" spans="1:7" x14ac:dyDescent="0.3">
      <c r="A856">
        <v>2019</v>
      </c>
      <c r="B856" t="s">
        <v>44</v>
      </c>
      <c r="C856" t="s">
        <v>170</v>
      </c>
      <c r="D856" t="s">
        <v>171</v>
      </c>
      <c r="E856" t="s">
        <v>109</v>
      </c>
      <c r="F856" t="s">
        <v>116</v>
      </c>
      <c r="G856">
        <v>0</v>
      </c>
    </row>
    <row r="857" spans="1:7" x14ac:dyDescent="0.3">
      <c r="A857">
        <v>2019</v>
      </c>
      <c r="B857" t="s">
        <v>44</v>
      </c>
      <c r="C857" t="s">
        <v>170</v>
      </c>
      <c r="D857" t="s">
        <v>171</v>
      </c>
      <c r="E857" t="s">
        <v>110</v>
      </c>
      <c r="F857" t="s">
        <v>116</v>
      </c>
      <c r="G857">
        <v>0</v>
      </c>
    </row>
    <row r="858" spans="1:7" x14ac:dyDescent="0.3">
      <c r="A858">
        <v>2019</v>
      </c>
      <c r="B858" t="s">
        <v>45</v>
      </c>
      <c r="C858" t="s">
        <v>170</v>
      </c>
      <c r="D858" t="s">
        <v>171</v>
      </c>
      <c r="E858" t="s">
        <v>108</v>
      </c>
      <c r="F858" t="s">
        <v>116</v>
      </c>
      <c r="G858">
        <v>0</v>
      </c>
    </row>
    <row r="859" spans="1:7" x14ac:dyDescent="0.3">
      <c r="A859">
        <v>2019</v>
      </c>
      <c r="B859" t="s">
        <v>45</v>
      </c>
      <c r="C859" t="s">
        <v>170</v>
      </c>
      <c r="D859" t="s">
        <v>171</v>
      </c>
      <c r="E859" t="s">
        <v>91</v>
      </c>
      <c r="F859" t="s">
        <v>116</v>
      </c>
      <c r="G859">
        <v>0</v>
      </c>
    </row>
    <row r="860" spans="1:7" x14ac:dyDescent="0.3">
      <c r="A860">
        <v>2019</v>
      </c>
      <c r="B860" t="s">
        <v>45</v>
      </c>
      <c r="C860" t="s">
        <v>170</v>
      </c>
      <c r="D860" t="s">
        <v>171</v>
      </c>
      <c r="E860" t="s">
        <v>109</v>
      </c>
      <c r="F860" t="s">
        <v>116</v>
      </c>
      <c r="G860">
        <v>0</v>
      </c>
    </row>
    <row r="861" spans="1:7" x14ac:dyDescent="0.3">
      <c r="A861">
        <v>2019</v>
      </c>
      <c r="B861" t="s">
        <v>45</v>
      </c>
      <c r="C861" t="s">
        <v>170</v>
      </c>
      <c r="D861" t="s">
        <v>171</v>
      </c>
      <c r="E861" t="s">
        <v>110</v>
      </c>
      <c r="F861" t="s">
        <v>116</v>
      </c>
      <c r="G861">
        <v>0</v>
      </c>
    </row>
    <row r="862" spans="1:7" x14ac:dyDescent="0.3">
      <c r="A862">
        <v>2019</v>
      </c>
      <c r="B862" t="s">
        <v>46</v>
      </c>
      <c r="C862" t="s">
        <v>170</v>
      </c>
      <c r="D862" t="s">
        <v>171</v>
      </c>
      <c r="E862" t="s">
        <v>108</v>
      </c>
      <c r="F862" t="s">
        <v>116</v>
      </c>
      <c r="G862">
        <v>0</v>
      </c>
    </row>
    <row r="863" spans="1:7" x14ac:dyDescent="0.3">
      <c r="A863">
        <v>2019</v>
      </c>
      <c r="B863" t="s">
        <v>46</v>
      </c>
      <c r="C863" t="s">
        <v>170</v>
      </c>
      <c r="D863" t="s">
        <v>171</v>
      </c>
      <c r="E863" t="s">
        <v>91</v>
      </c>
      <c r="F863" t="s">
        <v>116</v>
      </c>
      <c r="G863">
        <v>0</v>
      </c>
    </row>
    <row r="864" spans="1:7" x14ac:dyDescent="0.3">
      <c r="A864">
        <v>2019</v>
      </c>
      <c r="B864" t="s">
        <v>46</v>
      </c>
      <c r="C864" t="s">
        <v>170</v>
      </c>
      <c r="D864" t="s">
        <v>171</v>
      </c>
      <c r="E864" t="s">
        <v>109</v>
      </c>
      <c r="F864" t="s">
        <v>116</v>
      </c>
      <c r="G864">
        <v>0</v>
      </c>
    </row>
    <row r="865" spans="1:7" x14ac:dyDescent="0.3">
      <c r="A865">
        <v>2019</v>
      </c>
      <c r="B865" t="s">
        <v>46</v>
      </c>
      <c r="C865" t="s">
        <v>170</v>
      </c>
      <c r="D865" t="s">
        <v>171</v>
      </c>
      <c r="E865" t="s">
        <v>110</v>
      </c>
      <c r="F865" t="s">
        <v>116</v>
      </c>
      <c r="G865">
        <v>0</v>
      </c>
    </row>
    <row r="866" spans="1:7" x14ac:dyDescent="0.3">
      <c r="A866">
        <v>2019</v>
      </c>
      <c r="B866" t="s">
        <v>47</v>
      </c>
      <c r="C866" t="s">
        <v>170</v>
      </c>
      <c r="D866" t="s">
        <v>171</v>
      </c>
      <c r="E866" t="s">
        <v>108</v>
      </c>
      <c r="F866" t="s">
        <v>116</v>
      </c>
      <c r="G866">
        <v>0</v>
      </c>
    </row>
    <row r="867" spans="1:7" x14ac:dyDescent="0.3">
      <c r="A867">
        <v>2019</v>
      </c>
      <c r="B867" t="s">
        <v>47</v>
      </c>
      <c r="C867" t="s">
        <v>170</v>
      </c>
      <c r="D867" t="s">
        <v>171</v>
      </c>
      <c r="E867" t="s">
        <v>91</v>
      </c>
      <c r="F867" t="s">
        <v>116</v>
      </c>
      <c r="G867">
        <v>0</v>
      </c>
    </row>
    <row r="868" spans="1:7" x14ac:dyDescent="0.3">
      <c r="A868">
        <v>2019</v>
      </c>
      <c r="B868" t="s">
        <v>47</v>
      </c>
      <c r="C868" t="s">
        <v>170</v>
      </c>
      <c r="D868" t="s">
        <v>171</v>
      </c>
      <c r="E868" t="s">
        <v>109</v>
      </c>
      <c r="F868" t="s">
        <v>116</v>
      </c>
      <c r="G868">
        <v>1</v>
      </c>
    </row>
    <row r="869" spans="1:7" x14ac:dyDescent="0.3">
      <c r="A869">
        <v>2019</v>
      </c>
      <c r="B869" t="s">
        <v>47</v>
      </c>
      <c r="C869" t="s">
        <v>170</v>
      </c>
      <c r="D869" t="s">
        <v>171</v>
      </c>
      <c r="E869" t="s">
        <v>110</v>
      </c>
      <c r="F869" t="s">
        <v>116</v>
      </c>
      <c r="G869">
        <v>0</v>
      </c>
    </row>
    <row r="870" spans="1:7" x14ac:dyDescent="0.3">
      <c r="A870">
        <v>2019</v>
      </c>
      <c r="B870" t="s">
        <v>48</v>
      </c>
      <c r="C870" t="s">
        <v>170</v>
      </c>
      <c r="D870" t="s">
        <v>171</v>
      </c>
      <c r="E870" t="s">
        <v>108</v>
      </c>
      <c r="F870" t="s">
        <v>116</v>
      </c>
      <c r="G870">
        <v>1</v>
      </c>
    </row>
    <row r="871" spans="1:7" x14ac:dyDescent="0.3">
      <c r="A871">
        <v>2019</v>
      </c>
      <c r="B871" t="s">
        <v>48</v>
      </c>
      <c r="C871" t="s">
        <v>170</v>
      </c>
      <c r="D871" t="s">
        <v>171</v>
      </c>
      <c r="E871" t="s">
        <v>91</v>
      </c>
      <c r="F871" t="s">
        <v>116</v>
      </c>
      <c r="G871">
        <v>0</v>
      </c>
    </row>
    <row r="872" spans="1:7" x14ac:dyDescent="0.3">
      <c r="A872">
        <v>2019</v>
      </c>
      <c r="B872" t="s">
        <v>48</v>
      </c>
      <c r="C872" t="s">
        <v>170</v>
      </c>
      <c r="D872" t="s">
        <v>171</v>
      </c>
      <c r="E872" t="s">
        <v>109</v>
      </c>
      <c r="F872" t="s">
        <v>116</v>
      </c>
      <c r="G872">
        <v>0</v>
      </c>
    </row>
    <row r="873" spans="1:7" x14ac:dyDescent="0.3">
      <c r="A873">
        <v>2019</v>
      </c>
      <c r="B873" t="s">
        <v>48</v>
      </c>
      <c r="C873" t="s">
        <v>170</v>
      </c>
      <c r="D873" t="s">
        <v>171</v>
      </c>
      <c r="E873" t="s">
        <v>110</v>
      </c>
      <c r="F873" t="s">
        <v>116</v>
      </c>
      <c r="G873">
        <v>0</v>
      </c>
    </row>
    <row r="874" spans="1:7" x14ac:dyDescent="0.3">
      <c r="A874">
        <v>2019</v>
      </c>
      <c r="B874" t="s">
        <v>49</v>
      </c>
      <c r="C874" t="s">
        <v>170</v>
      </c>
      <c r="D874" t="s">
        <v>171</v>
      </c>
      <c r="E874" t="s">
        <v>108</v>
      </c>
      <c r="F874" t="s">
        <v>116</v>
      </c>
      <c r="G874">
        <v>0</v>
      </c>
    </row>
    <row r="875" spans="1:7" x14ac:dyDescent="0.3">
      <c r="A875">
        <v>2019</v>
      </c>
      <c r="B875" t="s">
        <v>49</v>
      </c>
      <c r="C875" t="s">
        <v>170</v>
      </c>
      <c r="D875" t="s">
        <v>171</v>
      </c>
      <c r="E875" t="s">
        <v>91</v>
      </c>
      <c r="F875" t="s">
        <v>116</v>
      </c>
      <c r="G875">
        <v>0</v>
      </c>
    </row>
    <row r="876" spans="1:7" x14ac:dyDescent="0.3">
      <c r="A876">
        <v>2019</v>
      </c>
      <c r="B876" t="s">
        <v>49</v>
      </c>
      <c r="C876" t="s">
        <v>170</v>
      </c>
      <c r="D876" t="s">
        <v>171</v>
      </c>
      <c r="E876" t="s">
        <v>109</v>
      </c>
      <c r="F876" t="s">
        <v>116</v>
      </c>
      <c r="G876">
        <v>0</v>
      </c>
    </row>
    <row r="877" spans="1:7" x14ac:dyDescent="0.3">
      <c r="A877">
        <v>2019</v>
      </c>
      <c r="B877" t="s">
        <v>49</v>
      </c>
      <c r="C877" t="s">
        <v>170</v>
      </c>
      <c r="D877" t="s">
        <v>171</v>
      </c>
      <c r="E877" t="s">
        <v>110</v>
      </c>
      <c r="F877" t="s">
        <v>116</v>
      </c>
      <c r="G877">
        <v>0</v>
      </c>
    </row>
    <row r="878" spans="1:7" x14ac:dyDescent="0.3">
      <c r="A878">
        <v>2019</v>
      </c>
      <c r="B878" t="s">
        <v>59</v>
      </c>
      <c r="C878" t="s">
        <v>170</v>
      </c>
      <c r="D878" t="s">
        <v>171</v>
      </c>
      <c r="E878" t="s">
        <v>108</v>
      </c>
      <c r="F878" t="s">
        <v>116</v>
      </c>
      <c r="G878">
        <v>0</v>
      </c>
    </row>
    <row r="879" spans="1:7" x14ac:dyDescent="0.3">
      <c r="A879">
        <v>2019</v>
      </c>
      <c r="B879" t="s">
        <v>59</v>
      </c>
      <c r="C879" t="s">
        <v>170</v>
      </c>
      <c r="D879" t="s">
        <v>171</v>
      </c>
      <c r="E879" t="s">
        <v>91</v>
      </c>
      <c r="F879" t="s">
        <v>116</v>
      </c>
      <c r="G879">
        <v>2</v>
      </c>
    </row>
    <row r="880" spans="1:7" x14ac:dyDescent="0.3">
      <c r="A880">
        <v>2019</v>
      </c>
      <c r="B880" t="s">
        <v>59</v>
      </c>
      <c r="C880" t="s">
        <v>170</v>
      </c>
      <c r="D880" t="s">
        <v>171</v>
      </c>
      <c r="E880" t="s">
        <v>109</v>
      </c>
      <c r="F880" t="s">
        <v>116</v>
      </c>
      <c r="G880">
        <v>1</v>
      </c>
    </row>
    <row r="881" spans="1:7" x14ac:dyDescent="0.3">
      <c r="A881">
        <v>2019</v>
      </c>
      <c r="B881" t="s">
        <v>59</v>
      </c>
      <c r="C881" t="s">
        <v>170</v>
      </c>
      <c r="D881" t="s">
        <v>171</v>
      </c>
      <c r="E881" t="s">
        <v>110</v>
      </c>
      <c r="F881" t="s">
        <v>116</v>
      </c>
      <c r="G881">
        <v>0</v>
      </c>
    </row>
    <row r="882" spans="1:7" x14ac:dyDescent="0.3">
      <c r="A882">
        <v>2019</v>
      </c>
      <c r="B882" t="s">
        <v>50</v>
      </c>
      <c r="C882" t="s">
        <v>170</v>
      </c>
      <c r="D882" t="s">
        <v>171</v>
      </c>
      <c r="E882" t="s">
        <v>108</v>
      </c>
      <c r="F882" t="s">
        <v>116</v>
      </c>
      <c r="G882">
        <v>2</v>
      </c>
    </row>
    <row r="883" spans="1:7" x14ac:dyDescent="0.3">
      <c r="A883">
        <v>2019</v>
      </c>
      <c r="B883" t="s">
        <v>50</v>
      </c>
      <c r="C883" t="s">
        <v>170</v>
      </c>
      <c r="D883" t="s">
        <v>171</v>
      </c>
      <c r="E883" t="s">
        <v>91</v>
      </c>
      <c r="F883" t="s">
        <v>116</v>
      </c>
      <c r="G883">
        <v>1</v>
      </c>
    </row>
    <row r="884" spans="1:7" x14ac:dyDescent="0.3">
      <c r="A884">
        <v>2019</v>
      </c>
      <c r="B884" t="s">
        <v>50</v>
      </c>
      <c r="C884" t="s">
        <v>170</v>
      </c>
      <c r="D884" t="s">
        <v>171</v>
      </c>
      <c r="E884" t="s">
        <v>109</v>
      </c>
      <c r="F884" t="s">
        <v>116</v>
      </c>
      <c r="G884">
        <v>0</v>
      </c>
    </row>
    <row r="885" spans="1:7" x14ac:dyDescent="0.3">
      <c r="A885">
        <v>2019</v>
      </c>
      <c r="B885" t="s">
        <v>50</v>
      </c>
      <c r="C885" t="s">
        <v>170</v>
      </c>
      <c r="D885" t="s">
        <v>171</v>
      </c>
      <c r="E885" t="s">
        <v>110</v>
      </c>
      <c r="F885" t="s">
        <v>116</v>
      </c>
      <c r="G885">
        <v>0</v>
      </c>
    </row>
    <row r="886" spans="1:7" x14ac:dyDescent="0.3">
      <c r="A886">
        <v>2019</v>
      </c>
      <c r="B886" t="s">
        <v>51</v>
      </c>
      <c r="C886" t="s">
        <v>170</v>
      </c>
      <c r="D886" t="s">
        <v>171</v>
      </c>
      <c r="E886" t="s">
        <v>108</v>
      </c>
      <c r="F886" t="s">
        <v>116</v>
      </c>
      <c r="G886">
        <v>0</v>
      </c>
    </row>
    <row r="887" spans="1:7" x14ac:dyDescent="0.3">
      <c r="A887">
        <v>2019</v>
      </c>
      <c r="B887" t="s">
        <v>51</v>
      </c>
      <c r="C887" t="s">
        <v>170</v>
      </c>
      <c r="D887" t="s">
        <v>171</v>
      </c>
      <c r="E887" t="s">
        <v>91</v>
      </c>
      <c r="F887" t="s">
        <v>116</v>
      </c>
      <c r="G887">
        <v>0</v>
      </c>
    </row>
    <row r="888" spans="1:7" x14ac:dyDescent="0.3">
      <c r="A888">
        <v>2019</v>
      </c>
      <c r="B888" t="s">
        <v>51</v>
      </c>
      <c r="C888" t="s">
        <v>170</v>
      </c>
      <c r="D888" t="s">
        <v>171</v>
      </c>
      <c r="E888" t="s">
        <v>109</v>
      </c>
      <c r="F888" t="s">
        <v>116</v>
      </c>
      <c r="G888">
        <v>0</v>
      </c>
    </row>
    <row r="889" spans="1:7" x14ac:dyDescent="0.3">
      <c r="A889">
        <v>2019</v>
      </c>
      <c r="B889" t="s">
        <v>51</v>
      </c>
      <c r="C889" t="s">
        <v>170</v>
      </c>
      <c r="D889" t="s">
        <v>171</v>
      </c>
      <c r="E889" t="s">
        <v>110</v>
      </c>
      <c r="F889" t="s">
        <v>116</v>
      </c>
      <c r="G889">
        <v>0</v>
      </c>
    </row>
    <row r="890" spans="1:7" x14ac:dyDescent="0.3">
      <c r="A890">
        <v>2019</v>
      </c>
      <c r="B890" t="s">
        <v>52</v>
      </c>
      <c r="C890" t="s">
        <v>170</v>
      </c>
      <c r="D890" t="s">
        <v>171</v>
      </c>
      <c r="E890" t="s">
        <v>108</v>
      </c>
      <c r="F890" t="s">
        <v>116</v>
      </c>
      <c r="G890">
        <v>0</v>
      </c>
    </row>
    <row r="891" spans="1:7" x14ac:dyDescent="0.3">
      <c r="A891">
        <v>2019</v>
      </c>
      <c r="B891" t="s">
        <v>52</v>
      </c>
      <c r="C891" t="s">
        <v>170</v>
      </c>
      <c r="D891" t="s">
        <v>171</v>
      </c>
      <c r="E891" t="s">
        <v>91</v>
      </c>
      <c r="F891" t="s">
        <v>116</v>
      </c>
      <c r="G891">
        <v>0</v>
      </c>
    </row>
    <row r="892" spans="1:7" x14ac:dyDescent="0.3">
      <c r="A892">
        <v>2019</v>
      </c>
      <c r="B892" t="s">
        <v>52</v>
      </c>
      <c r="C892" t="s">
        <v>170</v>
      </c>
      <c r="D892" t="s">
        <v>171</v>
      </c>
      <c r="E892" t="s">
        <v>109</v>
      </c>
      <c r="F892" t="s">
        <v>116</v>
      </c>
      <c r="G892">
        <v>0</v>
      </c>
    </row>
    <row r="893" spans="1:7" x14ac:dyDescent="0.3">
      <c r="A893">
        <v>2019</v>
      </c>
      <c r="B893" t="s">
        <v>52</v>
      </c>
      <c r="C893" t="s">
        <v>170</v>
      </c>
      <c r="D893" t="s">
        <v>171</v>
      </c>
      <c r="E893" t="s">
        <v>110</v>
      </c>
      <c r="F893" t="s">
        <v>116</v>
      </c>
      <c r="G893">
        <v>0</v>
      </c>
    </row>
    <row r="894" spans="1:7" x14ac:dyDescent="0.3">
      <c r="A894">
        <v>2019</v>
      </c>
      <c r="B894" t="s">
        <v>60</v>
      </c>
      <c r="C894" t="s">
        <v>170</v>
      </c>
      <c r="D894" t="s">
        <v>171</v>
      </c>
      <c r="E894" t="s">
        <v>108</v>
      </c>
      <c r="F894" t="s">
        <v>116</v>
      </c>
      <c r="G894">
        <v>0</v>
      </c>
    </row>
    <row r="895" spans="1:7" x14ac:dyDescent="0.3">
      <c r="A895">
        <v>2019</v>
      </c>
      <c r="B895" t="s">
        <v>60</v>
      </c>
      <c r="C895" t="s">
        <v>170</v>
      </c>
      <c r="D895" t="s">
        <v>171</v>
      </c>
      <c r="E895" t="s">
        <v>91</v>
      </c>
      <c r="F895" t="s">
        <v>116</v>
      </c>
      <c r="G895">
        <v>0</v>
      </c>
    </row>
    <row r="896" spans="1:7" x14ac:dyDescent="0.3">
      <c r="A896">
        <v>2019</v>
      </c>
      <c r="B896" t="s">
        <v>60</v>
      </c>
      <c r="C896" t="s">
        <v>170</v>
      </c>
      <c r="D896" t="s">
        <v>171</v>
      </c>
      <c r="E896" t="s">
        <v>109</v>
      </c>
      <c r="F896" t="s">
        <v>116</v>
      </c>
      <c r="G896">
        <v>1</v>
      </c>
    </row>
    <row r="897" spans="1:7" x14ac:dyDescent="0.3">
      <c r="A897">
        <v>2019</v>
      </c>
      <c r="B897" t="s">
        <v>60</v>
      </c>
      <c r="C897" t="s">
        <v>170</v>
      </c>
      <c r="D897" t="s">
        <v>171</v>
      </c>
      <c r="E897" t="s">
        <v>110</v>
      </c>
      <c r="F897" t="s">
        <v>116</v>
      </c>
      <c r="G897">
        <v>0</v>
      </c>
    </row>
    <row r="898" spans="1:7" x14ac:dyDescent="0.3">
      <c r="A898">
        <v>2019</v>
      </c>
      <c r="B898" t="s">
        <v>53</v>
      </c>
      <c r="C898" t="s">
        <v>170</v>
      </c>
      <c r="D898" t="s">
        <v>171</v>
      </c>
      <c r="E898" t="s">
        <v>108</v>
      </c>
      <c r="F898" t="s">
        <v>116</v>
      </c>
      <c r="G898">
        <v>0</v>
      </c>
    </row>
    <row r="899" spans="1:7" x14ac:dyDescent="0.3">
      <c r="A899">
        <v>2019</v>
      </c>
      <c r="B899" t="s">
        <v>53</v>
      </c>
      <c r="C899" t="s">
        <v>170</v>
      </c>
      <c r="D899" t="s">
        <v>171</v>
      </c>
      <c r="E899" t="s">
        <v>91</v>
      </c>
      <c r="F899" t="s">
        <v>116</v>
      </c>
      <c r="G899">
        <v>0</v>
      </c>
    </row>
    <row r="900" spans="1:7" x14ac:dyDescent="0.3">
      <c r="A900">
        <v>2019</v>
      </c>
      <c r="B900" t="s">
        <v>53</v>
      </c>
      <c r="C900" t="s">
        <v>170</v>
      </c>
      <c r="D900" t="s">
        <v>171</v>
      </c>
      <c r="E900" t="s">
        <v>109</v>
      </c>
      <c r="F900" t="s">
        <v>116</v>
      </c>
      <c r="G900">
        <v>0</v>
      </c>
    </row>
    <row r="901" spans="1:7" x14ac:dyDescent="0.3">
      <c r="A901">
        <v>2019</v>
      </c>
      <c r="B901" t="s">
        <v>53</v>
      </c>
      <c r="C901" t="s">
        <v>170</v>
      </c>
      <c r="D901" t="s">
        <v>171</v>
      </c>
      <c r="E901" t="s">
        <v>110</v>
      </c>
      <c r="F901" t="s">
        <v>116</v>
      </c>
      <c r="G901">
        <v>0</v>
      </c>
    </row>
    <row r="902" spans="1:7" x14ac:dyDescent="0.3">
      <c r="A902">
        <v>2019</v>
      </c>
      <c r="B902" t="s">
        <v>61</v>
      </c>
      <c r="C902" t="s">
        <v>170</v>
      </c>
      <c r="D902" t="s">
        <v>171</v>
      </c>
      <c r="E902" t="s">
        <v>108</v>
      </c>
      <c r="F902" t="s">
        <v>116</v>
      </c>
      <c r="G902">
        <v>0</v>
      </c>
    </row>
    <row r="903" spans="1:7" x14ac:dyDescent="0.3">
      <c r="A903">
        <v>2019</v>
      </c>
      <c r="B903" t="s">
        <v>61</v>
      </c>
      <c r="C903" t="s">
        <v>170</v>
      </c>
      <c r="D903" t="s">
        <v>171</v>
      </c>
      <c r="E903" t="s">
        <v>91</v>
      </c>
      <c r="F903" t="s">
        <v>116</v>
      </c>
      <c r="G903">
        <v>8</v>
      </c>
    </row>
    <row r="904" spans="1:7" x14ac:dyDescent="0.3">
      <c r="A904">
        <v>2019</v>
      </c>
      <c r="B904" t="s">
        <v>61</v>
      </c>
      <c r="C904" t="s">
        <v>170</v>
      </c>
      <c r="D904" t="s">
        <v>171</v>
      </c>
      <c r="E904" t="s">
        <v>109</v>
      </c>
      <c r="F904" t="s">
        <v>116</v>
      </c>
      <c r="G904">
        <v>1</v>
      </c>
    </row>
    <row r="905" spans="1:7" x14ac:dyDescent="0.3">
      <c r="A905">
        <v>2019</v>
      </c>
      <c r="B905" t="s">
        <v>61</v>
      </c>
      <c r="C905" t="s">
        <v>170</v>
      </c>
      <c r="D905" t="s">
        <v>171</v>
      </c>
      <c r="E905" t="s">
        <v>110</v>
      </c>
      <c r="F905" t="s">
        <v>116</v>
      </c>
      <c r="G905">
        <v>0</v>
      </c>
    </row>
    <row r="906" spans="1:7" x14ac:dyDescent="0.3">
      <c r="A906">
        <v>2019</v>
      </c>
      <c r="B906" t="s">
        <v>54</v>
      </c>
      <c r="C906" t="s">
        <v>170</v>
      </c>
      <c r="D906" t="s">
        <v>171</v>
      </c>
      <c r="E906" t="s">
        <v>108</v>
      </c>
      <c r="F906" t="s">
        <v>116</v>
      </c>
      <c r="G906">
        <v>0</v>
      </c>
    </row>
    <row r="907" spans="1:7" x14ac:dyDescent="0.3">
      <c r="A907">
        <v>2019</v>
      </c>
      <c r="B907" t="s">
        <v>54</v>
      </c>
      <c r="C907" t="s">
        <v>170</v>
      </c>
      <c r="D907" t="s">
        <v>171</v>
      </c>
      <c r="E907" t="s">
        <v>91</v>
      </c>
      <c r="F907" t="s">
        <v>116</v>
      </c>
      <c r="G907">
        <v>0</v>
      </c>
    </row>
    <row r="908" spans="1:7" x14ac:dyDescent="0.3">
      <c r="A908">
        <v>2019</v>
      </c>
      <c r="B908" t="s">
        <v>54</v>
      </c>
      <c r="C908" t="s">
        <v>170</v>
      </c>
      <c r="D908" t="s">
        <v>171</v>
      </c>
      <c r="E908" t="s">
        <v>109</v>
      </c>
      <c r="F908" t="s">
        <v>116</v>
      </c>
      <c r="G908">
        <v>0</v>
      </c>
    </row>
    <row r="909" spans="1:7" x14ac:dyDescent="0.3">
      <c r="A909">
        <v>2019</v>
      </c>
      <c r="B909" t="s">
        <v>54</v>
      </c>
      <c r="C909" t="s">
        <v>170</v>
      </c>
      <c r="D909" t="s">
        <v>171</v>
      </c>
      <c r="E909" t="s">
        <v>110</v>
      </c>
      <c r="F909" t="s">
        <v>116</v>
      </c>
      <c r="G909">
        <v>0</v>
      </c>
    </row>
    <row r="910" spans="1:7" x14ac:dyDescent="0.3">
      <c r="A910">
        <v>2019</v>
      </c>
      <c r="B910" t="s">
        <v>62</v>
      </c>
      <c r="C910" t="s">
        <v>170</v>
      </c>
      <c r="D910" t="s">
        <v>171</v>
      </c>
      <c r="E910" t="s">
        <v>108</v>
      </c>
      <c r="F910" t="s">
        <v>116</v>
      </c>
      <c r="G910">
        <v>2</v>
      </c>
    </row>
    <row r="911" spans="1:7" x14ac:dyDescent="0.3">
      <c r="A911">
        <v>2019</v>
      </c>
      <c r="B911" t="s">
        <v>62</v>
      </c>
      <c r="C911" t="s">
        <v>170</v>
      </c>
      <c r="D911" t="s">
        <v>171</v>
      </c>
      <c r="E911" t="s">
        <v>91</v>
      </c>
      <c r="F911" t="s">
        <v>116</v>
      </c>
      <c r="G911">
        <v>1</v>
      </c>
    </row>
    <row r="912" spans="1:7" x14ac:dyDescent="0.3">
      <c r="A912">
        <v>2019</v>
      </c>
      <c r="B912" t="s">
        <v>62</v>
      </c>
      <c r="C912" t="s">
        <v>170</v>
      </c>
      <c r="D912" t="s">
        <v>171</v>
      </c>
      <c r="E912" t="s">
        <v>109</v>
      </c>
      <c r="F912" t="s">
        <v>116</v>
      </c>
      <c r="G912">
        <v>1</v>
      </c>
    </row>
    <row r="913" spans="1:7" x14ac:dyDescent="0.3">
      <c r="A913">
        <v>2019</v>
      </c>
      <c r="B913" t="s">
        <v>62</v>
      </c>
      <c r="C913" t="s">
        <v>170</v>
      </c>
      <c r="D913" t="s">
        <v>171</v>
      </c>
      <c r="E913" t="s">
        <v>110</v>
      </c>
      <c r="F913" t="s">
        <v>116</v>
      </c>
      <c r="G913">
        <v>0</v>
      </c>
    </row>
    <row r="914" spans="1:7" x14ac:dyDescent="0.3">
      <c r="A914">
        <v>2019</v>
      </c>
      <c r="B914" t="s">
        <v>28</v>
      </c>
      <c r="C914" t="s">
        <v>170</v>
      </c>
      <c r="D914" t="s">
        <v>171</v>
      </c>
      <c r="E914" t="s">
        <v>108</v>
      </c>
      <c r="F914" t="s">
        <v>116</v>
      </c>
      <c r="G914">
        <v>0</v>
      </c>
    </row>
    <row r="915" spans="1:7" x14ac:dyDescent="0.3">
      <c r="A915">
        <v>2019</v>
      </c>
      <c r="B915" t="s">
        <v>28</v>
      </c>
      <c r="C915" t="s">
        <v>170</v>
      </c>
      <c r="D915" t="s">
        <v>171</v>
      </c>
      <c r="E915" t="s">
        <v>91</v>
      </c>
      <c r="F915" t="s">
        <v>116</v>
      </c>
      <c r="G915">
        <v>0</v>
      </c>
    </row>
    <row r="916" spans="1:7" x14ac:dyDescent="0.3">
      <c r="A916">
        <v>2019</v>
      </c>
      <c r="B916" t="s">
        <v>28</v>
      </c>
      <c r="C916" t="s">
        <v>170</v>
      </c>
      <c r="D916" t="s">
        <v>171</v>
      </c>
      <c r="E916" t="s">
        <v>109</v>
      </c>
      <c r="F916" t="s">
        <v>116</v>
      </c>
      <c r="G916">
        <v>0</v>
      </c>
    </row>
    <row r="917" spans="1:7" x14ac:dyDescent="0.3">
      <c r="A917">
        <v>2019</v>
      </c>
      <c r="B917" t="s">
        <v>28</v>
      </c>
      <c r="C917" t="s">
        <v>170</v>
      </c>
      <c r="D917" t="s">
        <v>171</v>
      </c>
      <c r="E917" t="s">
        <v>110</v>
      </c>
      <c r="F917" t="s">
        <v>116</v>
      </c>
      <c r="G917">
        <v>0</v>
      </c>
    </row>
    <row r="918" spans="1:7" x14ac:dyDescent="0.3">
      <c r="A918">
        <v>2019</v>
      </c>
      <c r="B918" t="s">
        <v>43</v>
      </c>
      <c r="C918" t="s">
        <v>170</v>
      </c>
      <c r="D918" t="s">
        <v>171</v>
      </c>
      <c r="E918" t="s">
        <v>108</v>
      </c>
      <c r="F918" t="s">
        <v>116</v>
      </c>
      <c r="G918">
        <v>0</v>
      </c>
    </row>
    <row r="919" spans="1:7" x14ac:dyDescent="0.3">
      <c r="A919">
        <v>2019</v>
      </c>
      <c r="B919" t="s">
        <v>43</v>
      </c>
      <c r="C919" t="s">
        <v>170</v>
      </c>
      <c r="D919" t="s">
        <v>171</v>
      </c>
      <c r="E919" t="s">
        <v>91</v>
      </c>
      <c r="F919" t="s">
        <v>116</v>
      </c>
      <c r="G919">
        <v>0</v>
      </c>
    </row>
    <row r="920" spans="1:7" x14ac:dyDescent="0.3">
      <c r="A920">
        <v>2019</v>
      </c>
      <c r="B920" t="s">
        <v>43</v>
      </c>
      <c r="C920" t="s">
        <v>170</v>
      </c>
      <c r="D920" t="s">
        <v>171</v>
      </c>
      <c r="E920" t="s">
        <v>109</v>
      </c>
      <c r="F920" t="s">
        <v>116</v>
      </c>
      <c r="G920">
        <v>0</v>
      </c>
    </row>
    <row r="921" spans="1:7" x14ac:dyDescent="0.3">
      <c r="A921">
        <v>2019</v>
      </c>
      <c r="B921" t="s">
        <v>43</v>
      </c>
      <c r="C921" t="s">
        <v>170</v>
      </c>
      <c r="D921" t="s">
        <v>171</v>
      </c>
      <c r="E921" t="s">
        <v>110</v>
      </c>
      <c r="F921" t="s">
        <v>116</v>
      </c>
      <c r="G921">
        <v>0</v>
      </c>
    </row>
    <row r="922" spans="1:7" x14ac:dyDescent="0.3">
      <c r="A922">
        <v>2019</v>
      </c>
      <c r="B922" t="s">
        <v>17</v>
      </c>
      <c r="C922" t="s">
        <v>170</v>
      </c>
      <c r="D922" t="s">
        <v>171</v>
      </c>
      <c r="E922" t="s">
        <v>108</v>
      </c>
      <c r="F922" t="s">
        <v>80</v>
      </c>
      <c r="G922">
        <v>0</v>
      </c>
    </row>
    <row r="923" spans="1:7" x14ac:dyDescent="0.3">
      <c r="A923">
        <v>2019</v>
      </c>
      <c r="B923" t="s">
        <v>17</v>
      </c>
      <c r="C923" t="s">
        <v>170</v>
      </c>
      <c r="D923" t="s">
        <v>171</v>
      </c>
      <c r="E923" t="s">
        <v>91</v>
      </c>
      <c r="F923" t="s">
        <v>80</v>
      </c>
      <c r="G923">
        <v>0</v>
      </c>
    </row>
    <row r="924" spans="1:7" x14ac:dyDescent="0.3">
      <c r="A924">
        <v>2019</v>
      </c>
      <c r="B924" t="s">
        <v>17</v>
      </c>
      <c r="C924" t="s">
        <v>170</v>
      </c>
      <c r="D924" t="s">
        <v>171</v>
      </c>
      <c r="E924" t="s">
        <v>109</v>
      </c>
      <c r="F924" t="s">
        <v>80</v>
      </c>
      <c r="G924">
        <v>0</v>
      </c>
    </row>
    <row r="925" spans="1:7" x14ac:dyDescent="0.3">
      <c r="A925">
        <v>2019</v>
      </c>
      <c r="B925" t="s">
        <v>17</v>
      </c>
      <c r="C925" t="s">
        <v>170</v>
      </c>
      <c r="D925" t="s">
        <v>171</v>
      </c>
      <c r="E925" t="s">
        <v>110</v>
      </c>
      <c r="F925" t="s">
        <v>80</v>
      </c>
      <c r="G925">
        <v>0</v>
      </c>
    </row>
    <row r="926" spans="1:7" x14ac:dyDescent="0.3">
      <c r="A926">
        <v>2019</v>
      </c>
      <c r="B926" t="s">
        <v>18</v>
      </c>
      <c r="C926" t="s">
        <v>170</v>
      </c>
      <c r="D926" t="s">
        <v>171</v>
      </c>
      <c r="E926" t="s">
        <v>108</v>
      </c>
      <c r="F926" t="s">
        <v>80</v>
      </c>
      <c r="G926">
        <v>0</v>
      </c>
    </row>
    <row r="927" spans="1:7" x14ac:dyDescent="0.3">
      <c r="A927">
        <v>2019</v>
      </c>
      <c r="B927" t="s">
        <v>18</v>
      </c>
      <c r="C927" t="s">
        <v>170</v>
      </c>
      <c r="D927" t="s">
        <v>171</v>
      </c>
      <c r="E927" t="s">
        <v>91</v>
      </c>
      <c r="F927" t="s">
        <v>80</v>
      </c>
      <c r="G927">
        <v>0</v>
      </c>
    </row>
    <row r="928" spans="1:7" x14ac:dyDescent="0.3">
      <c r="A928">
        <v>2019</v>
      </c>
      <c r="B928" t="s">
        <v>18</v>
      </c>
      <c r="C928" t="s">
        <v>170</v>
      </c>
      <c r="D928" t="s">
        <v>171</v>
      </c>
      <c r="E928" t="s">
        <v>109</v>
      </c>
      <c r="F928" t="s">
        <v>80</v>
      </c>
      <c r="G928">
        <v>0</v>
      </c>
    </row>
    <row r="929" spans="1:7" x14ac:dyDescent="0.3">
      <c r="A929">
        <v>2019</v>
      </c>
      <c r="B929" t="s">
        <v>18</v>
      </c>
      <c r="C929" t="s">
        <v>170</v>
      </c>
      <c r="D929" t="s">
        <v>171</v>
      </c>
      <c r="E929" t="s">
        <v>110</v>
      </c>
      <c r="F929" t="s">
        <v>80</v>
      </c>
      <c r="G929">
        <v>0</v>
      </c>
    </row>
    <row r="930" spans="1:7" x14ac:dyDescent="0.3">
      <c r="A930">
        <v>2019</v>
      </c>
      <c r="B930" t="s">
        <v>19</v>
      </c>
      <c r="C930" t="s">
        <v>170</v>
      </c>
      <c r="D930" t="s">
        <v>171</v>
      </c>
      <c r="E930" t="s">
        <v>108</v>
      </c>
      <c r="F930" t="s">
        <v>80</v>
      </c>
      <c r="G930">
        <v>0</v>
      </c>
    </row>
    <row r="931" spans="1:7" x14ac:dyDescent="0.3">
      <c r="A931">
        <v>2019</v>
      </c>
      <c r="B931" t="s">
        <v>19</v>
      </c>
      <c r="C931" t="s">
        <v>170</v>
      </c>
      <c r="D931" t="s">
        <v>171</v>
      </c>
      <c r="E931" t="s">
        <v>91</v>
      </c>
      <c r="F931" t="s">
        <v>80</v>
      </c>
      <c r="G931">
        <v>0</v>
      </c>
    </row>
    <row r="932" spans="1:7" x14ac:dyDescent="0.3">
      <c r="A932">
        <v>2019</v>
      </c>
      <c r="B932" t="s">
        <v>19</v>
      </c>
      <c r="C932" t="s">
        <v>170</v>
      </c>
      <c r="D932" t="s">
        <v>171</v>
      </c>
      <c r="E932" t="s">
        <v>109</v>
      </c>
      <c r="F932" t="s">
        <v>80</v>
      </c>
      <c r="G932">
        <v>0</v>
      </c>
    </row>
    <row r="933" spans="1:7" x14ac:dyDescent="0.3">
      <c r="A933">
        <v>2019</v>
      </c>
      <c r="B933" t="s">
        <v>19</v>
      </c>
      <c r="C933" t="s">
        <v>170</v>
      </c>
      <c r="D933" t="s">
        <v>171</v>
      </c>
      <c r="E933" t="s">
        <v>110</v>
      </c>
      <c r="F933" t="s">
        <v>80</v>
      </c>
      <c r="G933">
        <v>0</v>
      </c>
    </row>
    <row r="934" spans="1:7" x14ac:dyDescent="0.3">
      <c r="A934">
        <v>2019</v>
      </c>
      <c r="B934" t="s">
        <v>20</v>
      </c>
      <c r="C934" t="s">
        <v>170</v>
      </c>
      <c r="D934" t="s">
        <v>171</v>
      </c>
      <c r="E934" t="s">
        <v>108</v>
      </c>
      <c r="F934" t="s">
        <v>80</v>
      </c>
      <c r="G934">
        <v>0</v>
      </c>
    </row>
    <row r="935" spans="1:7" x14ac:dyDescent="0.3">
      <c r="A935">
        <v>2019</v>
      </c>
      <c r="B935" t="s">
        <v>20</v>
      </c>
      <c r="C935" t="s">
        <v>170</v>
      </c>
      <c r="D935" t="s">
        <v>171</v>
      </c>
      <c r="E935" t="s">
        <v>91</v>
      </c>
      <c r="F935" t="s">
        <v>80</v>
      </c>
      <c r="G935">
        <v>0</v>
      </c>
    </row>
    <row r="936" spans="1:7" x14ac:dyDescent="0.3">
      <c r="A936">
        <v>2019</v>
      </c>
      <c r="B936" t="s">
        <v>20</v>
      </c>
      <c r="C936" t="s">
        <v>170</v>
      </c>
      <c r="D936" t="s">
        <v>171</v>
      </c>
      <c r="E936" t="s">
        <v>109</v>
      </c>
      <c r="F936" t="s">
        <v>80</v>
      </c>
      <c r="G936">
        <v>0</v>
      </c>
    </row>
    <row r="937" spans="1:7" x14ac:dyDescent="0.3">
      <c r="A937">
        <v>2019</v>
      </c>
      <c r="B937" t="s">
        <v>20</v>
      </c>
      <c r="C937" t="s">
        <v>170</v>
      </c>
      <c r="D937" t="s">
        <v>171</v>
      </c>
      <c r="E937" t="s">
        <v>110</v>
      </c>
      <c r="F937" t="s">
        <v>80</v>
      </c>
      <c r="G937">
        <v>0</v>
      </c>
    </row>
    <row r="938" spans="1:7" x14ac:dyDescent="0.3">
      <c r="A938">
        <v>2019</v>
      </c>
      <c r="B938" t="s">
        <v>21</v>
      </c>
      <c r="C938" t="s">
        <v>170</v>
      </c>
      <c r="D938" t="s">
        <v>171</v>
      </c>
      <c r="E938" t="s">
        <v>108</v>
      </c>
      <c r="F938" t="s">
        <v>80</v>
      </c>
      <c r="G938">
        <v>0</v>
      </c>
    </row>
    <row r="939" spans="1:7" x14ac:dyDescent="0.3">
      <c r="A939">
        <v>2019</v>
      </c>
      <c r="B939" t="s">
        <v>21</v>
      </c>
      <c r="C939" t="s">
        <v>170</v>
      </c>
      <c r="D939" t="s">
        <v>171</v>
      </c>
      <c r="E939" t="s">
        <v>91</v>
      </c>
      <c r="F939" t="s">
        <v>80</v>
      </c>
      <c r="G939">
        <v>0</v>
      </c>
    </row>
    <row r="940" spans="1:7" x14ac:dyDescent="0.3">
      <c r="A940">
        <v>2019</v>
      </c>
      <c r="B940" t="s">
        <v>21</v>
      </c>
      <c r="C940" t="s">
        <v>170</v>
      </c>
      <c r="D940" t="s">
        <v>171</v>
      </c>
      <c r="E940" t="s">
        <v>109</v>
      </c>
      <c r="F940" t="s">
        <v>80</v>
      </c>
      <c r="G940">
        <v>0</v>
      </c>
    </row>
    <row r="941" spans="1:7" x14ac:dyDescent="0.3">
      <c r="A941">
        <v>2019</v>
      </c>
      <c r="B941" t="s">
        <v>21</v>
      </c>
      <c r="C941" t="s">
        <v>170</v>
      </c>
      <c r="D941" t="s">
        <v>171</v>
      </c>
      <c r="E941" t="s">
        <v>110</v>
      </c>
      <c r="F941" t="s">
        <v>80</v>
      </c>
      <c r="G941">
        <v>0</v>
      </c>
    </row>
    <row r="942" spans="1:7" x14ac:dyDescent="0.3">
      <c r="A942">
        <v>2019</v>
      </c>
      <c r="B942" t="s">
        <v>22</v>
      </c>
      <c r="C942" t="s">
        <v>170</v>
      </c>
      <c r="D942" t="s">
        <v>171</v>
      </c>
      <c r="E942" t="s">
        <v>108</v>
      </c>
      <c r="F942" t="s">
        <v>80</v>
      </c>
      <c r="G942">
        <v>0</v>
      </c>
    </row>
    <row r="943" spans="1:7" x14ac:dyDescent="0.3">
      <c r="A943">
        <v>2019</v>
      </c>
      <c r="B943" t="s">
        <v>22</v>
      </c>
      <c r="C943" t="s">
        <v>170</v>
      </c>
      <c r="D943" t="s">
        <v>171</v>
      </c>
      <c r="E943" t="s">
        <v>91</v>
      </c>
      <c r="F943" t="s">
        <v>80</v>
      </c>
      <c r="G943">
        <v>0</v>
      </c>
    </row>
    <row r="944" spans="1:7" x14ac:dyDescent="0.3">
      <c r="A944">
        <v>2019</v>
      </c>
      <c r="B944" t="s">
        <v>22</v>
      </c>
      <c r="C944" t="s">
        <v>170</v>
      </c>
      <c r="D944" t="s">
        <v>171</v>
      </c>
      <c r="E944" t="s">
        <v>109</v>
      </c>
      <c r="F944" t="s">
        <v>80</v>
      </c>
      <c r="G944">
        <v>0</v>
      </c>
    </row>
    <row r="945" spans="1:7" x14ac:dyDescent="0.3">
      <c r="A945">
        <v>2019</v>
      </c>
      <c r="B945" t="s">
        <v>22</v>
      </c>
      <c r="C945" t="s">
        <v>170</v>
      </c>
      <c r="D945" t="s">
        <v>171</v>
      </c>
      <c r="E945" t="s">
        <v>110</v>
      </c>
      <c r="F945" t="s">
        <v>80</v>
      </c>
      <c r="G945">
        <v>0</v>
      </c>
    </row>
    <row r="946" spans="1:7" x14ac:dyDescent="0.3">
      <c r="A946">
        <v>2019</v>
      </c>
      <c r="B946" t="s">
        <v>23</v>
      </c>
      <c r="C946" t="s">
        <v>170</v>
      </c>
      <c r="D946" t="s">
        <v>171</v>
      </c>
      <c r="E946" t="s">
        <v>108</v>
      </c>
      <c r="F946" t="s">
        <v>80</v>
      </c>
      <c r="G946">
        <v>0</v>
      </c>
    </row>
    <row r="947" spans="1:7" x14ac:dyDescent="0.3">
      <c r="A947">
        <v>2019</v>
      </c>
      <c r="B947" t="s">
        <v>23</v>
      </c>
      <c r="C947" t="s">
        <v>170</v>
      </c>
      <c r="D947" t="s">
        <v>171</v>
      </c>
      <c r="E947" t="s">
        <v>91</v>
      </c>
      <c r="F947" t="s">
        <v>80</v>
      </c>
      <c r="G947">
        <v>0</v>
      </c>
    </row>
    <row r="948" spans="1:7" x14ac:dyDescent="0.3">
      <c r="A948">
        <v>2019</v>
      </c>
      <c r="B948" t="s">
        <v>23</v>
      </c>
      <c r="C948" t="s">
        <v>170</v>
      </c>
      <c r="D948" t="s">
        <v>171</v>
      </c>
      <c r="E948" t="s">
        <v>109</v>
      </c>
      <c r="F948" t="s">
        <v>80</v>
      </c>
      <c r="G948">
        <v>0</v>
      </c>
    </row>
    <row r="949" spans="1:7" x14ac:dyDescent="0.3">
      <c r="A949">
        <v>2019</v>
      </c>
      <c r="B949" t="s">
        <v>23</v>
      </c>
      <c r="C949" t="s">
        <v>170</v>
      </c>
      <c r="D949" t="s">
        <v>171</v>
      </c>
      <c r="E949" t="s">
        <v>110</v>
      </c>
      <c r="F949" t="s">
        <v>80</v>
      </c>
      <c r="G949">
        <v>0</v>
      </c>
    </row>
    <row r="950" spans="1:7" x14ac:dyDescent="0.3">
      <c r="A950">
        <v>2019</v>
      </c>
      <c r="B950" t="s">
        <v>24</v>
      </c>
      <c r="C950" t="s">
        <v>170</v>
      </c>
      <c r="D950" t="s">
        <v>171</v>
      </c>
      <c r="E950" t="s">
        <v>108</v>
      </c>
      <c r="F950" t="s">
        <v>80</v>
      </c>
      <c r="G950">
        <v>0</v>
      </c>
    </row>
    <row r="951" spans="1:7" x14ac:dyDescent="0.3">
      <c r="A951">
        <v>2019</v>
      </c>
      <c r="B951" t="s">
        <v>24</v>
      </c>
      <c r="C951" t="s">
        <v>170</v>
      </c>
      <c r="D951" t="s">
        <v>171</v>
      </c>
      <c r="E951" t="s">
        <v>91</v>
      </c>
      <c r="F951" t="s">
        <v>80</v>
      </c>
      <c r="G951">
        <v>0</v>
      </c>
    </row>
    <row r="952" spans="1:7" x14ac:dyDescent="0.3">
      <c r="A952">
        <v>2019</v>
      </c>
      <c r="B952" t="s">
        <v>24</v>
      </c>
      <c r="C952" t="s">
        <v>170</v>
      </c>
      <c r="D952" t="s">
        <v>171</v>
      </c>
      <c r="E952" t="s">
        <v>109</v>
      </c>
      <c r="F952" t="s">
        <v>80</v>
      </c>
      <c r="G952">
        <v>0</v>
      </c>
    </row>
    <row r="953" spans="1:7" x14ac:dyDescent="0.3">
      <c r="A953">
        <v>2019</v>
      </c>
      <c r="B953" t="s">
        <v>24</v>
      </c>
      <c r="C953" t="s">
        <v>170</v>
      </c>
      <c r="D953" t="s">
        <v>171</v>
      </c>
      <c r="E953" t="s">
        <v>110</v>
      </c>
      <c r="F953" t="s">
        <v>80</v>
      </c>
      <c r="G953">
        <v>0</v>
      </c>
    </row>
    <row r="954" spans="1:7" x14ac:dyDescent="0.3">
      <c r="A954">
        <v>2019</v>
      </c>
      <c r="B954" t="s">
        <v>25</v>
      </c>
      <c r="C954" t="s">
        <v>170</v>
      </c>
      <c r="D954" t="s">
        <v>171</v>
      </c>
      <c r="E954" t="s">
        <v>108</v>
      </c>
      <c r="F954" t="s">
        <v>80</v>
      </c>
      <c r="G954">
        <v>0</v>
      </c>
    </row>
    <row r="955" spans="1:7" x14ac:dyDescent="0.3">
      <c r="A955">
        <v>2019</v>
      </c>
      <c r="B955" t="s">
        <v>25</v>
      </c>
      <c r="C955" t="s">
        <v>170</v>
      </c>
      <c r="D955" t="s">
        <v>171</v>
      </c>
      <c r="E955" t="s">
        <v>91</v>
      </c>
      <c r="F955" t="s">
        <v>80</v>
      </c>
      <c r="G955">
        <v>0</v>
      </c>
    </row>
    <row r="956" spans="1:7" x14ac:dyDescent="0.3">
      <c r="A956">
        <v>2019</v>
      </c>
      <c r="B956" t="s">
        <v>25</v>
      </c>
      <c r="C956" t="s">
        <v>170</v>
      </c>
      <c r="D956" t="s">
        <v>171</v>
      </c>
      <c r="E956" t="s">
        <v>109</v>
      </c>
      <c r="F956" t="s">
        <v>80</v>
      </c>
      <c r="G956">
        <v>0</v>
      </c>
    </row>
    <row r="957" spans="1:7" x14ac:dyDescent="0.3">
      <c r="A957">
        <v>2019</v>
      </c>
      <c r="B957" t="s">
        <v>25</v>
      </c>
      <c r="C957" t="s">
        <v>170</v>
      </c>
      <c r="D957" t="s">
        <v>171</v>
      </c>
      <c r="E957" t="s">
        <v>110</v>
      </c>
      <c r="F957" t="s">
        <v>80</v>
      </c>
      <c r="G957">
        <v>0</v>
      </c>
    </row>
    <row r="958" spans="1:7" x14ac:dyDescent="0.3">
      <c r="A958">
        <v>2019</v>
      </c>
      <c r="B958" t="s">
        <v>26</v>
      </c>
      <c r="C958" t="s">
        <v>170</v>
      </c>
      <c r="D958" t="s">
        <v>171</v>
      </c>
      <c r="E958" t="s">
        <v>108</v>
      </c>
      <c r="F958" t="s">
        <v>80</v>
      </c>
      <c r="G958">
        <v>0</v>
      </c>
    </row>
    <row r="959" spans="1:7" x14ac:dyDescent="0.3">
      <c r="A959">
        <v>2019</v>
      </c>
      <c r="B959" t="s">
        <v>26</v>
      </c>
      <c r="C959" t="s">
        <v>170</v>
      </c>
      <c r="D959" t="s">
        <v>171</v>
      </c>
      <c r="E959" t="s">
        <v>91</v>
      </c>
      <c r="F959" t="s">
        <v>80</v>
      </c>
      <c r="G959">
        <v>0</v>
      </c>
    </row>
    <row r="960" spans="1:7" x14ac:dyDescent="0.3">
      <c r="A960">
        <v>2019</v>
      </c>
      <c r="B960" t="s">
        <v>26</v>
      </c>
      <c r="C960" t="s">
        <v>170</v>
      </c>
      <c r="D960" t="s">
        <v>171</v>
      </c>
      <c r="E960" t="s">
        <v>109</v>
      </c>
      <c r="F960" t="s">
        <v>80</v>
      </c>
      <c r="G960">
        <v>0</v>
      </c>
    </row>
    <row r="961" spans="1:7" x14ac:dyDescent="0.3">
      <c r="A961">
        <v>2019</v>
      </c>
      <c r="B961" t="s">
        <v>26</v>
      </c>
      <c r="C961" t="s">
        <v>170</v>
      </c>
      <c r="D961" t="s">
        <v>171</v>
      </c>
      <c r="E961" t="s">
        <v>110</v>
      </c>
      <c r="F961" t="s">
        <v>80</v>
      </c>
      <c r="G961">
        <v>0</v>
      </c>
    </row>
    <row r="962" spans="1:7" x14ac:dyDescent="0.3">
      <c r="A962">
        <v>2019</v>
      </c>
      <c r="B962" t="s">
        <v>27</v>
      </c>
      <c r="C962" t="s">
        <v>170</v>
      </c>
      <c r="D962" t="s">
        <v>171</v>
      </c>
      <c r="E962" t="s">
        <v>108</v>
      </c>
      <c r="F962" t="s">
        <v>80</v>
      </c>
      <c r="G962">
        <v>1</v>
      </c>
    </row>
    <row r="963" spans="1:7" x14ac:dyDescent="0.3">
      <c r="A963">
        <v>2019</v>
      </c>
      <c r="B963" t="s">
        <v>27</v>
      </c>
      <c r="C963" t="s">
        <v>170</v>
      </c>
      <c r="D963" t="s">
        <v>171</v>
      </c>
      <c r="E963" t="s">
        <v>91</v>
      </c>
      <c r="F963" t="s">
        <v>80</v>
      </c>
      <c r="G963">
        <v>0</v>
      </c>
    </row>
    <row r="964" spans="1:7" x14ac:dyDescent="0.3">
      <c r="A964">
        <v>2019</v>
      </c>
      <c r="B964" t="s">
        <v>27</v>
      </c>
      <c r="C964" t="s">
        <v>170</v>
      </c>
      <c r="D964" t="s">
        <v>171</v>
      </c>
      <c r="E964" t="s">
        <v>109</v>
      </c>
      <c r="F964" t="s">
        <v>80</v>
      </c>
      <c r="G964">
        <v>0</v>
      </c>
    </row>
    <row r="965" spans="1:7" x14ac:dyDescent="0.3">
      <c r="A965">
        <v>2019</v>
      </c>
      <c r="B965" t="s">
        <v>27</v>
      </c>
      <c r="C965" t="s">
        <v>170</v>
      </c>
      <c r="D965" t="s">
        <v>171</v>
      </c>
      <c r="E965" t="s">
        <v>110</v>
      </c>
      <c r="F965" t="s">
        <v>80</v>
      </c>
      <c r="G965">
        <v>0</v>
      </c>
    </row>
    <row r="966" spans="1:7" x14ac:dyDescent="0.3">
      <c r="A966">
        <v>2019</v>
      </c>
      <c r="B966" t="s">
        <v>29</v>
      </c>
      <c r="C966" t="s">
        <v>170</v>
      </c>
      <c r="D966" t="s">
        <v>171</v>
      </c>
      <c r="E966" t="s">
        <v>108</v>
      </c>
      <c r="F966" t="s">
        <v>80</v>
      </c>
      <c r="G966">
        <v>0</v>
      </c>
    </row>
    <row r="967" spans="1:7" x14ac:dyDescent="0.3">
      <c r="A967">
        <v>2019</v>
      </c>
      <c r="B967" t="s">
        <v>29</v>
      </c>
      <c r="C967" t="s">
        <v>170</v>
      </c>
      <c r="D967" t="s">
        <v>171</v>
      </c>
      <c r="E967" t="s">
        <v>91</v>
      </c>
      <c r="F967" t="s">
        <v>80</v>
      </c>
      <c r="G967">
        <v>0</v>
      </c>
    </row>
    <row r="968" spans="1:7" x14ac:dyDescent="0.3">
      <c r="A968">
        <v>2019</v>
      </c>
      <c r="B968" t="s">
        <v>29</v>
      </c>
      <c r="C968" t="s">
        <v>170</v>
      </c>
      <c r="D968" t="s">
        <v>171</v>
      </c>
      <c r="E968" t="s">
        <v>109</v>
      </c>
      <c r="F968" t="s">
        <v>80</v>
      </c>
      <c r="G968">
        <v>0</v>
      </c>
    </row>
    <row r="969" spans="1:7" x14ac:dyDescent="0.3">
      <c r="A969">
        <v>2019</v>
      </c>
      <c r="B969" t="s">
        <v>29</v>
      </c>
      <c r="C969" t="s">
        <v>170</v>
      </c>
      <c r="D969" t="s">
        <v>171</v>
      </c>
      <c r="E969" t="s">
        <v>110</v>
      </c>
      <c r="F969" t="s">
        <v>80</v>
      </c>
      <c r="G969">
        <v>0</v>
      </c>
    </row>
    <row r="970" spans="1:7" x14ac:dyDescent="0.3">
      <c r="A970">
        <v>2019</v>
      </c>
      <c r="B970" t="s">
        <v>30</v>
      </c>
      <c r="C970" t="s">
        <v>170</v>
      </c>
      <c r="D970" t="s">
        <v>171</v>
      </c>
      <c r="E970" t="s">
        <v>108</v>
      </c>
      <c r="F970" t="s">
        <v>80</v>
      </c>
      <c r="G970">
        <v>0</v>
      </c>
    </row>
    <row r="971" spans="1:7" x14ac:dyDescent="0.3">
      <c r="A971">
        <v>2019</v>
      </c>
      <c r="B971" t="s">
        <v>30</v>
      </c>
      <c r="C971" t="s">
        <v>170</v>
      </c>
      <c r="D971" t="s">
        <v>171</v>
      </c>
      <c r="E971" t="s">
        <v>91</v>
      </c>
      <c r="F971" t="s">
        <v>80</v>
      </c>
      <c r="G971">
        <v>0</v>
      </c>
    </row>
    <row r="972" spans="1:7" x14ac:dyDescent="0.3">
      <c r="A972">
        <v>2019</v>
      </c>
      <c r="B972" t="s">
        <v>30</v>
      </c>
      <c r="C972" t="s">
        <v>170</v>
      </c>
      <c r="D972" t="s">
        <v>171</v>
      </c>
      <c r="E972" t="s">
        <v>109</v>
      </c>
      <c r="F972" t="s">
        <v>80</v>
      </c>
      <c r="G972">
        <v>0</v>
      </c>
    </row>
    <row r="973" spans="1:7" x14ac:dyDescent="0.3">
      <c r="A973">
        <v>2019</v>
      </c>
      <c r="B973" t="s">
        <v>30</v>
      </c>
      <c r="C973" t="s">
        <v>170</v>
      </c>
      <c r="D973" t="s">
        <v>171</v>
      </c>
      <c r="E973" t="s">
        <v>110</v>
      </c>
      <c r="F973" t="s">
        <v>80</v>
      </c>
      <c r="G973">
        <v>0</v>
      </c>
    </row>
    <row r="974" spans="1:7" x14ac:dyDescent="0.3">
      <c r="A974">
        <v>2019</v>
      </c>
      <c r="B974" t="s">
        <v>31</v>
      </c>
      <c r="C974" t="s">
        <v>170</v>
      </c>
      <c r="D974" t="s">
        <v>171</v>
      </c>
      <c r="E974" t="s">
        <v>108</v>
      </c>
      <c r="F974" t="s">
        <v>80</v>
      </c>
      <c r="G974">
        <v>0</v>
      </c>
    </row>
    <row r="975" spans="1:7" x14ac:dyDescent="0.3">
      <c r="A975">
        <v>2019</v>
      </c>
      <c r="B975" t="s">
        <v>31</v>
      </c>
      <c r="C975" t="s">
        <v>170</v>
      </c>
      <c r="D975" t="s">
        <v>171</v>
      </c>
      <c r="E975" t="s">
        <v>91</v>
      </c>
      <c r="F975" t="s">
        <v>80</v>
      </c>
      <c r="G975">
        <v>0</v>
      </c>
    </row>
    <row r="976" spans="1:7" x14ac:dyDescent="0.3">
      <c r="A976">
        <v>2019</v>
      </c>
      <c r="B976" t="s">
        <v>31</v>
      </c>
      <c r="C976" t="s">
        <v>170</v>
      </c>
      <c r="D976" t="s">
        <v>171</v>
      </c>
      <c r="E976" t="s">
        <v>109</v>
      </c>
      <c r="F976" t="s">
        <v>80</v>
      </c>
      <c r="G976">
        <v>0</v>
      </c>
    </row>
    <row r="977" spans="1:7" x14ac:dyDescent="0.3">
      <c r="A977">
        <v>2019</v>
      </c>
      <c r="B977" t="s">
        <v>31</v>
      </c>
      <c r="C977" t="s">
        <v>170</v>
      </c>
      <c r="D977" t="s">
        <v>171</v>
      </c>
      <c r="E977" t="s">
        <v>110</v>
      </c>
      <c r="F977" t="s">
        <v>80</v>
      </c>
      <c r="G977">
        <v>0</v>
      </c>
    </row>
    <row r="978" spans="1:7" x14ac:dyDescent="0.3">
      <c r="A978">
        <v>2019</v>
      </c>
      <c r="B978" t="s">
        <v>32</v>
      </c>
      <c r="C978" t="s">
        <v>170</v>
      </c>
      <c r="D978" t="s">
        <v>171</v>
      </c>
      <c r="E978" t="s">
        <v>108</v>
      </c>
      <c r="F978" t="s">
        <v>80</v>
      </c>
      <c r="G978">
        <v>0</v>
      </c>
    </row>
    <row r="979" spans="1:7" x14ac:dyDescent="0.3">
      <c r="A979">
        <v>2019</v>
      </c>
      <c r="B979" t="s">
        <v>32</v>
      </c>
      <c r="C979" t="s">
        <v>170</v>
      </c>
      <c r="D979" t="s">
        <v>171</v>
      </c>
      <c r="E979" t="s">
        <v>91</v>
      </c>
      <c r="F979" t="s">
        <v>80</v>
      </c>
      <c r="G979">
        <v>0</v>
      </c>
    </row>
    <row r="980" spans="1:7" x14ac:dyDescent="0.3">
      <c r="A980">
        <v>2019</v>
      </c>
      <c r="B980" t="s">
        <v>32</v>
      </c>
      <c r="C980" t="s">
        <v>170</v>
      </c>
      <c r="D980" t="s">
        <v>171</v>
      </c>
      <c r="E980" t="s">
        <v>109</v>
      </c>
      <c r="F980" t="s">
        <v>80</v>
      </c>
      <c r="G980">
        <v>0</v>
      </c>
    </row>
    <row r="981" spans="1:7" x14ac:dyDescent="0.3">
      <c r="A981">
        <v>2019</v>
      </c>
      <c r="B981" t="s">
        <v>32</v>
      </c>
      <c r="C981" t="s">
        <v>170</v>
      </c>
      <c r="D981" t="s">
        <v>171</v>
      </c>
      <c r="E981" t="s">
        <v>110</v>
      </c>
      <c r="F981" t="s">
        <v>80</v>
      </c>
      <c r="G981">
        <v>0</v>
      </c>
    </row>
    <row r="982" spans="1:7" x14ac:dyDescent="0.3">
      <c r="A982">
        <v>2019</v>
      </c>
      <c r="B982" t="s">
        <v>63</v>
      </c>
      <c r="C982" t="s">
        <v>170</v>
      </c>
      <c r="D982" t="s">
        <v>171</v>
      </c>
      <c r="E982" t="s">
        <v>108</v>
      </c>
      <c r="F982" t="s">
        <v>80</v>
      </c>
      <c r="G982">
        <v>0</v>
      </c>
    </row>
    <row r="983" spans="1:7" x14ac:dyDescent="0.3">
      <c r="A983">
        <v>2019</v>
      </c>
      <c r="B983" t="s">
        <v>63</v>
      </c>
      <c r="C983" t="s">
        <v>170</v>
      </c>
      <c r="D983" t="s">
        <v>171</v>
      </c>
      <c r="E983" t="s">
        <v>91</v>
      </c>
      <c r="F983" t="s">
        <v>80</v>
      </c>
      <c r="G983">
        <v>1</v>
      </c>
    </row>
    <row r="984" spans="1:7" x14ac:dyDescent="0.3">
      <c r="A984">
        <v>2019</v>
      </c>
      <c r="B984" t="s">
        <v>63</v>
      </c>
      <c r="C984" t="s">
        <v>170</v>
      </c>
      <c r="D984" t="s">
        <v>171</v>
      </c>
      <c r="E984" t="s">
        <v>109</v>
      </c>
      <c r="F984" t="s">
        <v>80</v>
      </c>
      <c r="G984">
        <v>1</v>
      </c>
    </row>
    <row r="985" spans="1:7" x14ac:dyDescent="0.3">
      <c r="A985">
        <v>2019</v>
      </c>
      <c r="B985" t="s">
        <v>63</v>
      </c>
      <c r="C985" t="s">
        <v>170</v>
      </c>
      <c r="D985" t="s">
        <v>171</v>
      </c>
      <c r="E985" t="s">
        <v>110</v>
      </c>
      <c r="F985" t="s">
        <v>80</v>
      </c>
      <c r="G985">
        <v>0</v>
      </c>
    </row>
    <row r="986" spans="1:7" x14ac:dyDescent="0.3">
      <c r="A986">
        <v>2019</v>
      </c>
      <c r="B986" t="s">
        <v>57</v>
      </c>
      <c r="C986" t="s">
        <v>170</v>
      </c>
      <c r="D986" t="s">
        <v>171</v>
      </c>
      <c r="E986" t="s">
        <v>108</v>
      </c>
      <c r="F986" t="s">
        <v>80</v>
      </c>
      <c r="G986">
        <v>0</v>
      </c>
    </row>
    <row r="987" spans="1:7" x14ac:dyDescent="0.3">
      <c r="A987">
        <v>2019</v>
      </c>
      <c r="B987" t="s">
        <v>57</v>
      </c>
      <c r="C987" t="s">
        <v>170</v>
      </c>
      <c r="D987" t="s">
        <v>171</v>
      </c>
      <c r="E987" t="s">
        <v>91</v>
      </c>
      <c r="F987" t="s">
        <v>80</v>
      </c>
      <c r="G987">
        <v>0</v>
      </c>
    </row>
    <row r="988" spans="1:7" x14ac:dyDescent="0.3">
      <c r="A988">
        <v>2019</v>
      </c>
      <c r="B988" t="s">
        <v>57</v>
      </c>
      <c r="C988" t="s">
        <v>170</v>
      </c>
      <c r="D988" t="s">
        <v>171</v>
      </c>
      <c r="E988" t="s">
        <v>109</v>
      </c>
      <c r="F988" t="s">
        <v>80</v>
      </c>
      <c r="G988">
        <v>1</v>
      </c>
    </row>
    <row r="989" spans="1:7" x14ac:dyDescent="0.3">
      <c r="A989">
        <v>2019</v>
      </c>
      <c r="B989" t="s">
        <v>57</v>
      </c>
      <c r="C989" t="s">
        <v>170</v>
      </c>
      <c r="D989" t="s">
        <v>171</v>
      </c>
      <c r="E989" t="s">
        <v>110</v>
      </c>
      <c r="F989" t="s">
        <v>80</v>
      </c>
      <c r="G989">
        <v>0</v>
      </c>
    </row>
    <row r="990" spans="1:7" x14ac:dyDescent="0.3">
      <c r="A990">
        <v>2019</v>
      </c>
      <c r="B990" t="s">
        <v>33</v>
      </c>
      <c r="C990" t="s">
        <v>170</v>
      </c>
      <c r="D990" t="s">
        <v>171</v>
      </c>
      <c r="E990" t="s">
        <v>108</v>
      </c>
      <c r="F990" t="s">
        <v>80</v>
      </c>
      <c r="G990">
        <v>0</v>
      </c>
    </row>
    <row r="991" spans="1:7" x14ac:dyDescent="0.3">
      <c r="A991">
        <v>2019</v>
      </c>
      <c r="B991" t="s">
        <v>33</v>
      </c>
      <c r="C991" t="s">
        <v>170</v>
      </c>
      <c r="D991" t="s">
        <v>171</v>
      </c>
      <c r="E991" t="s">
        <v>91</v>
      </c>
      <c r="F991" t="s">
        <v>80</v>
      </c>
      <c r="G991">
        <v>0</v>
      </c>
    </row>
    <row r="992" spans="1:7" x14ac:dyDescent="0.3">
      <c r="A992">
        <v>2019</v>
      </c>
      <c r="B992" t="s">
        <v>33</v>
      </c>
      <c r="C992" t="s">
        <v>170</v>
      </c>
      <c r="D992" t="s">
        <v>171</v>
      </c>
      <c r="E992" t="s">
        <v>109</v>
      </c>
      <c r="F992" t="s">
        <v>80</v>
      </c>
      <c r="G992">
        <v>0</v>
      </c>
    </row>
    <row r="993" spans="1:7" x14ac:dyDescent="0.3">
      <c r="A993">
        <v>2019</v>
      </c>
      <c r="B993" t="s">
        <v>33</v>
      </c>
      <c r="C993" t="s">
        <v>170</v>
      </c>
      <c r="D993" t="s">
        <v>171</v>
      </c>
      <c r="E993" t="s">
        <v>110</v>
      </c>
      <c r="F993" t="s">
        <v>80</v>
      </c>
      <c r="G993">
        <v>0</v>
      </c>
    </row>
    <row r="994" spans="1:7" x14ac:dyDescent="0.3">
      <c r="A994">
        <v>2019</v>
      </c>
      <c r="B994" t="s">
        <v>34</v>
      </c>
      <c r="C994" t="s">
        <v>170</v>
      </c>
      <c r="D994" t="s">
        <v>171</v>
      </c>
      <c r="E994" t="s">
        <v>108</v>
      </c>
      <c r="F994" t="s">
        <v>80</v>
      </c>
      <c r="G994">
        <v>0</v>
      </c>
    </row>
    <row r="995" spans="1:7" x14ac:dyDescent="0.3">
      <c r="A995">
        <v>2019</v>
      </c>
      <c r="B995" t="s">
        <v>34</v>
      </c>
      <c r="C995" t="s">
        <v>170</v>
      </c>
      <c r="D995" t="s">
        <v>171</v>
      </c>
      <c r="E995" t="s">
        <v>91</v>
      </c>
      <c r="F995" t="s">
        <v>80</v>
      </c>
      <c r="G995">
        <v>0</v>
      </c>
    </row>
    <row r="996" spans="1:7" x14ac:dyDescent="0.3">
      <c r="A996">
        <v>2019</v>
      </c>
      <c r="B996" t="s">
        <v>34</v>
      </c>
      <c r="C996" t="s">
        <v>170</v>
      </c>
      <c r="D996" t="s">
        <v>171</v>
      </c>
      <c r="E996" t="s">
        <v>109</v>
      </c>
      <c r="F996" t="s">
        <v>80</v>
      </c>
      <c r="G996">
        <v>0</v>
      </c>
    </row>
    <row r="997" spans="1:7" x14ac:dyDescent="0.3">
      <c r="A997">
        <v>2019</v>
      </c>
      <c r="B997" t="s">
        <v>34</v>
      </c>
      <c r="C997" t="s">
        <v>170</v>
      </c>
      <c r="D997" t="s">
        <v>171</v>
      </c>
      <c r="E997" t="s">
        <v>110</v>
      </c>
      <c r="F997" t="s">
        <v>80</v>
      </c>
      <c r="G997">
        <v>0</v>
      </c>
    </row>
    <row r="998" spans="1:7" x14ac:dyDescent="0.3">
      <c r="A998">
        <v>2019</v>
      </c>
      <c r="B998" t="s">
        <v>35</v>
      </c>
      <c r="C998" t="s">
        <v>170</v>
      </c>
      <c r="D998" t="s">
        <v>171</v>
      </c>
      <c r="E998" t="s">
        <v>108</v>
      </c>
      <c r="F998" t="s">
        <v>80</v>
      </c>
      <c r="G998">
        <v>0</v>
      </c>
    </row>
    <row r="999" spans="1:7" x14ac:dyDescent="0.3">
      <c r="A999">
        <v>2019</v>
      </c>
      <c r="B999" t="s">
        <v>35</v>
      </c>
      <c r="C999" t="s">
        <v>170</v>
      </c>
      <c r="D999" t="s">
        <v>171</v>
      </c>
      <c r="E999" t="s">
        <v>91</v>
      </c>
      <c r="F999" t="s">
        <v>80</v>
      </c>
      <c r="G999">
        <v>0</v>
      </c>
    </row>
    <row r="1000" spans="1:7" x14ac:dyDescent="0.3">
      <c r="A1000">
        <v>2019</v>
      </c>
      <c r="B1000" t="s">
        <v>35</v>
      </c>
      <c r="C1000" t="s">
        <v>170</v>
      </c>
      <c r="D1000" t="s">
        <v>171</v>
      </c>
      <c r="E1000" t="s">
        <v>109</v>
      </c>
      <c r="F1000" t="s">
        <v>80</v>
      </c>
      <c r="G1000">
        <v>0</v>
      </c>
    </row>
    <row r="1001" spans="1:7" x14ac:dyDescent="0.3">
      <c r="A1001">
        <v>2019</v>
      </c>
      <c r="B1001" t="s">
        <v>35</v>
      </c>
      <c r="C1001" t="s">
        <v>170</v>
      </c>
      <c r="D1001" t="s">
        <v>171</v>
      </c>
      <c r="E1001" t="s">
        <v>110</v>
      </c>
      <c r="F1001" t="s">
        <v>80</v>
      </c>
      <c r="G1001">
        <v>0</v>
      </c>
    </row>
    <row r="1002" spans="1:7" x14ac:dyDescent="0.3">
      <c r="A1002">
        <v>2019</v>
      </c>
      <c r="B1002" t="s">
        <v>36</v>
      </c>
      <c r="C1002" t="s">
        <v>170</v>
      </c>
      <c r="D1002" t="s">
        <v>171</v>
      </c>
      <c r="E1002" t="s">
        <v>108</v>
      </c>
      <c r="F1002" t="s">
        <v>80</v>
      </c>
      <c r="G1002">
        <v>0</v>
      </c>
    </row>
    <row r="1003" spans="1:7" x14ac:dyDescent="0.3">
      <c r="A1003">
        <v>2019</v>
      </c>
      <c r="B1003" t="s">
        <v>36</v>
      </c>
      <c r="C1003" t="s">
        <v>170</v>
      </c>
      <c r="D1003" t="s">
        <v>171</v>
      </c>
      <c r="E1003" t="s">
        <v>91</v>
      </c>
      <c r="F1003" t="s">
        <v>80</v>
      </c>
      <c r="G1003">
        <v>0</v>
      </c>
    </row>
    <row r="1004" spans="1:7" x14ac:dyDescent="0.3">
      <c r="A1004">
        <v>2019</v>
      </c>
      <c r="B1004" t="s">
        <v>36</v>
      </c>
      <c r="C1004" t="s">
        <v>170</v>
      </c>
      <c r="D1004" t="s">
        <v>171</v>
      </c>
      <c r="E1004" t="s">
        <v>109</v>
      </c>
      <c r="F1004" t="s">
        <v>80</v>
      </c>
      <c r="G1004">
        <v>0</v>
      </c>
    </row>
    <row r="1005" spans="1:7" x14ac:dyDescent="0.3">
      <c r="A1005">
        <v>2019</v>
      </c>
      <c r="B1005" t="s">
        <v>36</v>
      </c>
      <c r="C1005" t="s">
        <v>170</v>
      </c>
      <c r="D1005" t="s">
        <v>171</v>
      </c>
      <c r="E1005" t="s">
        <v>110</v>
      </c>
      <c r="F1005" t="s">
        <v>80</v>
      </c>
      <c r="G1005">
        <v>0</v>
      </c>
    </row>
    <row r="1006" spans="1:7" x14ac:dyDescent="0.3">
      <c r="A1006">
        <v>2019</v>
      </c>
      <c r="B1006" t="s">
        <v>37</v>
      </c>
      <c r="C1006" t="s">
        <v>170</v>
      </c>
      <c r="D1006" t="s">
        <v>171</v>
      </c>
      <c r="E1006" t="s">
        <v>108</v>
      </c>
      <c r="F1006" t="s">
        <v>80</v>
      </c>
      <c r="G1006">
        <v>0</v>
      </c>
    </row>
    <row r="1007" spans="1:7" x14ac:dyDescent="0.3">
      <c r="A1007">
        <v>2019</v>
      </c>
      <c r="B1007" t="s">
        <v>37</v>
      </c>
      <c r="C1007" t="s">
        <v>170</v>
      </c>
      <c r="D1007" t="s">
        <v>171</v>
      </c>
      <c r="E1007" t="s">
        <v>91</v>
      </c>
      <c r="F1007" t="s">
        <v>80</v>
      </c>
      <c r="G1007">
        <v>0</v>
      </c>
    </row>
    <row r="1008" spans="1:7" x14ac:dyDescent="0.3">
      <c r="A1008">
        <v>2019</v>
      </c>
      <c r="B1008" t="s">
        <v>37</v>
      </c>
      <c r="C1008" t="s">
        <v>170</v>
      </c>
      <c r="D1008" t="s">
        <v>171</v>
      </c>
      <c r="E1008" t="s">
        <v>109</v>
      </c>
      <c r="F1008" t="s">
        <v>80</v>
      </c>
      <c r="G1008">
        <v>0</v>
      </c>
    </row>
    <row r="1009" spans="1:7" x14ac:dyDescent="0.3">
      <c r="A1009">
        <v>2019</v>
      </c>
      <c r="B1009" t="s">
        <v>37</v>
      </c>
      <c r="C1009" t="s">
        <v>170</v>
      </c>
      <c r="D1009" t="s">
        <v>171</v>
      </c>
      <c r="E1009" t="s">
        <v>110</v>
      </c>
      <c r="F1009" t="s">
        <v>80</v>
      </c>
      <c r="G1009">
        <v>0</v>
      </c>
    </row>
    <row r="1010" spans="1:7" x14ac:dyDescent="0.3">
      <c r="A1010">
        <v>2019</v>
      </c>
      <c r="B1010" t="s">
        <v>55</v>
      </c>
      <c r="C1010" t="s">
        <v>170</v>
      </c>
      <c r="D1010" t="s">
        <v>171</v>
      </c>
      <c r="E1010" t="s">
        <v>108</v>
      </c>
      <c r="F1010" t="s">
        <v>80</v>
      </c>
      <c r="G1010">
        <v>0</v>
      </c>
    </row>
    <row r="1011" spans="1:7" x14ac:dyDescent="0.3">
      <c r="A1011">
        <v>2019</v>
      </c>
      <c r="B1011" t="s">
        <v>55</v>
      </c>
      <c r="C1011" t="s">
        <v>170</v>
      </c>
      <c r="D1011" t="s">
        <v>171</v>
      </c>
      <c r="E1011" t="s">
        <v>91</v>
      </c>
      <c r="F1011" t="s">
        <v>80</v>
      </c>
      <c r="G1011">
        <v>0</v>
      </c>
    </row>
    <row r="1012" spans="1:7" x14ac:dyDescent="0.3">
      <c r="A1012">
        <v>2019</v>
      </c>
      <c r="B1012" t="s">
        <v>55</v>
      </c>
      <c r="C1012" t="s">
        <v>170</v>
      </c>
      <c r="D1012" t="s">
        <v>171</v>
      </c>
      <c r="E1012" t="s">
        <v>109</v>
      </c>
      <c r="F1012" t="s">
        <v>80</v>
      </c>
      <c r="G1012">
        <v>0</v>
      </c>
    </row>
    <row r="1013" spans="1:7" x14ac:dyDescent="0.3">
      <c r="A1013">
        <v>2019</v>
      </c>
      <c r="B1013" t="s">
        <v>55</v>
      </c>
      <c r="C1013" t="s">
        <v>170</v>
      </c>
      <c r="D1013" t="s">
        <v>171</v>
      </c>
      <c r="E1013" t="s">
        <v>110</v>
      </c>
      <c r="F1013" t="s">
        <v>80</v>
      </c>
      <c r="G1013">
        <v>0</v>
      </c>
    </row>
    <row r="1014" spans="1:7" x14ac:dyDescent="0.3">
      <c r="A1014">
        <v>2019</v>
      </c>
      <c r="B1014" t="s">
        <v>38</v>
      </c>
      <c r="C1014" t="s">
        <v>170</v>
      </c>
      <c r="D1014" t="s">
        <v>171</v>
      </c>
      <c r="E1014" t="s">
        <v>108</v>
      </c>
      <c r="F1014" t="s">
        <v>80</v>
      </c>
      <c r="G1014">
        <v>0</v>
      </c>
    </row>
    <row r="1015" spans="1:7" x14ac:dyDescent="0.3">
      <c r="A1015">
        <v>2019</v>
      </c>
      <c r="B1015" t="s">
        <v>38</v>
      </c>
      <c r="C1015" t="s">
        <v>170</v>
      </c>
      <c r="D1015" t="s">
        <v>171</v>
      </c>
      <c r="E1015" t="s">
        <v>91</v>
      </c>
      <c r="F1015" t="s">
        <v>80</v>
      </c>
      <c r="G1015">
        <v>0</v>
      </c>
    </row>
    <row r="1016" spans="1:7" x14ac:dyDescent="0.3">
      <c r="A1016">
        <v>2019</v>
      </c>
      <c r="B1016" t="s">
        <v>38</v>
      </c>
      <c r="C1016" t="s">
        <v>170</v>
      </c>
      <c r="D1016" t="s">
        <v>171</v>
      </c>
      <c r="E1016" t="s">
        <v>109</v>
      </c>
      <c r="F1016" t="s">
        <v>80</v>
      </c>
      <c r="G1016">
        <v>0</v>
      </c>
    </row>
    <row r="1017" spans="1:7" x14ac:dyDescent="0.3">
      <c r="A1017">
        <v>2019</v>
      </c>
      <c r="B1017" t="s">
        <v>38</v>
      </c>
      <c r="C1017" t="s">
        <v>170</v>
      </c>
      <c r="D1017" t="s">
        <v>171</v>
      </c>
      <c r="E1017" t="s">
        <v>110</v>
      </c>
      <c r="F1017" t="s">
        <v>80</v>
      </c>
      <c r="G1017">
        <v>0</v>
      </c>
    </row>
    <row r="1018" spans="1:7" x14ac:dyDescent="0.3">
      <c r="A1018">
        <v>2019</v>
      </c>
      <c r="B1018" t="s">
        <v>39</v>
      </c>
      <c r="C1018" t="s">
        <v>170</v>
      </c>
      <c r="D1018" t="s">
        <v>171</v>
      </c>
      <c r="E1018" t="s">
        <v>108</v>
      </c>
      <c r="F1018" t="s">
        <v>80</v>
      </c>
      <c r="G1018">
        <v>0</v>
      </c>
    </row>
    <row r="1019" spans="1:7" x14ac:dyDescent="0.3">
      <c r="A1019">
        <v>2019</v>
      </c>
      <c r="B1019" t="s">
        <v>39</v>
      </c>
      <c r="C1019" t="s">
        <v>170</v>
      </c>
      <c r="D1019" t="s">
        <v>171</v>
      </c>
      <c r="E1019" t="s">
        <v>91</v>
      </c>
      <c r="F1019" t="s">
        <v>80</v>
      </c>
      <c r="G1019">
        <v>0</v>
      </c>
    </row>
    <row r="1020" spans="1:7" x14ac:dyDescent="0.3">
      <c r="A1020">
        <v>2019</v>
      </c>
      <c r="B1020" t="s">
        <v>39</v>
      </c>
      <c r="C1020" t="s">
        <v>170</v>
      </c>
      <c r="D1020" t="s">
        <v>171</v>
      </c>
      <c r="E1020" t="s">
        <v>109</v>
      </c>
      <c r="F1020" t="s">
        <v>80</v>
      </c>
      <c r="G1020">
        <v>0</v>
      </c>
    </row>
    <row r="1021" spans="1:7" x14ac:dyDescent="0.3">
      <c r="A1021">
        <v>2019</v>
      </c>
      <c r="B1021" t="s">
        <v>39</v>
      </c>
      <c r="C1021" t="s">
        <v>170</v>
      </c>
      <c r="D1021" t="s">
        <v>171</v>
      </c>
      <c r="E1021" t="s">
        <v>110</v>
      </c>
      <c r="F1021" t="s">
        <v>80</v>
      </c>
      <c r="G1021">
        <v>0</v>
      </c>
    </row>
    <row r="1022" spans="1:7" x14ac:dyDescent="0.3">
      <c r="A1022">
        <v>2019</v>
      </c>
      <c r="B1022" t="s">
        <v>40</v>
      </c>
      <c r="C1022" t="s">
        <v>170</v>
      </c>
      <c r="D1022" t="s">
        <v>171</v>
      </c>
      <c r="E1022" t="s">
        <v>108</v>
      </c>
      <c r="F1022" t="s">
        <v>80</v>
      </c>
      <c r="G1022">
        <v>0</v>
      </c>
    </row>
    <row r="1023" spans="1:7" x14ac:dyDescent="0.3">
      <c r="A1023">
        <v>2019</v>
      </c>
      <c r="B1023" t="s">
        <v>40</v>
      </c>
      <c r="C1023" t="s">
        <v>170</v>
      </c>
      <c r="D1023" t="s">
        <v>171</v>
      </c>
      <c r="E1023" t="s">
        <v>91</v>
      </c>
      <c r="F1023" t="s">
        <v>80</v>
      </c>
      <c r="G1023">
        <v>0</v>
      </c>
    </row>
    <row r="1024" spans="1:7" x14ac:dyDescent="0.3">
      <c r="A1024">
        <v>2019</v>
      </c>
      <c r="B1024" t="s">
        <v>40</v>
      </c>
      <c r="C1024" t="s">
        <v>170</v>
      </c>
      <c r="D1024" t="s">
        <v>171</v>
      </c>
      <c r="E1024" t="s">
        <v>109</v>
      </c>
      <c r="F1024" t="s">
        <v>80</v>
      </c>
      <c r="G1024">
        <v>0</v>
      </c>
    </row>
    <row r="1025" spans="1:7" x14ac:dyDescent="0.3">
      <c r="A1025">
        <v>2019</v>
      </c>
      <c r="B1025" t="s">
        <v>40</v>
      </c>
      <c r="C1025" t="s">
        <v>170</v>
      </c>
      <c r="D1025" t="s">
        <v>171</v>
      </c>
      <c r="E1025" t="s">
        <v>110</v>
      </c>
      <c r="F1025" t="s">
        <v>80</v>
      </c>
      <c r="G1025">
        <v>0</v>
      </c>
    </row>
    <row r="1026" spans="1:7" x14ac:dyDescent="0.3">
      <c r="A1026">
        <v>2019</v>
      </c>
      <c r="B1026" t="s">
        <v>41</v>
      </c>
      <c r="C1026" t="s">
        <v>170</v>
      </c>
      <c r="D1026" t="s">
        <v>171</v>
      </c>
      <c r="E1026" t="s">
        <v>108</v>
      </c>
      <c r="F1026" t="s">
        <v>80</v>
      </c>
      <c r="G1026">
        <v>0</v>
      </c>
    </row>
    <row r="1027" spans="1:7" x14ac:dyDescent="0.3">
      <c r="A1027">
        <v>2019</v>
      </c>
      <c r="B1027" t="s">
        <v>41</v>
      </c>
      <c r="C1027" t="s">
        <v>170</v>
      </c>
      <c r="D1027" t="s">
        <v>171</v>
      </c>
      <c r="E1027" t="s">
        <v>91</v>
      </c>
      <c r="F1027" t="s">
        <v>80</v>
      </c>
      <c r="G1027">
        <v>0</v>
      </c>
    </row>
    <row r="1028" spans="1:7" x14ac:dyDescent="0.3">
      <c r="A1028">
        <v>2019</v>
      </c>
      <c r="B1028" t="s">
        <v>41</v>
      </c>
      <c r="C1028" t="s">
        <v>170</v>
      </c>
      <c r="D1028" t="s">
        <v>171</v>
      </c>
      <c r="E1028" t="s">
        <v>109</v>
      </c>
      <c r="F1028" t="s">
        <v>80</v>
      </c>
      <c r="G1028">
        <v>0</v>
      </c>
    </row>
    <row r="1029" spans="1:7" x14ac:dyDescent="0.3">
      <c r="A1029">
        <v>2019</v>
      </c>
      <c r="B1029" t="s">
        <v>41</v>
      </c>
      <c r="C1029" t="s">
        <v>170</v>
      </c>
      <c r="D1029" t="s">
        <v>171</v>
      </c>
      <c r="E1029" t="s">
        <v>110</v>
      </c>
      <c r="F1029" t="s">
        <v>80</v>
      </c>
      <c r="G1029">
        <v>0</v>
      </c>
    </row>
    <row r="1030" spans="1:7" x14ac:dyDescent="0.3">
      <c r="A1030">
        <v>2019</v>
      </c>
      <c r="B1030" t="s">
        <v>58</v>
      </c>
      <c r="C1030" t="s">
        <v>170</v>
      </c>
      <c r="D1030" t="s">
        <v>171</v>
      </c>
      <c r="E1030" t="s">
        <v>108</v>
      </c>
      <c r="F1030" t="s">
        <v>80</v>
      </c>
      <c r="G1030">
        <v>0</v>
      </c>
    </row>
    <row r="1031" spans="1:7" x14ac:dyDescent="0.3">
      <c r="A1031">
        <v>2019</v>
      </c>
      <c r="B1031" t="s">
        <v>58</v>
      </c>
      <c r="C1031" t="s">
        <v>170</v>
      </c>
      <c r="D1031" t="s">
        <v>171</v>
      </c>
      <c r="E1031" t="s">
        <v>91</v>
      </c>
      <c r="F1031" t="s">
        <v>80</v>
      </c>
      <c r="G1031">
        <v>0</v>
      </c>
    </row>
    <row r="1032" spans="1:7" x14ac:dyDescent="0.3">
      <c r="A1032">
        <v>2019</v>
      </c>
      <c r="B1032" t="s">
        <v>58</v>
      </c>
      <c r="C1032" t="s">
        <v>170</v>
      </c>
      <c r="D1032" t="s">
        <v>171</v>
      </c>
      <c r="E1032" t="s">
        <v>109</v>
      </c>
      <c r="F1032" t="s">
        <v>80</v>
      </c>
      <c r="G1032">
        <v>0</v>
      </c>
    </row>
    <row r="1033" spans="1:7" x14ac:dyDescent="0.3">
      <c r="A1033">
        <v>2019</v>
      </c>
      <c r="B1033" t="s">
        <v>58</v>
      </c>
      <c r="C1033" t="s">
        <v>170</v>
      </c>
      <c r="D1033" t="s">
        <v>171</v>
      </c>
      <c r="E1033" t="s">
        <v>110</v>
      </c>
      <c r="F1033" t="s">
        <v>80</v>
      </c>
      <c r="G1033">
        <v>0</v>
      </c>
    </row>
    <row r="1034" spans="1:7" x14ac:dyDescent="0.3">
      <c r="A1034">
        <v>2019</v>
      </c>
      <c r="B1034" t="s">
        <v>42</v>
      </c>
      <c r="C1034" t="s">
        <v>170</v>
      </c>
      <c r="D1034" t="s">
        <v>171</v>
      </c>
      <c r="E1034" t="s">
        <v>108</v>
      </c>
      <c r="F1034" t="s">
        <v>80</v>
      </c>
      <c r="G1034">
        <v>0</v>
      </c>
    </row>
    <row r="1035" spans="1:7" x14ac:dyDescent="0.3">
      <c r="A1035">
        <v>2019</v>
      </c>
      <c r="B1035" t="s">
        <v>42</v>
      </c>
      <c r="C1035" t="s">
        <v>170</v>
      </c>
      <c r="D1035" t="s">
        <v>171</v>
      </c>
      <c r="E1035" t="s">
        <v>91</v>
      </c>
      <c r="F1035" t="s">
        <v>80</v>
      </c>
      <c r="G1035">
        <v>0</v>
      </c>
    </row>
    <row r="1036" spans="1:7" x14ac:dyDescent="0.3">
      <c r="A1036">
        <v>2019</v>
      </c>
      <c r="B1036" t="s">
        <v>42</v>
      </c>
      <c r="C1036" t="s">
        <v>170</v>
      </c>
      <c r="D1036" t="s">
        <v>171</v>
      </c>
      <c r="E1036" t="s">
        <v>109</v>
      </c>
      <c r="F1036" t="s">
        <v>80</v>
      </c>
      <c r="G1036">
        <v>0</v>
      </c>
    </row>
    <row r="1037" spans="1:7" x14ac:dyDescent="0.3">
      <c r="A1037">
        <v>2019</v>
      </c>
      <c r="B1037" t="s">
        <v>42</v>
      </c>
      <c r="C1037" t="s">
        <v>170</v>
      </c>
      <c r="D1037" t="s">
        <v>171</v>
      </c>
      <c r="E1037" t="s">
        <v>110</v>
      </c>
      <c r="F1037" t="s">
        <v>80</v>
      </c>
      <c r="G1037">
        <v>0</v>
      </c>
    </row>
    <row r="1038" spans="1:7" x14ac:dyDescent="0.3">
      <c r="A1038">
        <v>2019</v>
      </c>
      <c r="B1038" t="s">
        <v>44</v>
      </c>
      <c r="C1038" t="s">
        <v>170</v>
      </c>
      <c r="D1038" t="s">
        <v>171</v>
      </c>
      <c r="E1038" t="s">
        <v>108</v>
      </c>
      <c r="F1038" t="s">
        <v>80</v>
      </c>
      <c r="G1038">
        <v>0</v>
      </c>
    </row>
    <row r="1039" spans="1:7" x14ac:dyDescent="0.3">
      <c r="A1039">
        <v>2019</v>
      </c>
      <c r="B1039" t="s">
        <v>44</v>
      </c>
      <c r="C1039" t="s">
        <v>170</v>
      </c>
      <c r="D1039" t="s">
        <v>171</v>
      </c>
      <c r="E1039" t="s">
        <v>91</v>
      </c>
      <c r="F1039" t="s">
        <v>80</v>
      </c>
      <c r="G1039">
        <v>0</v>
      </c>
    </row>
    <row r="1040" spans="1:7" x14ac:dyDescent="0.3">
      <c r="A1040">
        <v>2019</v>
      </c>
      <c r="B1040" t="s">
        <v>44</v>
      </c>
      <c r="C1040" t="s">
        <v>170</v>
      </c>
      <c r="D1040" t="s">
        <v>171</v>
      </c>
      <c r="E1040" t="s">
        <v>109</v>
      </c>
      <c r="F1040" t="s">
        <v>80</v>
      </c>
      <c r="G1040">
        <v>0</v>
      </c>
    </row>
    <row r="1041" spans="1:7" x14ac:dyDescent="0.3">
      <c r="A1041">
        <v>2019</v>
      </c>
      <c r="B1041" t="s">
        <v>44</v>
      </c>
      <c r="C1041" t="s">
        <v>170</v>
      </c>
      <c r="D1041" t="s">
        <v>171</v>
      </c>
      <c r="E1041" t="s">
        <v>110</v>
      </c>
      <c r="F1041" t="s">
        <v>80</v>
      </c>
      <c r="G1041">
        <v>0</v>
      </c>
    </row>
    <row r="1042" spans="1:7" x14ac:dyDescent="0.3">
      <c r="A1042">
        <v>2019</v>
      </c>
      <c r="B1042" t="s">
        <v>45</v>
      </c>
      <c r="C1042" t="s">
        <v>170</v>
      </c>
      <c r="D1042" t="s">
        <v>171</v>
      </c>
      <c r="E1042" t="s">
        <v>108</v>
      </c>
      <c r="F1042" t="s">
        <v>80</v>
      </c>
      <c r="G1042">
        <v>0</v>
      </c>
    </row>
    <row r="1043" spans="1:7" x14ac:dyDescent="0.3">
      <c r="A1043">
        <v>2019</v>
      </c>
      <c r="B1043" t="s">
        <v>45</v>
      </c>
      <c r="C1043" t="s">
        <v>170</v>
      </c>
      <c r="D1043" t="s">
        <v>171</v>
      </c>
      <c r="E1043" t="s">
        <v>91</v>
      </c>
      <c r="F1043" t="s">
        <v>80</v>
      </c>
      <c r="G1043">
        <v>0</v>
      </c>
    </row>
    <row r="1044" spans="1:7" x14ac:dyDescent="0.3">
      <c r="A1044">
        <v>2019</v>
      </c>
      <c r="B1044" t="s">
        <v>45</v>
      </c>
      <c r="C1044" t="s">
        <v>170</v>
      </c>
      <c r="D1044" t="s">
        <v>171</v>
      </c>
      <c r="E1044" t="s">
        <v>109</v>
      </c>
      <c r="F1044" t="s">
        <v>80</v>
      </c>
      <c r="G1044">
        <v>0</v>
      </c>
    </row>
    <row r="1045" spans="1:7" x14ac:dyDescent="0.3">
      <c r="A1045">
        <v>2019</v>
      </c>
      <c r="B1045" t="s">
        <v>45</v>
      </c>
      <c r="C1045" t="s">
        <v>170</v>
      </c>
      <c r="D1045" t="s">
        <v>171</v>
      </c>
      <c r="E1045" t="s">
        <v>110</v>
      </c>
      <c r="F1045" t="s">
        <v>80</v>
      </c>
      <c r="G1045">
        <v>0</v>
      </c>
    </row>
    <row r="1046" spans="1:7" x14ac:dyDescent="0.3">
      <c r="A1046">
        <v>2019</v>
      </c>
      <c r="B1046" t="s">
        <v>46</v>
      </c>
      <c r="C1046" t="s">
        <v>170</v>
      </c>
      <c r="D1046" t="s">
        <v>171</v>
      </c>
      <c r="E1046" t="s">
        <v>108</v>
      </c>
      <c r="F1046" t="s">
        <v>80</v>
      </c>
      <c r="G1046">
        <v>0</v>
      </c>
    </row>
    <row r="1047" spans="1:7" x14ac:dyDescent="0.3">
      <c r="A1047">
        <v>2019</v>
      </c>
      <c r="B1047" t="s">
        <v>46</v>
      </c>
      <c r="C1047" t="s">
        <v>170</v>
      </c>
      <c r="D1047" t="s">
        <v>171</v>
      </c>
      <c r="E1047" t="s">
        <v>91</v>
      </c>
      <c r="F1047" t="s">
        <v>80</v>
      </c>
      <c r="G1047">
        <v>0</v>
      </c>
    </row>
    <row r="1048" spans="1:7" x14ac:dyDescent="0.3">
      <c r="A1048">
        <v>2019</v>
      </c>
      <c r="B1048" t="s">
        <v>46</v>
      </c>
      <c r="C1048" t="s">
        <v>170</v>
      </c>
      <c r="D1048" t="s">
        <v>171</v>
      </c>
      <c r="E1048" t="s">
        <v>109</v>
      </c>
      <c r="F1048" t="s">
        <v>80</v>
      </c>
      <c r="G1048">
        <v>0</v>
      </c>
    </row>
    <row r="1049" spans="1:7" x14ac:dyDescent="0.3">
      <c r="A1049">
        <v>2019</v>
      </c>
      <c r="B1049" t="s">
        <v>46</v>
      </c>
      <c r="C1049" t="s">
        <v>170</v>
      </c>
      <c r="D1049" t="s">
        <v>171</v>
      </c>
      <c r="E1049" t="s">
        <v>110</v>
      </c>
      <c r="F1049" t="s">
        <v>80</v>
      </c>
      <c r="G1049">
        <v>0</v>
      </c>
    </row>
    <row r="1050" spans="1:7" x14ac:dyDescent="0.3">
      <c r="A1050">
        <v>2019</v>
      </c>
      <c r="B1050" t="s">
        <v>47</v>
      </c>
      <c r="C1050" t="s">
        <v>170</v>
      </c>
      <c r="D1050" t="s">
        <v>171</v>
      </c>
      <c r="E1050" t="s">
        <v>108</v>
      </c>
      <c r="F1050" t="s">
        <v>80</v>
      </c>
      <c r="G1050">
        <v>0</v>
      </c>
    </row>
    <row r="1051" spans="1:7" x14ac:dyDescent="0.3">
      <c r="A1051">
        <v>2019</v>
      </c>
      <c r="B1051" t="s">
        <v>47</v>
      </c>
      <c r="C1051" t="s">
        <v>170</v>
      </c>
      <c r="D1051" t="s">
        <v>171</v>
      </c>
      <c r="E1051" t="s">
        <v>91</v>
      </c>
      <c r="F1051" t="s">
        <v>80</v>
      </c>
      <c r="G1051">
        <v>0</v>
      </c>
    </row>
    <row r="1052" spans="1:7" x14ac:dyDescent="0.3">
      <c r="A1052">
        <v>2019</v>
      </c>
      <c r="B1052" t="s">
        <v>47</v>
      </c>
      <c r="C1052" t="s">
        <v>170</v>
      </c>
      <c r="D1052" t="s">
        <v>171</v>
      </c>
      <c r="E1052" t="s">
        <v>109</v>
      </c>
      <c r="F1052" t="s">
        <v>80</v>
      </c>
      <c r="G1052">
        <v>0</v>
      </c>
    </row>
    <row r="1053" spans="1:7" x14ac:dyDescent="0.3">
      <c r="A1053">
        <v>2019</v>
      </c>
      <c r="B1053" t="s">
        <v>47</v>
      </c>
      <c r="C1053" t="s">
        <v>170</v>
      </c>
      <c r="D1053" t="s">
        <v>171</v>
      </c>
      <c r="E1053" t="s">
        <v>110</v>
      </c>
      <c r="F1053" t="s">
        <v>80</v>
      </c>
      <c r="G1053">
        <v>0</v>
      </c>
    </row>
    <row r="1054" spans="1:7" x14ac:dyDescent="0.3">
      <c r="A1054">
        <v>2019</v>
      </c>
      <c r="B1054" t="s">
        <v>48</v>
      </c>
      <c r="C1054" t="s">
        <v>170</v>
      </c>
      <c r="D1054" t="s">
        <v>171</v>
      </c>
      <c r="E1054" t="s">
        <v>108</v>
      </c>
      <c r="F1054" t="s">
        <v>80</v>
      </c>
      <c r="G1054">
        <v>0</v>
      </c>
    </row>
    <row r="1055" spans="1:7" x14ac:dyDescent="0.3">
      <c r="A1055">
        <v>2019</v>
      </c>
      <c r="B1055" t="s">
        <v>48</v>
      </c>
      <c r="C1055" t="s">
        <v>170</v>
      </c>
      <c r="D1055" t="s">
        <v>171</v>
      </c>
      <c r="E1055" t="s">
        <v>91</v>
      </c>
      <c r="F1055" t="s">
        <v>80</v>
      </c>
      <c r="G1055">
        <v>0</v>
      </c>
    </row>
    <row r="1056" spans="1:7" x14ac:dyDescent="0.3">
      <c r="A1056">
        <v>2019</v>
      </c>
      <c r="B1056" t="s">
        <v>48</v>
      </c>
      <c r="C1056" t="s">
        <v>170</v>
      </c>
      <c r="D1056" t="s">
        <v>171</v>
      </c>
      <c r="E1056" t="s">
        <v>109</v>
      </c>
      <c r="F1056" t="s">
        <v>80</v>
      </c>
      <c r="G1056">
        <v>0</v>
      </c>
    </row>
    <row r="1057" spans="1:7" x14ac:dyDescent="0.3">
      <c r="A1057">
        <v>2019</v>
      </c>
      <c r="B1057" t="s">
        <v>48</v>
      </c>
      <c r="C1057" t="s">
        <v>170</v>
      </c>
      <c r="D1057" t="s">
        <v>171</v>
      </c>
      <c r="E1057" t="s">
        <v>110</v>
      </c>
      <c r="F1057" t="s">
        <v>80</v>
      </c>
      <c r="G1057">
        <v>0</v>
      </c>
    </row>
    <row r="1058" spans="1:7" x14ac:dyDescent="0.3">
      <c r="A1058">
        <v>2019</v>
      </c>
      <c r="B1058" t="s">
        <v>49</v>
      </c>
      <c r="C1058" t="s">
        <v>170</v>
      </c>
      <c r="D1058" t="s">
        <v>171</v>
      </c>
      <c r="E1058" t="s">
        <v>108</v>
      </c>
      <c r="F1058" t="s">
        <v>80</v>
      </c>
      <c r="G1058">
        <v>0</v>
      </c>
    </row>
    <row r="1059" spans="1:7" x14ac:dyDescent="0.3">
      <c r="A1059">
        <v>2019</v>
      </c>
      <c r="B1059" t="s">
        <v>49</v>
      </c>
      <c r="C1059" t="s">
        <v>170</v>
      </c>
      <c r="D1059" t="s">
        <v>171</v>
      </c>
      <c r="E1059" t="s">
        <v>91</v>
      </c>
      <c r="F1059" t="s">
        <v>80</v>
      </c>
      <c r="G1059">
        <v>0</v>
      </c>
    </row>
    <row r="1060" spans="1:7" x14ac:dyDescent="0.3">
      <c r="A1060">
        <v>2019</v>
      </c>
      <c r="B1060" t="s">
        <v>49</v>
      </c>
      <c r="C1060" t="s">
        <v>170</v>
      </c>
      <c r="D1060" t="s">
        <v>171</v>
      </c>
      <c r="E1060" t="s">
        <v>109</v>
      </c>
      <c r="F1060" t="s">
        <v>80</v>
      </c>
      <c r="G1060">
        <v>0</v>
      </c>
    </row>
    <row r="1061" spans="1:7" x14ac:dyDescent="0.3">
      <c r="A1061">
        <v>2019</v>
      </c>
      <c r="B1061" t="s">
        <v>49</v>
      </c>
      <c r="C1061" t="s">
        <v>170</v>
      </c>
      <c r="D1061" t="s">
        <v>171</v>
      </c>
      <c r="E1061" t="s">
        <v>110</v>
      </c>
      <c r="F1061" t="s">
        <v>80</v>
      </c>
      <c r="G1061">
        <v>0</v>
      </c>
    </row>
    <row r="1062" spans="1:7" x14ac:dyDescent="0.3">
      <c r="A1062">
        <v>2019</v>
      </c>
      <c r="B1062" t="s">
        <v>59</v>
      </c>
      <c r="C1062" t="s">
        <v>170</v>
      </c>
      <c r="D1062" t="s">
        <v>171</v>
      </c>
      <c r="E1062" t="s">
        <v>108</v>
      </c>
      <c r="F1062" t="s">
        <v>80</v>
      </c>
      <c r="G1062">
        <v>0</v>
      </c>
    </row>
    <row r="1063" spans="1:7" x14ac:dyDescent="0.3">
      <c r="A1063">
        <v>2019</v>
      </c>
      <c r="B1063" t="s">
        <v>59</v>
      </c>
      <c r="C1063" t="s">
        <v>170</v>
      </c>
      <c r="D1063" t="s">
        <v>171</v>
      </c>
      <c r="E1063" t="s">
        <v>91</v>
      </c>
      <c r="F1063" t="s">
        <v>80</v>
      </c>
      <c r="G1063">
        <v>0</v>
      </c>
    </row>
    <row r="1064" spans="1:7" x14ac:dyDescent="0.3">
      <c r="A1064">
        <v>2019</v>
      </c>
      <c r="B1064" t="s">
        <v>59</v>
      </c>
      <c r="C1064" t="s">
        <v>170</v>
      </c>
      <c r="D1064" t="s">
        <v>171</v>
      </c>
      <c r="E1064" t="s">
        <v>109</v>
      </c>
      <c r="F1064" t="s">
        <v>80</v>
      </c>
      <c r="G1064">
        <v>0</v>
      </c>
    </row>
    <row r="1065" spans="1:7" x14ac:dyDescent="0.3">
      <c r="A1065">
        <v>2019</v>
      </c>
      <c r="B1065" t="s">
        <v>59</v>
      </c>
      <c r="C1065" t="s">
        <v>170</v>
      </c>
      <c r="D1065" t="s">
        <v>171</v>
      </c>
      <c r="E1065" t="s">
        <v>110</v>
      </c>
      <c r="F1065" t="s">
        <v>80</v>
      </c>
      <c r="G1065">
        <v>0</v>
      </c>
    </row>
    <row r="1066" spans="1:7" x14ac:dyDescent="0.3">
      <c r="A1066">
        <v>2019</v>
      </c>
      <c r="B1066" t="s">
        <v>50</v>
      </c>
      <c r="C1066" t="s">
        <v>170</v>
      </c>
      <c r="D1066" t="s">
        <v>171</v>
      </c>
      <c r="E1066" t="s">
        <v>108</v>
      </c>
      <c r="F1066" t="s">
        <v>80</v>
      </c>
      <c r="G1066">
        <v>0</v>
      </c>
    </row>
    <row r="1067" spans="1:7" x14ac:dyDescent="0.3">
      <c r="A1067">
        <v>2019</v>
      </c>
      <c r="B1067" t="s">
        <v>50</v>
      </c>
      <c r="C1067" t="s">
        <v>170</v>
      </c>
      <c r="D1067" t="s">
        <v>171</v>
      </c>
      <c r="E1067" t="s">
        <v>91</v>
      </c>
      <c r="F1067" t="s">
        <v>80</v>
      </c>
      <c r="G1067">
        <v>0</v>
      </c>
    </row>
    <row r="1068" spans="1:7" x14ac:dyDescent="0.3">
      <c r="A1068">
        <v>2019</v>
      </c>
      <c r="B1068" t="s">
        <v>50</v>
      </c>
      <c r="C1068" t="s">
        <v>170</v>
      </c>
      <c r="D1068" t="s">
        <v>171</v>
      </c>
      <c r="E1068" t="s">
        <v>109</v>
      </c>
      <c r="F1068" t="s">
        <v>80</v>
      </c>
      <c r="G1068">
        <v>0</v>
      </c>
    </row>
    <row r="1069" spans="1:7" x14ac:dyDescent="0.3">
      <c r="A1069">
        <v>2019</v>
      </c>
      <c r="B1069" t="s">
        <v>50</v>
      </c>
      <c r="C1069" t="s">
        <v>170</v>
      </c>
      <c r="D1069" t="s">
        <v>171</v>
      </c>
      <c r="E1069" t="s">
        <v>110</v>
      </c>
      <c r="F1069" t="s">
        <v>80</v>
      </c>
      <c r="G1069">
        <v>0</v>
      </c>
    </row>
    <row r="1070" spans="1:7" x14ac:dyDescent="0.3">
      <c r="A1070">
        <v>2019</v>
      </c>
      <c r="B1070" t="s">
        <v>51</v>
      </c>
      <c r="C1070" t="s">
        <v>170</v>
      </c>
      <c r="D1070" t="s">
        <v>171</v>
      </c>
      <c r="E1070" t="s">
        <v>108</v>
      </c>
      <c r="F1070" t="s">
        <v>80</v>
      </c>
      <c r="G1070">
        <v>0</v>
      </c>
    </row>
    <row r="1071" spans="1:7" x14ac:dyDescent="0.3">
      <c r="A1071">
        <v>2019</v>
      </c>
      <c r="B1071" t="s">
        <v>51</v>
      </c>
      <c r="C1071" t="s">
        <v>170</v>
      </c>
      <c r="D1071" t="s">
        <v>171</v>
      </c>
      <c r="E1071" t="s">
        <v>91</v>
      </c>
      <c r="F1071" t="s">
        <v>80</v>
      </c>
      <c r="G1071">
        <v>0</v>
      </c>
    </row>
    <row r="1072" spans="1:7" x14ac:dyDescent="0.3">
      <c r="A1072">
        <v>2019</v>
      </c>
      <c r="B1072" t="s">
        <v>51</v>
      </c>
      <c r="C1072" t="s">
        <v>170</v>
      </c>
      <c r="D1072" t="s">
        <v>171</v>
      </c>
      <c r="E1072" t="s">
        <v>109</v>
      </c>
      <c r="F1072" t="s">
        <v>80</v>
      </c>
      <c r="G1072">
        <v>0</v>
      </c>
    </row>
    <row r="1073" spans="1:7" x14ac:dyDescent="0.3">
      <c r="A1073">
        <v>2019</v>
      </c>
      <c r="B1073" t="s">
        <v>51</v>
      </c>
      <c r="C1073" t="s">
        <v>170</v>
      </c>
      <c r="D1073" t="s">
        <v>171</v>
      </c>
      <c r="E1073" t="s">
        <v>110</v>
      </c>
      <c r="F1073" t="s">
        <v>80</v>
      </c>
      <c r="G1073">
        <v>0</v>
      </c>
    </row>
    <row r="1074" spans="1:7" x14ac:dyDescent="0.3">
      <c r="A1074">
        <v>2019</v>
      </c>
      <c r="B1074" t="s">
        <v>52</v>
      </c>
      <c r="C1074" t="s">
        <v>170</v>
      </c>
      <c r="D1074" t="s">
        <v>171</v>
      </c>
      <c r="E1074" t="s">
        <v>108</v>
      </c>
      <c r="F1074" t="s">
        <v>80</v>
      </c>
      <c r="G1074">
        <v>0</v>
      </c>
    </row>
    <row r="1075" spans="1:7" x14ac:dyDescent="0.3">
      <c r="A1075">
        <v>2019</v>
      </c>
      <c r="B1075" t="s">
        <v>52</v>
      </c>
      <c r="C1075" t="s">
        <v>170</v>
      </c>
      <c r="D1075" t="s">
        <v>171</v>
      </c>
      <c r="E1075" t="s">
        <v>91</v>
      </c>
      <c r="F1075" t="s">
        <v>80</v>
      </c>
      <c r="G1075">
        <v>0</v>
      </c>
    </row>
    <row r="1076" spans="1:7" x14ac:dyDescent="0.3">
      <c r="A1076">
        <v>2019</v>
      </c>
      <c r="B1076" t="s">
        <v>52</v>
      </c>
      <c r="C1076" t="s">
        <v>170</v>
      </c>
      <c r="D1076" t="s">
        <v>171</v>
      </c>
      <c r="E1076" t="s">
        <v>109</v>
      </c>
      <c r="F1076" t="s">
        <v>80</v>
      </c>
      <c r="G1076">
        <v>0</v>
      </c>
    </row>
    <row r="1077" spans="1:7" x14ac:dyDescent="0.3">
      <c r="A1077">
        <v>2019</v>
      </c>
      <c r="B1077" t="s">
        <v>52</v>
      </c>
      <c r="C1077" t="s">
        <v>170</v>
      </c>
      <c r="D1077" t="s">
        <v>171</v>
      </c>
      <c r="E1077" t="s">
        <v>110</v>
      </c>
      <c r="F1077" t="s">
        <v>80</v>
      </c>
      <c r="G1077">
        <v>0</v>
      </c>
    </row>
    <row r="1078" spans="1:7" x14ac:dyDescent="0.3">
      <c r="A1078">
        <v>2019</v>
      </c>
      <c r="B1078" t="s">
        <v>60</v>
      </c>
      <c r="C1078" t="s">
        <v>170</v>
      </c>
      <c r="D1078" t="s">
        <v>171</v>
      </c>
      <c r="E1078" t="s">
        <v>108</v>
      </c>
      <c r="F1078" t="s">
        <v>80</v>
      </c>
      <c r="G1078">
        <v>0</v>
      </c>
    </row>
    <row r="1079" spans="1:7" x14ac:dyDescent="0.3">
      <c r="A1079">
        <v>2019</v>
      </c>
      <c r="B1079" t="s">
        <v>60</v>
      </c>
      <c r="C1079" t="s">
        <v>170</v>
      </c>
      <c r="D1079" t="s">
        <v>171</v>
      </c>
      <c r="E1079" t="s">
        <v>91</v>
      </c>
      <c r="F1079" t="s">
        <v>80</v>
      </c>
      <c r="G1079">
        <v>0</v>
      </c>
    </row>
    <row r="1080" spans="1:7" x14ac:dyDescent="0.3">
      <c r="A1080">
        <v>2019</v>
      </c>
      <c r="B1080" t="s">
        <v>60</v>
      </c>
      <c r="C1080" t="s">
        <v>170</v>
      </c>
      <c r="D1080" t="s">
        <v>171</v>
      </c>
      <c r="E1080" t="s">
        <v>109</v>
      </c>
      <c r="F1080" t="s">
        <v>80</v>
      </c>
      <c r="G1080">
        <v>0</v>
      </c>
    </row>
    <row r="1081" spans="1:7" x14ac:dyDescent="0.3">
      <c r="A1081">
        <v>2019</v>
      </c>
      <c r="B1081" t="s">
        <v>60</v>
      </c>
      <c r="C1081" t="s">
        <v>170</v>
      </c>
      <c r="D1081" t="s">
        <v>171</v>
      </c>
      <c r="E1081" t="s">
        <v>110</v>
      </c>
      <c r="F1081" t="s">
        <v>80</v>
      </c>
      <c r="G1081">
        <v>0</v>
      </c>
    </row>
    <row r="1082" spans="1:7" x14ac:dyDescent="0.3">
      <c r="A1082">
        <v>2019</v>
      </c>
      <c r="B1082" t="s">
        <v>53</v>
      </c>
      <c r="C1082" t="s">
        <v>170</v>
      </c>
      <c r="D1082" t="s">
        <v>171</v>
      </c>
      <c r="E1082" t="s">
        <v>108</v>
      </c>
      <c r="F1082" t="s">
        <v>80</v>
      </c>
      <c r="G1082">
        <v>0</v>
      </c>
    </row>
    <row r="1083" spans="1:7" x14ac:dyDescent="0.3">
      <c r="A1083">
        <v>2019</v>
      </c>
      <c r="B1083" t="s">
        <v>53</v>
      </c>
      <c r="C1083" t="s">
        <v>170</v>
      </c>
      <c r="D1083" t="s">
        <v>171</v>
      </c>
      <c r="E1083" t="s">
        <v>91</v>
      </c>
      <c r="F1083" t="s">
        <v>80</v>
      </c>
      <c r="G1083">
        <v>0</v>
      </c>
    </row>
    <row r="1084" spans="1:7" x14ac:dyDescent="0.3">
      <c r="A1084">
        <v>2019</v>
      </c>
      <c r="B1084" t="s">
        <v>53</v>
      </c>
      <c r="C1084" t="s">
        <v>170</v>
      </c>
      <c r="D1084" t="s">
        <v>171</v>
      </c>
      <c r="E1084" t="s">
        <v>109</v>
      </c>
      <c r="F1084" t="s">
        <v>80</v>
      </c>
      <c r="G1084">
        <v>0</v>
      </c>
    </row>
    <row r="1085" spans="1:7" x14ac:dyDescent="0.3">
      <c r="A1085">
        <v>2019</v>
      </c>
      <c r="B1085" t="s">
        <v>53</v>
      </c>
      <c r="C1085" t="s">
        <v>170</v>
      </c>
      <c r="D1085" t="s">
        <v>171</v>
      </c>
      <c r="E1085" t="s">
        <v>110</v>
      </c>
      <c r="F1085" t="s">
        <v>80</v>
      </c>
      <c r="G1085">
        <v>0</v>
      </c>
    </row>
    <row r="1086" spans="1:7" x14ac:dyDescent="0.3">
      <c r="A1086">
        <v>2019</v>
      </c>
      <c r="B1086" t="s">
        <v>61</v>
      </c>
      <c r="C1086" t="s">
        <v>170</v>
      </c>
      <c r="D1086" t="s">
        <v>171</v>
      </c>
      <c r="E1086" t="s">
        <v>108</v>
      </c>
      <c r="F1086" t="s">
        <v>80</v>
      </c>
      <c r="G1086">
        <v>0</v>
      </c>
    </row>
    <row r="1087" spans="1:7" x14ac:dyDescent="0.3">
      <c r="A1087">
        <v>2019</v>
      </c>
      <c r="B1087" t="s">
        <v>61</v>
      </c>
      <c r="C1087" t="s">
        <v>170</v>
      </c>
      <c r="D1087" t="s">
        <v>171</v>
      </c>
      <c r="E1087" t="s">
        <v>91</v>
      </c>
      <c r="F1087" t="s">
        <v>80</v>
      </c>
      <c r="G1087">
        <v>0</v>
      </c>
    </row>
    <row r="1088" spans="1:7" x14ac:dyDescent="0.3">
      <c r="A1088">
        <v>2019</v>
      </c>
      <c r="B1088" t="s">
        <v>61</v>
      </c>
      <c r="C1088" t="s">
        <v>170</v>
      </c>
      <c r="D1088" t="s">
        <v>171</v>
      </c>
      <c r="E1088" t="s">
        <v>109</v>
      </c>
      <c r="F1088" t="s">
        <v>80</v>
      </c>
      <c r="G1088">
        <v>0</v>
      </c>
    </row>
    <row r="1089" spans="1:7" x14ac:dyDescent="0.3">
      <c r="A1089">
        <v>2019</v>
      </c>
      <c r="B1089" t="s">
        <v>61</v>
      </c>
      <c r="C1089" t="s">
        <v>170</v>
      </c>
      <c r="D1089" t="s">
        <v>171</v>
      </c>
      <c r="E1089" t="s">
        <v>110</v>
      </c>
      <c r="F1089" t="s">
        <v>80</v>
      </c>
      <c r="G1089">
        <v>0</v>
      </c>
    </row>
    <row r="1090" spans="1:7" x14ac:dyDescent="0.3">
      <c r="A1090">
        <v>2019</v>
      </c>
      <c r="B1090" t="s">
        <v>54</v>
      </c>
      <c r="C1090" t="s">
        <v>170</v>
      </c>
      <c r="D1090" t="s">
        <v>171</v>
      </c>
      <c r="E1090" t="s">
        <v>108</v>
      </c>
      <c r="F1090" t="s">
        <v>80</v>
      </c>
      <c r="G1090">
        <v>0</v>
      </c>
    </row>
    <row r="1091" spans="1:7" x14ac:dyDescent="0.3">
      <c r="A1091">
        <v>2019</v>
      </c>
      <c r="B1091" t="s">
        <v>54</v>
      </c>
      <c r="C1091" t="s">
        <v>170</v>
      </c>
      <c r="D1091" t="s">
        <v>171</v>
      </c>
      <c r="E1091" t="s">
        <v>91</v>
      </c>
      <c r="F1091" t="s">
        <v>80</v>
      </c>
      <c r="G1091">
        <v>0</v>
      </c>
    </row>
    <row r="1092" spans="1:7" x14ac:dyDescent="0.3">
      <c r="A1092">
        <v>2019</v>
      </c>
      <c r="B1092" t="s">
        <v>54</v>
      </c>
      <c r="C1092" t="s">
        <v>170</v>
      </c>
      <c r="D1092" t="s">
        <v>171</v>
      </c>
      <c r="E1092" t="s">
        <v>109</v>
      </c>
      <c r="F1092" t="s">
        <v>80</v>
      </c>
      <c r="G1092">
        <v>0</v>
      </c>
    </row>
    <row r="1093" spans="1:7" x14ac:dyDescent="0.3">
      <c r="A1093">
        <v>2019</v>
      </c>
      <c r="B1093" t="s">
        <v>54</v>
      </c>
      <c r="C1093" t="s">
        <v>170</v>
      </c>
      <c r="D1093" t="s">
        <v>171</v>
      </c>
      <c r="E1093" t="s">
        <v>110</v>
      </c>
      <c r="F1093" t="s">
        <v>80</v>
      </c>
      <c r="G1093">
        <v>0</v>
      </c>
    </row>
    <row r="1094" spans="1:7" x14ac:dyDescent="0.3">
      <c r="A1094">
        <v>2019</v>
      </c>
      <c r="B1094" t="s">
        <v>62</v>
      </c>
      <c r="C1094" t="s">
        <v>170</v>
      </c>
      <c r="D1094" t="s">
        <v>171</v>
      </c>
      <c r="E1094" t="s">
        <v>108</v>
      </c>
      <c r="F1094" t="s">
        <v>80</v>
      </c>
      <c r="G1094">
        <v>0</v>
      </c>
    </row>
    <row r="1095" spans="1:7" x14ac:dyDescent="0.3">
      <c r="A1095">
        <v>2019</v>
      </c>
      <c r="B1095" t="s">
        <v>62</v>
      </c>
      <c r="C1095" t="s">
        <v>170</v>
      </c>
      <c r="D1095" t="s">
        <v>171</v>
      </c>
      <c r="E1095" t="s">
        <v>91</v>
      </c>
      <c r="F1095" t="s">
        <v>80</v>
      </c>
      <c r="G1095">
        <v>0</v>
      </c>
    </row>
    <row r="1096" spans="1:7" x14ac:dyDescent="0.3">
      <c r="A1096">
        <v>2019</v>
      </c>
      <c r="B1096" t="s">
        <v>62</v>
      </c>
      <c r="C1096" t="s">
        <v>170</v>
      </c>
      <c r="D1096" t="s">
        <v>171</v>
      </c>
      <c r="E1096" t="s">
        <v>109</v>
      </c>
      <c r="F1096" t="s">
        <v>80</v>
      </c>
      <c r="G1096">
        <v>0</v>
      </c>
    </row>
    <row r="1097" spans="1:7" x14ac:dyDescent="0.3">
      <c r="A1097">
        <v>2019</v>
      </c>
      <c r="B1097" t="s">
        <v>62</v>
      </c>
      <c r="C1097" t="s">
        <v>170</v>
      </c>
      <c r="D1097" t="s">
        <v>171</v>
      </c>
      <c r="E1097" t="s">
        <v>110</v>
      </c>
      <c r="F1097" t="s">
        <v>80</v>
      </c>
      <c r="G1097">
        <v>0</v>
      </c>
    </row>
    <row r="1098" spans="1:7" x14ac:dyDescent="0.3">
      <c r="A1098">
        <v>2019</v>
      </c>
      <c r="B1098" t="s">
        <v>28</v>
      </c>
      <c r="C1098" t="s">
        <v>170</v>
      </c>
      <c r="D1098" t="s">
        <v>171</v>
      </c>
      <c r="E1098" t="s">
        <v>108</v>
      </c>
      <c r="F1098" t="s">
        <v>80</v>
      </c>
      <c r="G1098">
        <v>0</v>
      </c>
    </row>
    <row r="1099" spans="1:7" x14ac:dyDescent="0.3">
      <c r="A1099">
        <v>2019</v>
      </c>
      <c r="B1099" t="s">
        <v>28</v>
      </c>
      <c r="C1099" t="s">
        <v>170</v>
      </c>
      <c r="D1099" t="s">
        <v>171</v>
      </c>
      <c r="E1099" t="s">
        <v>91</v>
      </c>
      <c r="F1099" t="s">
        <v>80</v>
      </c>
      <c r="G1099">
        <v>0</v>
      </c>
    </row>
    <row r="1100" spans="1:7" x14ac:dyDescent="0.3">
      <c r="A1100">
        <v>2019</v>
      </c>
      <c r="B1100" t="s">
        <v>28</v>
      </c>
      <c r="C1100" t="s">
        <v>170</v>
      </c>
      <c r="D1100" t="s">
        <v>171</v>
      </c>
      <c r="E1100" t="s">
        <v>109</v>
      </c>
      <c r="F1100" t="s">
        <v>80</v>
      </c>
      <c r="G1100">
        <v>0</v>
      </c>
    </row>
    <row r="1101" spans="1:7" x14ac:dyDescent="0.3">
      <c r="A1101">
        <v>2019</v>
      </c>
      <c r="B1101" t="s">
        <v>28</v>
      </c>
      <c r="C1101" t="s">
        <v>170</v>
      </c>
      <c r="D1101" t="s">
        <v>171</v>
      </c>
      <c r="E1101" t="s">
        <v>110</v>
      </c>
      <c r="F1101" t="s">
        <v>80</v>
      </c>
      <c r="G1101">
        <v>0</v>
      </c>
    </row>
    <row r="1102" spans="1:7" x14ac:dyDescent="0.3">
      <c r="A1102">
        <v>2019</v>
      </c>
      <c r="B1102" t="s">
        <v>43</v>
      </c>
      <c r="C1102" t="s">
        <v>170</v>
      </c>
      <c r="D1102" t="s">
        <v>171</v>
      </c>
      <c r="E1102" t="s">
        <v>108</v>
      </c>
      <c r="F1102" t="s">
        <v>80</v>
      </c>
      <c r="G1102">
        <v>0</v>
      </c>
    </row>
    <row r="1103" spans="1:7" x14ac:dyDescent="0.3">
      <c r="A1103">
        <v>2019</v>
      </c>
      <c r="B1103" t="s">
        <v>43</v>
      </c>
      <c r="C1103" t="s">
        <v>170</v>
      </c>
      <c r="D1103" t="s">
        <v>171</v>
      </c>
      <c r="E1103" t="s">
        <v>91</v>
      </c>
      <c r="F1103" t="s">
        <v>80</v>
      </c>
      <c r="G1103">
        <v>0</v>
      </c>
    </row>
    <row r="1104" spans="1:7" x14ac:dyDescent="0.3">
      <c r="A1104">
        <v>2019</v>
      </c>
      <c r="B1104" t="s">
        <v>43</v>
      </c>
      <c r="C1104" t="s">
        <v>170</v>
      </c>
      <c r="D1104" t="s">
        <v>171</v>
      </c>
      <c r="E1104" t="s">
        <v>109</v>
      </c>
      <c r="F1104" t="s">
        <v>80</v>
      </c>
      <c r="G1104">
        <v>0</v>
      </c>
    </row>
    <row r="1105" spans="1:7" x14ac:dyDescent="0.3">
      <c r="A1105">
        <v>2019</v>
      </c>
      <c r="B1105" t="s">
        <v>43</v>
      </c>
      <c r="C1105" t="s">
        <v>170</v>
      </c>
      <c r="D1105" t="s">
        <v>171</v>
      </c>
      <c r="E1105" t="s">
        <v>110</v>
      </c>
      <c r="F1105" t="s">
        <v>80</v>
      </c>
      <c r="G1105">
        <v>1</v>
      </c>
    </row>
    <row r="1106" spans="1:7" x14ac:dyDescent="0.3">
      <c r="A1106">
        <v>2019</v>
      </c>
      <c r="B1106" t="s">
        <v>17</v>
      </c>
      <c r="C1106" t="s">
        <v>170</v>
      </c>
      <c r="D1106" t="s">
        <v>171</v>
      </c>
      <c r="E1106" t="s">
        <v>108</v>
      </c>
      <c r="F1106" t="s">
        <v>117</v>
      </c>
      <c r="G1106">
        <v>0</v>
      </c>
    </row>
    <row r="1107" spans="1:7" x14ac:dyDescent="0.3">
      <c r="A1107">
        <v>2019</v>
      </c>
      <c r="B1107" t="s">
        <v>17</v>
      </c>
      <c r="C1107" t="s">
        <v>170</v>
      </c>
      <c r="D1107" t="s">
        <v>171</v>
      </c>
      <c r="E1107" t="s">
        <v>91</v>
      </c>
      <c r="F1107" t="s">
        <v>117</v>
      </c>
      <c r="G1107">
        <v>1</v>
      </c>
    </row>
    <row r="1108" spans="1:7" x14ac:dyDescent="0.3">
      <c r="A1108">
        <v>2019</v>
      </c>
      <c r="B1108" t="s">
        <v>17</v>
      </c>
      <c r="C1108" t="s">
        <v>170</v>
      </c>
      <c r="D1108" t="s">
        <v>171</v>
      </c>
      <c r="E1108" t="s">
        <v>109</v>
      </c>
      <c r="F1108" t="s">
        <v>117</v>
      </c>
      <c r="G1108">
        <v>0</v>
      </c>
    </row>
    <row r="1109" spans="1:7" x14ac:dyDescent="0.3">
      <c r="A1109">
        <v>2019</v>
      </c>
      <c r="B1109" t="s">
        <v>17</v>
      </c>
      <c r="C1109" t="s">
        <v>170</v>
      </c>
      <c r="D1109" t="s">
        <v>171</v>
      </c>
      <c r="E1109" t="s">
        <v>110</v>
      </c>
      <c r="F1109" t="s">
        <v>117</v>
      </c>
      <c r="G1109">
        <v>0</v>
      </c>
    </row>
    <row r="1110" spans="1:7" x14ac:dyDescent="0.3">
      <c r="A1110">
        <v>2019</v>
      </c>
      <c r="B1110" t="s">
        <v>18</v>
      </c>
      <c r="C1110" t="s">
        <v>170</v>
      </c>
      <c r="D1110" t="s">
        <v>171</v>
      </c>
      <c r="E1110" t="s">
        <v>108</v>
      </c>
      <c r="F1110" t="s">
        <v>117</v>
      </c>
      <c r="G1110">
        <v>0</v>
      </c>
    </row>
    <row r="1111" spans="1:7" x14ac:dyDescent="0.3">
      <c r="A1111">
        <v>2019</v>
      </c>
      <c r="B1111" t="s">
        <v>18</v>
      </c>
      <c r="C1111" t="s">
        <v>170</v>
      </c>
      <c r="D1111" t="s">
        <v>171</v>
      </c>
      <c r="E1111" t="s">
        <v>91</v>
      </c>
      <c r="F1111" t="s">
        <v>117</v>
      </c>
      <c r="G1111">
        <v>0</v>
      </c>
    </row>
    <row r="1112" spans="1:7" x14ac:dyDescent="0.3">
      <c r="A1112">
        <v>2019</v>
      </c>
      <c r="B1112" t="s">
        <v>18</v>
      </c>
      <c r="C1112" t="s">
        <v>170</v>
      </c>
      <c r="D1112" t="s">
        <v>171</v>
      </c>
      <c r="E1112" t="s">
        <v>109</v>
      </c>
      <c r="F1112" t="s">
        <v>117</v>
      </c>
      <c r="G1112">
        <v>0</v>
      </c>
    </row>
    <row r="1113" spans="1:7" x14ac:dyDescent="0.3">
      <c r="A1113">
        <v>2019</v>
      </c>
      <c r="B1113" t="s">
        <v>18</v>
      </c>
      <c r="C1113" t="s">
        <v>170</v>
      </c>
      <c r="D1113" t="s">
        <v>171</v>
      </c>
      <c r="E1113" t="s">
        <v>110</v>
      </c>
      <c r="F1113" t="s">
        <v>117</v>
      </c>
      <c r="G1113">
        <v>0</v>
      </c>
    </row>
    <row r="1114" spans="1:7" x14ac:dyDescent="0.3">
      <c r="A1114">
        <v>2019</v>
      </c>
      <c r="B1114" t="s">
        <v>19</v>
      </c>
      <c r="C1114" t="s">
        <v>170</v>
      </c>
      <c r="D1114" t="s">
        <v>171</v>
      </c>
      <c r="E1114" t="s">
        <v>108</v>
      </c>
      <c r="F1114" t="s">
        <v>117</v>
      </c>
      <c r="G1114">
        <v>0</v>
      </c>
    </row>
    <row r="1115" spans="1:7" x14ac:dyDescent="0.3">
      <c r="A1115">
        <v>2019</v>
      </c>
      <c r="B1115" t="s">
        <v>19</v>
      </c>
      <c r="C1115" t="s">
        <v>170</v>
      </c>
      <c r="D1115" t="s">
        <v>171</v>
      </c>
      <c r="E1115" t="s">
        <v>91</v>
      </c>
      <c r="F1115" t="s">
        <v>117</v>
      </c>
      <c r="G1115">
        <v>0</v>
      </c>
    </row>
    <row r="1116" spans="1:7" x14ac:dyDescent="0.3">
      <c r="A1116">
        <v>2019</v>
      </c>
      <c r="B1116" t="s">
        <v>19</v>
      </c>
      <c r="C1116" t="s">
        <v>170</v>
      </c>
      <c r="D1116" t="s">
        <v>171</v>
      </c>
      <c r="E1116" t="s">
        <v>109</v>
      </c>
      <c r="F1116" t="s">
        <v>117</v>
      </c>
      <c r="G1116">
        <v>0</v>
      </c>
    </row>
    <row r="1117" spans="1:7" x14ac:dyDescent="0.3">
      <c r="A1117">
        <v>2019</v>
      </c>
      <c r="B1117" t="s">
        <v>19</v>
      </c>
      <c r="C1117" t="s">
        <v>170</v>
      </c>
      <c r="D1117" t="s">
        <v>171</v>
      </c>
      <c r="E1117" t="s">
        <v>110</v>
      </c>
      <c r="F1117" t="s">
        <v>117</v>
      </c>
      <c r="G1117">
        <v>0</v>
      </c>
    </row>
    <row r="1118" spans="1:7" x14ac:dyDescent="0.3">
      <c r="A1118">
        <v>2019</v>
      </c>
      <c r="B1118" t="s">
        <v>20</v>
      </c>
      <c r="C1118" t="s">
        <v>170</v>
      </c>
      <c r="D1118" t="s">
        <v>171</v>
      </c>
      <c r="E1118" t="s">
        <v>108</v>
      </c>
      <c r="F1118" t="s">
        <v>117</v>
      </c>
      <c r="G1118">
        <v>0</v>
      </c>
    </row>
    <row r="1119" spans="1:7" x14ac:dyDescent="0.3">
      <c r="A1119">
        <v>2019</v>
      </c>
      <c r="B1119" t="s">
        <v>20</v>
      </c>
      <c r="C1119" t="s">
        <v>170</v>
      </c>
      <c r="D1119" t="s">
        <v>171</v>
      </c>
      <c r="E1119" t="s">
        <v>91</v>
      </c>
      <c r="F1119" t="s">
        <v>117</v>
      </c>
      <c r="G1119">
        <v>0</v>
      </c>
    </row>
    <row r="1120" spans="1:7" x14ac:dyDescent="0.3">
      <c r="A1120">
        <v>2019</v>
      </c>
      <c r="B1120" t="s">
        <v>20</v>
      </c>
      <c r="C1120" t="s">
        <v>170</v>
      </c>
      <c r="D1120" t="s">
        <v>171</v>
      </c>
      <c r="E1120" t="s">
        <v>109</v>
      </c>
      <c r="F1120" t="s">
        <v>117</v>
      </c>
      <c r="G1120">
        <v>0</v>
      </c>
    </row>
    <row r="1121" spans="1:7" x14ac:dyDescent="0.3">
      <c r="A1121">
        <v>2019</v>
      </c>
      <c r="B1121" t="s">
        <v>20</v>
      </c>
      <c r="C1121" t="s">
        <v>170</v>
      </c>
      <c r="D1121" t="s">
        <v>171</v>
      </c>
      <c r="E1121" t="s">
        <v>110</v>
      </c>
      <c r="F1121" t="s">
        <v>117</v>
      </c>
      <c r="G1121">
        <v>0</v>
      </c>
    </row>
    <row r="1122" spans="1:7" x14ac:dyDescent="0.3">
      <c r="A1122">
        <v>2019</v>
      </c>
      <c r="B1122" t="s">
        <v>21</v>
      </c>
      <c r="C1122" t="s">
        <v>170</v>
      </c>
      <c r="D1122" t="s">
        <v>171</v>
      </c>
      <c r="E1122" t="s">
        <v>108</v>
      </c>
      <c r="F1122" t="s">
        <v>117</v>
      </c>
      <c r="G1122">
        <v>0</v>
      </c>
    </row>
    <row r="1123" spans="1:7" x14ac:dyDescent="0.3">
      <c r="A1123">
        <v>2019</v>
      </c>
      <c r="B1123" t="s">
        <v>21</v>
      </c>
      <c r="C1123" t="s">
        <v>170</v>
      </c>
      <c r="D1123" t="s">
        <v>171</v>
      </c>
      <c r="E1123" t="s">
        <v>91</v>
      </c>
      <c r="F1123" t="s">
        <v>117</v>
      </c>
      <c r="G1123">
        <v>0</v>
      </c>
    </row>
    <row r="1124" spans="1:7" x14ac:dyDescent="0.3">
      <c r="A1124">
        <v>2019</v>
      </c>
      <c r="B1124" t="s">
        <v>21</v>
      </c>
      <c r="C1124" t="s">
        <v>170</v>
      </c>
      <c r="D1124" t="s">
        <v>171</v>
      </c>
      <c r="E1124" t="s">
        <v>109</v>
      </c>
      <c r="F1124" t="s">
        <v>117</v>
      </c>
      <c r="G1124">
        <v>0</v>
      </c>
    </row>
    <row r="1125" spans="1:7" x14ac:dyDescent="0.3">
      <c r="A1125">
        <v>2019</v>
      </c>
      <c r="B1125" t="s">
        <v>21</v>
      </c>
      <c r="C1125" t="s">
        <v>170</v>
      </c>
      <c r="D1125" t="s">
        <v>171</v>
      </c>
      <c r="E1125" t="s">
        <v>110</v>
      </c>
      <c r="F1125" t="s">
        <v>117</v>
      </c>
      <c r="G1125">
        <v>0</v>
      </c>
    </row>
    <row r="1126" spans="1:7" x14ac:dyDescent="0.3">
      <c r="A1126">
        <v>2019</v>
      </c>
      <c r="B1126" t="s">
        <v>22</v>
      </c>
      <c r="C1126" t="s">
        <v>170</v>
      </c>
      <c r="D1126" t="s">
        <v>171</v>
      </c>
      <c r="E1126" t="s">
        <v>108</v>
      </c>
      <c r="F1126" t="s">
        <v>117</v>
      </c>
      <c r="G1126">
        <v>0</v>
      </c>
    </row>
    <row r="1127" spans="1:7" x14ac:dyDescent="0.3">
      <c r="A1127">
        <v>2019</v>
      </c>
      <c r="B1127" t="s">
        <v>22</v>
      </c>
      <c r="C1127" t="s">
        <v>170</v>
      </c>
      <c r="D1127" t="s">
        <v>171</v>
      </c>
      <c r="E1127" t="s">
        <v>91</v>
      </c>
      <c r="F1127" t="s">
        <v>117</v>
      </c>
      <c r="G1127">
        <v>1</v>
      </c>
    </row>
    <row r="1128" spans="1:7" x14ac:dyDescent="0.3">
      <c r="A1128">
        <v>2019</v>
      </c>
      <c r="B1128" t="s">
        <v>22</v>
      </c>
      <c r="C1128" t="s">
        <v>170</v>
      </c>
      <c r="D1128" t="s">
        <v>171</v>
      </c>
      <c r="E1128" t="s">
        <v>109</v>
      </c>
      <c r="F1128" t="s">
        <v>117</v>
      </c>
      <c r="G1128">
        <v>0</v>
      </c>
    </row>
    <row r="1129" spans="1:7" x14ac:dyDescent="0.3">
      <c r="A1129">
        <v>2019</v>
      </c>
      <c r="B1129" t="s">
        <v>22</v>
      </c>
      <c r="C1129" t="s">
        <v>170</v>
      </c>
      <c r="D1129" t="s">
        <v>171</v>
      </c>
      <c r="E1129" t="s">
        <v>110</v>
      </c>
      <c r="F1129" t="s">
        <v>117</v>
      </c>
      <c r="G1129">
        <v>0</v>
      </c>
    </row>
    <row r="1130" spans="1:7" x14ac:dyDescent="0.3">
      <c r="A1130">
        <v>2019</v>
      </c>
      <c r="B1130" t="s">
        <v>23</v>
      </c>
      <c r="C1130" t="s">
        <v>170</v>
      </c>
      <c r="D1130" t="s">
        <v>171</v>
      </c>
      <c r="E1130" t="s">
        <v>108</v>
      </c>
      <c r="F1130" t="s">
        <v>117</v>
      </c>
      <c r="G1130">
        <v>0</v>
      </c>
    </row>
    <row r="1131" spans="1:7" x14ac:dyDescent="0.3">
      <c r="A1131">
        <v>2019</v>
      </c>
      <c r="B1131" t="s">
        <v>23</v>
      </c>
      <c r="C1131" t="s">
        <v>170</v>
      </c>
      <c r="D1131" t="s">
        <v>171</v>
      </c>
      <c r="E1131" t="s">
        <v>91</v>
      </c>
      <c r="F1131" t="s">
        <v>117</v>
      </c>
      <c r="G1131">
        <v>0</v>
      </c>
    </row>
    <row r="1132" spans="1:7" x14ac:dyDescent="0.3">
      <c r="A1132">
        <v>2019</v>
      </c>
      <c r="B1132" t="s">
        <v>23</v>
      </c>
      <c r="C1132" t="s">
        <v>170</v>
      </c>
      <c r="D1132" t="s">
        <v>171</v>
      </c>
      <c r="E1132" t="s">
        <v>109</v>
      </c>
      <c r="F1132" t="s">
        <v>117</v>
      </c>
      <c r="G1132">
        <v>0</v>
      </c>
    </row>
    <row r="1133" spans="1:7" x14ac:dyDescent="0.3">
      <c r="A1133">
        <v>2019</v>
      </c>
      <c r="B1133" t="s">
        <v>23</v>
      </c>
      <c r="C1133" t="s">
        <v>170</v>
      </c>
      <c r="D1133" t="s">
        <v>171</v>
      </c>
      <c r="E1133" t="s">
        <v>110</v>
      </c>
      <c r="F1133" t="s">
        <v>117</v>
      </c>
      <c r="G1133">
        <v>0</v>
      </c>
    </row>
    <row r="1134" spans="1:7" x14ac:dyDescent="0.3">
      <c r="A1134">
        <v>2019</v>
      </c>
      <c r="B1134" t="s">
        <v>24</v>
      </c>
      <c r="C1134" t="s">
        <v>170</v>
      </c>
      <c r="D1134" t="s">
        <v>171</v>
      </c>
      <c r="E1134" t="s">
        <v>108</v>
      </c>
      <c r="F1134" t="s">
        <v>117</v>
      </c>
      <c r="G1134">
        <v>0</v>
      </c>
    </row>
    <row r="1135" spans="1:7" x14ac:dyDescent="0.3">
      <c r="A1135">
        <v>2019</v>
      </c>
      <c r="B1135" t="s">
        <v>24</v>
      </c>
      <c r="C1135" t="s">
        <v>170</v>
      </c>
      <c r="D1135" t="s">
        <v>171</v>
      </c>
      <c r="E1135" t="s">
        <v>91</v>
      </c>
      <c r="F1135" t="s">
        <v>117</v>
      </c>
      <c r="G1135">
        <v>0</v>
      </c>
    </row>
    <row r="1136" spans="1:7" x14ac:dyDescent="0.3">
      <c r="A1136">
        <v>2019</v>
      </c>
      <c r="B1136" t="s">
        <v>24</v>
      </c>
      <c r="C1136" t="s">
        <v>170</v>
      </c>
      <c r="D1136" t="s">
        <v>171</v>
      </c>
      <c r="E1136" t="s">
        <v>109</v>
      </c>
      <c r="F1136" t="s">
        <v>117</v>
      </c>
      <c r="G1136">
        <v>0</v>
      </c>
    </row>
    <row r="1137" spans="1:7" x14ac:dyDescent="0.3">
      <c r="A1137">
        <v>2019</v>
      </c>
      <c r="B1137" t="s">
        <v>24</v>
      </c>
      <c r="C1137" t="s">
        <v>170</v>
      </c>
      <c r="D1137" t="s">
        <v>171</v>
      </c>
      <c r="E1137" t="s">
        <v>110</v>
      </c>
      <c r="F1137" t="s">
        <v>117</v>
      </c>
      <c r="G1137">
        <v>0</v>
      </c>
    </row>
    <row r="1138" spans="1:7" x14ac:dyDescent="0.3">
      <c r="A1138">
        <v>2019</v>
      </c>
      <c r="B1138" t="s">
        <v>25</v>
      </c>
      <c r="C1138" t="s">
        <v>170</v>
      </c>
      <c r="D1138" t="s">
        <v>171</v>
      </c>
      <c r="E1138" t="s">
        <v>108</v>
      </c>
      <c r="F1138" t="s">
        <v>117</v>
      </c>
      <c r="G1138">
        <v>0</v>
      </c>
    </row>
    <row r="1139" spans="1:7" x14ac:dyDescent="0.3">
      <c r="A1139">
        <v>2019</v>
      </c>
      <c r="B1139" t="s">
        <v>25</v>
      </c>
      <c r="C1139" t="s">
        <v>170</v>
      </c>
      <c r="D1139" t="s">
        <v>171</v>
      </c>
      <c r="E1139" t="s">
        <v>91</v>
      </c>
      <c r="F1139" t="s">
        <v>117</v>
      </c>
      <c r="G1139">
        <v>0</v>
      </c>
    </row>
    <row r="1140" spans="1:7" x14ac:dyDescent="0.3">
      <c r="A1140">
        <v>2019</v>
      </c>
      <c r="B1140" t="s">
        <v>25</v>
      </c>
      <c r="C1140" t="s">
        <v>170</v>
      </c>
      <c r="D1140" t="s">
        <v>171</v>
      </c>
      <c r="E1140" t="s">
        <v>109</v>
      </c>
      <c r="F1140" t="s">
        <v>117</v>
      </c>
      <c r="G1140">
        <v>0</v>
      </c>
    </row>
    <row r="1141" spans="1:7" x14ac:dyDescent="0.3">
      <c r="A1141">
        <v>2019</v>
      </c>
      <c r="B1141" t="s">
        <v>25</v>
      </c>
      <c r="C1141" t="s">
        <v>170</v>
      </c>
      <c r="D1141" t="s">
        <v>171</v>
      </c>
      <c r="E1141" t="s">
        <v>110</v>
      </c>
      <c r="F1141" t="s">
        <v>117</v>
      </c>
      <c r="G1141">
        <v>0</v>
      </c>
    </row>
    <row r="1142" spans="1:7" x14ac:dyDescent="0.3">
      <c r="A1142">
        <v>2019</v>
      </c>
      <c r="B1142" t="s">
        <v>26</v>
      </c>
      <c r="C1142" t="s">
        <v>170</v>
      </c>
      <c r="D1142" t="s">
        <v>171</v>
      </c>
      <c r="E1142" t="s">
        <v>108</v>
      </c>
      <c r="F1142" t="s">
        <v>117</v>
      </c>
      <c r="G1142">
        <v>0</v>
      </c>
    </row>
    <row r="1143" spans="1:7" x14ac:dyDescent="0.3">
      <c r="A1143">
        <v>2019</v>
      </c>
      <c r="B1143" t="s">
        <v>26</v>
      </c>
      <c r="C1143" t="s">
        <v>170</v>
      </c>
      <c r="D1143" t="s">
        <v>171</v>
      </c>
      <c r="E1143" t="s">
        <v>91</v>
      </c>
      <c r="F1143" t="s">
        <v>117</v>
      </c>
      <c r="G1143">
        <v>1</v>
      </c>
    </row>
    <row r="1144" spans="1:7" x14ac:dyDescent="0.3">
      <c r="A1144">
        <v>2019</v>
      </c>
      <c r="B1144" t="s">
        <v>26</v>
      </c>
      <c r="C1144" t="s">
        <v>170</v>
      </c>
      <c r="D1144" t="s">
        <v>171</v>
      </c>
      <c r="E1144" t="s">
        <v>109</v>
      </c>
      <c r="F1144" t="s">
        <v>117</v>
      </c>
      <c r="G1144">
        <v>0</v>
      </c>
    </row>
    <row r="1145" spans="1:7" x14ac:dyDescent="0.3">
      <c r="A1145">
        <v>2019</v>
      </c>
      <c r="B1145" t="s">
        <v>26</v>
      </c>
      <c r="C1145" t="s">
        <v>170</v>
      </c>
      <c r="D1145" t="s">
        <v>171</v>
      </c>
      <c r="E1145" t="s">
        <v>110</v>
      </c>
      <c r="F1145" t="s">
        <v>117</v>
      </c>
      <c r="G1145">
        <v>0</v>
      </c>
    </row>
    <row r="1146" spans="1:7" x14ac:dyDescent="0.3">
      <c r="A1146">
        <v>2019</v>
      </c>
      <c r="B1146" t="s">
        <v>27</v>
      </c>
      <c r="C1146" t="s">
        <v>170</v>
      </c>
      <c r="D1146" t="s">
        <v>171</v>
      </c>
      <c r="E1146" t="s">
        <v>108</v>
      </c>
      <c r="F1146" t="s">
        <v>117</v>
      </c>
      <c r="G1146">
        <v>0</v>
      </c>
    </row>
    <row r="1147" spans="1:7" x14ac:dyDescent="0.3">
      <c r="A1147">
        <v>2019</v>
      </c>
      <c r="B1147" t="s">
        <v>27</v>
      </c>
      <c r="C1147" t="s">
        <v>170</v>
      </c>
      <c r="D1147" t="s">
        <v>171</v>
      </c>
      <c r="E1147" t="s">
        <v>91</v>
      </c>
      <c r="F1147" t="s">
        <v>117</v>
      </c>
      <c r="G1147">
        <v>0</v>
      </c>
    </row>
    <row r="1148" spans="1:7" x14ac:dyDescent="0.3">
      <c r="A1148">
        <v>2019</v>
      </c>
      <c r="B1148" t="s">
        <v>27</v>
      </c>
      <c r="C1148" t="s">
        <v>170</v>
      </c>
      <c r="D1148" t="s">
        <v>171</v>
      </c>
      <c r="E1148" t="s">
        <v>109</v>
      </c>
      <c r="F1148" t="s">
        <v>117</v>
      </c>
      <c r="G1148">
        <v>0</v>
      </c>
    </row>
    <row r="1149" spans="1:7" x14ac:dyDescent="0.3">
      <c r="A1149">
        <v>2019</v>
      </c>
      <c r="B1149" t="s">
        <v>27</v>
      </c>
      <c r="C1149" t="s">
        <v>170</v>
      </c>
      <c r="D1149" t="s">
        <v>171</v>
      </c>
      <c r="E1149" t="s">
        <v>110</v>
      </c>
      <c r="F1149" t="s">
        <v>117</v>
      </c>
      <c r="G1149">
        <v>0</v>
      </c>
    </row>
    <row r="1150" spans="1:7" x14ac:dyDescent="0.3">
      <c r="A1150">
        <v>2019</v>
      </c>
      <c r="B1150" t="s">
        <v>29</v>
      </c>
      <c r="C1150" t="s">
        <v>170</v>
      </c>
      <c r="D1150" t="s">
        <v>171</v>
      </c>
      <c r="E1150" t="s">
        <v>108</v>
      </c>
      <c r="F1150" t="s">
        <v>117</v>
      </c>
      <c r="G1150">
        <v>0</v>
      </c>
    </row>
    <row r="1151" spans="1:7" x14ac:dyDescent="0.3">
      <c r="A1151">
        <v>2019</v>
      </c>
      <c r="B1151" t="s">
        <v>29</v>
      </c>
      <c r="C1151" t="s">
        <v>170</v>
      </c>
      <c r="D1151" t="s">
        <v>171</v>
      </c>
      <c r="E1151" t="s">
        <v>91</v>
      </c>
      <c r="F1151" t="s">
        <v>117</v>
      </c>
      <c r="G1151">
        <v>0</v>
      </c>
    </row>
    <row r="1152" spans="1:7" x14ac:dyDescent="0.3">
      <c r="A1152">
        <v>2019</v>
      </c>
      <c r="B1152" t="s">
        <v>29</v>
      </c>
      <c r="C1152" t="s">
        <v>170</v>
      </c>
      <c r="D1152" t="s">
        <v>171</v>
      </c>
      <c r="E1152" t="s">
        <v>109</v>
      </c>
      <c r="F1152" t="s">
        <v>117</v>
      </c>
      <c r="G1152">
        <v>0</v>
      </c>
    </row>
    <row r="1153" spans="1:7" x14ac:dyDescent="0.3">
      <c r="A1153">
        <v>2019</v>
      </c>
      <c r="B1153" t="s">
        <v>29</v>
      </c>
      <c r="C1153" t="s">
        <v>170</v>
      </c>
      <c r="D1153" t="s">
        <v>171</v>
      </c>
      <c r="E1153" t="s">
        <v>110</v>
      </c>
      <c r="F1153" t="s">
        <v>117</v>
      </c>
      <c r="G1153">
        <v>0</v>
      </c>
    </row>
    <row r="1154" spans="1:7" x14ac:dyDescent="0.3">
      <c r="A1154">
        <v>2019</v>
      </c>
      <c r="B1154" t="s">
        <v>30</v>
      </c>
      <c r="C1154" t="s">
        <v>170</v>
      </c>
      <c r="D1154" t="s">
        <v>171</v>
      </c>
      <c r="E1154" t="s">
        <v>108</v>
      </c>
      <c r="F1154" t="s">
        <v>117</v>
      </c>
      <c r="G1154">
        <v>0</v>
      </c>
    </row>
    <row r="1155" spans="1:7" x14ac:dyDescent="0.3">
      <c r="A1155">
        <v>2019</v>
      </c>
      <c r="B1155" t="s">
        <v>30</v>
      </c>
      <c r="C1155" t="s">
        <v>170</v>
      </c>
      <c r="D1155" t="s">
        <v>171</v>
      </c>
      <c r="E1155" t="s">
        <v>91</v>
      </c>
      <c r="F1155" t="s">
        <v>117</v>
      </c>
      <c r="G1155">
        <v>0</v>
      </c>
    </row>
    <row r="1156" spans="1:7" x14ac:dyDescent="0.3">
      <c r="A1156">
        <v>2019</v>
      </c>
      <c r="B1156" t="s">
        <v>30</v>
      </c>
      <c r="C1156" t="s">
        <v>170</v>
      </c>
      <c r="D1156" t="s">
        <v>171</v>
      </c>
      <c r="E1156" t="s">
        <v>109</v>
      </c>
      <c r="F1156" t="s">
        <v>117</v>
      </c>
      <c r="G1156">
        <v>0</v>
      </c>
    </row>
    <row r="1157" spans="1:7" x14ac:dyDescent="0.3">
      <c r="A1157">
        <v>2019</v>
      </c>
      <c r="B1157" t="s">
        <v>30</v>
      </c>
      <c r="C1157" t="s">
        <v>170</v>
      </c>
      <c r="D1157" t="s">
        <v>171</v>
      </c>
      <c r="E1157" t="s">
        <v>110</v>
      </c>
      <c r="F1157" t="s">
        <v>117</v>
      </c>
      <c r="G1157">
        <v>0</v>
      </c>
    </row>
    <row r="1158" spans="1:7" x14ac:dyDescent="0.3">
      <c r="A1158">
        <v>2019</v>
      </c>
      <c r="B1158" t="s">
        <v>31</v>
      </c>
      <c r="C1158" t="s">
        <v>170</v>
      </c>
      <c r="D1158" t="s">
        <v>171</v>
      </c>
      <c r="E1158" t="s">
        <v>108</v>
      </c>
      <c r="F1158" t="s">
        <v>117</v>
      </c>
      <c r="G1158">
        <v>0</v>
      </c>
    </row>
    <row r="1159" spans="1:7" x14ac:dyDescent="0.3">
      <c r="A1159">
        <v>2019</v>
      </c>
      <c r="B1159" t="s">
        <v>31</v>
      </c>
      <c r="C1159" t="s">
        <v>170</v>
      </c>
      <c r="D1159" t="s">
        <v>171</v>
      </c>
      <c r="E1159" t="s">
        <v>91</v>
      </c>
      <c r="F1159" t="s">
        <v>117</v>
      </c>
      <c r="G1159">
        <v>0</v>
      </c>
    </row>
    <row r="1160" spans="1:7" x14ac:dyDescent="0.3">
      <c r="A1160">
        <v>2019</v>
      </c>
      <c r="B1160" t="s">
        <v>31</v>
      </c>
      <c r="C1160" t="s">
        <v>170</v>
      </c>
      <c r="D1160" t="s">
        <v>171</v>
      </c>
      <c r="E1160" t="s">
        <v>109</v>
      </c>
      <c r="F1160" t="s">
        <v>117</v>
      </c>
      <c r="G1160">
        <v>0</v>
      </c>
    </row>
    <row r="1161" spans="1:7" x14ac:dyDescent="0.3">
      <c r="A1161">
        <v>2019</v>
      </c>
      <c r="B1161" t="s">
        <v>31</v>
      </c>
      <c r="C1161" t="s">
        <v>170</v>
      </c>
      <c r="D1161" t="s">
        <v>171</v>
      </c>
      <c r="E1161" t="s">
        <v>110</v>
      </c>
      <c r="F1161" t="s">
        <v>117</v>
      </c>
      <c r="G1161">
        <v>0</v>
      </c>
    </row>
    <row r="1162" spans="1:7" x14ac:dyDescent="0.3">
      <c r="A1162">
        <v>2019</v>
      </c>
      <c r="B1162" t="s">
        <v>32</v>
      </c>
      <c r="C1162" t="s">
        <v>170</v>
      </c>
      <c r="D1162" t="s">
        <v>171</v>
      </c>
      <c r="E1162" t="s">
        <v>108</v>
      </c>
      <c r="F1162" t="s">
        <v>117</v>
      </c>
      <c r="G1162">
        <v>0</v>
      </c>
    </row>
    <row r="1163" spans="1:7" x14ac:dyDescent="0.3">
      <c r="A1163">
        <v>2019</v>
      </c>
      <c r="B1163" t="s">
        <v>32</v>
      </c>
      <c r="C1163" t="s">
        <v>170</v>
      </c>
      <c r="D1163" t="s">
        <v>171</v>
      </c>
      <c r="E1163" t="s">
        <v>91</v>
      </c>
      <c r="F1163" t="s">
        <v>117</v>
      </c>
      <c r="G1163">
        <v>0</v>
      </c>
    </row>
    <row r="1164" spans="1:7" x14ac:dyDescent="0.3">
      <c r="A1164">
        <v>2019</v>
      </c>
      <c r="B1164" t="s">
        <v>32</v>
      </c>
      <c r="C1164" t="s">
        <v>170</v>
      </c>
      <c r="D1164" t="s">
        <v>171</v>
      </c>
      <c r="E1164" t="s">
        <v>109</v>
      </c>
      <c r="F1164" t="s">
        <v>117</v>
      </c>
      <c r="G1164">
        <v>0</v>
      </c>
    </row>
    <row r="1165" spans="1:7" x14ac:dyDescent="0.3">
      <c r="A1165">
        <v>2019</v>
      </c>
      <c r="B1165" t="s">
        <v>32</v>
      </c>
      <c r="C1165" t="s">
        <v>170</v>
      </c>
      <c r="D1165" t="s">
        <v>171</v>
      </c>
      <c r="E1165" t="s">
        <v>110</v>
      </c>
      <c r="F1165" t="s">
        <v>117</v>
      </c>
      <c r="G1165">
        <v>0</v>
      </c>
    </row>
    <row r="1166" spans="1:7" x14ac:dyDescent="0.3">
      <c r="A1166">
        <v>2019</v>
      </c>
      <c r="B1166" t="s">
        <v>63</v>
      </c>
      <c r="C1166" t="s">
        <v>170</v>
      </c>
      <c r="D1166" t="s">
        <v>171</v>
      </c>
      <c r="E1166" t="s">
        <v>108</v>
      </c>
      <c r="F1166" t="s">
        <v>117</v>
      </c>
      <c r="G1166">
        <v>0</v>
      </c>
    </row>
    <row r="1167" spans="1:7" x14ac:dyDescent="0.3">
      <c r="A1167">
        <v>2019</v>
      </c>
      <c r="B1167" t="s">
        <v>63</v>
      </c>
      <c r="C1167" t="s">
        <v>170</v>
      </c>
      <c r="D1167" t="s">
        <v>171</v>
      </c>
      <c r="E1167" t="s">
        <v>91</v>
      </c>
      <c r="F1167" t="s">
        <v>117</v>
      </c>
      <c r="G1167">
        <v>7</v>
      </c>
    </row>
    <row r="1168" spans="1:7" x14ac:dyDescent="0.3">
      <c r="A1168">
        <v>2019</v>
      </c>
      <c r="B1168" t="s">
        <v>63</v>
      </c>
      <c r="C1168" t="s">
        <v>170</v>
      </c>
      <c r="D1168" t="s">
        <v>171</v>
      </c>
      <c r="E1168" t="s">
        <v>109</v>
      </c>
      <c r="F1168" t="s">
        <v>117</v>
      </c>
      <c r="G1168">
        <v>9</v>
      </c>
    </row>
    <row r="1169" spans="1:7" x14ac:dyDescent="0.3">
      <c r="A1169">
        <v>2019</v>
      </c>
      <c r="B1169" t="s">
        <v>63</v>
      </c>
      <c r="C1169" t="s">
        <v>170</v>
      </c>
      <c r="D1169" t="s">
        <v>171</v>
      </c>
      <c r="E1169" t="s">
        <v>110</v>
      </c>
      <c r="F1169" t="s">
        <v>117</v>
      </c>
      <c r="G1169">
        <v>0</v>
      </c>
    </row>
    <row r="1170" spans="1:7" x14ac:dyDescent="0.3">
      <c r="A1170">
        <v>2019</v>
      </c>
      <c r="B1170" t="s">
        <v>57</v>
      </c>
      <c r="C1170" t="s">
        <v>170</v>
      </c>
      <c r="D1170" t="s">
        <v>171</v>
      </c>
      <c r="E1170" t="s">
        <v>108</v>
      </c>
      <c r="F1170" t="s">
        <v>117</v>
      </c>
      <c r="G1170">
        <v>0</v>
      </c>
    </row>
    <row r="1171" spans="1:7" x14ac:dyDescent="0.3">
      <c r="A1171">
        <v>2019</v>
      </c>
      <c r="B1171" t="s">
        <v>57</v>
      </c>
      <c r="C1171" t="s">
        <v>170</v>
      </c>
      <c r="D1171" t="s">
        <v>171</v>
      </c>
      <c r="E1171" t="s">
        <v>91</v>
      </c>
      <c r="F1171" t="s">
        <v>117</v>
      </c>
      <c r="G1171">
        <v>0</v>
      </c>
    </row>
    <row r="1172" spans="1:7" x14ac:dyDescent="0.3">
      <c r="A1172">
        <v>2019</v>
      </c>
      <c r="B1172" t="s">
        <v>57</v>
      </c>
      <c r="C1172" t="s">
        <v>170</v>
      </c>
      <c r="D1172" t="s">
        <v>171</v>
      </c>
      <c r="E1172" t="s">
        <v>109</v>
      </c>
      <c r="F1172" t="s">
        <v>117</v>
      </c>
      <c r="G1172">
        <v>0</v>
      </c>
    </row>
    <row r="1173" spans="1:7" x14ac:dyDescent="0.3">
      <c r="A1173">
        <v>2019</v>
      </c>
      <c r="B1173" t="s">
        <v>57</v>
      </c>
      <c r="C1173" t="s">
        <v>170</v>
      </c>
      <c r="D1173" t="s">
        <v>171</v>
      </c>
      <c r="E1173" t="s">
        <v>110</v>
      </c>
      <c r="F1173" t="s">
        <v>117</v>
      </c>
      <c r="G1173">
        <v>0</v>
      </c>
    </row>
    <row r="1174" spans="1:7" x14ac:dyDescent="0.3">
      <c r="A1174">
        <v>2019</v>
      </c>
      <c r="B1174" t="s">
        <v>33</v>
      </c>
      <c r="C1174" t="s">
        <v>170</v>
      </c>
      <c r="D1174" t="s">
        <v>171</v>
      </c>
      <c r="E1174" t="s">
        <v>108</v>
      </c>
      <c r="F1174" t="s">
        <v>117</v>
      </c>
      <c r="G1174">
        <v>0</v>
      </c>
    </row>
    <row r="1175" spans="1:7" x14ac:dyDescent="0.3">
      <c r="A1175">
        <v>2019</v>
      </c>
      <c r="B1175" t="s">
        <v>33</v>
      </c>
      <c r="C1175" t="s">
        <v>170</v>
      </c>
      <c r="D1175" t="s">
        <v>171</v>
      </c>
      <c r="E1175" t="s">
        <v>91</v>
      </c>
      <c r="F1175" t="s">
        <v>117</v>
      </c>
      <c r="G1175">
        <v>0</v>
      </c>
    </row>
    <row r="1176" spans="1:7" x14ac:dyDescent="0.3">
      <c r="A1176">
        <v>2019</v>
      </c>
      <c r="B1176" t="s">
        <v>33</v>
      </c>
      <c r="C1176" t="s">
        <v>170</v>
      </c>
      <c r="D1176" t="s">
        <v>171</v>
      </c>
      <c r="E1176" t="s">
        <v>109</v>
      </c>
      <c r="F1176" t="s">
        <v>117</v>
      </c>
      <c r="G1176">
        <v>0</v>
      </c>
    </row>
    <row r="1177" spans="1:7" x14ac:dyDescent="0.3">
      <c r="A1177">
        <v>2019</v>
      </c>
      <c r="B1177" t="s">
        <v>33</v>
      </c>
      <c r="C1177" t="s">
        <v>170</v>
      </c>
      <c r="D1177" t="s">
        <v>171</v>
      </c>
      <c r="E1177" t="s">
        <v>110</v>
      </c>
      <c r="F1177" t="s">
        <v>117</v>
      </c>
      <c r="G1177">
        <v>0</v>
      </c>
    </row>
    <row r="1178" spans="1:7" x14ac:dyDescent="0.3">
      <c r="A1178">
        <v>2019</v>
      </c>
      <c r="B1178" t="s">
        <v>34</v>
      </c>
      <c r="C1178" t="s">
        <v>170</v>
      </c>
      <c r="D1178" t="s">
        <v>171</v>
      </c>
      <c r="E1178" t="s">
        <v>108</v>
      </c>
      <c r="F1178" t="s">
        <v>117</v>
      </c>
      <c r="G1178">
        <v>0</v>
      </c>
    </row>
    <row r="1179" spans="1:7" x14ac:dyDescent="0.3">
      <c r="A1179">
        <v>2019</v>
      </c>
      <c r="B1179" t="s">
        <v>34</v>
      </c>
      <c r="C1179" t="s">
        <v>170</v>
      </c>
      <c r="D1179" t="s">
        <v>171</v>
      </c>
      <c r="E1179" t="s">
        <v>91</v>
      </c>
      <c r="F1179" t="s">
        <v>117</v>
      </c>
      <c r="G1179">
        <v>0</v>
      </c>
    </row>
    <row r="1180" spans="1:7" x14ac:dyDescent="0.3">
      <c r="A1180">
        <v>2019</v>
      </c>
      <c r="B1180" t="s">
        <v>34</v>
      </c>
      <c r="C1180" t="s">
        <v>170</v>
      </c>
      <c r="D1180" t="s">
        <v>171</v>
      </c>
      <c r="E1180" t="s">
        <v>109</v>
      </c>
      <c r="F1180" t="s">
        <v>117</v>
      </c>
      <c r="G1180">
        <v>0</v>
      </c>
    </row>
    <row r="1181" spans="1:7" x14ac:dyDescent="0.3">
      <c r="A1181">
        <v>2019</v>
      </c>
      <c r="B1181" t="s">
        <v>34</v>
      </c>
      <c r="C1181" t="s">
        <v>170</v>
      </c>
      <c r="D1181" t="s">
        <v>171</v>
      </c>
      <c r="E1181" t="s">
        <v>110</v>
      </c>
      <c r="F1181" t="s">
        <v>117</v>
      </c>
      <c r="G1181">
        <v>0</v>
      </c>
    </row>
    <row r="1182" spans="1:7" x14ac:dyDescent="0.3">
      <c r="A1182">
        <v>2019</v>
      </c>
      <c r="B1182" t="s">
        <v>35</v>
      </c>
      <c r="C1182" t="s">
        <v>170</v>
      </c>
      <c r="D1182" t="s">
        <v>171</v>
      </c>
      <c r="E1182" t="s">
        <v>108</v>
      </c>
      <c r="F1182" t="s">
        <v>117</v>
      </c>
      <c r="G1182">
        <v>0</v>
      </c>
    </row>
    <row r="1183" spans="1:7" x14ac:dyDescent="0.3">
      <c r="A1183">
        <v>2019</v>
      </c>
      <c r="B1183" t="s">
        <v>35</v>
      </c>
      <c r="C1183" t="s">
        <v>170</v>
      </c>
      <c r="D1183" t="s">
        <v>171</v>
      </c>
      <c r="E1183" t="s">
        <v>91</v>
      </c>
      <c r="F1183" t="s">
        <v>117</v>
      </c>
      <c r="G1183">
        <v>0</v>
      </c>
    </row>
    <row r="1184" spans="1:7" x14ac:dyDescent="0.3">
      <c r="A1184">
        <v>2019</v>
      </c>
      <c r="B1184" t="s">
        <v>35</v>
      </c>
      <c r="C1184" t="s">
        <v>170</v>
      </c>
      <c r="D1184" t="s">
        <v>171</v>
      </c>
      <c r="E1184" t="s">
        <v>109</v>
      </c>
      <c r="F1184" t="s">
        <v>117</v>
      </c>
      <c r="G1184">
        <v>0</v>
      </c>
    </row>
    <row r="1185" spans="1:7" x14ac:dyDescent="0.3">
      <c r="A1185">
        <v>2019</v>
      </c>
      <c r="B1185" t="s">
        <v>35</v>
      </c>
      <c r="C1185" t="s">
        <v>170</v>
      </c>
      <c r="D1185" t="s">
        <v>171</v>
      </c>
      <c r="E1185" t="s">
        <v>110</v>
      </c>
      <c r="F1185" t="s">
        <v>117</v>
      </c>
      <c r="G1185">
        <v>0</v>
      </c>
    </row>
    <row r="1186" spans="1:7" x14ac:dyDescent="0.3">
      <c r="A1186">
        <v>2019</v>
      </c>
      <c r="B1186" t="s">
        <v>36</v>
      </c>
      <c r="C1186" t="s">
        <v>170</v>
      </c>
      <c r="D1186" t="s">
        <v>171</v>
      </c>
      <c r="E1186" t="s">
        <v>108</v>
      </c>
      <c r="F1186" t="s">
        <v>117</v>
      </c>
      <c r="G1186">
        <v>0</v>
      </c>
    </row>
    <row r="1187" spans="1:7" x14ac:dyDescent="0.3">
      <c r="A1187">
        <v>2019</v>
      </c>
      <c r="B1187" t="s">
        <v>36</v>
      </c>
      <c r="C1187" t="s">
        <v>170</v>
      </c>
      <c r="D1187" t="s">
        <v>171</v>
      </c>
      <c r="E1187" t="s">
        <v>91</v>
      </c>
      <c r="F1187" t="s">
        <v>117</v>
      </c>
      <c r="G1187">
        <v>1</v>
      </c>
    </row>
    <row r="1188" spans="1:7" x14ac:dyDescent="0.3">
      <c r="A1188">
        <v>2019</v>
      </c>
      <c r="B1188" t="s">
        <v>36</v>
      </c>
      <c r="C1188" t="s">
        <v>170</v>
      </c>
      <c r="D1188" t="s">
        <v>171</v>
      </c>
      <c r="E1188" t="s">
        <v>109</v>
      </c>
      <c r="F1188" t="s">
        <v>117</v>
      </c>
      <c r="G1188">
        <v>0</v>
      </c>
    </row>
    <row r="1189" spans="1:7" x14ac:dyDescent="0.3">
      <c r="A1189">
        <v>2019</v>
      </c>
      <c r="B1189" t="s">
        <v>36</v>
      </c>
      <c r="C1189" t="s">
        <v>170</v>
      </c>
      <c r="D1189" t="s">
        <v>171</v>
      </c>
      <c r="E1189" t="s">
        <v>110</v>
      </c>
      <c r="F1189" t="s">
        <v>117</v>
      </c>
      <c r="G1189">
        <v>0</v>
      </c>
    </row>
    <row r="1190" spans="1:7" x14ac:dyDescent="0.3">
      <c r="A1190">
        <v>2019</v>
      </c>
      <c r="B1190" t="s">
        <v>37</v>
      </c>
      <c r="C1190" t="s">
        <v>170</v>
      </c>
      <c r="D1190" t="s">
        <v>171</v>
      </c>
      <c r="E1190" t="s">
        <v>108</v>
      </c>
      <c r="F1190" t="s">
        <v>117</v>
      </c>
      <c r="G1190">
        <v>0</v>
      </c>
    </row>
    <row r="1191" spans="1:7" x14ac:dyDescent="0.3">
      <c r="A1191">
        <v>2019</v>
      </c>
      <c r="B1191" t="s">
        <v>37</v>
      </c>
      <c r="C1191" t="s">
        <v>170</v>
      </c>
      <c r="D1191" t="s">
        <v>171</v>
      </c>
      <c r="E1191" t="s">
        <v>91</v>
      </c>
      <c r="F1191" t="s">
        <v>117</v>
      </c>
      <c r="G1191">
        <v>0</v>
      </c>
    </row>
    <row r="1192" spans="1:7" x14ac:dyDescent="0.3">
      <c r="A1192">
        <v>2019</v>
      </c>
      <c r="B1192" t="s">
        <v>37</v>
      </c>
      <c r="C1192" t="s">
        <v>170</v>
      </c>
      <c r="D1192" t="s">
        <v>171</v>
      </c>
      <c r="E1192" t="s">
        <v>109</v>
      </c>
      <c r="F1192" t="s">
        <v>117</v>
      </c>
      <c r="G1192">
        <v>0</v>
      </c>
    </row>
    <row r="1193" spans="1:7" x14ac:dyDescent="0.3">
      <c r="A1193">
        <v>2019</v>
      </c>
      <c r="B1193" t="s">
        <v>37</v>
      </c>
      <c r="C1193" t="s">
        <v>170</v>
      </c>
      <c r="D1193" t="s">
        <v>171</v>
      </c>
      <c r="E1193" t="s">
        <v>110</v>
      </c>
      <c r="F1193" t="s">
        <v>117</v>
      </c>
      <c r="G1193">
        <v>0</v>
      </c>
    </row>
    <row r="1194" spans="1:7" x14ac:dyDescent="0.3">
      <c r="A1194">
        <v>2019</v>
      </c>
      <c r="B1194" t="s">
        <v>55</v>
      </c>
      <c r="C1194" t="s">
        <v>170</v>
      </c>
      <c r="D1194" t="s">
        <v>171</v>
      </c>
      <c r="E1194" t="s">
        <v>108</v>
      </c>
      <c r="F1194" t="s">
        <v>117</v>
      </c>
      <c r="G1194">
        <v>0</v>
      </c>
    </row>
    <row r="1195" spans="1:7" x14ac:dyDescent="0.3">
      <c r="A1195">
        <v>2019</v>
      </c>
      <c r="B1195" t="s">
        <v>55</v>
      </c>
      <c r="C1195" t="s">
        <v>170</v>
      </c>
      <c r="D1195" t="s">
        <v>171</v>
      </c>
      <c r="E1195" t="s">
        <v>91</v>
      </c>
      <c r="F1195" t="s">
        <v>117</v>
      </c>
      <c r="G1195">
        <v>0</v>
      </c>
    </row>
    <row r="1196" spans="1:7" x14ac:dyDescent="0.3">
      <c r="A1196">
        <v>2019</v>
      </c>
      <c r="B1196" t="s">
        <v>55</v>
      </c>
      <c r="C1196" t="s">
        <v>170</v>
      </c>
      <c r="D1196" t="s">
        <v>171</v>
      </c>
      <c r="E1196" t="s">
        <v>109</v>
      </c>
      <c r="F1196" t="s">
        <v>117</v>
      </c>
      <c r="G1196">
        <v>0</v>
      </c>
    </row>
    <row r="1197" spans="1:7" x14ac:dyDescent="0.3">
      <c r="A1197">
        <v>2019</v>
      </c>
      <c r="B1197" t="s">
        <v>55</v>
      </c>
      <c r="C1197" t="s">
        <v>170</v>
      </c>
      <c r="D1197" t="s">
        <v>171</v>
      </c>
      <c r="E1197" t="s">
        <v>110</v>
      </c>
      <c r="F1197" t="s">
        <v>117</v>
      </c>
      <c r="G1197">
        <v>0</v>
      </c>
    </row>
    <row r="1198" spans="1:7" x14ac:dyDescent="0.3">
      <c r="A1198">
        <v>2019</v>
      </c>
      <c r="B1198" t="s">
        <v>38</v>
      </c>
      <c r="C1198" t="s">
        <v>170</v>
      </c>
      <c r="D1198" t="s">
        <v>171</v>
      </c>
      <c r="E1198" t="s">
        <v>108</v>
      </c>
      <c r="F1198" t="s">
        <v>117</v>
      </c>
      <c r="G1198">
        <v>0</v>
      </c>
    </row>
    <row r="1199" spans="1:7" x14ac:dyDescent="0.3">
      <c r="A1199">
        <v>2019</v>
      </c>
      <c r="B1199" t="s">
        <v>38</v>
      </c>
      <c r="C1199" t="s">
        <v>170</v>
      </c>
      <c r="D1199" t="s">
        <v>171</v>
      </c>
      <c r="E1199" t="s">
        <v>91</v>
      </c>
      <c r="F1199" t="s">
        <v>117</v>
      </c>
      <c r="G1199">
        <v>0</v>
      </c>
    </row>
    <row r="1200" spans="1:7" x14ac:dyDescent="0.3">
      <c r="A1200">
        <v>2019</v>
      </c>
      <c r="B1200" t="s">
        <v>38</v>
      </c>
      <c r="C1200" t="s">
        <v>170</v>
      </c>
      <c r="D1200" t="s">
        <v>171</v>
      </c>
      <c r="E1200" t="s">
        <v>109</v>
      </c>
      <c r="F1200" t="s">
        <v>117</v>
      </c>
      <c r="G1200">
        <v>0</v>
      </c>
    </row>
    <row r="1201" spans="1:7" x14ac:dyDescent="0.3">
      <c r="A1201">
        <v>2019</v>
      </c>
      <c r="B1201" t="s">
        <v>38</v>
      </c>
      <c r="C1201" t="s">
        <v>170</v>
      </c>
      <c r="D1201" t="s">
        <v>171</v>
      </c>
      <c r="E1201" t="s">
        <v>110</v>
      </c>
      <c r="F1201" t="s">
        <v>117</v>
      </c>
      <c r="G1201">
        <v>0</v>
      </c>
    </row>
    <row r="1202" spans="1:7" x14ac:dyDescent="0.3">
      <c r="A1202">
        <v>2019</v>
      </c>
      <c r="B1202" t="s">
        <v>39</v>
      </c>
      <c r="C1202" t="s">
        <v>170</v>
      </c>
      <c r="D1202" t="s">
        <v>171</v>
      </c>
      <c r="E1202" t="s">
        <v>108</v>
      </c>
      <c r="F1202" t="s">
        <v>117</v>
      </c>
      <c r="G1202">
        <v>1</v>
      </c>
    </row>
    <row r="1203" spans="1:7" x14ac:dyDescent="0.3">
      <c r="A1203">
        <v>2019</v>
      </c>
      <c r="B1203" t="s">
        <v>39</v>
      </c>
      <c r="C1203" t="s">
        <v>170</v>
      </c>
      <c r="D1203" t="s">
        <v>171</v>
      </c>
      <c r="E1203" t="s">
        <v>91</v>
      </c>
      <c r="F1203" t="s">
        <v>117</v>
      </c>
      <c r="G1203">
        <v>0</v>
      </c>
    </row>
    <row r="1204" spans="1:7" x14ac:dyDescent="0.3">
      <c r="A1204">
        <v>2019</v>
      </c>
      <c r="B1204" t="s">
        <v>39</v>
      </c>
      <c r="C1204" t="s">
        <v>170</v>
      </c>
      <c r="D1204" t="s">
        <v>171</v>
      </c>
      <c r="E1204" t="s">
        <v>109</v>
      </c>
      <c r="F1204" t="s">
        <v>117</v>
      </c>
      <c r="G1204">
        <v>0</v>
      </c>
    </row>
    <row r="1205" spans="1:7" x14ac:dyDescent="0.3">
      <c r="A1205">
        <v>2019</v>
      </c>
      <c r="B1205" t="s">
        <v>39</v>
      </c>
      <c r="C1205" t="s">
        <v>170</v>
      </c>
      <c r="D1205" t="s">
        <v>171</v>
      </c>
      <c r="E1205" t="s">
        <v>110</v>
      </c>
      <c r="F1205" t="s">
        <v>117</v>
      </c>
      <c r="G1205">
        <v>0</v>
      </c>
    </row>
    <row r="1206" spans="1:7" x14ac:dyDescent="0.3">
      <c r="A1206">
        <v>2019</v>
      </c>
      <c r="B1206" t="s">
        <v>40</v>
      </c>
      <c r="C1206" t="s">
        <v>170</v>
      </c>
      <c r="D1206" t="s">
        <v>171</v>
      </c>
      <c r="E1206" t="s">
        <v>108</v>
      </c>
      <c r="F1206" t="s">
        <v>117</v>
      </c>
      <c r="G1206">
        <v>0</v>
      </c>
    </row>
    <row r="1207" spans="1:7" x14ac:dyDescent="0.3">
      <c r="A1207">
        <v>2019</v>
      </c>
      <c r="B1207" t="s">
        <v>40</v>
      </c>
      <c r="C1207" t="s">
        <v>170</v>
      </c>
      <c r="D1207" t="s">
        <v>171</v>
      </c>
      <c r="E1207" t="s">
        <v>91</v>
      </c>
      <c r="F1207" t="s">
        <v>117</v>
      </c>
      <c r="G1207">
        <v>0</v>
      </c>
    </row>
    <row r="1208" spans="1:7" x14ac:dyDescent="0.3">
      <c r="A1208">
        <v>2019</v>
      </c>
      <c r="B1208" t="s">
        <v>40</v>
      </c>
      <c r="C1208" t="s">
        <v>170</v>
      </c>
      <c r="D1208" t="s">
        <v>171</v>
      </c>
      <c r="E1208" t="s">
        <v>109</v>
      </c>
      <c r="F1208" t="s">
        <v>117</v>
      </c>
      <c r="G1208">
        <v>0</v>
      </c>
    </row>
    <row r="1209" spans="1:7" x14ac:dyDescent="0.3">
      <c r="A1209">
        <v>2019</v>
      </c>
      <c r="B1209" t="s">
        <v>40</v>
      </c>
      <c r="C1209" t="s">
        <v>170</v>
      </c>
      <c r="D1209" t="s">
        <v>171</v>
      </c>
      <c r="E1209" t="s">
        <v>110</v>
      </c>
      <c r="F1209" t="s">
        <v>117</v>
      </c>
      <c r="G1209">
        <v>0</v>
      </c>
    </row>
    <row r="1210" spans="1:7" x14ac:dyDescent="0.3">
      <c r="A1210">
        <v>2019</v>
      </c>
      <c r="B1210" t="s">
        <v>41</v>
      </c>
      <c r="C1210" t="s">
        <v>170</v>
      </c>
      <c r="D1210" t="s">
        <v>171</v>
      </c>
      <c r="E1210" t="s">
        <v>108</v>
      </c>
      <c r="F1210" t="s">
        <v>117</v>
      </c>
      <c r="G1210">
        <v>0</v>
      </c>
    </row>
    <row r="1211" spans="1:7" x14ac:dyDescent="0.3">
      <c r="A1211">
        <v>2019</v>
      </c>
      <c r="B1211" t="s">
        <v>41</v>
      </c>
      <c r="C1211" t="s">
        <v>170</v>
      </c>
      <c r="D1211" t="s">
        <v>171</v>
      </c>
      <c r="E1211" t="s">
        <v>91</v>
      </c>
      <c r="F1211" t="s">
        <v>117</v>
      </c>
      <c r="G1211">
        <v>0</v>
      </c>
    </row>
    <row r="1212" spans="1:7" x14ac:dyDescent="0.3">
      <c r="A1212">
        <v>2019</v>
      </c>
      <c r="B1212" t="s">
        <v>41</v>
      </c>
      <c r="C1212" t="s">
        <v>170</v>
      </c>
      <c r="D1212" t="s">
        <v>171</v>
      </c>
      <c r="E1212" t="s">
        <v>109</v>
      </c>
      <c r="F1212" t="s">
        <v>117</v>
      </c>
      <c r="G1212">
        <v>0</v>
      </c>
    </row>
    <row r="1213" spans="1:7" x14ac:dyDescent="0.3">
      <c r="A1213">
        <v>2019</v>
      </c>
      <c r="B1213" t="s">
        <v>41</v>
      </c>
      <c r="C1213" t="s">
        <v>170</v>
      </c>
      <c r="D1213" t="s">
        <v>171</v>
      </c>
      <c r="E1213" t="s">
        <v>110</v>
      </c>
      <c r="F1213" t="s">
        <v>117</v>
      </c>
      <c r="G1213">
        <v>0</v>
      </c>
    </row>
    <row r="1214" spans="1:7" x14ac:dyDescent="0.3">
      <c r="A1214">
        <v>2019</v>
      </c>
      <c r="B1214" t="s">
        <v>58</v>
      </c>
      <c r="C1214" t="s">
        <v>170</v>
      </c>
      <c r="D1214" t="s">
        <v>171</v>
      </c>
      <c r="E1214" t="s">
        <v>108</v>
      </c>
      <c r="F1214" t="s">
        <v>117</v>
      </c>
      <c r="G1214">
        <v>1</v>
      </c>
    </row>
    <row r="1215" spans="1:7" x14ac:dyDescent="0.3">
      <c r="A1215">
        <v>2019</v>
      </c>
      <c r="B1215" t="s">
        <v>58</v>
      </c>
      <c r="C1215" t="s">
        <v>170</v>
      </c>
      <c r="D1215" t="s">
        <v>171</v>
      </c>
      <c r="E1215" t="s">
        <v>91</v>
      </c>
      <c r="F1215" t="s">
        <v>117</v>
      </c>
      <c r="G1215">
        <v>1</v>
      </c>
    </row>
    <row r="1216" spans="1:7" x14ac:dyDescent="0.3">
      <c r="A1216">
        <v>2019</v>
      </c>
      <c r="B1216" t="s">
        <v>58</v>
      </c>
      <c r="C1216" t="s">
        <v>170</v>
      </c>
      <c r="D1216" t="s">
        <v>171</v>
      </c>
      <c r="E1216" t="s">
        <v>109</v>
      </c>
      <c r="F1216" t="s">
        <v>117</v>
      </c>
      <c r="G1216">
        <v>0</v>
      </c>
    </row>
    <row r="1217" spans="1:7" x14ac:dyDescent="0.3">
      <c r="A1217">
        <v>2019</v>
      </c>
      <c r="B1217" t="s">
        <v>58</v>
      </c>
      <c r="C1217" t="s">
        <v>170</v>
      </c>
      <c r="D1217" t="s">
        <v>171</v>
      </c>
      <c r="E1217" t="s">
        <v>110</v>
      </c>
      <c r="F1217" t="s">
        <v>117</v>
      </c>
      <c r="G1217">
        <v>0</v>
      </c>
    </row>
    <row r="1218" spans="1:7" x14ac:dyDescent="0.3">
      <c r="A1218">
        <v>2019</v>
      </c>
      <c r="B1218" t="s">
        <v>42</v>
      </c>
      <c r="C1218" t="s">
        <v>170</v>
      </c>
      <c r="D1218" t="s">
        <v>171</v>
      </c>
      <c r="E1218" t="s">
        <v>108</v>
      </c>
      <c r="F1218" t="s">
        <v>117</v>
      </c>
      <c r="G1218">
        <v>0</v>
      </c>
    </row>
    <row r="1219" spans="1:7" x14ac:dyDescent="0.3">
      <c r="A1219">
        <v>2019</v>
      </c>
      <c r="B1219" t="s">
        <v>42</v>
      </c>
      <c r="C1219" t="s">
        <v>170</v>
      </c>
      <c r="D1219" t="s">
        <v>171</v>
      </c>
      <c r="E1219" t="s">
        <v>91</v>
      </c>
      <c r="F1219" t="s">
        <v>117</v>
      </c>
      <c r="G1219">
        <v>0</v>
      </c>
    </row>
    <row r="1220" spans="1:7" x14ac:dyDescent="0.3">
      <c r="A1220">
        <v>2019</v>
      </c>
      <c r="B1220" t="s">
        <v>42</v>
      </c>
      <c r="C1220" t="s">
        <v>170</v>
      </c>
      <c r="D1220" t="s">
        <v>171</v>
      </c>
      <c r="E1220" t="s">
        <v>109</v>
      </c>
      <c r="F1220" t="s">
        <v>117</v>
      </c>
      <c r="G1220">
        <v>0</v>
      </c>
    </row>
    <row r="1221" spans="1:7" x14ac:dyDescent="0.3">
      <c r="A1221">
        <v>2019</v>
      </c>
      <c r="B1221" t="s">
        <v>42</v>
      </c>
      <c r="C1221" t="s">
        <v>170</v>
      </c>
      <c r="D1221" t="s">
        <v>171</v>
      </c>
      <c r="E1221" t="s">
        <v>110</v>
      </c>
      <c r="F1221" t="s">
        <v>117</v>
      </c>
      <c r="G1221">
        <v>0</v>
      </c>
    </row>
    <row r="1222" spans="1:7" x14ac:dyDescent="0.3">
      <c r="A1222">
        <v>2019</v>
      </c>
      <c r="B1222" t="s">
        <v>44</v>
      </c>
      <c r="C1222" t="s">
        <v>170</v>
      </c>
      <c r="D1222" t="s">
        <v>171</v>
      </c>
      <c r="E1222" t="s">
        <v>108</v>
      </c>
      <c r="F1222" t="s">
        <v>117</v>
      </c>
      <c r="G1222">
        <v>0</v>
      </c>
    </row>
    <row r="1223" spans="1:7" x14ac:dyDescent="0.3">
      <c r="A1223">
        <v>2019</v>
      </c>
      <c r="B1223" t="s">
        <v>44</v>
      </c>
      <c r="C1223" t="s">
        <v>170</v>
      </c>
      <c r="D1223" t="s">
        <v>171</v>
      </c>
      <c r="E1223" t="s">
        <v>91</v>
      </c>
      <c r="F1223" t="s">
        <v>117</v>
      </c>
      <c r="G1223">
        <v>0</v>
      </c>
    </row>
    <row r="1224" spans="1:7" x14ac:dyDescent="0.3">
      <c r="A1224">
        <v>2019</v>
      </c>
      <c r="B1224" t="s">
        <v>44</v>
      </c>
      <c r="C1224" t="s">
        <v>170</v>
      </c>
      <c r="D1224" t="s">
        <v>171</v>
      </c>
      <c r="E1224" t="s">
        <v>109</v>
      </c>
      <c r="F1224" t="s">
        <v>117</v>
      </c>
      <c r="G1224">
        <v>0</v>
      </c>
    </row>
    <row r="1225" spans="1:7" x14ac:dyDescent="0.3">
      <c r="A1225">
        <v>2019</v>
      </c>
      <c r="B1225" t="s">
        <v>44</v>
      </c>
      <c r="C1225" t="s">
        <v>170</v>
      </c>
      <c r="D1225" t="s">
        <v>171</v>
      </c>
      <c r="E1225" t="s">
        <v>110</v>
      </c>
      <c r="F1225" t="s">
        <v>117</v>
      </c>
      <c r="G1225">
        <v>0</v>
      </c>
    </row>
    <row r="1226" spans="1:7" x14ac:dyDescent="0.3">
      <c r="A1226">
        <v>2019</v>
      </c>
      <c r="B1226" t="s">
        <v>45</v>
      </c>
      <c r="C1226" t="s">
        <v>170</v>
      </c>
      <c r="D1226" t="s">
        <v>171</v>
      </c>
      <c r="E1226" t="s">
        <v>108</v>
      </c>
      <c r="F1226" t="s">
        <v>117</v>
      </c>
      <c r="G1226">
        <v>0</v>
      </c>
    </row>
    <row r="1227" spans="1:7" x14ac:dyDescent="0.3">
      <c r="A1227">
        <v>2019</v>
      </c>
      <c r="B1227" t="s">
        <v>45</v>
      </c>
      <c r="C1227" t="s">
        <v>170</v>
      </c>
      <c r="D1227" t="s">
        <v>171</v>
      </c>
      <c r="E1227" t="s">
        <v>91</v>
      </c>
      <c r="F1227" t="s">
        <v>117</v>
      </c>
      <c r="G1227">
        <v>0</v>
      </c>
    </row>
    <row r="1228" spans="1:7" x14ac:dyDescent="0.3">
      <c r="A1228">
        <v>2019</v>
      </c>
      <c r="B1228" t="s">
        <v>45</v>
      </c>
      <c r="C1228" t="s">
        <v>170</v>
      </c>
      <c r="D1228" t="s">
        <v>171</v>
      </c>
      <c r="E1228" t="s">
        <v>109</v>
      </c>
      <c r="F1228" t="s">
        <v>117</v>
      </c>
      <c r="G1228">
        <v>0</v>
      </c>
    </row>
    <row r="1229" spans="1:7" x14ac:dyDescent="0.3">
      <c r="A1229">
        <v>2019</v>
      </c>
      <c r="B1229" t="s">
        <v>45</v>
      </c>
      <c r="C1229" t="s">
        <v>170</v>
      </c>
      <c r="D1229" t="s">
        <v>171</v>
      </c>
      <c r="E1229" t="s">
        <v>110</v>
      </c>
      <c r="F1229" t="s">
        <v>117</v>
      </c>
      <c r="G1229">
        <v>0</v>
      </c>
    </row>
    <row r="1230" spans="1:7" x14ac:dyDescent="0.3">
      <c r="A1230">
        <v>2019</v>
      </c>
      <c r="B1230" t="s">
        <v>46</v>
      </c>
      <c r="C1230" t="s">
        <v>170</v>
      </c>
      <c r="D1230" t="s">
        <v>171</v>
      </c>
      <c r="E1230" t="s">
        <v>108</v>
      </c>
      <c r="F1230" t="s">
        <v>117</v>
      </c>
      <c r="G1230">
        <v>0</v>
      </c>
    </row>
    <row r="1231" spans="1:7" x14ac:dyDescent="0.3">
      <c r="A1231">
        <v>2019</v>
      </c>
      <c r="B1231" t="s">
        <v>46</v>
      </c>
      <c r="C1231" t="s">
        <v>170</v>
      </c>
      <c r="D1231" t="s">
        <v>171</v>
      </c>
      <c r="E1231" t="s">
        <v>91</v>
      </c>
      <c r="F1231" t="s">
        <v>117</v>
      </c>
      <c r="G1231">
        <v>0</v>
      </c>
    </row>
    <row r="1232" spans="1:7" x14ac:dyDescent="0.3">
      <c r="A1232">
        <v>2019</v>
      </c>
      <c r="B1232" t="s">
        <v>46</v>
      </c>
      <c r="C1232" t="s">
        <v>170</v>
      </c>
      <c r="D1232" t="s">
        <v>171</v>
      </c>
      <c r="E1232" t="s">
        <v>109</v>
      </c>
      <c r="F1232" t="s">
        <v>117</v>
      </c>
      <c r="G1232">
        <v>0</v>
      </c>
    </row>
    <row r="1233" spans="1:7" x14ac:dyDescent="0.3">
      <c r="A1233">
        <v>2019</v>
      </c>
      <c r="B1233" t="s">
        <v>46</v>
      </c>
      <c r="C1233" t="s">
        <v>170</v>
      </c>
      <c r="D1233" t="s">
        <v>171</v>
      </c>
      <c r="E1233" t="s">
        <v>110</v>
      </c>
      <c r="F1233" t="s">
        <v>117</v>
      </c>
      <c r="G1233">
        <v>0</v>
      </c>
    </row>
    <row r="1234" spans="1:7" x14ac:dyDescent="0.3">
      <c r="A1234">
        <v>2019</v>
      </c>
      <c r="B1234" t="s">
        <v>47</v>
      </c>
      <c r="C1234" t="s">
        <v>170</v>
      </c>
      <c r="D1234" t="s">
        <v>171</v>
      </c>
      <c r="E1234" t="s">
        <v>108</v>
      </c>
      <c r="F1234" t="s">
        <v>117</v>
      </c>
      <c r="G1234">
        <v>0</v>
      </c>
    </row>
    <row r="1235" spans="1:7" x14ac:dyDescent="0.3">
      <c r="A1235">
        <v>2019</v>
      </c>
      <c r="B1235" t="s">
        <v>47</v>
      </c>
      <c r="C1235" t="s">
        <v>170</v>
      </c>
      <c r="D1235" t="s">
        <v>171</v>
      </c>
      <c r="E1235" t="s">
        <v>91</v>
      </c>
      <c r="F1235" t="s">
        <v>117</v>
      </c>
      <c r="G1235">
        <v>0</v>
      </c>
    </row>
    <row r="1236" spans="1:7" x14ac:dyDescent="0.3">
      <c r="A1236">
        <v>2019</v>
      </c>
      <c r="B1236" t="s">
        <v>47</v>
      </c>
      <c r="C1236" t="s">
        <v>170</v>
      </c>
      <c r="D1236" t="s">
        <v>171</v>
      </c>
      <c r="E1236" t="s">
        <v>109</v>
      </c>
      <c r="F1236" t="s">
        <v>117</v>
      </c>
      <c r="G1236">
        <v>0</v>
      </c>
    </row>
    <row r="1237" spans="1:7" x14ac:dyDescent="0.3">
      <c r="A1237">
        <v>2019</v>
      </c>
      <c r="B1237" t="s">
        <v>47</v>
      </c>
      <c r="C1237" t="s">
        <v>170</v>
      </c>
      <c r="D1237" t="s">
        <v>171</v>
      </c>
      <c r="E1237" t="s">
        <v>110</v>
      </c>
      <c r="F1237" t="s">
        <v>117</v>
      </c>
      <c r="G1237">
        <v>0</v>
      </c>
    </row>
    <row r="1238" spans="1:7" x14ac:dyDescent="0.3">
      <c r="A1238">
        <v>2019</v>
      </c>
      <c r="B1238" t="s">
        <v>48</v>
      </c>
      <c r="C1238" t="s">
        <v>170</v>
      </c>
      <c r="D1238" t="s">
        <v>171</v>
      </c>
      <c r="E1238" t="s">
        <v>108</v>
      </c>
      <c r="F1238" t="s">
        <v>117</v>
      </c>
      <c r="G1238">
        <v>0</v>
      </c>
    </row>
    <row r="1239" spans="1:7" x14ac:dyDescent="0.3">
      <c r="A1239">
        <v>2019</v>
      </c>
      <c r="B1239" t="s">
        <v>48</v>
      </c>
      <c r="C1239" t="s">
        <v>170</v>
      </c>
      <c r="D1239" t="s">
        <v>171</v>
      </c>
      <c r="E1239" t="s">
        <v>91</v>
      </c>
      <c r="F1239" t="s">
        <v>117</v>
      </c>
      <c r="G1239">
        <v>0</v>
      </c>
    </row>
    <row r="1240" spans="1:7" x14ac:dyDescent="0.3">
      <c r="A1240">
        <v>2019</v>
      </c>
      <c r="B1240" t="s">
        <v>48</v>
      </c>
      <c r="C1240" t="s">
        <v>170</v>
      </c>
      <c r="D1240" t="s">
        <v>171</v>
      </c>
      <c r="E1240" t="s">
        <v>109</v>
      </c>
      <c r="F1240" t="s">
        <v>117</v>
      </c>
      <c r="G1240">
        <v>0</v>
      </c>
    </row>
    <row r="1241" spans="1:7" x14ac:dyDescent="0.3">
      <c r="A1241">
        <v>2019</v>
      </c>
      <c r="B1241" t="s">
        <v>48</v>
      </c>
      <c r="C1241" t="s">
        <v>170</v>
      </c>
      <c r="D1241" t="s">
        <v>171</v>
      </c>
      <c r="E1241" t="s">
        <v>110</v>
      </c>
      <c r="F1241" t="s">
        <v>117</v>
      </c>
      <c r="G1241">
        <v>0</v>
      </c>
    </row>
    <row r="1242" spans="1:7" x14ac:dyDescent="0.3">
      <c r="A1242">
        <v>2019</v>
      </c>
      <c r="B1242" t="s">
        <v>49</v>
      </c>
      <c r="C1242" t="s">
        <v>170</v>
      </c>
      <c r="D1242" t="s">
        <v>171</v>
      </c>
      <c r="E1242" t="s">
        <v>108</v>
      </c>
      <c r="F1242" t="s">
        <v>117</v>
      </c>
      <c r="G1242">
        <v>1</v>
      </c>
    </row>
    <row r="1243" spans="1:7" x14ac:dyDescent="0.3">
      <c r="A1243">
        <v>2019</v>
      </c>
      <c r="B1243" t="s">
        <v>49</v>
      </c>
      <c r="C1243" t="s">
        <v>170</v>
      </c>
      <c r="D1243" t="s">
        <v>171</v>
      </c>
      <c r="E1243" t="s">
        <v>91</v>
      </c>
      <c r="F1243" t="s">
        <v>117</v>
      </c>
      <c r="G1243">
        <v>1</v>
      </c>
    </row>
    <row r="1244" spans="1:7" x14ac:dyDescent="0.3">
      <c r="A1244">
        <v>2019</v>
      </c>
      <c r="B1244" t="s">
        <v>49</v>
      </c>
      <c r="C1244" t="s">
        <v>170</v>
      </c>
      <c r="D1244" t="s">
        <v>171</v>
      </c>
      <c r="E1244" t="s">
        <v>109</v>
      </c>
      <c r="F1244" t="s">
        <v>117</v>
      </c>
      <c r="G1244">
        <v>1</v>
      </c>
    </row>
    <row r="1245" spans="1:7" x14ac:dyDescent="0.3">
      <c r="A1245">
        <v>2019</v>
      </c>
      <c r="B1245" t="s">
        <v>49</v>
      </c>
      <c r="C1245" t="s">
        <v>170</v>
      </c>
      <c r="D1245" t="s">
        <v>171</v>
      </c>
      <c r="E1245" t="s">
        <v>110</v>
      </c>
      <c r="F1245" t="s">
        <v>117</v>
      </c>
      <c r="G1245">
        <v>0</v>
      </c>
    </row>
    <row r="1246" spans="1:7" x14ac:dyDescent="0.3">
      <c r="A1246">
        <v>2019</v>
      </c>
      <c r="B1246" t="s">
        <v>59</v>
      </c>
      <c r="C1246" t="s">
        <v>170</v>
      </c>
      <c r="D1246" t="s">
        <v>171</v>
      </c>
      <c r="E1246" t="s">
        <v>108</v>
      </c>
      <c r="F1246" t="s">
        <v>117</v>
      </c>
      <c r="G1246">
        <v>0</v>
      </c>
    </row>
    <row r="1247" spans="1:7" x14ac:dyDescent="0.3">
      <c r="A1247">
        <v>2019</v>
      </c>
      <c r="B1247" t="s">
        <v>59</v>
      </c>
      <c r="C1247" t="s">
        <v>170</v>
      </c>
      <c r="D1247" t="s">
        <v>171</v>
      </c>
      <c r="E1247" t="s">
        <v>91</v>
      </c>
      <c r="F1247" t="s">
        <v>117</v>
      </c>
      <c r="G1247">
        <v>1</v>
      </c>
    </row>
    <row r="1248" spans="1:7" x14ac:dyDescent="0.3">
      <c r="A1248">
        <v>2019</v>
      </c>
      <c r="B1248" t="s">
        <v>59</v>
      </c>
      <c r="C1248" t="s">
        <v>170</v>
      </c>
      <c r="D1248" t="s">
        <v>171</v>
      </c>
      <c r="E1248" t="s">
        <v>109</v>
      </c>
      <c r="F1248" t="s">
        <v>117</v>
      </c>
      <c r="G1248">
        <v>0</v>
      </c>
    </row>
    <row r="1249" spans="1:7" x14ac:dyDescent="0.3">
      <c r="A1249">
        <v>2019</v>
      </c>
      <c r="B1249" t="s">
        <v>59</v>
      </c>
      <c r="C1249" t="s">
        <v>170</v>
      </c>
      <c r="D1249" t="s">
        <v>171</v>
      </c>
      <c r="E1249" t="s">
        <v>110</v>
      </c>
      <c r="F1249" t="s">
        <v>117</v>
      </c>
      <c r="G1249">
        <v>0</v>
      </c>
    </row>
    <row r="1250" spans="1:7" x14ac:dyDescent="0.3">
      <c r="A1250">
        <v>2019</v>
      </c>
      <c r="B1250" t="s">
        <v>50</v>
      </c>
      <c r="C1250" t="s">
        <v>170</v>
      </c>
      <c r="D1250" t="s">
        <v>171</v>
      </c>
      <c r="E1250" t="s">
        <v>108</v>
      </c>
      <c r="F1250" t="s">
        <v>117</v>
      </c>
      <c r="G1250">
        <v>0</v>
      </c>
    </row>
    <row r="1251" spans="1:7" x14ac:dyDescent="0.3">
      <c r="A1251">
        <v>2019</v>
      </c>
      <c r="B1251" t="s">
        <v>50</v>
      </c>
      <c r="C1251" t="s">
        <v>170</v>
      </c>
      <c r="D1251" t="s">
        <v>171</v>
      </c>
      <c r="E1251" t="s">
        <v>91</v>
      </c>
      <c r="F1251" t="s">
        <v>117</v>
      </c>
      <c r="G1251">
        <v>0</v>
      </c>
    </row>
    <row r="1252" spans="1:7" x14ac:dyDescent="0.3">
      <c r="A1252">
        <v>2019</v>
      </c>
      <c r="B1252" t="s">
        <v>50</v>
      </c>
      <c r="C1252" t="s">
        <v>170</v>
      </c>
      <c r="D1252" t="s">
        <v>171</v>
      </c>
      <c r="E1252" t="s">
        <v>109</v>
      </c>
      <c r="F1252" t="s">
        <v>117</v>
      </c>
      <c r="G1252">
        <v>0</v>
      </c>
    </row>
    <row r="1253" spans="1:7" x14ac:dyDescent="0.3">
      <c r="A1253">
        <v>2019</v>
      </c>
      <c r="B1253" t="s">
        <v>50</v>
      </c>
      <c r="C1253" t="s">
        <v>170</v>
      </c>
      <c r="D1253" t="s">
        <v>171</v>
      </c>
      <c r="E1253" t="s">
        <v>110</v>
      </c>
      <c r="F1253" t="s">
        <v>117</v>
      </c>
      <c r="G1253">
        <v>0</v>
      </c>
    </row>
    <row r="1254" spans="1:7" x14ac:dyDescent="0.3">
      <c r="A1254">
        <v>2019</v>
      </c>
      <c r="B1254" t="s">
        <v>51</v>
      </c>
      <c r="C1254" t="s">
        <v>170</v>
      </c>
      <c r="D1254" t="s">
        <v>171</v>
      </c>
      <c r="E1254" t="s">
        <v>108</v>
      </c>
      <c r="F1254" t="s">
        <v>117</v>
      </c>
      <c r="G1254">
        <v>0</v>
      </c>
    </row>
    <row r="1255" spans="1:7" x14ac:dyDescent="0.3">
      <c r="A1255">
        <v>2019</v>
      </c>
      <c r="B1255" t="s">
        <v>51</v>
      </c>
      <c r="C1255" t="s">
        <v>170</v>
      </c>
      <c r="D1255" t="s">
        <v>171</v>
      </c>
      <c r="E1255" t="s">
        <v>91</v>
      </c>
      <c r="F1255" t="s">
        <v>117</v>
      </c>
      <c r="G1255">
        <v>0</v>
      </c>
    </row>
    <row r="1256" spans="1:7" x14ac:dyDescent="0.3">
      <c r="A1256">
        <v>2019</v>
      </c>
      <c r="B1256" t="s">
        <v>51</v>
      </c>
      <c r="C1256" t="s">
        <v>170</v>
      </c>
      <c r="D1256" t="s">
        <v>171</v>
      </c>
      <c r="E1256" t="s">
        <v>109</v>
      </c>
      <c r="F1256" t="s">
        <v>117</v>
      </c>
      <c r="G1256">
        <v>0</v>
      </c>
    </row>
    <row r="1257" spans="1:7" x14ac:dyDescent="0.3">
      <c r="A1257">
        <v>2019</v>
      </c>
      <c r="B1257" t="s">
        <v>51</v>
      </c>
      <c r="C1257" t="s">
        <v>170</v>
      </c>
      <c r="D1257" t="s">
        <v>171</v>
      </c>
      <c r="E1257" t="s">
        <v>110</v>
      </c>
      <c r="F1257" t="s">
        <v>117</v>
      </c>
      <c r="G1257">
        <v>0</v>
      </c>
    </row>
    <row r="1258" spans="1:7" x14ac:dyDescent="0.3">
      <c r="A1258">
        <v>2019</v>
      </c>
      <c r="B1258" t="s">
        <v>52</v>
      </c>
      <c r="C1258" t="s">
        <v>170</v>
      </c>
      <c r="D1258" t="s">
        <v>171</v>
      </c>
      <c r="E1258" t="s">
        <v>108</v>
      </c>
      <c r="F1258" t="s">
        <v>117</v>
      </c>
      <c r="G1258">
        <v>0</v>
      </c>
    </row>
    <row r="1259" spans="1:7" x14ac:dyDescent="0.3">
      <c r="A1259">
        <v>2019</v>
      </c>
      <c r="B1259" t="s">
        <v>52</v>
      </c>
      <c r="C1259" t="s">
        <v>170</v>
      </c>
      <c r="D1259" t="s">
        <v>171</v>
      </c>
      <c r="E1259" t="s">
        <v>91</v>
      </c>
      <c r="F1259" t="s">
        <v>117</v>
      </c>
      <c r="G1259">
        <v>0</v>
      </c>
    </row>
    <row r="1260" spans="1:7" x14ac:dyDescent="0.3">
      <c r="A1260">
        <v>2019</v>
      </c>
      <c r="B1260" t="s">
        <v>52</v>
      </c>
      <c r="C1260" t="s">
        <v>170</v>
      </c>
      <c r="D1260" t="s">
        <v>171</v>
      </c>
      <c r="E1260" t="s">
        <v>109</v>
      </c>
      <c r="F1260" t="s">
        <v>117</v>
      </c>
      <c r="G1260">
        <v>0</v>
      </c>
    </row>
    <row r="1261" spans="1:7" x14ac:dyDescent="0.3">
      <c r="A1261">
        <v>2019</v>
      </c>
      <c r="B1261" t="s">
        <v>52</v>
      </c>
      <c r="C1261" t="s">
        <v>170</v>
      </c>
      <c r="D1261" t="s">
        <v>171</v>
      </c>
      <c r="E1261" t="s">
        <v>110</v>
      </c>
      <c r="F1261" t="s">
        <v>117</v>
      </c>
      <c r="G1261">
        <v>0</v>
      </c>
    </row>
    <row r="1262" spans="1:7" x14ac:dyDescent="0.3">
      <c r="A1262">
        <v>2019</v>
      </c>
      <c r="B1262" t="s">
        <v>60</v>
      </c>
      <c r="C1262" t="s">
        <v>170</v>
      </c>
      <c r="D1262" t="s">
        <v>171</v>
      </c>
      <c r="E1262" t="s">
        <v>108</v>
      </c>
      <c r="F1262" t="s">
        <v>117</v>
      </c>
      <c r="G1262">
        <v>0</v>
      </c>
    </row>
    <row r="1263" spans="1:7" x14ac:dyDescent="0.3">
      <c r="A1263">
        <v>2019</v>
      </c>
      <c r="B1263" t="s">
        <v>60</v>
      </c>
      <c r="C1263" t="s">
        <v>170</v>
      </c>
      <c r="D1263" t="s">
        <v>171</v>
      </c>
      <c r="E1263" t="s">
        <v>91</v>
      </c>
      <c r="F1263" t="s">
        <v>117</v>
      </c>
      <c r="G1263">
        <v>0</v>
      </c>
    </row>
    <row r="1264" spans="1:7" x14ac:dyDescent="0.3">
      <c r="A1264">
        <v>2019</v>
      </c>
      <c r="B1264" t="s">
        <v>60</v>
      </c>
      <c r="C1264" t="s">
        <v>170</v>
      </c>
      <c r="D1264" t="s">
        <v>171</v>
      </c>
      <c r="E1264" t="s">
        <v>109</v>
      </c>
      <c r="F1264" t="s">
        <v>117</v>
      </c>
      <c r="G1264">
        <v>0</v>
      </c>
    </row>
    <row r="1265" spans="1:7" x14ac:dyDescent="0.3">
      <c r="A1265">
        <v>2019</v>
      </c>
      <c r="B1265" t="s">
        <v>60</v>
      </c>
      <c r="C1265" t="s">
        <v>170</v>
      </c>
      <c r="D1265" t="s">
        <v>171</v>
      </c>
      <c r="E1265" t="s">
        <v>110</v>
      </c>
      <c r="F1265" t="s">
        <v>117</v>
      </c>
      <c r="G1265">
        <v>0</v>
      </c>
    </row>
    <row r="1266" spans="1:7" x14ac:dyDescent="0.3">
      <c r="A1266">
        <v>2019</v>
      </c>
      <c r="B1266" t="s">
        <v>53</v>
      </c>
      <c r="C1266" t="s">
        <v>170</v>
      </c>
      <c r="D1266" t="s">
        <v>171</v>
      </c>
      <c r="E1266" t="s">
        <v>108</v>
      </c>
      <c r="F1266" t="s">
        <v>117</v>
      </c>
      <c r="G1266">
        <v>0</v>
      </c>
    </row>
    <row r="1267" spans="1:7" x14ac:dyDescent="0.3">
      <c r="A1267">
        <v>2019</v>
      </c>
      <c r="B1267" t="s">
        <v>53</v>
      </c>
      <c r="C1267" t="s">
        <v>170</v>
      </c>
      <c r="D1267" t="s">
        <v>171</v>
      </c>
      <c r="E1267" t="s">
        <v>91</v>
      </c>
      <c r="F1267" t="s">
        <v>117</v>
      </c>
      <c r="G1267">
        <v>0</v>
      </c>
    </row>
    <row r="1268" spans="1:7" x14ac:dyDescent="0.3">
      <c r="A1268">
        <v>2019</v>
      </c>
      <c r="B1268" t="s">
        <v>53</v>
      </c>
      <c r="C1268" t="s">
        <v>170</v>
      </c>
      <c r="D1268" t="s">
        <v>171</v>
      </c>
      <c r="E1268" t="s">
        <v>109</v>
      </c>
      <c r="F1268" t="s">
        <v>117</v>
      </c>
      <c r="G1268">
        <v>0</v>
      </c>
    </row>
    <row r="1269" spans="1:7" x14ac:dyDescent="0.3">
      <c r="A1269">
        <v>2019</v>
      </c>
      <c r="B1269" t="s">
        <v>53</v>
      </c>
      <c r="C1269" t="s">
        <v>170</v>
      </c>
      <c r="D1269" t="s">
        <v>171</v>
      </c>
      <c r="E1269" t="s">
        <v>110</v>
      </c>
      <c r="F1269" t="s">
        <v>117</v>
      </c>
      <c r="G1269">
        <v>0</v>
      </c>
    </row>
    <row r="1270" spans="1:7" x14ac:dyDescent="0.3">
      <c r="A1270">
        <v>2019</v>
      </c>
      <c r="B1270" t="s">
        <v>61</v>
      </c>
      <c r="C1270" t="s">
        <v>170</v>
      </c>
      <c r="D1270" t="s">
        <v>171</v>
      </c>
      <c r="E1270" t="s">
        <v>108</v>
      </c>
      <c r="F1270" t="s">
        <v>117</v>
      </c>
      <c r="G1270">
        <v>0</v>
      </c>
    </row>
    <row r="1271" spans="1:7" x14ac:dyDescent="0.3">
      <c r="A1271">
        <v>2019</v>
      </c>
      <c r="B1271" t="s">
        <v>61</v>
      </c>
      <c r="C1271" t="s">
        <v>170</v>
      </c>
      <c r="D1271" t="s">
        <v>171</v>
      </c>
      <c r="E1271" t="s">
        <v>91</v>
      </c>
      <c r="F1271" t="s">
        <v>117</v>
      </c>
      <c r="G1271">
        <v>0</v>
      </c>
    </row>
    <row r="1272" spans="1:7" x14ac:dyDescent="0.3">
      <c r="A1272">
        <v>2019</v>
      </c>
      <c r="B1272" t="s">
        <v>61</v>
      </c>
      <c r="C1272" t="s">
        <v>170</v>
      </c>
      <c r="D1272" t="s">
        <v>171</v>
      </c>
      <c r="E1272" t="s">
        <v>109</v>
      </c>
      <c r="F1272" t="s">
        <v>117</v>
      </c>
      <c r="G1272">
        <v>0</v>
      </c>
    </row>
    <row r="1273" spans="1:7" x14ac:dyDescent="0.3">
      <c r="A1273">
        <v>2019</v>
      </c>
      <c r="B1273" t="s">
        <v>61</v>
      </c>
      <c r="C1273" t="s">
        <v>170</v>
      </c>
      <c r="D1273" t="s">
        <v>171</v>
      </c>
      <c r="E1273" t="s">
        <v>110</v>
      </c>
      <c r="F1273" t="s">
        <v>117</v>
      </c>
      <c r="G1273">
        <v>0</v>
      </c>
    </row>
    <row r="1274" spans="1:7" x14ac:dyDescent="0.3">
      <c r="A1274">
        <v>2019</v>
      </c>
      <c r="B1274" t="s">
        <v>54</v>
      </c>
      <c r="C1274" t="s">
        <v>170</v>
      </c>
      <c r="D1274" t="s">
        <v>171</v>
      </c>
      <c r="E1274" t="s">
        <v>108</v>
      </c>
      <c r="F1274" t="s">
        <v>117</v>
      </c>
      <c r="G1274">
        <v>0</v>
      </c>
    </row>
    <row r="1275" spans="1:7" x14ac:dyDescent="0.3">
      <c r="A1275">
        <v>2019</v>
      </c>
      <c r="B1275" t="s">
        <v>54</v>
      </c>
      <c r="C1275" t="s">
        <v>170</v>
      </c>
      <c r="D1275" t="s">
        <v>171</v>
      </c>
      <c r="E1275" t="s">
        <v>91</v>
      </c>
      <c r="F1275" t="s">
        <v>117</v>
      </c>
      <c r="G1275">
        <v>0</v>
      </c>
    </row>
    <row r="1276" spans="1:7" x14ac:dyDescent="0.3">
      <c r="A1276">
        <v>2019</v>
      </c>
      <c r="B1276" t="s">
        <v>54</v>
      </c>
      <c r="C1276" t="s">
        <v>170</v>
      </c>
      <c r="D1276" t="s">
        <v>171</v>
      </c>
      <c r="E1276" t="s">
        <v>109</v>
      </c>
      <c r="F1276" t="s">
        <v>117</v>
      </c>
      <c r="G1276">
        <v>0</v>
      </c>
    </row>
    <row r="1277" spans="1:7" x14ac:dyDescent="0.3">
      <c r="A1277">
        <v>2019</v>
      </c>
      <c r="B1277" t="s">
        <v>54</v>
      </c>
      <c r="C1277" t="s">
        <v>170</v>
      </c>
      <c r="D1277" t="s">
        <v>171</v>
      </c>
      <c r="E1277" t="s">
        <v>110</v>
      </c>
      <c r="F1277" t="s">
        <v>117</v>
      </c>
      <c r="G1277">
        <v>0</v>
      </c>
    </row>
    <row r="1278" spans="1:7" x14ac:dyDescent="0.3">
      <c r="A1278">
        <v>2019</v>
      </c>
      <c r="B1278" t="s">
        <v>62</v>
      </c>
      <c r="C1278" t="s">
        <v>170</v>
      </c>
      <c r="D1278" t="s">
        <v>171</v>
      </c>
      <c r="E1278" t="s">
        <v>108</v>
      </c>
      <c r="F1278" t="s">
        <v>117</v>
      </c>
      <c r="G1278">
        <v>0</v>
      </c>
    </row>
    <row r="1279" spans="1:7" x14ac:dyDescent="0.3">
      <c r="A1279">
        <v>2019</v>
      </c>
      <c r="B1279" t="s">
        <v>62</v>
      </c>
      <c r="C1279" t="s">
        <v>170</v>
      </c>
      <c r="D1279" t="s">
        <v>171</v>
      </c>
      <c r="E1279" t="s">
        <v>91</v>
      </c>
      <c r="F1279" t="s">
        <v>117</v>
      </c>
      <c r="G1279">
        <v>0</v>
      </c>
    </row>
    <row r="1280" spans="1:7" x14ac:dyDescent="0.3">
      <c r="A1280">
        <v>2019</v>
      </c>
      <c r="B1280" t="s">
        <v>62</v>
      </c>
      <c r="C1280" t="s">
        <v>170</v>
      </c>
      <c r="D1280" t="s">
        <v>171</v>
      </c>
      <c r="E1280" t="s">
        <v>109</v>
      </c>
      <c r="F1280" t="s">
        <v>117</v>
      </c>
      <c r="G1280">
        <v>0</v>
      </c>
    </row>
    <row r="1281" spans="1:7" x14ac:dyDescent="0.3">
      <c r="A1281">
        <v>2019</v>
      </c>
      <c r="B1281" t="s">
        <v>62</v>
      </c>
      <c r="C1281" t="s">
        <v>170</v>
      </c>
      <c r="D1281" t="s">
        <v>171</v>
      </c>
      <c r="E1281" t="s">
        <v>110</v>
      </c>
      <c r="F1281" t="s">
        <v>117</v>
      </c>
      <c r="G1281">
        <v>0</v>
      </c>
    </row>
    <row r="1282" spans="1:7" x14ac:dyDescent="0.3">
      <c r="A1282">
        <v>2019</v>
      </c>
      <c r="B1282" t="s">
        <v>28</v>
      </c>
      <c r="C1282" t="s">
        <v>170</v>
      </c>
      <c r="D1282" t="s">
        <v>171</v>
      </c>
      <c r="E1282" t="s">
        <v>108</v>
      </c>
      <c r="F1282" t="s">
        <v>117</v>
      </c>
      <c r="G1282">
        <v>0</v>
      </c>
    </row>
    <row r="1283" spans="1:7" x14ac:dyDescent="0.3">
      <c r="A1283">
        <v>2019</v>
      </c>
      <c r="B1283" t="s">
        <v>28</v>
      </c>
      <c r="C1283" t="s">
        <v>170</v>
      </c>
      <c r="D1283" t="s">
        <v>171</v>
      </c>
      <c r="E1283" t="s">
        <v>91</v>
      </c>
      <c r="F1283" t="s">
        <v>117</v>
      </c>
      <c r="G1283">
        <v>0</v>
      </c>
    </row>
    <row r="1284" spans="1:7" x14ac:dyDescent="0.3">
      <c r="A1284">
        <v>2019</v>
      </c>
      <c r="B1284" t="s">
        <v>28</v>
      </c>
      <c r="C1284" t="s">
        <v>170</v>
      </c>
      <c r="D1284" t="s">
        <v>171</v>
      </c>
      <c r="E1284" t="s">
        <v>109</v>
      </c>
      <c r="F1284" t="s">
        <v>117</v>
      </c>
      <c r="G1284">
        <v>0</v>
      </c>
    </row>
    <row r="1285" spans="1:7" x14ac:dyDescent="0.3">
      <c r="A1285">
        <v>2019</v>
      </c>
      <c r="B1285" t="s">
        <v>28</v>
      </c>
      <c r="C1285" t="s">
        <v>170</v>
      </c>
      <c r="D1285" t="s">
        <v>171</v>
      </c>
      <c r="E1285" t="s">
        <v>110</v>
      </c>
      <c r="F1285" t="s">
        <v>117</v>
      </c>
      <c r="G1285">
        <v>0</v>
      </c>
    </row>
    <row r="1286" spans="1:7" x14ac:dyDescent="0.3">
      <c r="A1286">
        <v>2019</v>
      </c>
      <c r="B1286" t="s">
        <v>43</v>
      </c>
      <c r="C1286" t="s">
        <v>170</v>
      </c>
      <c r="D1286" t="s">
        <v>171</v>
      </c>
      <c r="E1286" t="s">
        <v>108</v>
      </c>
      <c r="F1286" t="s">
        <v>117</v>
      </c>
      <c r="G1286">
        <v>0</v>
      </c>
    </row>
    <row r="1287" spans="1:7" x14ac:dyDescent="0.3">
      <c r="A1287">
        <v>2019</v>
      </c>
      <c r="B1287" t="s">
        <v>43</v>
      </c>
      <c r="C1287" t="s">
        <v>170</v>
      </c>
      <c r="D1287" t="s">
        <v>171</v>
      </c>
      <c r="E1287" t="s">
        <v>91</v>
      </c>
      <c r="F1287" t="s">
        <v>117</v>
      </c>
      <c r="G1287">
        <v>0</v>
      </c>
    </row>
    <row r="1288" spans="1:7" x14ac:dyDescent="0.3">
      <c r="A1288">
        <v>2019</v>
      </c>
      <c r="B1288" t="s">
        <v>43</v>
      </c>
      <c r="C1288" t="s">
        <v>170</v>
      </c>
      <c r="D1288" t="s">
        <v>171</v>
      </c>
      <c r="E1288" t="s">
        <v>109</v>
      </c>
      <c r="F1288" t="s">
        <v>117</v>
      </c>
      <c r="G1288">
        <v>0</v>
      </c>
    </row>
    <row r="1289" spans="1:7" x14ac:dyDescent="0.3">
      <c r="A1289">
        <v>2019</v>
      </c>
      <c r="B1289" t="s">
        <v>43</v>
      </c>
      <c r="C1289" t="s">
        <v>170</v>
      </c>
      <c r="D1289" t="s">
        <v>171</v>
      </c>
      <c r="E1289" t="s">
        <v>110</v>
      </c>
      <c r="F1289" t="s">
        <v>117</v>
      </c>
      <c r="G1289">
        <v>1</v>
      </c>
    </row>
    <row r="1290" spans="1:7" x14ac:dyDescent="0.3">
      <c r="A1290">
        <v>2019</v>
      </c>
      <c r="B1290" t="s">
        <v>17</v>
      </c>
      <c r="C1290" t="s">
        <v>170</v>
      </c>
      <c r="D1290" t="s">
        <v>171</v>
      </c>
      <c r="E1290" t="s">
        <v>108</v>
      </c>
      <c r="F1290" t="s">
        <v>118</v>
      </c>
      <c r="G1290">
        <v>16</v>
      </c>
    </row>
    <row r="1291" spans="1:7" x14ac:dyDescent="0.3">
      <c r="A1291">
        <v>2019</v>
      </c>
      <c r="B1291" t="s">
        <v>17</v>
      </c>
      <c r="C1291" t="s">
        <v>170</v>
      </c>
      <c r="D1291" t="s">
        <v>171</v>
      </c>
      <c r="E1291" t="s">
        <v>91</v>
      </c>
      <c r="F1291" t="s">
        <v>118</v>
      </c>
      <c r="G1291">
        <v>1</v>
      </c>
    </row>
    <row r="1292" spans="1:7" x14ac:dyDescent="0.3">
      <c r="A1292">
        <v>2019</v>
      </c>
      <c r="B1292" t="s">
        <v>17</v>
      </c>
      <c r="C1292" t="s">
        <v>170</v>
      </c>
      <c r="D1292" t="s">
        <v>171</v>
      </c>
      <c r="E1292" t="s">
        <v>109</v>
      </c>
      <c r="F1292" t="s">
        <v>118</v>
      </c>
      <c r="G1292">
        <v>11</v>
      </c>
    </row>
    <row r="1293" spans="1:7" x14ac:dyDescent="0.3">
      <c r="A1293">
        <v>2019</v>
      </c>
      <c r="B1293" t="s">
        <v>17</v>
      </c>
      <c r="C1293" t="s">
        <v>170</v>
      </c>
      <c r="D1293" t="s">
        <v>171</v>
      </c>
      <c r="E1293" t="s">
        <v>110</v>
      </c>
      <c r="F1293" t="s">
        <v>118</v>
      </c>
      <c r="G1293">
        <v>0</v>
      </c>
    </row>
    <row r="1294" spans="1:7" x14ac:dyDescent="0.3">
      <c r="A1294">
        <v>2019</v>
      </c>
      <c r="B1294" t="s">
        <v>18</v>
      </c>
      <c r="C1294" t="s">
        <v>170</v>
      </c>
      <c r="D1294" t="s">
        <v>171</v>
      </c>
      <c r="E1294" t="s">
        <v>108</v>
      </c>
      <c r="F1294" t="s">
        <v>118</v>
      </c>
      <c r="G1294">
        <v>1</v>
      </c>
    </row>
    <row r="1295" spans="1:7" x14ac:dyDescent="0.3">
      <c r="A1295">
        <v>2019</v>
      </c>
      <c r="B1295" t="s">
        <v>18</v>
      </c>
      <c r="C1295" t="s">
        <v>170</v>
      </c>
      <c r="D1295" t="s">
        <v>171</v>
      </c>
      <c r="E1295" t="s">
        <v>91</v>
      </c>
      <c r="F1295" t="s">
        <v>118</v>
      </c>
      <c r="G1295">
        <v>0</v>
      </c>
    </row>
    <row r="1296" spans="1:7" x14ac:dyDescent="0.3">
      <c r="A1296">
        <v>2019</v>
      </c>
      <c r="B1296" t="s">
        <v>18</v>
      </c>
      <c r="C1296" t="s">
        <v>170</v>
      </c>
      <c r="D1296" t="s">
        <v>171</v>
      </c>
      <c r="E1296" t="s">
        <v>109</v>
      </c>
      <c r="F1296" t="s">
        <v>118</v>
      </c>
      <c r="G1296">
        <v>5</v>
      </c>
    </row>
    <row r="1297" spans="1:7" x14ac:dyDescent="0.3">
      <c r="A1297">
        <v>2019</v>
      </c>
      <c r="B1297" t="s">
        <v>18</v>
      </c>
      <c r="C1297" t="s">
        <v>170</v>
      </c>
      <c r="D1297" t="s">
        <v>171</v>
      </c>
      <c r="E1297" t="s">
        <v>110</v>
      </c>
      <c r="F1297" t="s">
        <v>118</v>
      </c>
      <c r="G1297">
        <v>1</v>
      </c>
    </row>
    <row r="1298" spans="1:7" x14ac:dyDescent="0.3">
      <c r="A1298">
        <v>2019</v>
      </c>
      <c r="B1298" t="s">
        <v>19</v>
      </c>
      <c r="C1298" t="s">
        <v>170</v>
      </c>
      <c r="D1298" t="s">
        <v>171</v>
      </c>
      <c r="E1298" t="s">
        <v>108</v>
      </c>
      <c r="F1298" t="s">
        <v>118</v>
      </c>
      <c r="G1298">
        <v>0</v>
      </c>
    </row>
    <row r="1299" spans="1:7" x14ac:dyDescent="0.3">
      <c r="A1299">
        <v>2019</v>
      </c>
      <c r="B1299" t="s">
        <v>19</v>
      </c>
      <c r="C1299" t="s">
        <v>170</v>
      </c>
      <c r="D1299" t="s">
        <v>171</v>
      </c>
      <c r="E1299" t="s">
        <v>91</v>
      </c>
      <c r="F1299" t="s">
        <v>118</v>
      </c>
      <c r="G1299">
        <v>0</v>
      </c>
    </row>
    <row r="1300" spans="1:7" x14ac:dyDescent="0.3">
      <c r="A1300">
        <v>2019</v>
      </c>
      <c r="B1300" t="s">
        <v>19</v>
      </c>
      <c r="C1300" t="s">
        <v>170</v>
      </c>
      <c r="D1300" t="s">
        <v>171</v>
      </c>
      <c r="E1300" t="s">
        <v>109</v>
      </c>
      <c r="F1300" t="s">
        <v>118</v>
      </c>
      <c r="G1300">
        <v>1</v>
      </c>
    </row>
    <row r="1301" spans="1:7" x14ac:dyDescent="0.3">
      <c r="A1301">
        <v>2019</v>
      </c>
      <c r="B1301" t="s">
        <v>19</v>
      </c>
      <c r="C1301" t="s">
        <v>170</v>
      </c>
      <c r="D1301" t="s">
        <v>171</v>
      </c>
      <c r="E1301" t="s">
        <v>110</v>
      </c>
      <c r="F1301" t="s">
        <v>118</v>
      </c>
      <c r="G1301">
        <v>0</v>
      </c>
    </row>
    <row r="1302" spans="1:7" x14ac:dyDescent="0.3">
      <c r="A1302">
        <v>2019</v>
      </c>
      <c r="B1302" t="s">
        <v>20</v>
      </c>
      <c r="C1302" t="s">
        <v>170</v>
      </c>
      <c r="D1302" t="s">
        <v>171</v>
      </c>
      <c r="E1302" t="s">
        <v>108</v>
      </c>
      <c r="F1302" t="s">
        <v>118</v>
      </c>
      <c r="G1302">
        <v>0</v>
      </c>
    </row>
    <row r="1303" spans="1:7" x14ac:dyDescent="0.3">
      <c r="A1303">
        <v>2019</v>
      </c>
      <c r="B1303" t="s">
        <v>20</v>
      </c>
      <c r="C1303" t="s">
        <v>170</v>
      </c>
      <c r="D1303" t="s">
        <v>171</v>
      </c>
      <c r="E1303" t="s">
        <v>91</v>
      </c>
      <c r="F1303" t="s">
        <v>118</v>
      </c>
      <c r="G1303">
        <v>0</v>
      </c>
    </row>
    <row r="1304" spans="1:7" x14ac:dyDescent="0.3">
      <c r="A1304">
        <v>2019</v>
      </c>
      <c r="B1304" t="s">
        <v>20</v>
      </c>
      <c r="C1304" t="s">
        <v>170</v>
      </c>
      <c r="D1304" t="s">
        <v>171</v>
      </c>
      <c r="E1304" t="s">
        <v>109</v>
      </c>
      <c r="F1304" t="s">
        <v>118</v>
      </c>
      <c r="G1304">
        <v>0</v>
      </c>
    </row>
    <row r="1305" spans="1:7" x14ac:dyDescent="0.3">
      <c r="A1305">
        <v>2019</v>
      </c>
      <c r="B1305" t="s">
        <v>20</v>
      </c>
      <c r="C1305" t="s">
        <v>170</v>
      </c>
      <c r="D1305" t="s">
        <v>171</v>
      </c>
      <c r="E1305" t="s">
        <v>110</v>
      </c>
      <c r="F1305" t="s">
        <v>118</v>
      </c>
      <c r="G1305">
        <v>0</v>
      </c>
    </row>
    <row r="1306" spans="1:7" x14ac:dyDescent="0.3">
      <c r="A1306">
        <v>2019</v>
      </c>
      <c r="B1306" t="s">
        <v>21</v>
      </c>
      <c r="C1306" t="s">
        <v>170</v>
      </c>
      <c r="D1306" t="s">
        <v>171</v>
      </c>
      <c r="E1306" t="s">
        <v>108</v>
      </c>
      <c r="F1306" t="s">
        <v>118</v>
      </c>
      <c r="G1306">
        <v>4</v>
      </c>
    </row>
    <row r="1307" spans="1:7" x14ac:dyDescent="0.3">
      <c r="A1307">
        <v>2019</v>
      </c>
      <c r="B1307" t="s">
        <v>21</v>
      </c>
      <c r="C1307" t="s">
        <v>170</v>
      </c>
      <c r="D1307" t="s">
        <v>171</v>
      </c>
      <c r="E1307" t="s">
        <v>91</v>
      </c>
      <c r="F1307" t="s">
        <v>118</v>
      </c>
      <c r="G1307">
        <v>2</v>
      </c>
    </row>
    <row r="1308" spans="1:7" x14ac:dyDescent="0.3">
      <c r="A1308">
        <v>2019</v>
      </c>
      <c r="B1308" t="s">
        <v>21</v>
      </c>
      <c r="C1308" t="s">
        <v>170</v>
      </c>
      <c r="D1308" t="s">
        <v>171</v>
      </c>
      <c r="E1308" t="s">
        <v>109</v>
      </c>
      <c r="F1308" t="s">
        <v>118</v>
      </c>
      <c r="G1308">
        <v>5</v>
      </c>
    </row>
    <row r="1309" spans="1:7" x14ac:dyDescent="0.3">
      <c r="A1309">
        <v>2019</v>
      </c>
      <c r="B1309" t="s">
        <v>21</v>
      </c>
      <c r="C1309" t="s">
        <v>170</v>
      </c>
      <c r="D1309" t="s">
        <v>171</v>
      </c>
      <c r="E1309" t="s">
        <v>110</v>
      </c>
      <c r="F1309" t="s">
        <v>118</v>
      </c>
      <c r="G1309">
        <v>4</v>
      </c>
    </row>
    <row r="1310" spans="1:7" x14ac:dyDescent="0.3">
      <c r="A1310">
        <v>2019</v>
      </c>
      <c r="B1310" t="s">
        <v>22</v>
      </c>
      <c r="C1310" t="s">
        <v>170</v>
      </c>
      <c r="D1310" t="s">
        <v>171</v>
      </c>
      <c r="E1310" t="s">
        <v>108</v>
      </c>
      <c r="F1310" t="s">
        <v>118</v>
      </c>
      <c r="G1310">
        <v>2</v>
      </c>
    </row>
    <row r="1311" spans="1:7" x14ac:dyDescent="0.3">
      <c r="A1311">
        <v>2019</v>
      </c>
      <c r="B1311" t="s">
        <v>22</v>
      </c>
      <c r="C1311" t="s">
        <v>170</v>
      </c>
      <c r="D1311" t="s">
        <v>171</v>
      </c>
      <c r="E1311" t="s">
        <v>91</v>
      </c>
      <c r="F1311" t="s">
        <v>118</v>
      </c>
      <c r="G1311">
        <v>4</v>
      </c>
    </row>
    <row r="1312" spans="1:7" x14ac:dyDescent="0.3">
      <c r="A1312">
        <v>2019</v>
      </c>
      <c r="B1312" t="s">
        <v>22</v>
      </c>
      <c r="C1312" t="s">
        <v>170</v>
      </c>
      <c r="D1312" t="s">
        <v>171</v>
      </c>
      <c r="E1312" t="s">
        <v>109</v>
      </c>
      <c r="F1312" t="s">
        <v>118</v>
      </c>
      <c r="G1312">
        <v>0</v>
      </c>
    </row>
    <row r="1313" spans="1:7" x14ac:dyDescent="0.3">
      <c r="A1313">
        <v>2019</v>
      </c>
      <c r="B1313" t="s">
        <v>22</v>
      </c>
      <c r="C1313" t="s">
        <v>170</v>
      </c>
      <c r="D1313" t="s">
        <v>171</v>
      </c>
      <c r="E1313" t="s">
        <v>110</v>
      </c>
      <c r="F1313" t="s">
        <v>118</v>
      </c>
      <c r="G1313">
        <v>0</v>
      </c>
    </row>
    <row r="1314" spans="1:7" x14ac:dyDescent="0.3">
      <c r="A1314">
        <v>2019</v>
      </c>
      <c r="B1314" t="s">
        <v>23</v>
      </c>
      <c r="C1314" t="s">
        <v>170</v>
      </c>
      <c r="D1314" t="s">
        <v>171</v>
      </c>
      <c r="E1314" t="s">
        <v>108</v>
      </c>
      <c r="F1314" t="s">
        <v>118</v>
      </c>
      <c r="G1314">
        <v>0</v>
      </c>
    </row>
    <row r="1315" spans="1:7" x14ac:dyDescent="0.3">
      <c r="A1315">
        <v>2019</v>
      </c>
      <c r="B1315" t="s">
        <v>23</v>
      </c>
      <c r="C1315" t="s">
        <v>170</v>
      </c>
      <c r="D1315" t="s">
        <v>171</v>
      </c>
      <c r="E1315" t="s">
        <v>91</v>
      </c>
      <c r="F1315" t="s">
        <v>118</v>
      </c>
      <c r="G1315">
        <v>0</v>
      </c>
    </row>
    <row r="1316" spans="1:7" x14ac:dyDescent="0.3">
      <c r="A1316">
        <v>2019</v>
      </c>
      <c r="B1316" t="s">
        <v>23</v>
      </c>
      <c r="C1316" t="s">
        <v>170</v>
      </c>
      <c r="D1316" t="s">
        <v>171</v>
      </c>
      <c r="E1316" t="s">
        <v>109</v>
      </c>
      <c r="F1316" t="s">
        <v>118</v>
      </c>
      <c r="G1316">
        <v>0</v>
      </c>
    </row>
    <row r="1317" spans="1:7" x14ac:dyDescent="0.3">
      <c r="A1317">
        <v>2019</v>
      </c>
      <c r="B1317" t="s">
        <v>23</v>
      </c>
      <c r="C1317" t="s">
        <v>170</v>
      </c>
      <c r="D1317" t="s">
        <v>171</v>
      </c>
      <c r="E1317" t="s">
        <v>110</v>
      </c>
      <c r="F1317" t="s">
        <v>118</v>
      </c>
      <c r="G1317">
        <v>0</v>
      </c>
    </row>
    <row r="1318" spans="1:7" x14ac:dyDescent="0.3">
      <c r="A1318">
        <v>2019</v>
      </c>
      <c r="B1318" t="s">
        <v>24</v>
      </c>
      <c r="C1318" t="s">
        <v>170</v>
      </c>
      <c r="D1318" t="s">
        <v>171</v>
      </c>
      <c r="E1318" t="s">
        <v>108</v>
      </c>
      <c r="F1318" t="s">
        <v>118</v>
      </c>
      <c r="G1318">
        <v>41</v>
      </c>
    </row>
    <row r="1319" spans="1:7" x14ac:dyDescent="0.3">
      <c r="A1319">
        <v>2019</v>
      </c>
      <c r="B1319" t="s">
        <v>24</v>
      </c>
      <c r="C1319" t="s">
        <v>170</v>
      </c>
      <c r="D1319" t="s">
        <v>171</v>
      </c>
      <c r="E1319" t="s">
        <v>91</v>
      </c>
      <c r="F1319" t="s">
        <v>118</v>
      </c>
      <c r="G1319">
        <v>1</v>
      </c>
    </row>
    <row r="1320" spans="1:7" x14ac:dyDescent="0.3">
      <c r="A1320">
        <v>2019</v>
      </c>
      <c r="B1320" t="s">
        <v>24</v>
      </c>
      <c r="C1320" t="s">
        <v>170</v>
      </c>
      <c r="D1320" t="s">
        <v>171</v>
      </c>
      <c r="E1320" t="s">
        <v>109</v>
      </c>
      <c r="F1320" t="s">
        <v>118</v>
      </c>
      <c r="G1320">
        <v>22</v>
      </c>
    </row>
    <row r="1321" spans="1:7" x14ac:dyDescent="0.3">
      <c r="A1321">
        <v>2019</v>
      </c>
      <c r="B1321" t="s">
        <v>24</v>
      </c>
      <c r="C1321" t="s">
        <v>170</v>
      </c>
      <c r="D1321" t="s">
        <v>171</v>
      </c>
      <c r="E1321" t="s">
        <v>110</v>
      </c>
      <c r="F1321" t="s">
        <v>118</v>
      </c>
      <c r="G1321">
        <v>2</v>
      </c>
    </row>
    <row r="1322" spans="1:7" x14ac:dyDescent="0.3">
      <c r="A1322">
        <v>2019</v>
      </c>
      <c r="B1322" t="s">
        <v>25</v>
      </c>
      <c r="C1322" t="s">
        <v>170</v>
      </c>
      <c r="D1322" t="s">
        <v>171</v>
      </c>
      <c r="E1322" t="s">
        <v>108</v>
      </c>
      <c r="F1322" t="s">
        <v>118</v>
      </c>
      <c r="G1322">
        <v>15</v>
      </c>
    </row>
    <row r="1323" spans="1:7" x14ac:dyDescent="0.3">
      <c r="A1323">
        <v>2019</v>
      </c>
      <c r="B1323" t="s">
        <v>25</v>
      </c>
      <c r="C1323" t="s">
        <v>170</v>
      </c>
      <c r="D1323" t="s">
        <v>171</v>
      </c>
      <c r="E1323" t="s">
        <v>91</v>
      </c>
      <c r="F1323" t="s">
        <v>118</v>
      </c>
      <c r="G1323">
        <v>6</v>
      </c>
    </row>
    <row r="1324" spans="1:7" x14ac:dyDescent="0.3">
      <c r="A1324">
        <v>2019</v>
      </c>
      <c r="B1324" t="s">
        <v>25</v>
      </c>
      <c r="C1324" t="s">
        <v>170</v>
      </c>
      <c r="D1324" t="s">
        <v>171</v>
      </c>
      <c r="E1324" t="s">
        <v>109</v>
      </c>
      <c r="F1324" t="s">
        <v>118</v>
      </c>
      <c r="G1324">
        <v>1</v>
      </c>
    </row>
    <row r="1325" spans="1:7" x14ac:dyDescent="0.3">
      <c r="A1325">
        <v>2019</v>
      </c>
      <c r="B1325" t="s">
        <v>25</v>
      </c>
      <c r="C1325" t="s">
        <v>170</v>
      </c>
      <c r="D1325" t="s">
        <v>171</v>
      </c>
      <c r="E1325" t="s">
        <v>110</v>
      </c>
      <c r="F1325" t="s">
        <v>118</v>
      </c>
      <c r="G1325">
        <v>0</v>
      </c>
    </row>
    <row r="1326" spans="1:7" x14ac:dyDescent="0.3">
      <c r="A1326">
        <v>2019</v>
      </c>
      <c r="B1326" t="s">
        <v>26</v>
      </c>
      <c r="C1326" t="s">
        <v>170</v>
      </c>
      <c r="D1326" t="s">
        <v>171</v>
      </c>
      <c r="E1326" t="s">
        <v>108</v>
      </c>
      <c r="F1326" t="s">
        <v>118</v>
      </c>
      <c r="G1326">
        <v>0</v>
      </c>
    </row>
    <row r="1327" spans="1:7" x14ac:dyDescent="0.3">
      <c r="A1327">
        <v>2019</v>
      </c>
      <c r="B1327" t="s">
        <v>26</v>
      </c>
      <c r="C1327" t="s">
        <v>170</v>
      </c>
      <c r="D1327" t="s">
        <v>171</v>
      </c>
      <c r="E1327" t="s">
        <v>91</v>
      </c>
      <c r="F1327" t="s">
        <v>118</v>
      </c>
      <c r="G1327">
        <v>2</v>
      </c>
    </row>
    <row r="1328" spans="1:7" x14ac:dyDescent="0.3">
      <c r="A1328">
        <v>2019</v>
      </c>
      <c r="B1328" t="s">
        <v>26</v>
      </c>
      <c r="C1328" t="s">
        <v>170</v>
      </c>
      <c r="D1328" t="s">
        <v>171</v>
      </c>
      <c r="E1328" t="s">
        <v>109</v>
      </c>
      <c r="F1328" t="s">
        <v>118</v>
      </c>
      <c r="G1328">
        <v>2</v>
      </c>
    </row>
    <row r="1329" spans="1:7" x14ac:dyDescent="0.3">
      <c r="A1329">
        <v>2019</v>
      </c>
      <c r="B1329" t="s">
        <v>26</v>
      </c>
      <c r="C1329" t="s">
        <v>170</v>
      </c>
      <c r="D1329" t="s">
        <v>171</v>
      </c>
      <c r="E1329" t="s">
        <v>110</v>
      </c>
      <c r="F1329" t="s">
        <v>118</v>
      </c>
      <c r="G1329">
        <v>0</v>
      </c>
    </row>
    <row r="1330" spans="1:7" x14ac:dyDescent="0.3">
      <c r="A1330">
        <v>2019</v>
      </c>
      <c r="B1330" t="s">
        <v>27</v>
      </c>
      <c r="C1330" t="s">
        <v>170</v>
      </c>
      <c r="D1330" t="s">
        <v>171</v>
      </c>
      <c r="E1330" t="s">
        <v>108</v>
      </c>
      <c r="F1330" t="s">
        <v>118</v>
      </c>
      <c r="G1330">
        <v>3</v>
      </c>
    </row>
    <row r="1331" spans="1:7" x14ac:dyDescent="0.3">
      <c r="A1331">
        <v>2019</v>
      </c>
      <c r="B1331" t="s">
        <v>27</v>
      </c>
      <c r="C1331" t="s">
        <v>170</v>
      </c>
      <c r="D1331" t="s">
        <v>171</v>
      </c>
      <c r="E1331" t="s">
        <v>91</v>
      </c>
      <c r="F1331" t="s">
        <v>118</v>
      </c>
      <c r="G1331">
        <v>4</v>
      </c>
    </row>
    <row r="1332" spans="1:7" x14ac:dyDescent="0.3">
      <c r="A1332">
        <v>2019</v>
      </c>
      <c r="B1332" t="s">
        <v>27</v>
      </c>
      <c r="C1332" t="s">
        <v>170</v>
      </c>
      <c r="D1332" t="s">
        <v>171</v>
      </c>
      <c r="E1332" t="s">
        <v>109</v>
      </c>
      <c r="F1332" t="s">
        <v>118</v>
      </c>
      <c r="G1332">
        <v>2</v>
      </c>
    </row>
    <row r="1333" spans="1:7" x14ac:dyDescent="0.3">
      <c r="A1333">
        <v>2019</v>
      </c>
      <c r="B1333" t="s">
        <v>27</v>
      </c>
      <c r="C1333" t="s">
        <v>170</v>
      </c>
      <c r="D1333" t="s">
        <v>171</v>
      </c>
      <c r="E1333" t="s">
        <v>110</v>
      </c>
      <c r="F1333" t="s">
        <v>118</v>
      </c>
      <c r="G1333">
        <v>0</v>
      </c>
    </row>
    <row r="1334" spans="1:7" x14ac:dyDescent="0.3">
      <c r="A1334">
        <v>2019</v>
      </c>
      <c r="B1334" t="s">
        <v>29</v>
      </c>
      <c r="C1334" t="s">
        <v>170</v>
      </c>
      <c r="D1334" t="s">
        <v>171</v>
      </c>
      <c r="E1334" t="s">
        <v>108</v>
      </c>
      <c r="F1334" t="s">
        <v>118</v>
      </c>
      <c r="G1334">
        <v>16</v>
      </c>
    </row>
    <row r="1335" spans="1:7" x14ac:dyDescent="0.3">
      <c r="A1335">
        <v>2019</v>
      </c>
      <c r="B1335" t="s">
        <v>29</v>
      </c>
      <c r="C1335" t="s">
        <v>170</v>
      </c>
      <c r="D1335" t="s">
        <v>171</v>
      </c>
      <c r="E1335" t="s">
        <v>91</v>
      </c>
      <c r="F1335" t="s">
        <v>118</v>
      </c>
      <c r="G1335">
        <v>0</v>
      </c>
    </row>
    <row r="1336" spans="1:7" x14ac:dyDescent="0.3">
      <c r="A1336">
        <v>2019</v>
      </c>
      <c r="B1336" t="s">
        <v>29</v>
      </c>
      <c r="C1336" t="s">
        <v>170</v>
      </c>
      <c r="D1336" t="s">
        <v>171</v>
      </c>
      <c r="E1336" t="s">
        <v>109</v>
      </c>
      <c r="F1336" t="s">
        <v>118</v>
      </c>
      <c r="G1336">
        <v>8</v>
      </c>
    </row>
    <row r="1337" spans="1:7" x14ac:dyDescent="0.3">
      <c r="A1337">
        <v>2019</v>
      </c>
      <c r="B1337" t="s">
        <v>29</v>
      </c>
      <c r="C1337" t="s">
        <v>170</v>
      </c>
      <c r="D1337" t="s">
        <v>171</v>
      </c>
      <c r="E1337" t="s">
        <v>110</v>
      </c>
      <c r="F1337" t="s">
        <v>118</v>
      </c>
      <c r="G1337">
        <v>0</v>
      </c>
    </row>
    <row r="1338" spans="1:7" x14ac:dyDescent="0.3">
      <c r="A1338">
        <v>2019</v>
      </c>
      <c r="B1338" t="s">
        <v>30</v>
      </c>
      <c r="C1338" t="s">
        <v>170</v>
      </c>
      <c r="D1338" t="s">
        <v>171</v>
      </c>
      <c r="E1338" t="s">
        <v>108</v>
      </c>
      <c r="F1338" t="s">
        <v>118</v>
      </c>
      <c r="G1338">
        <v>0</v>
      </c>
    </row>
    <row r="1339" spans="1:7" x14ac:dyDescent="0.3">
      <c r="A1339">
        <v>2019</v>
      </c>
      <c r="B1339" t="s">
        <v>30</v>
      </c>
      <c r="C1339" t="s">
        <v>170</v>
      </c>
      <c r="D1339" t="s">
        <v>171</v>
      </c>
      <c r="E1339" t="s">
        <v>91</v>
      </c>
      <c r="F1339" t="s">
        <v>118</v>
      </c>
      <c r="G1339">
        <v>0</v>
      </c>
    </row>
    <row r="1340" spans="1:7" x14ac:dyDescent="0.3">
      <c r="A1340">
        <v>2019</v>
      </c>
      <c r="B1340" t="s">
        <v>30</v>
      </c>
      <c r="C1340" t="s">
        <v>170</v>
      </c>
      <c r="D1340" t="s">
        <v>171</v>
      </c>
      <c r="E1340" t="s">
        <v>109</v>
      </c>
      <c r="F1340" t="s">
        <v>118</v>
      </c>
      <c r="G1340">
        <v>2</v>
      </c>
    </row>
    <row r="1341" spans="1:7" x14ac:dyDescent="0.3">
      <c r="A1341">
        <v>2019</v>
      </c>
      <c r="B1341" t="s">
        <v>30</v>
      </c>
      <c r="C1341" t="s">
        <v>170</v>
      </c>
      <c r="D1341" t="s">
        <v>171</v>
      </c>
      <c r="E1341" t="s">
        <v>110</v>
      </c>
      <c r="F1341" t="s">
        <v>118</v>
      </c>
      <c r="G1341">
        <v>0</v>
      </c>
    </row>
    <row r="1342" spans="1:7" x14ac:dyDescent="0.3">
      <c r="A1342">
        <v>2019</v>
      </c>
      <c r="B1342" t="s">
        <v>31</v>
      </c>
      <c r="C1342" t="s">
        <v>170</v>
      </c>
      <c r="D1342" t="s">
        <v>171</v>
      </c>
      <c r="E1342" t="s">
        <v>108</v>
      </c>
      <c r="F1342" t="s">
        <v>118</v>
      </c>
      <c r="G1342">
        <v>29</v>
      </c>
    </row>
    <row r="1343" spans="1:7" x14ac:dyDescent="0.3">
      <c r="A1343">
        <v>2019</v>
      </c>
      <c r="B1343" t="s">
        <v>31</v>
      </c>
      <c r="C1343" t="s">
        <v>170</v>
      </c>
      <c r="D1343" t="s">
        <v>171</v>
      </c>
      <c r="E1343" t="s">
        <v>91</v>
      </c>
      <c r="F1343" t="s">
        <v>118</v>
      </c>
      <c r="G1343">
        <v>23</v>
      </c>
    </row>
    <row r="1344" spans="1:7" x14ac:dyDescent="0.3">
      <c r="A1344">
        <v>2019</v>
      </c>
      <c r="B1344" t="s">
        <v>31</v>
      </c>
      <c r="C1344" t="s">
        <v>170</v>
      </c>
      <c r="D1344" t="s">
        <v>171</v>
      </c>
      <c r="E1344" t="s">
        <v>109</v>
      </c>
      <c r="F1344" t="s">
        <v>118</v>
      </c>
      <c r="G1344">
        <v>16</v>
      </c>
    </row>
    <row r="1345" spans="1:7" x14ac:dyDescent="0.3">
      <c r="A1345">
        <v>2019</v>
      </c>
      <c r="B1345" t="s">
        <v>31</v>
      </c>
      <c r="C1345" t="s">
        <v>170</v>
      </c>
      <c r="D1345" t="s">
        <v>171</v>
      </c>
      <c r="E1345" t="s">
        <v>110</v>
      </c>
      <c r="F1345" t="s">
        <v>118</v>
      </c>
      <c r="G1345">
        <v>2</v>
      </c>
    </row>
    <row r="1346" spans="1:7" x14ac:dyDescent="0.3">
      <c r="A1346">
        <v>2019</v>
      </c>
      <c r="B1346" t="s">
        <v>32</v>
      </c>
      <c r="C1346" t="s">
        <v>170</v>
      </c>
      <c r="D1346" t="s">
        <v>171</v>
      </c>
      <c r="E1346" t="s">
        <v>108</v>
      </c>
      <c r="F1346" t="s">
        <v>118</v>
      </c>
      <c r="G1346">
        <v>21</v>
      </c>
    </row>
    <row r="1347" spans="1:7" x14ac:dyDescent="0.3">
      <c r="A1347">
        <v>2019</v>
      </c>
      <c r="B1347" t="s">
        <v>32</v>
      </c>
      <c r="C1347" t="s">
        <v>170</v>
      </c>
      <c r="D1347" t="s">
        <v>171</v>
      </c>
      <c r="E1347" t="s">
        <v>91</v>
      </c>
      <c r="F1347" t="s">
        <v>118</v>
      </c>
      <c r="G1347">
        <v>0</v>
      </c>
    </row>
    <row r="1348" spans="1:7" x14ac:dyDescent="0.3">
      <c r="A1348">
        <v>2019</v>
      </c>
      <c r="B1348" t="s">
        <v>32</v>
      </c>
      <c r="C1348" t="s">
        <v>170</v>
      </c>
      <c r="D1348" t="s">
        <v>171</v>
      </c>
      <c r="E1348" t="s">
        <v>109</v>
      </c>
      <c r="F1348" t="s">
        <v>118</v>
      </c>
      <c r="G1348">
        <v>0</v>
      </c>
    </row>
    <row r="1349" spans="1:7" x14ac:dyDescent="0.3">
      <c r="A1349">
        <v>2019</v>
      </c>
      <c r="B1349" t="s">
        <v>32</v>
      </c>
      <c r="C1349" t="s">
        <v>170</v>
      </c>
      <c r="D1349" t="s">
        <v>171</v>
      </c>
      <c r="E1349" t="s">
        <v>110</v>
      </c>
      <c r="F1349" t="s">
        <v>118</v>
      </c>
      <c r="G1349">
        <v>0</v>
      </c>
    </row>
    <row r="1350" spans="1:7" x14ac:dyDescent="0.3">
      <c r="A1350">
        <v>2019</v>
      </c>
      <c r="B1350" t="s">
        <v>63</v>
      </c>
      <c r="C1350" t="s">
        <v>170</v>
      </c>
      <c r="D1350" t="s">
        <v>171</v>
      </c>
      <c r="E1350" t="s">
        <v>108</v>
      </c>
      <c r="F1350" t="s">
        <v>118</v>
      </c>
      <c r="G1350">
        <v>0</v>
      </c>
    </row>
    <row r="1351" spans="1:7" x14ac:dyDescent="0.3">
      <c r="A1351">
        <v>2019</v>
      </c>
      <c r="B1351" t="s">
        <v>63</v>
      </c>
      <c r="C1351" t="s">
        <v>170</v>
      </c>
      <c r="D1351" t="s">
        <v>171</v>
      </c>
      <c r="E1351" t="s">
        <v>91</v>
      </c>
      <c r="F1351" t="s">
        <v>118</v>
      </c>
      <c r="G1351">
        <v>12</v>
      </c>
    </row>
    <row r="1352" spans="1:7" x14ac:dyDescent="0.3">
      <c r="A1352">
        <v>2019</v>
      </c>
      <c r="B1352" t="s">
        <v>63</v>
      </c>
      <c r="C1352" t="s">
        <v>170</v>
      </c>
      <c r="D1352" t="s">
        <v>171</v>
      </c>
      <c r="E1352" t="s">
        <v>109</v>
      </c>
      <c r="F1352" t="s">
        <v>118</v>
      </c>
      <c r="G1352">
        <v>3</v>
      </c>
    </row>
    <row r="1353" spans="1:7" x14ac:dyDescent="0.3">
      <c r="A1353">
        <v>2019</v>
      </c>
      <c r="B1353" t="s">
        <v>63</v>
      </c>
      <c r="C1353" t="s">
        <v>170</v>
      </c>
      <c r="D1353" t="s">
        <v>171</v>
      </c>
      <c r="E1353" t="s">
        <v>110</v>
      </c>
      <c r="F1353" t="s">
        <v>118</v>
      </c>
      <c r="G1353">
        <v>0</v>
      </c>
    </row>
    <row r="1354" spans="1:7" x14ac:dyDescent="0.3">
      <c r="A1354">
        <v>2019</v>
      </c>
      <c r="B1354" t="s">
        <v>57</v>
      </c>
      <c r="C1354" t="s">
        <v>170</v>
      </c>
      <c r="D1354" t="s">
        <v>171</v>
      </c>
      <c r="E1354" t="s">
        <v>108</v>
      </c>
      <c r="F1354" t="s">
        <v>118</v>
      </c>
      <c r="G1354">
        <v>0</v>
      </c>
    </row>
    <row r="1355" spans="1:7" x14ac:dyDescent="0.3">
      <c r="A1355">
        <v>2019</v>
      </c>
      <c r="B1355" t="s">
        <v>57</v>
      </c>
      <c r="C1355" t="s">
        <v>170</v>
      </c>
      <c r="D1355" t="s">
        <v>171</v>
      </c>
      <c r="E1355" t="s">
        <v>91</v>
      </c>
      <c r="F1355" t="s">
        <v>118</v>
      </c>
      <c r="G1355">
        <v>67</v>
      </c>
    </row>
    <row r="1356" spans="1:7" x14ac:dyDescent="0.3">
      <c r="A1356">
        <v>2019</v>
      </c>
      <c r="B1356" t="s">
        <v>57</v>
      </c>
      <c r="C1356" t="s">
        <v>170</v>
      </c>
      <c r="D1356" t="s">
        <v>171</v>
      </c>
      <c r="E1356" t="s">
        <v>109</v>
      </c>
      <c r="F1356" t="s">
        <v>118</v>
      </c>
      <c r="G1356">
        <v>16</v>
      </c>
    </row>
    <row r="1357" spans="1:7" x14ac:dyDescent="0.3">
      <c r="A1357">
        <v>2019</v>
      </c>
      <c r="B1357" t="s">
        <v>57</v>
      </c>
      <c r="C1357" t="s">
        <v>170</v>
      </c>
      <c r="D1357" t="s">
        <v>171</v>
      </c>
      <c r="E1357" t="s">
        <v>110</v>
      </c>
      <c r="F1357" t="s">
        <v>118</v>
      </c>
      <c r="G1357">
        <v>0</v>
      </c>
    </row>
    <row r="1358" spans="1:7" x14ac:dyDescent="0.3">
      <c r="A1358">
        <v>2019</v>
      </c>
      <c r="B1358" t="s">
        <v>33</v>
      </c>
      <c r="C1358" t="s">
        <v>170</v>
      </c>
      <c r="D1358" t="s">
        <v>171</v>
      </c>
      <c r="E1358" t="s">
        <v>108</v>
      </c>
      <c r="F1358" t="s">
        <v>118</v>
      </c>
      <c r="G1358">
        <v>5</v>
      </c>
    </row>
    <row r="1359" spans="1:7" x14ac:dyDescent="0.3">
      <c r="A1359">
        <v>2019</v>
      </c>
      <c r="B1359" t="s">
        <v>33</v>
      </c>
      <c r="C1359" t="s">
        <v>170</v>
      </c>
      <c r="D1359" t="s">
        <v>171</v>
      </c>
      <c r="E1359" t="s">
        <v>91</v>
      </c>
      <c r="F1359" t="s">
        <v>118</v>
      </c>
      <c r="G1359">
        <v>22</v>
      </c>
    </row>
    <row r="1360" spans="1:7" x14ac:dyDescent="0.3">
      <c r="A1360">
        <v>2019</v>
      </c>
      <c r="B1360" t="s">
        <v>33</v>
      </c>
      <c r="C1360" t="s">
        <v>170</v>
      </c>
      <c r="D1360" t="s">
        <v>171</v>
      </c>
      <c r="E1360" t="s">
        <v>109</v>
      </c>
      <c r="F1360" t="s">
        <v>118</v>
      </c>
      <c r="G1360">
        <v>2</v>
      </c>
    </row>
    <row r="1361" spans="1:7" x14ac:dyDescent="0.3">
      <c r="A1361">
        <v>2019</v>
      </c>
      <c r="B1361" t="s">
        <v>33</v>
      </c>
      <c r="C1361" t="s">
        <v>170</v>
      </c>
      <c r="D1361" t="s">
        <v>171</v>
      </c>
      <c r="E1361" t="s">
        <v>110</v>
      </c>
      <c r="F1361" t="s">
        <v>118</v>
      </c>
      <c r="G1361">
        <v>0</v>
      </c>
    </row>
    <row r="1362" spans="1:7" x14ac:dyDescent="0.3">
      <c r="A1362">
        <v>2019</v>
      </c>
      <c r="B1362" t="s">
        <v>34</v>
      </c>
      <c r="C1362" t="s">
        <v>170</v>
      </c>
      <c r="D1362" t="s">
        <v>171</v>
      </c>
      <c r="E1362" t="s">
        <v>108</v>
      </c>
      <c r="F1362" t="s">
        <v>118</v>
      </c>
      <c r="G1362">
        <v>9</v>
      </c>
    </row>
    <row r="1363" spans="1:7" x14ac:dyDescent="0.3">
      <c r="A1363">
        <v>2019</v>
      </c>
      <c r="B1363" t="s">
        <v>34</v>
      </c>
      <c r="C1363" t="s">
        <v>170</v>
      </c>
      <c r="D1363" t="s">
        <v>171</v>
      </c>
      <c r="E1363" t="s">
        <v>91</v>
      </c>
      <c r="F1363" t="s">
        <v>118</v>
      </c>
      <c r="G1363">
        <v>1</v>
      </c>
    </row>
    <row r="1364" spans="1:7" x14ac:dyDescent="0.3">
      <c r="A1364">
        <v>2019</v>
      </c>
      <c r="B1364" t="s">
        <v>34</v>
      </c>
      <c r="C1364" t="s">
        <v>170</v>
      </c>
      <c r="D1364" t="s">
        <v>171</v>
      </c>
      <c r="E1364" t="s">
        <v>109</v>
      </c>
      <c r="F1364" t="s">
        <v>118</v>
      </c>
      <c r="G1364">
        <v>3</v>
      </c>
    </row>
    <row r="1365" spans="1:7" x14ac:dyDescent="0.3">
      <c r="A1365">
        <v>2019</v>
      </c>
      <c r="B1365" t="s">
        <v>34</v>
      </c>
      <c r="C1365" t="s">
        <v>170</v>
      </c>
      <c r="D1365" t="s">
        <v>171</v>
      </c>
      <c r="E1365" t="s">
        <v>110</v>
      </c>
      <c r="F1365" t="s">
        <v>118</v>
      </c>
      <c r="G1365">
        <v>0</v>
      </c>
    </row>
    <row r="1366" spans="1:7" x14ac:dyDescent="0.3">
      <c r="A1366">
        <v>2019</v>
      </c>
      <c r="B1366" t="s">
        <v>35</v>
      </c>
      <c r="C1366" t="s">
        <v>170</v>
      </c>
      <c r="D1366" t="s">
        <v>171</v>
      </c>
      <c r="E1366" t="s">
        <v>108</v>
      </c>
      <c r="F1366" t="s">
        <v>118</v>
      </c>
      <c r="G1366">
        <v>1</v>
      </c>
    </row>
    <row r="1367" spans="1:7" x14ac:dyDescent="0.3">
      <c r="A1367">
        <v>2019</v>
      </c>
      <c r="B1367" t="s">
        <v>35</v>
      </c>
      <c r="C1367" t="s">
        <v>170</v>
      </c>
      <c r="D1367" t="s">
        <v>171</v>
      </c>
      <c r="E1367" t="s">
        <v>91</v>
      </c>
      <c r="F1367" t="s">
        <v>118</v>
      </c>
      <c r="G1367">
        <v>0</v>
      </c>
    </row>
    <row r="1368" spans="1:7" x14ac:dyDescent="0.3">
      <c r="A1368">
        <v>2019</v>
      </c>
      <c r="B1368" t="s">
        <v>35</v>
      </c>
      <c r="C1368" t="s">
        <v>170</v>
      </c>
      <c r="D1368" t="s">
        <v>171</v>
      </c>
      <c r="E1368" t="s">
        <v>109</v>
      </c>
      <c r="F1368" t="s">
        <v>118</v>
      </c>
      <c r="G1368">
        <v>0</v>
      </c>
    </row>
    <row r="1369" spans="1:7" x14ac:dyDescent="0.3">
      <c r="A1369">
        <v>2019</v>
      </c>
      <c r="B1369" t="s">
        <v>35</v>
      </c>
      <c r="C1369" t="s">
        <v>170</v>
      </c>
      <c r="D1369" t="s">
        <v>171</v>
      </c>
      <c r="E1369" t="s">
        <v>110</v>
      </c>
      <c r="F1369" t="s">
        <v>118</v>
      </c>
      <c r="G1369">
        <v>0</v>
      </c>
    </row>
    <row r="1370" spans="1:7" x14ac:dyDescent="0.3">
      <c r="A1370">
        <v>2019</v>
      </c>
      <c r="B1370" t="s">
        <v>36</v>
      </c>
      <c r="C1370" t="s">
        <v>170</v>
      </c>
      <c r="D1370" t="s">
        <v>171</v>
      </c>
      <c r="E1370" t="s">
        <v>108</v>
      </c>
      <c r="F1370" t="s">
        <v>118</v>
      </c>
      <c r="G1370">
        <v>0</v>
      </c>
    </row>
    <row r="1371" spans="1:7" x14ac:dyDescent="0.3">
      <c r="A1371">
        <v>2019</v>
      </c>
      <c r="B1371" t="s">
        <v>36</v>
      </c>
      <c r="C1371" t="s">
        <v>170</v>
      </c>
      <c r="D1371" t="s">
        <v>171</v>
      </c>
      <c r="E1371" t="s">
        <v>91</v>
      </c>
      <c r="F1371" t="s">
        <v>118</v>
      </c>
      <c r="G1371">
        <v>0</v>
      </c>
    </row>
    <row r="1372" spans="1:7" x14ac:dyDescent="0.3">
      <c r="A1372">
        <v>2019</v>
      </c>
      <c r="B1372" t="s">
        <v>36</v>
      </c>
      <c r="C1372" t="s">
        <v>170</v>
      </c>
      <c r="D1372" t="s">
        <v>171</v>
      </c>
      <c r="E1372" t="s">
        <v>109</v>
      </c>
      <c r="F1372" t="s">
        <v>118</v>
      </c>
      <c r="G1372">
        <v>0</v>
      </c>
    </row>
    <row r="1373" spans="1:7" x14ac:dyDescent="0.3">
      <c r="A1373">
        <v>2019</v>
      </c>
      <c r="B1373" t="s">
        <v>36</v>
      </c>
      <c r="C1373" t="s">
        <v>170</v>
      </c>
      <c r="D1373" t="s">
        <v>171</v>
      </c>
      <c r="E1373" t="s">
        <v>110</v>
      </c>
      <c r="F1373" t="s">
        <v>118</v>
      </c>
      <c r="G1373">
        <v>0</v>
      </c>
    </row>
    <row r="1374" spans="1:7" x14ac:dyDescent="0.3">
      <c r="A1374">
        <v>2019</v>
      </c>
      <c r="B1374" t="s">
        <v>37</v>
      </c>
      <c r="C1374" t="s">
        <v>170</v>
      </c>
      <c r="D1374" t="s">
        <v>171</v>
      </c>
      <c r="E1374" t="s">
        <v>108</v>
      </c>
      <c r="F1374" t="s">
        <v>118</v>
      </c>
      <c r="G1374">
        <v>0</v>
      </c>
    </row>
    <row r="1375" spans="1:7" x14ac:dyDescent="0.3">
      <c r="A1375">
        <v>2019</v>
      </c>
      <c r="B1375" t="s">
        <v>37</v>
      </c>
      <c r="C1375" t="s">
        <v>170</v>
      </c>
      <c r="D1375" t="s">
        <v>171</v>
      </c>
      <c r="E1375" t="s">
        <v>91</v>
      </c>
      <c r="F1375" t="s">
        <v>118</v>
      </c>
      <c r="G1375">
        <v>0</v>
      </c>
    </row>
    <row r="1376" spans="1:7" x14ac:dyDescent="0.3">
      <c r="A1376">
        <v>2019</v>
      </c>
      <c r="B1376" t="s">
        <v>37</v>
      </c>
      <c r="C1376" t="s">
        <v>170</v>
      </c>
      <c r="D1376" t="s">
        <v>171</v>
      </c>
      <c r="E1376" t="s">
        <v>109</v>
      </c>
      <c r="F1376" t="s">
        <v>118</v>
      </c>
      <c r="G1376">
        <v>0</v>
      </c>
    </row>
    <row r="1377" spans="1:7" x14ac:dyDescent="0.3">
      <c r="A1377">
        <v>2019</v>
      </c>
      <c r="B1377" t="s">
        <v>37</v>
      </c>
      <c r="C1377" t="s">
        <v>170</v>
      </c>
      <c r="D1377" t="s">
        <v>171</v>
      </c>
      <c r="E1377" t="s">
        <v>110</v>
      </c>
      <c r="F1377" t="s">
        <v>118</v>
      </c>
      <c r="G1377">
        <v>0</v>
      </c>
    </row>
    <row r="1378" spans="1:7" x14ac:dyDescent="0.3">
      <c r="A1378">
        <v>2019</v>
      </c>
      <c r="B1378" t="s">
        <v>55</v>
      </c>
      <c r="C1378" t="s">
        <v>170</v>
      </c>
      <c r="D1378" t="s">
        <v>171</v>
      </c>
      <c r="E1378" t="s">
        <v>108</v>
      </c>
      <c r="F1378" t="s">
        <v>118</v>
      </c>
      <c r="G1378">
        <v>0</v>
      </c>
    </row>
    <row r="1379" spans="1:7" x14ac:dyDescent="0.3">
      <c r="A1379">
        <v>2019</v>
      </c>
      <c r="B1379" t="s">
        <v>55</v>
      </c>
      <c r="C1379" t="s">
        <v>170</v>
      </c>
      <c r="D1379" t="s">
        <v>171</v>
      </c>
      <c r="E1379" t="s">
        <v>91</v>
      </c>
      <c r="F1379" t="s">
        <v>118</v>
      </c>
      <c r="G1379">
        <v>0</v>
      </c>
    </row>
    <row r="1380" spans="1:7" x14ac:dyDescent="0.3">
      <c r="A1380">
        <v>2019</v>
      </c>
      <c r="B1380" t="s">
        <v>55</v>
      </c>
      <c r="C1380" t="s">
        <v>170</v>
      </c>
      <c r="D1380" t="s">
        <v>171</v>
      </c>
      <c r="E1380" t="s">
        <v>109</v>
      </c>
      <c r="F1380" t="s">
        <v>118</v>
      </c>
      <c r="G1380">
        <v>0</v>
      </c>
    </row>
    <row r="1381" spans="1:7" x14ac:dyDescent="0.3">
      <c r="A1381">
        <v>2019</v>
      </c>
      <c r="B1381" t="s">
        <v>55</v>
      </c>
      <c r="C1381" t="s">
        <v>170</v>
      </c>
      <c r="D1381" t="s">
        <v>171</v>
      </c>
      <c r="E1381" t="s">
        <v>110</v>
      </c>
      <c r="F1381" t="s">
        <v>118</v>
      </c>
      <c r="G1381">
        <v>0</v>
      </c>
    </row>
    <row r="1382" spans="1:7" x14ac:dyDescent="0.3">
      <c r="A1382">
        <v>2019</v>
      </c>
      <c r="B1382" t="s">
        <v>38</v>
      </c>
      <c r="C1382" t="s">
        <v>170</v>
      </c>
      <c r="D1382" t="s">
        <v>171</v>
      </c>
      <c r="E1382" t="s">
        <v>108</v>
      </c>
      <c r="F1382" t="s">
        <v>118</v>
      </c>
      <c r="G1382">
        <v>87</v>
      </c>
    </row>
    <row r="1383" spans="1:7" x14ac:dyDescent="0.3">
      <c r="A1383">
        <v>2019</v>
      </c>
      <c r="B1383" t="s">
        <v>38</v>
      </c>
      <c r="C1383" t="s">
        <v>170</v>
      </c>
      <c r="D1383" t="s">
        <v>171</v>
      </c>
      <c r="E1383" t="s">
        <v>91</v>
      </c>
      <c r="F1383" t="s">
        <v>118</v>
      </c>
      <c r="G1383">
        <v>20</v>
      </c>
    </row>
    <row r="1384" spans="1:7" x14ac:dyDescent="0.3">
      <c r="A1384">
        <v>2019</v>
      </c>
      <c r="B1384" t="s">
        <v>38</v>
      </c>
      <c r="C1384" t="s">
        <v>170</v>
      </c>
      <c r="D1384" t="s">
        <v>171</v>
      </c>
      <c r="E1384" t="s">
        <v>109</v>
      </c>
      <c r="F1384" t="s">
        <v>118</v>
      </c>
      <c r="G1384">
        <v>29</v>
      </c>
    </row>
    <row r="1385" spans="1:7" x14ac:dyDescent="0.3">
      <c r="A1385">
        <v>2019</v>
      </c>
      <c r="B1385" t="s">
        <v>38</v>
      </c>
      <c r="C1385" t="s">
        <v>170</v>
      </c>
      <c r="D1385" t="s">
        <v>171</v>
      </c>
      <c r="E1385" t="s">
        <v>110</v>
      </c>
      <c r="F1385" t="s">
        <v>118</v>
      </c>
      <c r="G1385">
        <v>1</v>
      </c>
    </row>
    <row r="1386" spans="1:7" x14ac:dyDescent="0.3">
      <c r="A1386">
        <v>2019</v>
      </c>
      <c r="B1386" t="s">
        <v>39</v>
      </c>
      <c r="C1386" t="s">
        <v>170</v>
      </c>
      <c r="D1386" t="s">
        <v>171</v>
      </c>
      <c r="E1386" t="s">
        <v>108</v>
      </c>
      <c r="F1386" t="s">
        <v>118</v>
      </c>
      <c r="G1386">
        <v>7</v>
      </c>
    </row>
    <row r="1387" spans="1:7" x14ac:dyDescent="0.3">
      <c r="A1387">
        <v>2019</v>
      </c>
      <c r="B1387" t="s">
        <v>39</v>
      </c>
      <c r="C1387" t="s">
        <v>170</v>
      </c>
      <c r="D1387" t="s">
        <v>171</v>
      </c>
      <c r="E1387" t="s">
        <v>91</v>
      </c>
      <c r="F1387" t="s">
        <v>118</v>
      </c>
      <c r="G1387">
        <v>0</v>
      </c>
    </row>
    <row r="1388" spans="1:7" x14ac:dyDescent="0.3">
      <c r="A1388">
        <v>2019</v>
      </c>
      <c r="B1388" t="s">
        <v>39</v>
      </c>
      <c r="C1388" t="s">
        <v>170</v>
      </c>
      <c r="D1388" t="s">
        <v>171</v>
      </c>
      <c r="E1388" t="s">
        <v>109</v>
      </c>
      <c r="F1388" t="s">
        <v>118</v>
      </c>
      <c r="G1388">
        <v>0</v>
      </c>
    </row>
    <row r="1389" spans="1:7" x14ac:dyDescent="0.3">
      <c r="A1389">
        <v>2019</v>
      </c>
      <c r="B1389" t="s">
        <v>39</v>
      </c>
      <c r="C1389" t="s">
        <v>170</v>
      </c>
      <c r="D1389" t="s">
        <v>171</v>
      </c>
      <c r="E1389" t="s">
        <v>110</v>
      </c>
      <c r="F1389" t="s">
        <v>118</v>
      </c>
      <c r="G1389">
        <v>0</v>
      </c>
    </row>
    <row r="1390" spans="1:7" x14ac:dyDescent="0.3">
      <c r="A1390">
        <v>2019</v>
      </c>
      <c r="B1390" t="s">
        <v>40</v>
      </c>
      <c r="C1390" t="s">
        <v>170</v>
      </c>
      <c r="D1390" t="s">
        <v>171</v>
      </c>
      <c r="E1390" t="s">
        <v>108</v>
      </c>
      <c r="F1390" t="s">
        <v>118</v>
      </c>
      <c r="G1390">
        <v>12</v>
      </c>
    </row>
    <row r="1391" spans="1:7" x14ac:dyDescent="0.3">
      <c r="A1391">
        <v>2019</v>
      </c>
      <c r="B1391" t="s">
        <v>40</v>
      </c>
      <c r="C1391" t="s">
        <v>170</v>
      </c>
      <c r="D1391" t="s">
        <v>171</v>
      </c>
      <c r="E1391" t="s">
        <v>91</v>
      </c>
      <c r="F1391" t="s">
        <v>118</v>
      </c>
      <c r="G1391">
        <v>2</v>
      </c>
    </row>
    <row r="1392" spans="1:7" x14ac:dyDescent="0.3">
      <c r="A1392">
        <v>2019</v>
      </c>
      <c r="B1392" t="s">
        <v>40</v>
      </c>
      <c r="C1392" t="s">
        <v>170</v>
      </c>
      <c r="D1392" t="s">
        <v>171</v>
      </c>
      <c r="E1392" t="s">
        <v>109</v>
      </c>
      <c r="F1392" t="s">
        <v>118</v>
      </c>
      <c r="G1392">
        <v>0</v>
      </c>
    </row>
    <row r="1393" spans="1:7" x14ac:dyDescent="0.3">
      <c r="A1393">
        <v>2019</v>
      </c>
      <c r="B1393" t="s">
        <v>40</v>
      </c>
      <c r="C1393" t="s">
        <v>170</v>
      </c>
      <c r="D1393" t="s">
        <v>171</v>
      </c>
      <c r="E1393" t="s">
        <v>110</v>
      </c>
      <c r="F1393" t="s">
        <v>118</v>
      </c>
      <c r="G1393">
        <v>0</v>
      </c>
    </row>
    <row r="1394" spans="1:7" x14ac:dyDescent="0.3">
      <c r="A1394">
        <v>2019</v>
      </c>
      <c r="B1394" t="s">
        <v>41</v>
      </c>
      <c r="C1394" t="s">
        <v>170</v>
      </c>
      <c r="D1394" t="s">
        <v>171</v>
      </c>
      <c r="E1394" t="s">
        <v>108</v>
      </c>
      <c r="F1394" t="s">
        <v>118</v>
      </c>
      <c r="G1394">
        <v>1</v>
      </c>
    </row>
    <row r="1395" spans="1:7" x14ac:dyDescent="0.3">
      <c r="A1395">
        <v>2019</v>
      </c>
      <c r="B1395" t="s">
        <v>41</v>
      </c>
      <c r="C1395" t="s">
        <v>170</v>
      </c>
      <c r="D1395" t="s">
        <v>171</v>
      </c>
      <c r="E1395" t="s">
        <v>91</v>
      </c>
      <c r="F1395" t="s">
        <v>118</v>
      </c>
      <c r="G1395">
        <v>0</v>
      </c>
    </row>
    <row r="1396" spans="1:7" x14ac:dyDescent="0.3">
      <c r="A1396">
        <v>2019</v>
      </c>
      <c r="B1396" t="s">
        <v>41</v>
      </c>
      <c r="C1396" t="s">
        <v>170</v>
      </c>
      <c r="D1396" t="s">
        <v>171</v>
      </c>
      <c r="E1396" t="s">
        <v>109</v>
      </c>
      <c r="F1396" t="s">
        <v>118</v>
      </c>
      <c r="G1396">
        <v>1</v>
      </c>
    </row>
    <row r="1397" spans="1:7" x14ac:dyDescent="0.3">
      <c r="A1397">
        <v>2019</v>
      </c>
      <c r="B1397" t="s">
        <v>41</v>
      </c>
      <c r="C1397" t="s">
        <v>170</v>
      </c>
      <c r="D1397" t="s">
        <v>171</v>
      </c>
      <c r="E1397" t="s">
        <v>110</v>
      </c>
      <c r="F1397" t="s">
        <v>118</v>
      </c>
      <c r="G1397">
        <v>0</v>
      </c>
    </row>
    <row r="1398" spans="1:7" x14ac:dyDescent="0.3">
      <c r="A1398">
        <v>2019</v>
      </c>
      <c r="B1398" t="s">
        <v>58</v>
      </c>
      <c r="C1398" t="s">
        <v>170</v>
      </c>
      <c r="D1398" t="s">
        <v>171</v>
      </c>
      <c r="E1398" t="s">
        <v>108</v>
      </c>
      <c r="F1398" t="s">
        <v>118</v>
      </c>
      <c r="G1398">
        <v>1</v>
      </c>
    </row>
    <row r="1399" spans="1:7" x14ac:dyDescent="0.3">
      <c r="A1399">
        <v>2019</v>
      </c>
      <c r="B1399" t="s">
        <v>58</v>
      </c>
      <c r="C1399" t="s">
        <v>170</v>
      </c>
      <c r="D1399" t="s">
        <v>171</v>
      </c>
      <c r="E1399" t="s">
        <v>91</v>
      </c>
      <c r="F1399" t="s">
        <v>118</v>
      </c>
      <c r="G1399">
        <v>2</v>
      </c>
    </row>
    <row r="1400" spans="1:7" x14ac:dyDescent="0.3">
      <c r="A1400">
        <v>2019</v>
      </c>
      <c r="B1400" t="s">
        <v>58</v>
      </c>
      <c r="C1400" t="s">
        <v>170</v>
      </c>
      <c r="D1400" t="s">
        <v>171</v>
      </c>
      <c r="E1400" t="s">
        <v>109</v>
      </c>
      <c r="F1400" t="s">
        <v>118</v>
      </c>
      <c r="G1400">
        <v>5</v>
      </c>
    </row>
    <row r="1401" spans="1:7" x14ac:dyDescent="0.3">
      <c r="A1401">
        <v>2019</v>
      </c>
      <c r="B1401" t="s">
        <v>58</v>
      </c>
      <c r="C1401" t="s">
        <v>170</v>
      </c>
      <c r="D1401" t="s">
        <v>171</v>
      </c>
      <c r="E1401" t="s">
        <v>110</v>
      </c>
      <c r="F1401" t="s">
        <v>118</v>
      </c>
      <c r="G1401">
        <v>0</v>
      </c>
    </row>
    <row r="1402" spans="1:7" x14ac:dyDescent="0.3">
      <c r="A1402">
        <v>2019</v>
      </c>
      <c r="B1402" t="s">
        <v>42</v>
      </c>
      <c r="C1402" t="s">
        <v>170</v>
      </c>
      <c r="D1402" t="s">
        <v>171</v>
      </c>
      <c r="E1402" t="s">
        <v>108</v>
      </c>
      <c r="F1402" t="s">
        <v>118</v>
      </c>
      <c r="G1402">
        <v>6</v>
      </c>
    </row>
    <row r="1403" spans="1:7" x14ac:dyDescent="0.3">
      <c r="A1403">
        <v>2019</v>
      </c>
      <c r="B1403" t="s">
        <v>42</v>
      </c>
      <c r="C1403" t="s">
        <v>170</v>
      </c>
      <c r="D1403" t="s">
        <v>171</v>
      </c>
      <c r="E1403" t="s">
        <v>91</v>
      </c>
      <c r="F1403" t="s">
        <v>118</v>
      </c>
      <c r="G1403">
        <v>4</v>
      </c>
    </row>
    <row r="1404" spans="1:7" x14ac:dyDescent="0.3">
      <c r="A1404">
        <v>2019</v>
      </c>
      <c r="B1404" t="s">
        <v>42</v>
      </c>
      <c r="C1404" t="s">
        <v>170</v>
      </c>
      <c r="D1404" t="s">
        <v>171</v>
      </c>
      <c r="E1404" t="s">
        <v>109</v>
      </c>
      <c r="F1404" t="s">
        <v>118</v>
      </c>
      <c r="G1404">
        <v>4</v>
      </c>
    </row>
    <row r="1405" spans="1:7" x14ac:dyDescent="0.3">
      <c r="A1405">
        <v>2019</v>
      </c>
      <c r="B1405" t="s">
        <v>42</v>
      </c>
      <c r="C1405" t="s">
        <v>170</v>
      </c>
      <c r="D1405" t="s">
        <v>171</v>
      </c>
      <c r="E1405" t="s">
        <v>110</v>
      </c>
      <c r="F1405" t="s">
        <v>118</v>
      </c>
      <c r="G1405">
        <v>0</v>
      </c>
    </row>
    <row r="1406" spans="1:7" x14ac:dyDescent="0.3">
      <c r="A1406">
        <v>2019</v>
      </c>
      <c r="B1406" t="s">
        <v>44</v>
      </c>
      <c r="C1406" t="s">
        <v>170</v>
      </c>
      <c r="D1406" t="s">
        <v>171</v>
      </c>
      <c r="E1406" t="s">
        <v>108</v>
      </c>
      <c r="F1406" t="s">
        <v>118</v>
      </c>
      <c r="G1406">
        <v>0</v>
      </c>
    </row>
    <row r="1407" spans="1:7" x14ac:dyDescent="0.3">
      <c r="A1407">
        <v>2019</v>
      </c>
      <c r="B1407" t="s">
        <v>44</v>
      </c>
      <c r="C1407" t="s">
        <v>170</v>
      </c>
      <c r="D1407" t="s">
        <v>171</v>
      </c>
      <c r="E1407" t="s">
        <v>91</v>
      </c>
      <c r="F1407" t="s">
        <v>118</v>
      </c>
      <c r="G1407">
        <v>5</v>
      </c>
    </row>
    <row r="1408" spans="1:7" x14ac:dyDescent="0.3">
      <c r="A1408">
        <v>2019</v>
      </c>
      <c r="B1408" t="s">
        <v>44</v>
      </c>
      <c r="C1408" t="s">
        <v>170</v>
      </c>
      <c r="D1408" t="s">
        <v>171</v>
      </c>
      <c r="E1408" t="s">
        <v>109</v>
      </c>
      <c r="F1408" t="s">
        <v>118</v>
      </c>
      <c r="G1408">
        <v>0</v>
      </c>
    </row>
    <row r="1409" spans="1:7" x14ac:dyDescent="0.3">
      <c r="A1409">
        <v>2019</v>
      </c>
      <c r="B1409" t="s">
        <v>44</v>
      </c>
      <c r="C1409" t="s">
        <v>170</v>
      </c>
      <c r="D1409" t="s">
        <v>171</v>
      </c>
      <c r="E1409" t="s">
        <v>110</v>
      </c>
      <c r="F1409" t="s">
        <v>118</v>
      </c>
      <c r="G1409">
        <v>0</v>
      </c>
    </row>
    <row r="1410" spans="1:7" x14ac:dyDescent="0.3">
      <c r="A1410">
        <v>2019</v>
      </c>
      <c r="B1410" t="s">
        <v>45</v>
      </c>
      <c r="C1410" t="s">
        <v>170</v>
      </c>
      <c r="D1410" t="s">
        <v>171</v>
      </c>
      <c r="E1410" t="s">
        <v>108</v>
      </c>
      <c r="F1410" t="s">
        <v>118</v>
      </c>
      <c r="G1410">
        <v>48</v>
      </c>
    </row>
    <row r="1411" spans="1:7" x14ac:dyDescent="0.3">
      <c r="A1411">
        <v>2019</v>
      </c>
      <c r="B1411" t="s">
        <v>45</v>
      </c>
      <c r="C1411" t="s">
        <v>170</v>
      </c>
      <c r="D1411" t="s">
        <v>171</v>
      </c>
      <c r="E1411" t="s">
        <v>91</v>
      </c>
      <c r="F1411" t="s">
        <v>118</v>
      </c>
      <c r="G1411">
        <v>8</v>
      </c>
    </row>
    <row r="1412" spans="1:7" x14ac:dyDescent="0.3">
      <c r="A1412">
        <v>2019</v>
      </c>
      <c r="B1412" t="s">
        <v>45</v>
      </c>
      <c r="C1412" t="s">
        <v>170</v>
      </c>
      <c r="D1412" t="s">
        <v>171</v>
      </c>
      <c r="E1412" t="s">
        <v>109</v>
      </c>
      <c r="F1412" t="s">
        <v>118</v>
      </c>
      <c r="G1412">
        <v>6</v>
      </c>
    </row>
    <row r="1413" spans="1:7" x14ac:dyDescent="0.3">
      <c r="A1413">
        <v>2019</v>
      </c>
      <c r="B1413" t="s">
        <v>45</v>
      </c>
      <c r="C1413" t="s">
        <v>170</v>
      </c>
      <c r="D1413" t="s">
        <v>171</v>
      </c>
      <c r="E1413" t="s">
        <v>110</v>
      </c>
      <c r="F1413" t="s">
        <v>118</v>
      </c>
      <c r="G1413">
        <v>1</v>
      </c>
    </row>
    <row r="1414" spans="1:7" x14ac:dyDescent="0.3">
      <c r="A1414">
        <v>2019</v>
      </c>
      <c r="B1414" t="s">
        <v>46</v>
      </c>
      <c r="C1414" t="s">
        <v>170</v>
      </c>
      <c r="D1414" t="s">
        <v>171</v>
      </c>
      <c r="E1414" t="s">
        <v>108</v>
      </c>
      <c r="F1414" t="s">
        <v>118</v>
      </c>
      <c r="G1414">
        <v>2</v>
      </c>
    </row>
    <row r="1415" spans="1:7" x14ac:dyDescent="0.3">
      <c r="A1415">
        <v>2019</v>
      </c>
      <c r="B1415" t="s">
        <v>46</v>
      </c>
      <c r="C1415" t="s">
        <v>170</v>
      </c>
      <c r="D1415" t="s">
        <v>171</v>
      </c>
      <c r="E1415" t="s">
        <v>91</v>
      </c>
      <c r="F1415" t="s">
        <v>118</v>
      </c>
      <c r="G1415">
        <v>0</v>
      </c>
    </row>
    <row r="1416" spans="1:7" x14ac:dyDescent="0.3">
      <c r="A1416">
        <v>2019</v>
      </c>
      <c r="B1416" t="s">
        <v>46</v>
      </c>
      <c r="C1416" t="s">
        <v>170</v>
      </c>
      <c r="D1416" t="s">
        <v>171</v>
      </c>
      <c r="E1416" t="s">
        <v>109</v>
      </c>
      <c r="F1416" t="s">
        <v>118</v>
      </c>
      <c r="G1416">
        <v>0</v>
      </c>
    </row>
    <row r="1417" spans="1:7" x14ac:dyDescent="0.3">
      <c r="A1417">
        <v>2019</v>
      </c>
      <c r="B1417" t="s">
        <v>46</v>
      </c>
      <c r="C1417" t="s">
        <v>170</v>
      </c>
      <c r="D1417" t="s">
        <v>171</v>
      </c>
      <c r="E1417" t="s">
        <v>110</v>
      </c>
      <c r="F1417" t="s">
        <v>118</v>
      </c>
      <c r="G1417">
        <v>0</v>
      </c>
    </row>
    <row r="1418" spans="1:7" x14ac:dyDescent="0.3">
      <c r="A1418">
        <v>2019</v>
      </c>
      <c r="B1418" t="s">
        <v>47</v>
      </c>
      <c r="C1418" t="s">
        <v>170</v>
      </c>
      <c r="D1418" t="s">
        <v>171</v>
      </c>
      <c r="E1418" t="s">
        <v>108</v>
      </c>
      <c r="F1418" t="s">
        <v>118</v>
      </c>
      <c r="G1418">
        <v>0</v>
      </c>
    </row>
    <row r="1419" spans="1:7" x14ac:dyDescent="0.3">
      <c r="A1419">
        <v>2019</v>
      </c>
      <c r="B1419" t="s">
        <v>47</v>
      </c>
      <c r="C1419" t="s">
        <v>170</v>
      </c>
      <c r="D1419" t="s">
        <v>171</v>
      </c>
      <c r="E1419" t="s">
        <v>91</v>
      </c>
      <c r="F1419" t="s">
        <v>118</v>
      </c>
      <c r="G1419">
        <v>0</v>
      </c>
    </row>
    <row r="1420" spans="1:7" x14ac:dyDescent="0.3">
      <c r="A1420">
        <v>2019</v>
      </c>
      <c r="B1420" t="s">
        <v>47</v>
      </c>
      <c r="C1420" t="s">
        <v>170</v>
      </c>
      <c r="D1420" t="s">
        <v>171</v>
      </c>
      <c r="E1420" t="s">
        <v>109</v>
      </c>
      <c r="F1420" t="s">
        <v>118</v>
      </c>
      <c r="G1420">
        <v>5</v>
      </c>
    </row>
    <row r="1421" spans="1:7" x14ac:dyDescent="0.3">
      <c r="A1421">
        <v>2019</v>
      </c>
      <c r="B1421" t="s">
        <v>47</v>
      </c>
      <c r="C1421" t="s">
        <v>170</v>
      </c>
      <c r="D1421" t="s">
        <v>171</v>
      </c>
      <c r="E1421" t="s">
        <v>110</v>
      </c>
      <c r="F1421" t="s">
        <v>118</v>
      </c>
      <c r="G1421">
        <v>0</v>
      </c>
    </row>
    <row r="1422" spans="1:7" x14ac:dyDescent="0.3">
      <c r="A1422">
        <v>2019</v>
      </c>
      <c r="B1422" t="s">
        <v>48</v>
      </c>
      <c r="C1422" t="s">
        <v>170</v>
      </c>
      <c r="D1422" t="s">
        <v>171</v>
      </c>
      <c r="E1422" t="s">
        <v>108</v>
      </c>
      <c r="F1422" t="s">
        <v>118</v>
      </c>
      <c r="G1422">
        <v>19</v>
      </c>
    </row>
    <row r="1423" spans="1:7" x14ac:dyDescent="0.3">
      <c r="A1423">
        <v>2019</v>
      </c>
      <c r="B1423" t="s">
        <v>48</v>
      </c>
      <c r="C1423" t="s">
        <v>170</v>
      </c>
      <c r="D1423" t="s">
        <v>171</v>
      </c>
      <c r="E1423" t="s">
        <v>91</v>
      </c>
      <c r="F1423" t="s">
        <v>118</v>
      </c>
      <c r="G1423">
        <v>6</v>
      </c>
    </row>
    <row r="1424" spans="1:7" x14ac:dyDescent="0.3">
      <c r="A1424">
        <v>2019</v>
      </c>
      <c r="B1424" t="s">
        <v>48</v>
      </c>
      <c r="C1424" t="s">
        <v>170</v>
      </c>
      <c r="D1424" t="s">
        <v>171</v>
      </c>
      <c r="E1424" t="s">
        <v>109</v>
      </c>
      <c r="F1424" t="s">
        <v>118</v>
      </c>
      <c r="G1424">
        <v>1</v>
      </c>
    </row>
    <row r="1425" spans="1:7" x14ac:dyDescent="0.3">
      <c r="A1425">
        <v>2019</v>
      </c>
      <c r="B1425" t="s">
        <v>48</v>
      </c>
      <c r="C1425" t="s">
        <v>170</v>
      </c>
      <c r="D1425" t="s">
        <v>171</v>
      </c>
      <c r="E1425" t="s">
        <v>110</v>
      </c>
      <c r="F1425" t="s">
        <v>118</v>
      </c>
      <c r="G1425">
        <v>0</v>
      </c>
    </row>
    <row r="1426" spans="1:7" x14ac:dyDescent="0.3">
      <c r="A1426">
        <v>2019</v>
      </c>
      <c r="B1426" t="s">
        <v>49</v>
      </c>
      <c r="C1426" t="s">
        <v>170</v>
      </c>
      <c r="D1426" t="s">
        <v>171</v>
      </c>
      <c r="E1426" t="s">
        <v>108</v>
      </c>
      <c r="F1426" t="s">
        <v>118</v>
      </c>
      <c r="G1426">
        <v>6</v>
      </c>
    </row>
    <row r="1427" spans="1:7" x14ac:dyDescent="0.3">
      <c r="A1427">
        <v>2019</v>
      </c>
      <c r="B1427" t="s">
        <v>49</v>
      </c>
      <c r="C1427" t="s">
        <v>170</v>
      </c>
      <c r="D1427" t="s">
        <v>171</v>
      </c>
      <c r="E1427" t="s">
        <v>91</v>
      </c>
      <c r="F1427" t="s">
        <v>118</v>
      </c>
      <c r="G1427">
        <v>0</v>
      </c>
    </row>
    <row r="1428" spans="1:7" x14ac:dyDescent="0.3">
      <c r="A1428">
        <v>2019</v>
      </c>
      <c r="B1428" t="s">
        <v>49</v>
      </c>
      <c r="C1428" t="s">
        <v>170</v>
      </c>
      <c r="D1428" t="s">
        <v>171</v>
      </c>
      <c r="E1428" t="s">
        <v>109</v>
      </c>
      <c r="F1428" t="s">
        <v>118</v>
      </c>
      <c r="G1428">
        <v>1</v>
      </c>
    </row>
    <row r="1429" spans="1:7" x14ac:dyDescent="0.3">
      <c r="A1429">
        <v>2019</v>
      </c>
      <c r="B1429" t="s">
        <v>49</v>
      </c>
      <c r="C1429" t="s">
        <v>170</v>
      </c>
      <c r="D1429" t="s">
        <v>171</v>
      </c>
      <c r="E1429" t="s">
        <v>110</v>
      </c>
      <c r="F1429" t="s">
        <v>118</v>
      </c>
      <c r="G1429">
        <v>1</v>
      </c>
    </row>
    <row r="1430" spans="1:7" x14ac:dyDescent="0.3">
      <c r="A1430">
        <v>2019</v>
      </c>
      <c r="B1430" t="s">
        <v>59</v>
      </c>
      <c r="C1430" t="s">
        <v>170</v>
      </c>
      <c r="D1430" t="s">
        <v>171</v>
      </c>
      <c r="E1430" t="s">
        <v>108</v>
      </c>
      <c r="F1430" t="s">
        <v>118</v>
      </c>
      <c r="G1430">
        <v>0</v>
      </c>
    </row>
    <row r="1431" spans="1:7" x14ac:dyDescent="0.3">
      <c r="A1431">
        <v>2019</v>
      </c>
      <c r="B1431" t="s">
        <v>59</v>
      </c>
      <c r="C1431" t="s">
        <v>170</v>
      </c>
      <c r="D1431" t="s">
        <v>171</v>
      </c>
      <c r="E1431" t="s">
        <v>91</v>
      </c>
      <c r="F1431" t="s">
        <v>118</v>
      </c>
      <c r="G1431">
        <v>0</v>
      </c>
    </row>
    <row r="1432" spans="1:7" x14ac:dyDescent="0.3">
      <c r="A1432">
        <v>2019</v>
      </c>
      <c r="B1432" t="s">
        <v>59</v>
      </c>
      <c r="C1432" t="s">
        <v>170</v>
      </c>
      <c r="D1432" t="s">
        <v>171</v>
      </c>
      <c r="E1432" t="s">
        <v>109</v>
      </c>
      <c r="F1432" t="s">
        <v>118</v>
      </c>
      <c r="G1432">
        <v>0</v>
      </c>
    </row>
    <row r="1433" spans="1:7" x14ac:dyDescent="0.3">
      <c r="A1433">
        <v>2019</v>
      </c>
      <c r="B1433" t="s">
        <v>59</v>
      </c>
      <c r="C1433" t="s">
        <v>170</v>
      </c>
      <c r="D1433" t="s">
        <v>171</v>
      </c>
      <c r="E1433" t="s">
        <v>110</v>
      </c>
      <c r="F1433" t="s">
        <v>118</v>
      </c>
      <c r="G1433">
        <v>0</v>
      </c>
    </row>
    <row r="1434" spans="1:7" x14ac:dyDescent="0.3">
      <c r="A1434">
        <v>2019</v>
      </c>
      <c r="B1434" t="s">
        <v>50</v>
      </c>
      <c r="C1434" t="s">
        <v>170</v>
      </c>
      <c r="D1434" t="s">
        <v>171</v>
      </c>
      <c r="E1434" t="s">
        <v>108</v>
      </c>
      <c r="F1434" t="s">
        <v>118</v>
      </c>
      <c r="G1434">
        <v>0</v>
      </c>
    </row>
    <row r="1435" spans="1:7" x14ac:dyDescent="0.3">
      <c r="A1435">
        <v>2019</v>
      </c>
      <c r="B1435" t="s">
        <v>50</v>
      </c>
      <c r="C1435" t="s">
        <v>170</v>
      </c>
      <c r="D1435" t="s">
        <v>171</v>
      </c>
      <c r="E1435" t="s">
        <v>91</v>
      </c>
      <c r="F1435" t="s">
        <v>118</v>
      </c>
      <c r="G1435">
        <v>0</v>
      </c>
    </row>
    <row r="1436" spans="1:7" x14ac:dyDescent="0.3">
      <c r="A1436">
        <v>2019</v>
      </c>
      <c r="B1436" t="s">
        <v>50</v>
      </c>
      <c r="C1436" t="s">
        <v>170</v>
      </c>
      <c r="D1436" t="s">
        <v>171</v>
      </c>
      <c r="E1436" t="s">
        <v>109</v>
      </c>
      <c r="F1436" t="s">
        <v>118</v>
      </c>
      <c r="G1436">
        <v>0</v>
      </c>
    </row>
    <row r="1437" spans="1:7" x14ac:dyDescent="0.3">
      <c r="A1437">
        <v>2019</v>
      </c>
      <c r="B1437" t="s">
        <v>50</v>
      </c>
      <c r="C1437" t="s">
        <v>170</v>
      </c>
      <c r="D1437" t="s">
        <v>171</v>
      </c>
      <c r="E1437" t="s">
        <v>110</v>
      </c>
      <c r="F1437" t="s">
        <v>118</v>
      </c>
      <c r="G1437">
        <v>0</v>
      </c>
    </row>
    <row r="1438" spans="1:7" x14ac:dyDescent="0.3">
      <c r="A1438">
        <v>2019</v>
      </c>
      <c r="B1438" t="s">
        <v>51</v>
      </c>
      <c r="C1438" t="s">
        <v>170</v>
      </c>
      <c r="D1438" t="s">
        <v>171</v>
      </c>
      <c r="E1438" t="s">
        <v>108</v>
      </c>
      <c r="F1438" t="s">
        <v>118</v>
      </c>
      <c r="G1438">
        <v>31</v>
      </c>
    </row>
    <row r="1439" spans="1:7" x14ac:dyDescent="0.3">
      <c r="A1439">
        <v>2019</v>
      </c>
      <c r="B1439" t="s">
        <v>51</v>
      </c>
      <c r="C1439" t="s">
        <v>170</v>
      </c>
      <c r="D1439" t="s">
        <v>171</v>
      </c>
      <c r="E1439" t="s">
        <v>91</v>
      </c>
      <c r="F1439" t="s">
        <v>118</v>
      </c>
      <c r="G1439">
        <v>5</v>
      </c>
    </row>
    <row r="1440" spans="1:7" x14ac:dyDescent="0.3">
      <c r="A1440">
        <v>2019</v>
      </c>
      <c r="B1440" t="s">
        <v>51</v>
      </c>
      <c r="C1440" t="s">
        <v>170</v>
      </c>
      <c r="D1440" t="s">
        <v>171</v>
      </c>
      <c r="E1440" t="s">
        <v>109</v>
      </c>
      <c r="F1440" t="s">
        <v>118</v>
      </c>
      <c r="G1440">
        <v>2</v>
      </c>
    </row>
    <row r="1441" spans="1:7" x14ac:dyDescent="0.3">
      <c r="A1441">
        <v>2019</v>
      </c>
      <c r="B1441" t="s">
        <v>51</v>
      </c>
      <c r="C1441" t="s">
        <v>170</v>
      </c>
      <c r="D1441" t="s">
        <v>171</v>
      </c>
      <c r="E1441" t="s">
        <v>110</v>
      </c>
      <c r="F1441" t="s">
        <v>118</v>
      </c>
      <c r="G1441">
        <v>0</v>
      </c>
    </row>
    <row r="1442" spans="1:7" x14ac:dyDescent="0.3">
      <c r="A1442">
        <v>2019</v>
      </c>
      <c r="B1442" t="s">
        <v>52</v>
      </c>
      <c r="C1442" t="s">
        <v>170</v>
      </c>
      <c r="D1442" t="s">
        <v>171</v>
      </c>
      <c r="E1442" t="s">
        <v>108</v>
      </c>
      <c r="F1442" t="s">
        <v>118</v>
      </c>
      <c r="G1442">
        <v>0</v>
      </c>
    </row>
    <row r="1443" spans="1:7" x14ac:dyDescent="0.3">
      <c r="A1443">
        <v>2019</v>
      </c>
      <c r="B1443" t="s">
        <v>52</v>
      </c>
      <c r="C1443" t="s">
        <v>170</v>
      </c>
      <c r="D1443" t="s">
        <v>171</v>
      </c>
      <c r="E1443" t="s">
        <v>91</v>
      </c>
      <c r="F1443" t="s">
        <v>118</v>
      </c>
      <c r="G1443">
        <v>0</v>
      </c>
    </row>
    <row r="1444" spans="1:7" x14ac:dyDescent="0.3">
      <c r="A1444">
        <v>2019</v>
      </c>
      <c r="B1444" t="s">
        <v>52</v>
      </c>
      <c r="C1444" t="s">
        <v>170</v>
      </c>
      <c r="D1444" t="s">
        <v>171</v>
      </c>
      <c r="E1444" t="s">
        <v>109</v>
      </c>
      <c r="F1444" t="s">
        <v>118</v>
      </c>
      <c r="G1444">
        <v>0</v>
      </c>
    </row>
    <row r="1445" spans="1:7" x14ac:dyDescent="0.3">
      <c r="A1445">
        <v>2019</v>
      </c>
      <c r="B1445" t="s">
        <v>52</v>
      </c>
      <c r="C1445" t="s">
        <v>170</v>
      </c>
      <c r="D1445" t="s">
        <v>171</v>
      </c>
      <c r="E1445" t="s">
        <v>110</v>
      </c>
      <c r="F1445" t="s">
        <v>118</v>
      </c>
      <c r="G1445">
        <v>0</v>
      </c>
    </row>
    <row r="1446" spans="1:7" x14ac:dyDescent="0.3">
      <c r="A1446">
        <v>2019</v>
      </c>
      <c r="B1446" t="s">
        <v>60</v>
      </c>
      <c r="C1446" t="s">
        <v>170</v>
      </c>
      <c r="D1446" t="s">
        <v>171</v>
      </c>
      <c r="E1446" t="s">
        <v>108</v>
      </c>
      <c r="F1446" t="s">
        <v>118</v>
      </c>
      <c r="G1446">
        <v>0</v>
      </c>
    </row>
    <row r="1447" spans="1:7" x14ac:dyDescent="0.3">
      <c r="A1447">
        <v>2019</v>
      </c>
      <c r="B1447" t="s">
        <v>60</v>
      </c>
      <c r="C1447" t="s">
        <v>170</v>
      </c>
      <c r="D1447" t="s">
        <v>171</v>
      </c>
      <c r="E1447" t="s">
        <v>91</v>
      </c>
      <c r="F1447" t="s">
        <v>118</v>
      </c>
      <c r="G1447">
        <v>0</v>
      </c>
    </row>
    <row r="1448" spans="1:7" x14ac:dyDescent="0.3">
      <c r="A1448">
        <v>2019</v>
      </c>
      <c r="B1448" t="s">
        <v>60</v>
      </c>
      <c r="C1448" t="s">
        <v>170</v>
      </c>
      <c r="D1448" t="s">
        <v>171</v>
      </c>
      <c r="E1448" t="s">
        <v>109</v>
      </c>
      <c r="F1448" t="s">
        <v>118</v>
      </c>
      <c r="G1448">
        <v>0</v>
      </c>
    </row>
    <row r="1449" spans="1:7" x14ac:dyDescent="0.3">
      <c r="A1449">
        <v>2019</v>
      </c>
      <c r="B1449" t="s">
        <v>60</v>
      </c>
      <c r="C1449" t="s">
        <v>170</v>
      </c>
      <c r="D1449" t="s">
        <v>171</v>
      </c>
      <c r="E1449" t="s">
        <v>110</v>
      </c>
      <c r="F1449" t="s">
        <v>118</v>
      </c>
      <c r="G1449">
        <v>0</v>
      </c>
    </row>
    <row r="1450" spans="1:7" x14ac:dyDescent="0.3">
      <c r="A1450">
        <v>2019</v>
      </c>
      <c r="B1450" t="s">
        <v>53</v>
      </c>
      <c r="C1450" t="s">
        <v>170</v>
      </c>
      <c r="D1450" t="s">
        <v>171</v>
      </c>
      <c r="E1450" t="s">
        <v>108</v>
      </c>
      <c r="F1450" t="s">
        <v>118</v>
      </c>
      <c r="G1450">
        <v>4</v>
      </c>
    </row>
    <row r="1451" spans="1:7" x14ac:dyDescent="0.3">
      <c r="A1451">
        <v>2019</v>
      </c>
      <c r="B1451" t="s">
        <v>53</v>
      </c>
      <c r="C1451" t="s">
        <v>170</v>
      </c>
      <c r="D1451" t="s">
        <v>171</v>
      </c>
      <c r="E1451" t="s">
        <v>91</v>
      </c>
      <c r="F1451" t="s">
        <v>118</v>
      </c>
      <c r="G1451">
        <v>4</v>
      </c>
    </row>
    <row r="1452" spans="1:7" x14ac:dyDescent="0.3">
      <c r="A1452">
        <v>2019</v>
      </c>
      <c r="B1452" t="s">
        <v>53</v>
      </c>
      <c r="C1452" t="s">
        <v>170</v>
      </c>
      <c r="D1452" t="s">
        <v>171</v>
      </c>
      <c r="E1452" t="s">
        <v>109</v>
      </c>
      <c r="F1452" t="s">
        <v>118</v>
      </c>
      <c r="G1452">
        <v>2</v>
      </c>
    </row>
    <row r="1453" spans="1:7" x14ac:dyDescent="0.3">
      <c r="A1453">
        <v>2019</v>
      </c>
      <c r="B1453" t="s">
        <v>53</v>
      </c>
      <c r="C1453" t="s">
        <v>170</v>
      </c>
      <c r="D1453" t="s">
        <v>171</v>
      </c>
      <c r="E1453" t="s">
        <v>110</v>
      </c>
      <c r="F1453" t="s">
        <v>118</v>
      </c>
      <c r="G1453">
        <v>0</v>
      </c>
    </row>
    <row r="1454" spans="1:7" x14ac:dyDescent="0.3">
      <c r="A1454">
        <v>2019</v>
      </c>
      <c r="B1454" t="s">
        <v>61</v>
      </c>
      <c r="C1454" t="s">
        <v>170</v>
      </c>
      <c r="D1454" t="s">
        <v>171</v>
      </c>
      <c r="E1454" t="s">
        <v>108</v>
      </c>
      <c r="F1454" t="s">
        <v>118</v>
      </c>
      <c r="G1454">
        <v>0</v>
      </c>
    </row>
    <row r="1455" spans="1:7" x14ac:dyDescent="0.3">
      <c r="A1455">
        <v>2019</v>
      </c>
      <c r="B1455" t="s">
        <v>61</v>
      </c>
      <c r="C1455" t="s">
        <v>170</v>
      </c>
      <c r="D1455" t="s">
        <v>171</v>
      </c>
      <c r="E1455" t="s">
        <v>91</v>
      </c>
      <c r="F1455" t="s">
        <v>118</v>
      </c>
      <c r="G1455">
        <v>3</v>
      </c>
    </row>
    <row r="1456" spans="1:7" x14ac:dyDescent="0.3">
      <c r="A1456">
        <v>2019</v>
      </c>
      <c r="B1456" t="s">
        <v>61</v>
      </c>
      <c r="C1456" t="s">
        <v>170</v>
      </c>
      <c r="D1456" t="s">
        <v>171</v>
      </c>
      <c r="E1456" t="s">
        <v>109</v>
      </c>
      <c r="F1456" t="s">
        <v>118</v>
      </c>
      <c r="G1456">
        <v>2</v>
      </c>
    </row>
    <row r="1457" spans="1:7" x14ac:dyDescent="0.3">
      <c r="A1457">
        <v>2019</v>
      </c>
      <c r="B1457" t="s">
        <v>61</v>
      </c>
      <c r="C1457" t="s">
        <v>170</v>
      </c>
      <c r="D1457" t="s">
        <v>171</v>
      </c>
      <c r="E1457" t="s">
        <v>110</v>
      </c>
      <c r="F1457" t="s">
        <v>118</v>
      </c>
      <c r="G1457">
        <v>0</v>
      </c>
    </row>
    <row r="1458" spans="1:7" x14ac:dyDescent="0.3">
      <c r="A1458">
        <v>2019</v>
      </c>
      <c r="B1458" t="s">
        <v>54</v>
      </c>
      <c r="C1458" t="s">
        <v>170</v>
      </c>
      <c r="D1458" t="s">
        <v>171</v>
      </c>
      <c r="E1458" t="s">
        <v>108</v>
      </c>
      <c r="F1458" t="s">
        <v>118</v>
      </c>
      <c r="G1458">
        <v>14</v>
      </c>
    </row>
    <row r="1459" spans="1:7" x14ac:dyDescent="0.3">
      <c r="A1459">
        <v>2019</v>
      </c>
      <c r="B1459" t="s">
        <v>54</v>
      </c>
      <c r="C1459" t="s">
        <v>170</v>
      </c>
      <c r="D1459" t="s">
        <v>171</v>
      </c>
      <c r="E1459" t="s">
        <v>91</v>
      </c>
      <c r="F1459" t="s">
        <v>118</v>
      </c>
      <c r="G1459">
        <v>4</v>
      </c>
    </row>
    <row r="1460" spans="1:7" x14ac:dyDescent="0.3">
      <c r="A1460">
        <v>2019</v>
      </c>
      <c r="B1460" t="s">
        <v>54</v>
      </c>
      <c r="C1460" t="s">
        <v>170</v>
      </c>
      <c r="D1460" t="s">
        <v>171</v>
      </c>
      <c r="E1460" t="s">
        <v>109</v>
      </c>
      <c r="F1460" t="s">
        <v>118</v>
      </c>
      <c r="G1460">
        <v>10</v>
      </c>
    </row>
    <row r="1461" spans="1:7" x14ac:dyDescent="0.3">
      <c r="A1461">
        <v>2019</v>
      </c>
      <c r="B1461" t="s">
        <v>54</v>
      </c>
      <c r="C1461" t="s">
        <v>170</v>
      </c>
      <c r="D1461" t="s">
        <v>171</v>
      </c>
      <c r="E1461" t="s">
        <v>110</v>
      </c>
      <c r="F1461" t="s">
        <v>118</v>
      </c>
      <c r="G1461">
        <v>0</v>
      </c>
    </row>
    <row r="1462" spans="1:7" x14ac:dyDescent="0.3">
      <c r="A1462">
        <v>2019</v>
      </c>
      <c r="B1462" t="s">
        <v>62</v>
      </c>
      <c r="C1462" t="s">
        <v>170</v>
      </c>
      <c r="D1462" t="s">
        <v>171</v>
      </c>
      <c r="E1462" t="s">
        <v>108</v>
      </c>
      <c r="F1462" t="s">
        <v>118</v>
      </c>
      <c r="G1462">
        <v>0</v>
      </c>
    </row>
    <row r="1463" spans="1:7" x14ac:dyDescent="0.3">
      <c r="A1463">
        <v>2019</v>
      </c>
      <c r="B1463" t="s">
        <v>62</v>
      </c>
      <c r="C1463" t="s">
        <v>170</v>
      </c>
      <c r="D1463" t="s">
        <v>171</v>
      </c>
      <c r="E1463" t="s">
        <v>91</v>
      </c>
      <c r="F1463" t="s">
        <v>118</v>
      </c>
      <c r="G1463">
        <v>0</v>
      </c>
    </row>
    <row r="1464" spans="1:7" x14ac:dyDescent="0.3">
      <c r="A1464">
        <v>2019</v>
      </c>
      <c r="B1464" t="s">
        <v>62</v>
      </c>
      <c r="C1464" t="s">
        <v>170</v>
      </c>
      <c r="D1464" t="s">
        <v>171</v>
      </c>
      <c r="E1464" t="s">
        <v>109</v>
      </c>
      <c r="F1464" t="s">
        <v>118</v>
      </c>
      <c r="G1464">
        <v>4</v>
      </c>
    </row>
    <row r="1465" spans="1:7" x14ac:dyDescent="0.3">
      <c r="A1465">
        <v>2019</v>
      </c>
      <c r="B1465" t="s">
        <v>62</v>
      </c>
      <c r="C1465" t="s">
        <v>170</v>
      </c>
      <c r="D1465" t="s">
        <v>171</v>
      </c>
      <c r="E1465" t="s">
        <v>110</v>
      </c>
      <c r="F1465" t="s">
        <v>118</v>
      </c>
      <c r="G1465">
        <v>0</v>
      </c>
    </row>
    <row r="1466" spans="1:7" x14ac:dyDescent="0.3">
      <c r="A1466">
        <v>2019</v>
      </c>
      <c r="B1466" t="s">
        <v>28</v>
      </c>
      <c r="C1466" t="s">
        <v>170</v>
      </c>
      <c r="D1466" t="s">
        <v>171</v>
      </c>
      <c r="E1466" t="s">
        <v>108</v>
      </c>
      <c r="F1466" t="s">
        <v>118</v>
      </c>
      <c r="G1466">
        <v>7</v>
      </c>
    </row>
    <row r="1467" spans="1:7" x14ac:dyDescent="0.3">
      <c r="A1467">
        <v>2019</v>
      </c>
      <c r="B1467" t="s">
        <v>28</v>
      </c>
      <c r="C1467" t="s">
        <v>170</v>
      </c>
      <c r="D1467" t="s">
        <v>171</v>
      </c>
      <c r="E1467" t="s">
        <v>91</v>
      </c>
      <c r="F1467" t="s">
        <v>118</v>
      </c>
      <c r="G1467">
        <v>22</v>
      </c>
    </row>
    <row r="1468" spans="1:7" x14ac:dyDescent="0.3">
      <c r="A1468">
        <v>2019</v>
      </c>
      <c r="B1468" t="s">
        <v>28</v>
      </c>
      <c r="C1468" t="s">
        <v>170</v>
      </c>
      <c r="D1468" t="s">
        <v>171</v>
      </c>
      <c r="E1468" t="s">
        <v>109</v>
      </c>
      <c r="F1468" t="s">
        <v>118</v>
      </c>
      <c r="G1468">
        <v>5</v>
      </c>
    </row>
    <row r="1469" spans="1:7" x14ac:dyDescent="0.3">
      <c r="A1469">
        <v>2019</v>
      </c>
      <c r="B1469" t="s">
        <v>28</v>
      </c>
      <c r="C1469" t="s">
        <v>170</v>
      </c>
      <c r="D1469" t="s">
        <v>171</v>
      </c>
      <c r="E1469" t="s">
        <v>110</v>
      </c>
      <c r="F1469" t="s">
        <v>118</v>
      </c>
      <c r="G1469">
        <v>0</v>
      </c>
    </row>
    <row r="1470" spans="1:7" x14ac:dyDescent="0.3">
      <c r="A1470">
        <v>2019</v>
      </c>
      <c r="B1470" t="s">
        <v>43</v>
      </c>
      <c r="C1470" t="s">
        <v>170</v>
      </c>
      <c r="D1470" t="s">
        <v>171</v>
      </c>
      <c r="E1470" t="s">
        <v>108</v>
      </c>
      <c r="F1470" t="s">
        <v>118</v>
      </c>
      <c r="G1470">
        <v>0</v>
      </c>
    </row>
    <row r="1471" spans="1:7" x14ac:dyDescent="0.3">
      <c r="A1471">
        <v>2019</v>
      </c>
      <c r="B1471" t="s">
        <v>43</v>
      </c>
      <c r="C1471" t="s">
        <v>170</v>
      </c>
      <c r="D1471" t="s">
        <v>171</v>
      </c>
      <c r="E1471" t="s">
        <v>91</v>
      </c>
      <c r="F1471" t="s">
        <v>118</v>
      </c>
      <c r="G1471">
        <v>0</v>
      </c>
    </row>
    <row r="1472" spans="1:7" x14ac:dyDescent="0.3">
      <c r="A1472">
        <v>2019</v>
      </c>
      <c r="B1472" t="s">
        <v>43</v>
      </c>
      <c r="C1472" t="s">
        <v>170</v>
      </c>
      <c r="D1472" t="s">
        <v>171</v>
      </c>
      <c r="E1472" t="s">
        <v>109</v>
      </c>
      <c r="F1472" t="s">
        <v>118</v>
      </c>
      <c r="G1472">
        <v>0</v>
      </c>
    </row>
    <row r="1473" spans="1:7" x14ac:dyDescent="0.3">
      <c r="A1473">
        <v>2019</v>
      </c>
      <c r="B1473" t="s">
        <v>43</v>
      </c>
      <c r="C1473" t="s">
        <v>170</v>
      </c>
      <c r="D1473" t="s">
        <v>171</v>
      </c>
      <c r="E1473" t="s">
        <v>110</v>
      </c>
      <c r="F1473" t="s">
        <v>118</v>
      </c>
      <c r="G1473">
        <v>0</v>
      </c>
    </row>
    <row r="1474" spans="1:7" x14ac:dyDescent="0.3">
      <c r="A1474">
        <v>2020</v>
      </c>
      <c r="B1474" t="s">
        <v>17</v>
      </c>
      <c r="C1474" t="s">
        <v>170</v>
      </c>
      <c r="D1474" t="s">
        <v>171</v>
      </c>
      <c r="E1474" t="s">
        <v>108</v>
      </c>
      <c r="F1474" t="s">
        <v>7</v>
      </c>
      <c r="G1474">
        <v>16</v>
      </c>
    </row>
    <row r="1475" spans="1:7" x14ac:dyDescent="0.3">
      <c r="A1475">
        <v>2020</v>
      </c>
      <c r="B1475" t="s">
        <v>17</v>
      </c>
      <c r="C1475" t="s">
        <v>170</v>
      </c>
      <c r="D1475" t="s">
        <v>171</v>
      </c>
      <c r="E1475" t="s">
        <v>91</v>
      </c>
      <c r="F1475" t="s">
        <v>7</v>
      </c>
      <c r="G1475">
        <v>18</v>
      </c>
    </row>
    <row r="1476" spans="1:7" x14ac:dyDescent="0.3">
      <c r="A1476">
        <v>2020</v>
      </c>
      <c r="B1476" t="s">
        <v>17</v>
      </c>
      <c r="C1476" t="s">
        <v>170</v>
      </c>
      <c r="D1476" t="s">
        <v>171</v>
      </c>
      <c r="E1476" t="s">
        <v>109</v>
      </c>
      <c r="F1476" t="s">
        <v>7</v>
      </c>
      <c r="G1476">
        <v>21</v>
      </c>
    </row>
    <row r="1477" spans="1:7" x14ac:dyDescent="0.3">
      <c r="A1477">
        <v>2020</v>
      </c>
      <c r="B1477" t="s">
        <v>17</v>
      </c>
      <c r="C1477" t="s">
        <v>170</v>
      </c>
      <c r="D1477" t="s">
        <v>171</v>
      </c>
      <c r="E1477" t="s">
        <v>110</v>
      </c>
      <c r="F1477" t="s">
        <v>7</v>
      </c>
      <c r="G1477">
        <v>4</v>
      </c>
    </row>
    <row r="1478" spans="1:7" x14ac:dyDescent="0.3">
      <c r="A1478">
        <v>2020</v>
      </c>
      <c r="B1478" t="s">
        <v>18</v>
      </c>
      <c r="C1478" t="s">
        <v>170</v>
      </c>
      <c r="D1478" t="s">
        <v>171</v>
      </c>
      <c r="E1478" t="s">
        <v>108</v>
      </c>
      <c r="F1478" t="s">
        <v>7</v>
      </c>
      <c r="G1478">
        <v>23</v>
      </c>
    </row>
    <row r="1479" spans="1:7" x14ac:dyDescent="0.3">
      <c r="A1479">
        <v>2020</v>
      </c>
      <c r="B1479" t="s">
        <v>18</v>
      </c>
      <c r="C1479" t="s">
        <v>170</v>
      </c>
      <c r="D1479" t="s">
        <v>171</v>
      </c>
      <c r="E1479" t="s">
        <v>91</v>
      </c>
      <c r="F1479" t="s">
        <v>7</v>
      </c>
      <c r="G1479">
        <v>19</v>
      </c>
    </row>
    <row r="1480" spans="1:7" x14ac:dyDescent="0.3">
      <c r="A1480">
        <v>2020</v>
      </c>
      <c r="B1480" t="s">
        <v>18</v>
      </c>
      <c r="C1480" t="s">
        <v>170</v>
      </c>
      <c r="D1480" t="s">
        <v>171</v>
      </c>
      <c r="E1480" t="s">
        <v>109</v>
      </c>
      <c r="F1480" t="s">
        <v>7</v>
      </c>
      <c r="G1480">
        <v>16</v>
      </c>
    </row>
    <row r="1481" spans="1:7" x14ac:dyDescent="0.3">
      <c r="A1481">
        <v>2020</v>
      </c>
      <c r="B1481" t="s">
        <v>18</v>
      </c>
      <c r="C1481" t="s">
        <v>170</v>
      </c>
      <c r="D1481" t="s">
        <v>171</v>
      </c>
      <c r="E1481" t="s">
        <v>110</v>
      </c>
      <c r="F1481" t="s">
        <v>7</v>
      </c>
      <c r="G1481">
        <v>2</v>
      </c>
    </row>
    <row r="1482" spans="1:7" x14ac:dyDescent="0.3">
      <c r="A1482">
        <v>2020</v>
      </c>
      <c r="B1482" t="s">
        <v>19</v>
      </c>
      <c r="C1482" t="s">
        <v>170</v>
      </c>
      <c r="D1482" t="s">
        <v>171</v>
      </c>
      <c r="E1482" t="s">
        <v>108</v>
      </c>
      <c r="F1482" t="s">
        <v>7</v>
      </c>
      <c r="G1482">
        <v>12</v>
      </c>
    </row>
    <row r="1483" spans="1:7" x14ac:dyDescent="0.3">
      <c r="A1483">
        <v>2020</v>
      </c>
      <c r="B1483" t="s">
        <v>19</v>
      </c>
      <c r="C1483" t="s">
        <v>170</v>
      </c>
      <c r="D1483" t="s">
        <v>171</v>
      </c>
      <c r="E1483" t="s">
        <v>91</v>
      </c>
      <c r="F1483" t="s">
        <v>7</v>
      </c>
      <c r="G1483">
        <v>21</v>
      </c>
    </row>
    <row r="1484" spans="1:7" x14ac:dyDescent="0.3">
      <c r="A1484">
        <v>2020</v>
      </c>
      <c r="B1484" t="s">
        <v>19</v>
      </c>
      <c r="C1484" t="s">
        <v>170</v>
      </c>
      <c r="D1484" t="s">
        <v>171</v>
      </c>
      <c r="E1484" t="s">
        <v>109</v>
      </c>
      <c r="F1484" t="s">
        <v>7</v>
      </c>
      <c r="G1484">
        <v>25</v>
      </c>
    </row>
    <row r="1485" spans="1:7" x14ac:dyDescent="0.3">
      <c r="A1485">
        <v>2020</v>
      </c>
      <c r="B1485" t="s">
        <v>19</v>
      </c>
      <c r="C1485" t="s">
        <v>170</v>
      </c>
      <c r="D1485" t="s">
        <v>171</v>
      </c>
      <c r="E1485" t="s">
        <v>110</v>
      </c>
      <c r="F1485" t="s">
        <v>7</v>
      </c>
      <c r="G1485">
        <v>2</v>
      </c>
    </row>
    <row r="1486" spans="1:7" x14ac:dyDescent="0.3">
      <c r="A1486">
        <v>2020</v>
      </c>
      <c r="B1486" t="s">
        <v>20</v>
      </c>
      <c r="C1486" t="s">
        <v>170</v>
      </c>
      <c r="D1486" t="s">
        <v>171</v>
      </c>
      <c r="E1486" t="s">
        <v>108</v>
      </c>
      <c r="F1486" t="s">
        <v>7</v>
      </c>
      <c r="G1486">
        <v>19</v>
      </c>
    </row>
    <row r="1487" spans="1:7" x14ac:dyDescent="0.3">
      <c r="A1487">
        <v>2020</v>
      </c>
      <c r="B1487" t="s">
        <v>20</v>
      </c>
      <c r="C1487" t="s">
        <v>170</v>
      </c>
      <c r="D1487" t="s">
        <v>171</v>
      </c>
      <c r="E1487" t="s">
        <v>91</v>
      </c>
      <c r="F1487" t="s">
        <v>7</v>
      </c>
      <c r="G1487">
        <v>17</v>
      </c>
    </row>
    <row r="1488" spans="1:7" x14ac:dyDescent="0.3">
      <c r="A1488">
        <v>2020</v>
      </c>
      <c r="B1488" t="s">
        <v>20</v>
      </c>
      <c r="C1488" t="s">
        <v>170</v>
      </c>
      <c r="D1488" t="s">
        <v>171</v>
      </c>
      <c r="E1488" t="s">
        <v>109</v>
      </c>
      <c r="F1488" t="s">
        <v>7</v>
      </c>
      <c r="G1488">
        <v>15</v>
      </c>
    </row>
    <row r="1489" spans="1:7" x14ac:dyDescent="0.3">
      <c r="A1489">
        <v>2020</v>
      </c>
      <c r="B1489" t="s">
        <v>20</v>
      </c>
      <c r="C1489" t="s">
        <v>170</v>
      </c>
      <c r="D1489" t="s">
        <v>171</v>
      </c>
      <c r="E1489" t="s">
        <v>110</v>
      </c>
      <c r="F1489" t="s">
        <v>7</v>
      </c>
    </row>
    <row r="1490" spans="1:7" x14ac:dyDescent="0.3">
      <c r="A1490">
        <v>2020</v>
      </c>
      <c r="B1490" t="s">
        <v>21</v>
      </c>
      <c r="C1490" t="s">
        <v>170</v>
      </c>
      <c r="D1490" t="s">
        <v>171</v>
      </c>
      <c r="E1490" t="s">
        <v>108</v>
      </c>
      <c r="F1490" t="s">
        <v>7</v>
      </c>
      <c r="G1490">
        <v>34</v>
      </c>
    </row>
    <row r="1491" spans="1:7" x14ac:dyDescent="0.3">
      <c r="A1491">
        <v>2020</v>
      </c>
      <c r="B1491" t="s">
        <v>21</v>
      </c>
      <c r="C1491" t="s">
        <v>170</v>
      </c>
      <c r="D1491" t="s">
        <v>171</v>
      </c>
      <c r="E1491" t="s">
        <v>91</v>
      </c>
      <c r="F1491" t="s">
        <v>7</v>
      </c>
      <c r="G1491">
        <v>7</v>
      </c>
    </row>
    <row r="1492" spans="1:7" x14ac:dyDescent="0.3">
      <c r="A1492">
        <v>2020</v>
      </c>
      <c r="B1492" t="s">
        <v>21</v>
      </c>
      <c r="C1492" t="s">
        <v>170</v>
      </c>
      <c r="D1492" t="s">
        <v>171</v>
      </c>
      <c r="E1492" t="s">
        <v>109</v>
      </c>
      <c r="F1492" t="s">
        <v>7</v>
      </c>
      <c r="G1492">
        <v>14</v>
      </c>
    </row>
    <row r="1493" spans="1:7" x14ac:dyDescent="0.3">
      <c r="A1493">
        <v>2020</v>
      </c>
      <c r="B1493" t="s">
        <v>21</v>
      </c>
      <c r="C1493" t="s">
        <v>170</v>
      </c>
      <c r="D1493" t="s">
        <v>171</v>
      </c>
      <c r="E1493" t="s">
        <v>110</v>
      </c>
      <c r="F1493" t="s">
        <v>7</v>
      </c>
      <c r="G1493">
        <v>3</v>
      </c>
    </row>
    <row r="1494" spans="1:7" x14ac:dyDescent="0.3">
      <c r="A1494">
        <v>2020</v>
      </c>
      <c r="B1494" t="s">
        <v>22</v>
      </c>
      <c r="C1494" t="s">
        <v>170</v>
      </c>
      <c r="D1494" t="s">
        <v>171</v>
      </c>
      <c r="E1494" t="s">
        <v>108</v>
      </c>
      <c r="F1494" t="s">
        <v>7</v>
      </c>
      <c r="G1494">
        <v>34</v>
      </c>
    </row>
    <row r="1495" spans="1:7" x14ac:dyDescent="0.3">
      <c r="A1495">
        <v>2020</v>
      </c>
      <c r="B1495" t="s">
        <v>22</v>
      </c>
      <c r="C1495" t="s">
        <v>170</v>
      </c>
      <c r="D1495" t="s">
        <v>171</v>
      </c>
      <c r="E1495" t="s">
        <v>91</v>
      </c>
      <c r="F1495" t="s">
        <v>7</v>
      </c>
      <c r="G1495">
        <v>23</v>
      </c>
    </row>
    <row r="1496" spans="1:7" x14ac:dyDescent="0.3">
      <c r="A1496">
        <v>2020</v>
      </c>
      <c r="B1496" t="s">
        <v>22</v>
      </c>
      <c r="C1496" t="s">
        <v>170</v>
      </c>
      <c r="D1496" t="s">
        <v>171</v>
      </c>
      <c r="E1496" t="s">
        <v>109</v>
      </c>
      <c r="F1496" t="s">
        <v>7</v>
      </c>
      <c r="G1496">
        <v>30</v>
      </c>
    </row>
    <row r="1497" spans="1:7" x14ac:dyDescent="0.3">
      <c r="A1497">
        <v>2020</v>
      </c>
      <c r="B1497" t="s">
        <v>22</v>
      </c>
      <c r="C1497" t="s">
        <v>170</v>
      </c>
      <c r="D1497" t="s">
        <v>171</v>
      </c>
      <c r="E1497" t="s">
        <v>110</v>
      </c>
      <c r="F1497" t="s">
        <v>7</v>
      </c>
      <c r="G1497">
        <v>0</v>
      </c>
    </row>
    <row r="1498" spans="1:7" x14ac:dyDescent="0.3">
      <c r="A1498">
        <v>2020</v>
      </c>
      <c r="B1498" t="s">
        <v>23</v>
      </c>
      <c r="C1498" t="s">
        <v>170</v>
      </c>
      <c r="D1498" t="s">
        <v>171</v>
      </c>
      <c r="E1498" t="s">
        <v>108</v>
      </c>
      <c r="F1498" t="s">
        <v>7</v>
      </c>
      <c r="G1498">
        <v>6</v>
      </c>
    </row>
    <row r="1499" spans="1:7" x14ac:dyDescent="0.3">
      <c r="A1499">
        <v>2020</v>
      </c>
      <c r="B1499" t="s">
        <v>23</v>
      </c>
      <c r="C1499" t="s">
        <v>170</v>
      </c>
      <c r="D1499" t="s">
        <v>171</v>
      </c>
      <c r="E1499" t="s">
        <v>91</v>
      </c>
      <c r="F1499" t="s">
        <v>7</v>
      </c>
      <c r="G1499">
        <v>31</v>
      </c>
    </row>
    <row r="1500" spans="1:7" x14ac:dyDescent="0.3">
      <c r="A1500">
        <v>2020</v>
      </c>
      <c r="B1500" t="s">
        <v>23</v>
      </c>
      <c r="C1500" t="s">
        <v>170</v>
      </c>
      <c r="D1500" t="s">
        <v>171</v>
      </c>
      <c r="E1500" t="s">
        <v>109</v>
      </c>
      <c r="F1500" t="s">
        <v>7</v>
      </c>
      <c r="G1500">
        <v>8</v>
      </c>
    </row>
    <row r="1501" spans="1:7" x14ac:dyDescent="0.3">
      <c r="A1501">
        <v>2020</v>
      </c>
      <c r="B1501" t="s">
        <v>23</v>
      </c>
      <c r="C1501" t="s">
        <v>170</v>
      </c>
      <c r="D1501" t="s">
        <v>171</v>
      </c>
      <c r="E1501" t="s">
        <v>110</v>
      </c>
      <c r="F1501" t="s">
        <v>7</v>
      </c>
      <c r="G1501">
        <v>4</v>
      </c>
    </row>
    <row r="1502" spans="1:7" x14ac:dyDescent="0.3">
      <c r="A1502">
        <v>2020</v>
      </c>
      <c r="B1502" t="s">
        <v>24</v>
      </c>
      <c r="C1502" t="s">
        <v>170</v>
      </c>
      <c r="D1502" t="s">
        <v>171</v>
      </c>
      <c r="E1502" t="s">
        <v>108</v>
      </c>
      <c r="F1502" t="s">
        <v>7</v>
      </c>
      <c r="G1502">
        <v>2</v>
      </c>
    </row>
    <row r="1503" spans="1:7" x14ac:dyDescent="0.3">
      <c r="A1503">
        <v>2020</v>
      </c>
      <c r="B1503" t="s">
        <v>24</v>
      </c>
      <c r="C1503" t="s">
        <v>170</v>
      </c>
      <c r="D1503" t="s">
        <v>171</v>
      </c>
      <c r="E1503" t="s">
        <v>91</v>
      </c>
      <c r="F1503" t="s">
        <v>7</v>
      </c>
    </row>
    <row r="1504" spans="1:7" x14ac:dyDescent="0.3">
      <c r="A1504">
        <v>2020</v>
      </c>
      <c r="B1504" t="s">
        <v>24</v>
      </c>
      <c r="C1504" t="s">
        <v>170</v>
      </c>
      <c r="D1504" t="s">
        <v>171</v>
      </c>
      <c r="E1504" t="s">
        <v>109</v>
      </c>
      <c r="F1504" t="s">
        <v>7</v>
      </c>
      <c r="G1504">
        <v>2</v>
      </c>
    </row>
    <row r="1505" spans="1:7" x14ac:dyDescent="0.3">
      <c r="A1505">
        <v>2020</v>
      </c>
      <c r="B1505" t="s">
        <v>24</v>
      </c>
      <c r="C1505" t="s">
        <v>170</v>
      </c>
      <c r="D1505" t="s">
        <v>171</v>
      </c>
      <c r="E1505" t="s">
        <v>110</v>
      </c>
      <c r="F1505" t="s">
        <v>7</v>
      </c>
    </row>
    <row r="1506" spans="1:7" x14ac:dyDescent="0.3">
      <c r="A1506">
        <v>2020</v>
      </c>
      <c r="B1506" t="s">
        <v>25</v>
      </c>
      <c r="C1506" t="s">
        <v>170</v>
      </c>
      <c r="D1506" t="s">
        <v>171</v>
      </c>
      <c r="E1506" t="s">
        <v>108</v>
      </c>
      <c r="F1506" t="s">
        <v>7</v>
      </c>
      <c r="G1506">
        <v>1</v>
      </c>
    </row>
    <row r="1507" spans="1:7" x14ac:dyDescent="0.3">
      <c r="A1507">
        <v>2020</v>
      </c>
      <c r="B1507" t="s">
        <v>25</v>
      </c>
      <c r="C1507" t="s">
        <v>170</v>
      </c>
      <c r="D1507" t="s">
        <v>171</v>
      </c>
      <c r="E1507" t="s">
        <v>91</v>
      </c>
      <c r="F1507" t="s">
        <v>7</v>
      </c>
      <c r="G1507">
        <v>3</v>
      </c>
    </row>
    <row r="1508" spans="1:7" x14ac:dyDescent="0.3">
      <c r="A1508">
        <v>2020</v>
      </c>
      <c r="B1508" t="s">
        <v>25</v>
      </c>
      <c r="C1508" t="s">
        <v>170</v>
      </c>
      <c r="D1508" t="s">
        <v>171</v>
      </c>
      <c r="E1508" t="s">
        <v>109</v>
      </c>
      <c r="F1508" t="s">
        <v>7</v>
      </c>
      <c r="G1508">
        <v>11</v>
      </c>
    </row>
    <row r="1509" spans="1:7" x14ac:dyDescent="0.3">
      <c r="A1509">
        <v>2020</v>
      </c>
      <c r="B1509" t="s">
        <v>25</v>
      </c>
      <c r="C1509" t="s">
        <v>170</v>
      </c>
      <c r="D1509" t="s">
        <v>171</v>
      </c>
      <c r="E1509" t="s">
        <v>110</v>
      </c>
      <c r="F1509" t="s">
        <v>7</v>
      </c>
    </row>
    <row r="1510" spans="1:7" x14ac:dyDescent="0.3">
      <c r="A1510">
        <v>2020</v>
      </c>
      <c r="B1510" t="s">
        <v>26</v>
      </c>
      <c r="C1510" t="s">
        <v>170</v>
      </c>
      <c r="D1510" t="s">
        <v>171</v>
      </c>
      <c r="E1510" t="s">
        <v>108</v>
      </c>
      <c r="F1510" t="s">
        <v>7</v>
      </c>
      <c r="G1510">
        <v>40</v>
      </c>
    </row>
    <row r="1511" spans="1:7" x14ac:dyDescent="0.3">
      <c r="A1511">
        <v>2020</v>
      </c>
      <c r="B1511" t="s">
        <v>26</v>
      </c>
      <c r="C1511" t="s">
        <v>170</v>
      </c>
      <c r="D1511" t="s">
        <v>171</v>
      </c>
      <c r="E1511" t="s">
        <v>91</v>
      </c>
      <c r="F1511" t="s">
        <v>7</v>
      </c>
      <c r="G1511">
        <v>16</v>
      </c>
    </row>
    <row r="1512" spans="1:7" x14ac:dyDescent="0.3">
      <c r="A1512">
        <v>2020</v>
      </c>
      <c r="B1512" t="s">
        <v>26</v>
      </c>
      <c r="C1512" t="s">
        <v>170</v>
      </c>
      <c r="D1512" t="s">
        <v>171</v>
      </c>
      <c r="E1512" t="s">
        <v>109</v>
      </c>
      <c r="F1512" t="s">
        <v>7</v>
      </c>
      <c r="G1512">
        <v>12</v>
      </c>
    </row>
    <row r="1513" spans="1:7" x14ac:dyDescent="0.3">
      <c r="A1513">
        <v>2020</v>
      </c>
      <c r="B1513" t="s">
        <v>26</v>
      </c>
      <c r="C1513" t="s">
        <v>170</v>
      </c>
      <c r="D1513" t="s">
        <v>171</v>
      </c>
      <c r="E1513" t="s">
        <v>110</v>
      </c>
      <c r="F1513" t="s">
        <v>7</v>
      </c>
      <c r="G1513">
        <v>6</v>
      </c>
    </row>
    <row r="1514" spans="1:7" x14ac:dyDescent="0.3">
      <c r="A1514">
        <v>2020</v>
      </c>
      <c r="B1514" t="s">
        <v>27</v>
      </c>
      <c r="C1514" t="s">
        <v>170</v>
      </c>
      <c r="D1514" t="s">
        <v>171</v>
      </c>
      <c r="E1514" t="s">
        <v>108</v>
      </c>
      <c r="F1514" t="s">
        <v>7</v>
      </c>
      <c r="G1514">
        <v>121</v>
      </c>
    </row>
    <row r="1515" spans="1:7" x14ac:dyDescent="0.3">
      <c r="A1515">
        <v>2020</v>
      </c>
      <c r="B1515" t="s">
        <v>27</v>
      </c>
      <c r="C1515" t="s">
        <v>170</v>
      </c>
      <c r="D1515" t="s">
        <v>171</v>
      </c>
      <c r="E1515" t="s">
        <v>91</v>
      </c>
      <c r="F1515" t="s">
        <v>7</v>
      </c>
      <c r="G1515">
        <v>9</v>
      </c>
    </row>
    <row r="1516" spans="1:7" x14ac:dyDescent="0.3">
      <c r="A1516">
        <v>2020</v>
      </c>
      <c r="B1516" t="s">
        <v>27</v>
      </c>
      <c r="C1516" t="s">
        <v>170</v>
      </c>
      <c r="D1516" t="s">
        <v>171</v>
      </c>
      <c r="E1516" t="s">
        <v>109</v>
      </c>
      <c r="F1516" t="s">
        <v>7</v>
      </c>
      <c r="G1516">
        <v>25</v>
      </c>
    </row>
    <row r="1517" spans="1:7" x14ac:dyDescent="0.3">
      <c r="A1517">
        <v>2020</v>
      </c>
      <c r="B1517" t="s">
        <v>27</v>
      </c>
      <c r="C1517" t="s">
        <v>170</v>
      </c>
      <c r="D1517" t="s">
        <v>171</v>
      </c>
      <c r="E1517" t="s">
        <v>110</v>
      </c>
      <c r="F1517" t="s">
        <v>7</v>
      </c>
      <c r="G1517">
        <v>2</v>
      </c>
    </row>
    <row r="1518" spans="1:7" x14ac:dyDescent="0.3">
      <c r="A1518">
        <v>2020</v>
      </c>
      <c r="B1518" t="s">
        <v>29</v>
      </c>
      <c r="C1518" t="s">
        <v>170</v>
      </c>
      <c r="D1518" t="s">
        <v>171</v>
      </c>
      <c r="E1518" t="s">
        <v>108</v>
      </c>
      <c r="F1518" t="s">
        <v>7</v>
      </c>
      <c r="G1518">
        <v>7</v>
      </c>
    </row>
    <row r="1519" spans="1:7" x14ac:dyDescent="0.3">
      <c r="A1519">
        <v>2020</v>
      </c>
      <c r="B1519" t="s">
        <v>29</v>
      </c>
      <c r="C1519" t="s">
        <v>170</v>
      </c>
      <c r="D1519" t="s">
        <v>171</v>
      </c>
      <c r="E1519" t="s">
        <v>91</v>
      </c>
      <c r="F1519" t="s">
        <v>7</v>
      </c>
      <c r="G1519">
        <v>9</v>
      </c>
    </row>
    <row r="1520" spans="1:7" x14ac:dyDescent="0.3">
      <c r="A1520">
        <v>2020</v>
      </c>
      <c r="B1520" t="s">
        <v>29</v>
      </c>
      <c r="C1520" t="s">
        <v>170</v>
      </c>
      <c r="D1520" t="s">
        <v>171</v>
      </c>
      <c r="E1520" t="s">
        <v>109</v>
      </c>
      <c r="F1520" t="s">
        <v>7</v>
      </c>
      <c r="G1520">
        <v>4</v>
      </c>
    </row>
    <row r="1521" spans="1:7" x14ac:dyDescent="0.3">
      <c r="A1521">
        <v>2020</v>
      </c>
      <c r="B1521" t="s">
        <v>29</v>
      </c>
      <c r="C1521" t="s">
        <v>170</v>
      </c>
      <c r="D1521" t="s">
        <v>171</v>
      </c>
      <c r="E1521" t="s">
        <v>110</v>
      </c>
      <c r="F1521" t="s">
        <v>7</v>
      </c>
    </row>
    <row r="1522" spans="1:7" x14ac:dyDescent="0.3">
      <c r="A1522">
        <v>2020</v>
      </c>
      <c r="B1522" t="s">
        <v>30</v>
      </c>
      <c r="C1522" t="s">
        <v>170</v>
      </c>
      <c r="D1522" t="s">
        <v>171</v>
      </c>
      <c r="E1522" t="s">
        <v>108</v>
      </c>
      <c r="F1522" t="s">
        <v>7</v>
      </c>
      <c r="G1522">
        <v>18</v>
      </c>
    </row>
    <row r="1523" spans="1:7" x14ac:dyDescent="0.3">
      <c r="A1523">
        <v>2020</v>
      </c>
      <c r="B1523" t="s">
        <v>30</v>
      </c>
      <c r="C1523" t="s">
        <v>170</v>
      </c>
      <c r="D1523" t="s">
        <v>171</v>
      </c>
      <c r="E1523" t="s">
        <v>91</v>
      </c>
      <c r="F1523" t="s">
        <v>7</v>
      </c>
      <c r="G1523">
        <v>10</v>
      </c>
    </row>
    <row r="1524" spans="1:7" x14ac:dyDescent="0.3">
      <c r="A1524">
        <v>2020</v>
      </c>
      <c r="B1524" t="s">
        <v>30</v>
      </c>
      <c r="C1524" t="s">
        <v>170</v>
      </c>
      <c r="D1524" t="s">
        <v>171</v>
      </c>
      <c r="E1524" t="s">
        <v>109</v>
      </c>
      <c r="F1524" t="s">
        <v>7</v>
      </c>
      <c r="G1524">
        <v>16</v>
      </c>
    </row>
    <row r="1525" spans="1:7" x14ac:dyDescent="0.3">
      <c r="A1525">
        <v>2020</v>
      </c>
      <c r="B1525" t="s">
        <v>30</v>
      </c>
      <c r="C1525" t="s">
        <v>170</v>
      </c>
      <c r="D1525" t="s">
        <v>171</v>
      </c>
      <c r="E1525" t="s">
        <v>110</v>
      </c>
      <c r="F1525" t="s">
        <v>7</v>
      </c>
      <c r="G1525">
        <v>3</v>
      </c>
    </row>
    <row r="1526" spans="1:7" x14ac:dyDescent="0.3">
      <c r="A1526">
        <v>2020</v>
      </c>
      <c r="B1526" t="s">
        <v>31</v>
      </c>
      <c r="C1526" t="s">
        <v>170</v>
      </c>
      <c r="D1526" t="s">
        <v>171</v>
      </c>
      <c r="E1526" t="s">
        <v>108</v>
      </c>
      <c r="F1526" t="s">
        <v>7</v>
      </c>
      <c r="G1526">
        <v>43</v>
      </c>
    </row>
    <row r="1527" spans="1:7" x14ac:dyDescent="0.3">
      <c r="A1527">
        <v>2020</v>
      </c>
      <c r="B1527" t="s">
        <v>31</v>
      </c>
      <c r="C1527" t="s">
        <v>170</v>
      </c>
      <c r="D1527" t="s">
        <v>171</v>
      </c>
      <c r="E1527" t="s">
        <v>91</v>
      </c>
      <c r="F1527" t="s">
        <v>7</v>
      </c>
      <c r="G1527">
        <v>23</v>
      </c>
    </row>
    <row r="1528" spans="1:7" x14ac:dyDescent="0.3">
      <c r="A1528">
        <v>2020</v>
      </c>
      <c r="B1528" t="s">
        <v>31</v>
      </c>
      <c r="C1528" t="s">
        <v>170</v>
      </c>
      <c r="D1528" t="s">
        <v>171</v>
      </c>
      <c r="E1528" t="s">
        <v>109</v>
      </c>
      <c r="F1528" t="s">
        <v>7</v>
      </c>
      <c r="G1528">
        <v>37</v>
      </c>
    </row>
    <row r="1529" spans="1:7" x14ac:dyDescent="0.3">
      <c r="A1529">
        <v>2020</v>
      </c>
      <c r="B1529" t="s">
        <v>31</v>
      </c>
      <c r="C1529" t="s">
        <v>170</v>
      </c>
      <c r="D1529" t="s">
        <v>171</v>
      </c>
      <c r="E1529" t="s">
        <v>110</v>
      </c>
      <c r="F1529" t="s">
        <v>7</v>
      </c>
      <c r="G1529">
        <v>2</v>
      </c>
    </row>
    <row r="1530" spans="1:7" x14ac:dyDescent="0.3">
      <c r="A1530">
        <v>2020</v>
      </c>
      <c r="B1530" t="s">
        <v>32</v>
      </c>
      <c r="C1530" t="s">
        <v>170</v>
      </c>
      <c r="D1530" t="s">
        <v>171</v>
      </c>
      <c r="E1530" t="s">
        <v>108</v>
      </c>
      <c r="F1530" t="s">
        <v>7</v>
      </c>
      <c r="G1530">
        <v>10</v>
      </c>
    </row>
    <row r="1531" spans="1:7" x14ac:dyDescent="0.3">
      <c r="A1531">
        <v>2020</v>
      </c>
      <c r="B1531" t="s">
        <v>32</v>
      </c>
      <c r="C1531" t="s">
        <v>170</v>
      </c>
      <c r="D1531" t="s">
        <v>171</v>
      </c>
      <c r="E1531" t="s">
        <v>91</v>
      </c>
      <c r="F1531" t="s">
        <v>7</v>
      </c>
      <c r="G1531">
        <v>7</v>
      </c>
    </row>
    <row r="1532" spans="1:7" x14ac:dyDescent="0.3">
      <c r="A1532">
        <v>2020</v>
      </c>
      <c r="B1532" t="s">
        <v>32</v>
      </c>
      <c r="C1532" t="s">
        <v>170</v>
      </c>
      <c r="D1532" t="s">
        <v>171</v>
      </c>
      <c r="E1532" t="s">
        <v>109</v>
      </c>
      <c r="F1532" t="s">
        <v>7</v>
      </c>
      <c r="G1532">
        <v>6</v>
      </c>
    </row>
    <row r="1533" spans="1:7" x14ac:dyDescent="0.3">
      <c r="A1533">
        <v>2020</v>
      </c>
      <c r="B1533" t="s">
        <v>32</v>
      </c>
      <c r="C1533" t="s">
        <v>170</v>
      </c>
      <c r="D1533" t="s">
        <v>171</v>
      </c>
      <c r="E1533" t="s">
        <v>110</v>
      </c>
      <c r="F1533" t="s">
        <v>7</v>
      </c>
      <c r="G1533">
        <v>2</v>
      </c>
    </row>
    <row r="1534" spans="1:7" x14ac:dyDescent="0.3">
      <c r="A1534">
        <v>2020</v>
      </c>
      <c r="B1534" t="s">
        <v>63</v>
      </c>
      <c r="C1534" t="s">
        <v>170</v>
      </c>
      <c r="D1534" t="s">
        <v>171</v>
      </c>
      <c r="E1534" t="s">
        <v>108</v>
      </c>
      <c r="F1534" t="s">
        <v>7</v>
      </c>
      <c r="G1534">
        <v>0</v>
      </c>
    </row>
    <row r="1535" spans="1:7" x14ac:dyDescent="0.3">
      <c r="A1535">
        <v>2020</v>
      </c>
      <c r="B1535" t="s">
        <v>63</v>
      </c>
      <c r="C1535" t="s">
        <v>170</v>
      </c>
      <c r="D1535" t="s">
        <v>171</v>
      </c>
      <c r="E1535" t="s">
        <v>91</v>
      </c>
      <c r="F1535" t="s">
        <v>7</v>
      </c>
      <c r="G1535">
        <v>236</v>
      </c>
    </row>
    <row r="1536" spans="1:7" x14ac:dyDescent="0.3">
      <c r="A1536">
        <v>2020</v>
      </c>
      <c r="B1536" t="s">
        <v>63</v>
      </c>
      <c r="C1536" t="s">
        <v>170</v>
      </c>
      <c r="D1536" t="s">
        <v>171</v>
      </c>
      <c r="E1536" t="s">
        <v>109</v>
      </c>
      <c r="F1536" t="s">
        <v>7</v>
      </c>
      <c r="G1536">
        <v>92</v>
      </c>
    </row>
    <row r="1537" spans="1:7" x14ac:dyDescent="0.3">
      <c r="A1537">
        <v>2020</v>
      </c>
      <c r="B1537" t="s">
        <v>63</v>
      </c>
      <c r="C1537" t="s">
        <v>170</v>
      </c>
      <c r="D1537" t="s">
        <v>171</v>
      </c>
      <c r="E1537" t="s">
        <v>110</v>
      </c>
      <c r="F1537" t="s">
        <v>7</v>
      </c>
      <c r="G1537">
        <v>10</v>
      </c>
    </row>
    <row r="1538" spans="1:7" x14ac:dyDescent="0.3">
      <c r="A1538">
        <v>2020</v>
      </c>
      <c r="B1538" t="s">
        <v>57</v>
      </c>
      <c r="C1538" t="s">
        <v>170</v>
      </c>
      <c r="D1538" t="s">
        <v>171</v>
      </c>
      <c r="E1538" t="s">
        <v>108</v>
      </c>
      <c r="F1538" t="s">
        <v>7</v>
      </c>
    </row>
    <row r="1539" spans="1:7" x14ac:dyDescent="0.3">
      <c r="A1539">
        <v>2020</v>
      </c>
      <c r="B1539" t="s">
        <v>57</v>
      </c>
      <c r="C1539" t="s">
        <v>170</v>
      </c>
      <c r="D1539" t="s">
        <v>171</v>
      </c>
      <c r="E1539" t="s">
        <v>91</v>
      </c>
      <c r="F1539" t="s">
        <v>7</v>
      </c>
      <c r="G1539">
        <v>57</v>
      </c>
    </row>
    <row r="1540" spans="1:7" x14ac:dyDescent="0.3">
      <c r="A1540">
        <v>2020</v>
      </c>
      <c r="B1540" t="s">
        <v>57</v>
      </c>
      <c r="C1540" t="s">
        <v>170</v>
      </c>
      <c r="D1540" t="s">
        <v>171</v>
      </c>
      <c r="E1540" t="s">
        <v>109</v>
      </c>
      <c r="F1540" t="s">
        <v>7</v>
      </c>
      <c r="G1540">
        <v>4</v>
      </c>
    </row>
    <row r="1541" spans="1:7" x14ac:dyDescent="0.3">
      <c r="A1541">
        <v>2020</v>
      </c>
      <c r="B1541" t="s">
        <v>57</v>
      </c>
      <c r="C1541" t="s">
        <v>170</v>
      </c>
      <c r="D1541" t="s">
        <v>171</v>
      </c>
      <c r="E1541" t="s">
        <v>110</v>
      </c>
      <c r="F1541" t="s">
        <v>7</v>
      </c>
    </row>
    <row r="1542" spans="1:7" x14ac:dyDescent="0.3">
      <c r="A1542">
        <v>2020</v>
      </c>
      <c r="B1542" t="s">
        <v>33</v>
      </c>
      <c r="C1542" t="s">
        <v>170</v>
      </c>
      <c r="D1542" t="s">
        <v>171</v>
      </c>
      <c r="E1542" t="s">
        <v>108</v>
      </c>
      <c r="F1542" t="s">
        <v>7</v>
      </c>
      <c r="G1542">
        <v>63</v>
      </c>
    </row>
    <row r="1543" spans="1:7" x14ac:dyDescent="0.3">
      <c r="A1543">
        <v>2020</v>
      </c>
      <c r="B1543" t="s">
        <v>33</v>
      </c>
      <c r="C1543" t="s">
        <v>170</v>
      </c>
      <c r="D1543" t="s">
        <v>171</v>
      </c>
      <c r="E1543" t="s">
        <v>91</v>
      </c>
      <c r="F1543" t="s">
        <v>7</v>
      </c>
      <c r="G1543">
        <v>27</v>
      </c>
    </row>
    <row r="1544" spans="1:7" x14ac:dyDescent="0.3">
      <c r="A1544">
        <v>2020</v>
      </c>
      <c r="B1544" t="s">
        <v>33</v>
      </c>
      <c r="C1544" t="s">
        <v>170</v>
      </c>
      <c r="D1544" t="s">
        <v>171</v>
      </c>
      <c r="E1544" t="s">
        <v>109</v>
      </c>
      <c r="F1544" t="s">
        <v>7</v>
      </c>
      <c r="G1544">
        <v>46</v>
      </c>
    </row>
    <row r="1545" spans="1:7" x14ac:dyDescent="0.3">
      <c r="A1545">
        <v>2020</v>
      </c>
      <c r="B1545" t="s">
        <v>33</v>
      </c>
      <c r="C1545" t="s">
        <v>170</v>
      </c>
      <c r="D1545" t="s">
        <v>171</v>
      </c>
      <c r="E1545" t="s">
        <v>110</v>
      </c>
      <c r="F1545" t="s">
        <v>7</v>
      </c>
      <c r="G1545">
        <v>2</v>
      </c>
    </row>
    <row r="1546" spans="1:7" x14ac:dyDescent="0.3">
      <c r="A1546">
        <v>2020</v>
      </c>
      <c r="B1546" t="s">
        <v>34</v>
      </c>
      <c r="C1546" t="s">
        <v>170</v>
      </c>
      <c r="D1546" t="s">
        <v>171</v>
      </c>
      <c r="E1546" t="s">
        <v>108</v>
      </c>
      <c r="F1546" t="s">
        <v>7</v>
      </c>
      <c r="G1546">
        <v>36</v>
      </c>
    </row>
    <row r="1547" spans="1:7" x14ac:dyDescent="0.3">
      <c r="A1547">
        <v>2020</v>
      </c>
      <c r="B1547" t="s">
        <v>34</v>
      </c>
      <c r="C1547" t="s">
        <v>170</v>
      </c>
      <c r="D1547" t="s">
        <v>171</v>
      </c>
      <c r="E1547" t="s">
        <v>91</v>
      </c>
      <c r="F1547" t="s">
        <v>7</v>
      </c>
      <c r="G1547">
        <v>19</v>
      </c>
    </row>
    <row r="1548" spans="1:7" x14ac:dyDescent="0.3">
      <c r="A1548">
        <v>2020</v>
      </c>
      <c r="B1548" t="s">
        <v>34</v>
      </c>
      <c r="C1548" t="s">
        <v>170</v>
      </c>
      <c r="D1548" t="s">
        <v>171</v>
      </c>
      <c r="E1548" t="s">
        <v>109</v>
      </c>
      <c r="F1548" t="s">
        <v>7</v>
      </c>
      <c r="G1548">
        <v>11</v>
      </c>
    </row>
    <row r="1549" spans="1:7" x14ac:dyDescent="0.3">
      <c r="A1549">
        <v>2020</v>
      </c>
      <c r="B1549" t="s">
        <v>34</v>
      </c>
      <c r="C1549" t="s">
        <v>170</v>
      </c>
      <c r="D1549" t="s">
        <v>171</v>
      </c>
      <c r="E1549" t="s">
        <v>110</v>
      </c>
      <c r="F1549" t="s">
        <v>7</v>
      </c>
      <c r="G1549">
        <v>0</v>
      </c>
    </row>
    <row r="1550" spans="1:7" x14ac:dyDescent="0.3">
      <c r="A1550">
        <v>2020</v>
      </c>
      <c r="B1550" t="s">
        <v>35</v>
      </c>
      <c r="C1550" t="s">
        <v>170</v>
      </c>
      <c r="D1550" t="s">
        <v>171</v>
      </c>
      <c r="E1550" t="s">
        <v>108</v>
      </c>
      <c r="F1550" t="s">
        <v>7</v>
      </c>
      <c r="G1550">
        <v>22</v>
      </c>
    </row>
    <row r="1551" spans="1:7" x14ac:dyDescent="0.3">
      <c r="A1551">
        <v>2020</v>
      </c>
      <c r="B1551" t="s">
        <v>35</v>
      </c>
      <c r="C1551" t="s">
        <v>170</v>
      </c>
      <c r="D1551" t="s">
        <v>171</v>
      </c>
      <c r="E1551" t="s">
        <v>91</v>
      </c>
      <c r="F1551" t="s">
        <v>7</v>
      </c>
      <c r="G1551">
        <v>64</v>
      </c>
    </row>
    <row r="1552" spans="1:7" x14ac:dyDescent="0.3">
      <c r="A1552">
        <v>2020</v>
      </c>
      <c r="B1552" t="s">
        <v>35</v>
      </c>
      <c r="C1552" t="s">
        <v>170</v>
      </c>
      <c r="D1552" t="s">
        <v>171</v>
      </c>
      <c r="E1552" t="s">
        <v>109</v>
      </c>
      <c r="F1552" t="s">
        <v>7</v>
      </c>
      <c r="G1552">
        <v>24</v>
      </c>
    </row>
    <row r="1553" spans="1:7" x14ac:dyDescent="0.3">
      <c r="A1553">
        <v>2020</v>
      </c>
      <c r="B1553" t="s">
        <v>35</v>
      </c>
      <c r="C1553" t="s">
        <v>170</v>
      </c>
      <c r="D1553" t="s">
        <v>171</v>
      </c>
      <c r="E1553" t="s">
        <v>110</v>
      </c>
      <c r="F1553" t="s">
        <v>7</v>
      </c>
      <c r="G1553">
        <v>7</v>
      </c>
    </row>
    <row r="1554" spans="1:7" x14ac:dyDescent="0.3">
      <c r="A1554">
        <v>2020</v>
      </c>
      <c r="B1554" t="s">
        <v>36</v>
      </c>
      <c r="C1554" t="s">
        <v>170</v>
      </c>
      <c r="D1554" t="s">
        <v>171</v>
      </c>
      <c r="E1554" t="s">
        <v>108</v>
      </c>
      <c r="F1554" t="s">
        <v>7</v>
      </c>
      <c r="G1554">
        <v>23</v>
      </c>
    </row>
    <row r="1555" spans="1:7" x14ac:dyDescent="0.3">
      <c r="A1555">
        <v>2020</v>
      </c>
      <c r="B1555" t="s">
        <v>36</v>
      </c>
      <c r="C1555" t="s">
        <v>170</v>
      </c>
      <c r="D1555" t="s">
        <v>171</v>
      </c>
      <c r="E1555" t="s">
        <v>91</v>
      </c>
      <c r="F1555" t="s">
        <v>7</v>
      </c>
      <c r="G1555">
        <v>0</v>
      </c>
    </row>
    <row r="1556" spans="1:7" x14ac:dyDescent="0.3">
      <c r="A1556">
        <v>2020</v>
      </c>
      <c r="B1556" t="s">
        <v>36</v>
      </c>
      <c r="C1556" t="s">
        <v>170</v>
      </c>
      <c r="D1556" t="s">
        <v>171</v>
      </c>
      <c r="E1556" t="s">
        <v>109</v>
      </c>
      <c r="F1556" t="s">
        <v>7</v>
      </c>
      <c r="G1556">
        <v>16</v>
      </c>
    </row>
    <row r="1557" spans="1:7" x14ac:dyDescent="0.3">
      <c r="A1557">
        <v>2020</v>
      </c>
      <c r="B1557" t="s">
        <v>36</v>
      </c>
      <c r="C1557" t="s">
        <v>170</v>
      </c>
      <c r="D1557" t="s">
        <v>171</v>
      </c>
      <c r="E1557" t="s">
        <v>110</v>
      </c>
      <c r="F1557" t="s">
        <v>7</v>
      </c>
      <c r="G1557">
        <v>2</v>
      </c>
    </row>
    <row r="1558" spans="1:7" x14ac:dyDescent="0.3">
      <c r="A1558">
        <v>2020</v>
      </c>
      <c r="B1558" t="s">
        <v>37</v>
      </c>
      <c r="C1558" t="s">
        <v>170</v>
      </c>
      <c r="D1558" t="s">
        <v>171</v>
      </c>
      <c r="E1558" t="s">
        <v>108</v>
      </c>
      <c r="F1558" t="s">
        <v>7</v>
      </c>
      <c r="G1558">
        <v>14</v>
      </c>
    </row>
    <row r="1559" spans="1:7" x14ac:dyDescent="0.3">
      <c r="A1559">
        <v>2020</v>
      </c>
      <c r="B1559" t="s">
        <v>37</v>
      </c>
      <c r="C1559" t="s">
        <v>170</v>
      </c>
      <c r="D1559" t="s">
        <v>171</v>
      </c>
      <c r="E1559" t="s">
        <v>91</v>
      </c>
      <c r="F1559" t="s">
        <v>7</v>
      </c>
    </row>
    <row r="1560" spans="1:7" x14ac:dyDescent="0.3">
      <c r="A1560">
        <v>2020</v>
      </c>
      <c r="B1560" t="s">
        <v>37</v>
      </c>
      <c r="C1560" t="s">
        <v>170</v>
      </c>
      <c r="D1560" t="s">
        <v>171</v>
      </c>
      <c r="E1560" t="s">
        <v>109</v>
      </c>
      <c r="F1560" t="s">
        <v>7</v>
      </c>
    </row>
    <row r="1561" spans="1:7" x14ac:dyDescent="0.3">
      <c r="A1561">
        <v>2020</v>
      </c>
      <c r="B1561" t="s">
        <v>37</v>
      </c>
      <c r="C1561" t="s">
        <v>170</v>
      </c>
      <c r="D1561" t="s">
        <v>171</v>
      </c>
      <c r="E1561" t="s">
        <v>110</v>
      </c>
      <c r="F1561" t="s">
        <v>7</v>
      </c>
    </row>
    <row r="1562" spans="1:7" x14ac:dyDescent="0.3">
      <c r="A1562">
        <v>2020</v>
      </c>
      <c r="B1562" t="s">
        <v>55</v>
      </c>
      <c r="C1562" t="s">
        <v>170</v>
      </c>
      <c r="D1562" t="s">
        <v>171</v>
      </c>
      <c r="E1562" t="s">
        <v>108</v>
      </c>
      <c r="F1562" t="s">
        <v>7</v>
      </c>
      <c r="G1562">
        <v>3</v>
      </c>
    </row>
    <row r="1563" spans="1:7" x14ac:dyDescent="0.3">
      <c r="A1563">
        <v>2020</v>
      </c>
      <c r="B1563" t="s">
        <v>55</v>
      </c>
      <c r="C1563" t="s">
        <v>170</v>
      </c>
      <c r="D1563" t="s">
        <v>171</v>
      </c>
      <c r="E1563" t="s">
        <v>91</v>
      </c>
      <c r="F1563" t="s">
        <v>7</v>
      </c>
      <c r="G1563">
        <v>0</v>
      </c>
    </row>
    <row r="1564" spans="1:7" x14ac:dyDescent="0.3">
      <c r="A1564">
        <v>2020</v>
      </c>
      <c r="B1564" t="s">
        <v>55</v>
      </c>
      <c r="C1564" t="s">
        <v>170</v>
      </c>
      <c r="D1564" t="s">
        <v>171</v>
      </c>
      <c r="E1564" t="s">
        <v>109</v>
      </c>
      <c r="F1564" t="s">
        <v>7</v>
      </c>
      <c r="G1564">
        <v>0</v>
      </c>
    </row>
    <row r="1565" spans="1:7" x14ac:dyDescent="0.3">
      <c r="A1565">
        <v>2020</v>
      </c>
      <c r="B1565" t="s">
        <v>55</v>
      </c>
      <c r="C1565" t="s">
        <v>170</v>
      </c>
      <c r="D1565" t="s">
        <v>171</v>
      </c>
      <c r="E1565" t="s">
        <v>110</v>
      </c>
      <c r="F1565" t="s">
        <v>7</v>
      </c>
      <c r="G1565">
        <v>0</v>
      </c>
    </row>
    <row r="1566" spans="1:7" x14ac:dyDescent="0.3">
      <c r="A1566">
        <v>2020</v>
      </c>
      <c r="B1566" t="s">
        <v>38</v>
      </c>
      <c r="C1566" t="s">
        <v>170</v>
      </c>
      <c r="D1566" t="s">
        <v>171</v>
      </c>
      <c r="E1566" t="s">
        <v>108</v>
      </c>
      <c r="F1566" t="s">
        <v>7</v>
      </c>
      <c r="G1566">
        <v>6</v>
      </c>
    </row>
    <row r="1567" spans="1:7" x14ac:dyDescent="0.3">
      <c r="A1567">
        <v>2020</v>
      </c>
      <c r="B1567" t="s">
        <v>38</v>
      </c>
      <c r="C1567" t="s">
        <v>170</v>
      </c>
      <c r="D1567" t="s">
        <v>171</v>
      </c>
      <c r="E1567" t="s">
        <v>91</v>
      </c>
      <c r="F1567" t="s">
        <v>7</v>
      </c>
      <c r="G1567">
        <v>4</v>
      </c>
    </row>
    <row r="1568" spans="1:7" x14ac:dyDescent="0.3">
      <c r="A1568">
        <v>2020</v>
      </c>
      <c r="B1568" t="s">
        <v>38</v>
      </c>
      <c r="C1568" t="s">
        <v>170</v>
      </c>
      <c r="D1568" t="s">
        <v>171</v>
      </c>
      <c r="E1568" t="s">
        <v>109</v>
      </c>
      <c r="F1568" t="s">
        <v>7</v>
      </c>
      <c r="G1568">
        <v>12</v>
      </c>
    </row>
    <row r="1569" spans="1:7" x14ac:dyDescent="0.3">
      <c r="A1569">
        <v>2020</v>
      </c>
      <c r="B1569" t="s">
        <v>38</v>
      </c>
      <c r="C1569" t="s">
        <v>170</v>
      </c>
      <c r="D1569" t="s">
        <v>171</v>
      </c>
      <c r="E1569" t="s">
        <v>110</v>
      </c>
      <c r="F1569" t="s">
        <v>7</v>
      </c>
    </row>
    <row r="1570" spans="1:7" x14ac:dyDescent="0.3">
      <c r="A1570">
        <v>2020</v>
      </c>
      <c r="B1570" t="s">
        <v>39</v>
      </c>
      <c r="C1570" t="s">
        <v>170</v>
      </c>
      <c r="D1570" t="s">
        <v>171</v>
      </c>
      <c r="E1570" t="s">
        <v>108</v>
      </c>
      <c r="F1570" t="s">
        <v>7</v>
      </c>
      <c r="G1570">
        <v>67</v>
      </c>
    </row>
    <row r="1571" spans="1:7" x14ac:dyDescent="0.3">
      <c r="A1571">
        <v>2020</v>
      </c>
      <c r="B1571" t="s">
        <v>39</v>
      </c>
      <c r="C1571" t="s">
        <v>170</v>
      </c>
      <c r="D1571" t="s">
        <v>171</v>
      </c>
      <c r="E1571" t="s">
        <v>91</v>
      </c>
      <c r="F1571" t="s">
        <v>7</v>
      </c>
      <c r="G1571">
        <v>16</v>
      </c>
    </row>
    <row r="1572" spans="1:7" x14ac:dyDescent="0.3">
      <c r="A1572">
        <v>2020</v>
      </c>
      <c r="B1572" t="s">
        <v>39</v>
      </c>
      <c r="C1572" t="s">
        <v>170</v>
      </c>
      <c r="D1572" t="s">
        <v>171</v>
      </c>
      <c r="E1572" t="s">
        <v>109</v>
      </c>
      <c r="F1572" t="s">
        <v>7</v>
      </c>
      <c r="G1572">
        <v>18</v>
      </c>
    </row>
    <row r="1573" spans="1:7" x14ac:dyDescent="0.3">
      <c r="A1573">
        <v>2020</v>
      </c>
      <c r="B1573" t="s">
        <v>39</v>
      </c>
      <c r="C1573" t="s">
        <v>170</v>
      </c>
      <c r="D1573" t="s">
        <v>171</v>
      </c>
      <c r="E1573" t="s">
        <v>110</v>
      </c>
      <c r="F1573" t="s">
        <v>7</v>
      </c>
    </row>
    <row r="1574" spans="1:7" x14ac:dyDescent="0.3">
      <c r="A1574">
        <v>2020</v>
      </c>
      <c r="B1574" t="s">
        <v>40</v>
      </c>
      <c r="C1574" t="s">
        <v>170</v>
      </c>
      <c r="D1574" t="s">
        <v>171</v>
      </c>
      <c r="E1574" t="s">
        <v>108</v>
      </c>
      <c r="F1574" t="s">
        <v>7</v>
      </c>
      <c r="G1574">
        <v>15</v>
      </c>
    </row>
    <row r="1575" spans="1:7" x14ac:dyDescent="0.3">
      <c r="A1575">
        <v>2020</v>
      </c>
      <c r="B1575" t="s">
        <v>40</v>
      </c>
      <c r="C1575" t="s">
        <v>170</v>
      </c>
      <c r="D1575" t="s">
        <v>171</v>
      </c>
      <c r="E1575" t="s">
        <v>91</v>
      </c>
      <c r="F1575" t="s">
        <v>7</v>
      </c>
      <c r="G1575">
        <v>13</v>
      </c>
    </row>
    <row r="1576" spans="1:7" x14ac:dyDescent="0.3">
      <c r="A1576">
        <v>2020</v>
      </c>
      <c r="B1576" t="s">
        <v>40</v>
      </c>
      <c r="C1576" t="s">
        <v>170</v>
      </c>
      <c r="D1576" t="s">
        <v>171</v>
      </c>
      <c r="E1576" t="s">
        <v>109</v>
      </c>
      <c r="F1576" t="s">
        <v>7</v>
      </c>
      <c r="G1576">
        <v>6</v>
      </c>
    </row>
    <row r="1577" spans="1:7" x14ac:dyDescent="0.3">
      <c r="A1577">
        <v>2020</v>
      </c>
      <c r="B1577" t="s">
        <v>40</v>
      </c>
      <c r="C1577" t="s">
        <v>170</v>
      </c>
      <c r="D1577" t="s">
        <v>171</v>
      </c>
      <c r="E1577" t="s">
        <v>110</v>
      </c>
      <c r="F1577" t="s">
        <v>7</v>
      </c>
      <c r="G1577">
        <v>2</v>
      </c>
    </row>
    <row r="1578" spans="1:7" x14ac:dyDescent="0.3">
      <c r="A1578">
        <v>2020</v>
      </c>
      <c r="B1578" t="s">
        <v>41</v>
      </c>
      <c r="C1578" t="s">
        <v>170</v>
      </c>
      <c r="D1578" t="s">
        <v>171</v>
      </c>
      <c r="E1578" t="s">
        <v>108</v>
      </c>
      <c r="F1578" t="s">
        <v>7</v>
      </c>
      <c r="G1578">
        <v>61</v>
      </c>
    </row>
    <row r="1579" spans="1:7" x14ac:dyDescent="0.3">
      <c r="A1579">
        <v>2020</v>
      </c>
      <c r="B1579" t="s">
        <v>41</v>
      </c>
      <c r="C1579" t="s">
        <v>170</v>
      </c>
      <c r="D1579" t="s">
        <v>171</v>
      </c>
      <c r="E1579" t="s">
        <v>91</v>
      </c>
      <c r="F1579" t="s">
        <v>7</v>
      </c>
      <c r="G1579">
        <v>10</v>
      </c>
    </row>
    <row r="1580" spans="1:7" x14ac:dyDescent="0.3">
      <c r="A1580">
        <v>2020</v>
      </c>
      <c r="B1580" t="s">
        <v>41</v>
      </c>
      <c r="C1580" t="s">
        <v>170</v>
      </c>
      <c r="D1580" t="s">
        <v>171</v>
      </c>
      <c r="E1580" t="s">
        <v>109</v>
      </c>
      <c r="F1580" t="s">
        <v>7</v>
      </c>
      <c r="G1580">
        <v>6</v>
      </c>
    </row>
    <row r="1581" spans="1:7" x14ac:dyDescent="0.3">
      <c r="A1581">
        <v>2020</v>
      </c>
      <c r="B1581" t="s">
        <v>41</v>
      </c>
      <c r="C1581" t="s">
        <v>170</v>
      </c>
      <c r="D1581" t="s">
        <v>171</v>
      </c>
      <c r="E1581" t="s">
        <v>110</v>
      </c>
      <c r="F1581" t="s">
        <v>7</v>
      </c>
      <c r="G1581">
        <v>4</v>
      </c>
    </row>
    <row r="1582" spans="1:7" x14ac:dyDescent="0.3">
      <c r="A1582">
        <v>2020</v>
      </c>
      <c r="B1582" t="s">
        <v>58</v>
      </c>
      <c r="C1582" t="s">
        <v>170</v>
      </c>
      <c r="D1582" t="s">
        <v>171</v>
      </c>
      <c r="E1582" t="s">
        <v>108</v>
      </c>
      <c r="F1582" t="s">
        <v>7</v>
      </c>
      <c r="G1582">
        <v>41</v>
      </c>
    </row>
    <row r="1583" spans="1:7" x14ac:dyDescent="0.3">
      <c r="A1583">
        <v>2020</v>
      </c>
      <c r="B1583" t="s">
        <v>58</v>
      </c>
      <c r="C1583" t="s">
        <v>170</v>
      </c>
      <c r="D1583" t="s">
        <v>171</v>
      </c>
      <c r="E1583" t="s">
        <v>91</v>
      </c>
      <c r="F1583" t="s">
        <v>7</v>
      </c>
      <c r="G1583">
        <v>66</v>
      </c>
    </row>
    <row r="1584" spans="1:7" x14ac:dyDescent="0.3">
      <c r="A1584">
        <v>2020</v>
      </c>
      <c r="B1584" t="s">
        <v>58</v>
      </c>
      <c r="C1584" t="s">
        <v>170</v>
      </c>
      <c r="D1584" t="s">
        <v>171</v>
      </c>
      <c r="E1584" t="s">
        <v>109</v>
      </c>
      <c r="F1584" t="s">
        <v>7</v>
      </c>
      <c r="G1584">
        <v>10</v>
      </c>
    </row>
    <row r="1585" spans="1:7" x14ac:dyDescent="0.3">
      <c r="A1585">
        <v>2020</v>
      </c>
      <c r="B1585" t="s">
        <v>58</v>
      </c>
      <c r="C1585" t="s">
        <v>170</v>
      </c>
      <c r="D1585" t="s">
        <v>171</v>
      </c>
      <c r="E1585" t="s">
        <v>110</v>
      </c>
      <c r="F1585" t="s">
        <v>7</v>
      </c>
      <c r="G1585">
        <v>6</v>
      </c>
    </row>
    <row r="1586" spans="1:7" x14ac:dyDescent="0.3">
      <c r="A1586">
        <v>2020</v>
      </c>
      <c r="B1586" t="s">
        <v>42</v>
      </c>
      <c r="C1586" t="s">
        <v>170</v>
      </c>
      <c r="D1586" t="s">
        <v>171</v>
      </c>
      <c r="E1586" t="s">
        <v>108</v>
      </c>
      <c r="F1586" t="s">
        <v>7</v>
      </c>
      <c r="G1586">
        <v>37</v>
      </c>
    </row>
    <row r="1587" spans="1:7" x14ac:dyDescent="0.3">
      <c r="A1587">
        <v>2020</v>
      </c>
      <c r="B1587" t="s">
        <v>42</v>
      </c>
      <c r="C1587" t="s">
        <v>170</v>
      </c>
      <c r="D1587" t="s">
        <v>171</v>
      </c>
      <c r="E1587" t="s">
        <v>91</v>
      </c>
      <c r="F1587" t="s">
        <v>7</v>
      </c>
      <c r="G1587">
        <v>0</v>
      </c>
    </row>
    <row r="1588" spans="1:7" x14ac:dyDescent="0.3">
      <c r="A1588">
        <v>2020</v>
      </c>
      <c r="B1588" t="s">
        <v>42</v>
      </c>
      <c r="C1588" t="s">
        <v>170</v>
      </c>
      <c r="D1588" t="s">
        <v>171</v>
      </c>
      <c r="E1588" t="s">
        <v>109</v>
      </c>
      <c r="F1588" t="s">
        <v>7</v>
      </c>
      <c r="G1588">
        <v>4</v>
      </c>
    </row>
    <row r="1589" spans="1:7" x14ac:dyDescent="0.3">
      <c r="A1589">
        <v>2020</v>
      </c>
      <c r="B1589" t="s">
        <v>42</v>
      </c>
      <c r="C1589" t="s">
        <v>170</v>
      </c>
      <c r="D1589" t="s">
        <v>171</v>
      </c>
      <c r="E1589" t="s">
        <v>110</v>
      </c>
      <c r="F1589" t="s">
        <v>7</v>
      </c>
      <c r="G1589">
        <v>1</v>
      </c>
    </row>
    <row r="1590" spans="1:7" x14ac:dyDescent="0.3">
      <c r="A1590">
        <v>2020</v>
      </c>
      <c r="B1590" t="s">
        <v>44</v>
      </c>
      <c r="C1590" t="s">
        <v>170</v>
      </c>
      <c r="D1590" t="s">
        <v>171</v>
      </c>
      <c r="E1590" t="s">
        <v>108</v>
      </c>
      <c r="F1590" t="s">
        <v>7</v>
      </c>
      <c r="G1590">
        <v>35</v>
      </c>
    </row>
    <row r="1591" spans="1:7" x14ac:dyDescent="0.3">
      <c r="A1591">
        <v>2020</v>
      </c>
      <c r="B1591" t="s">
        <v>44</v>
      </c>
      <c r="C1591" t="s">
        <v>170</v>
      </c>
      <c r="D1591" t="s">
        <v>171</v>
      </c>
      <c r="E1591" t="s">
        <v>91</v>
      </c>
      <c r="F1591" t="s">
        <v>7</v>
      </c>
      <c r="G1591">
        <v>18</v>
      </c>
    </row>
    <row r="1592" spans="1:7" x14ac:dyDescent="0.3">
      <c r="A1592">
        <v>2020</v>
      </c>
      <c r="B1592" t="s">
        <v>44</v>
      </c>
      <c r="C1592" t="s">
        <v>170</v>
      </c>
      <c r="D1592" t="s">
        <v>171</v>
      </c>
      <c r="E1592" t="s">
        <v>109</v>
      </c>
      <c r="F1592" t="s">
        <v>7</v>
      </c>
      <c r="G1592">
        <v>5</v>
      </c>
    </row>
    <row r="1593" spans="1:7" x14ac:dyDescent="0.3">
      <c r="A1593">
        <v>2020</v>
      </c>
      <c r="B1593" t="s">
        <v>44</v>
      </c>
      <c r="C1593" t="s">
        <v>170</v>
      </c>
      <c r="D1593" t="s">
        <v>171</v>
      </c>
      <c r="E1593" t="s">
        <v>110</v>
      </c>
      <c r="F1593" t="s">
        <v>7</v>
      </c>
      <c r="G1593">
        <v>3</v>
      </c>
    </row>
    <row r="1594" spans="1:7" x14ac:dyDescent="0.3">
      <c r="A1594">
        <v>2020</v>
      </c>
      <c r="B1594" t="s">
        <v>45</v>
      </c>
      <c r="C1594" t="s">
        <v>170</v>
      </c>
      <c r="D1594" t="s">
        <v>171</v>
      </c>
      <c r="E1594" t="s">
        <v>108</v>
      </c>
      <c r="F1594" t="s">
        <v>7</v>
      </c>
      <c r="G1594">
        <v>14</v>
      </c>
    </row>
    <row r="1595" spans="1:7" x14ac:dyDescent="0.3">
      <c r="A1595">
        <v>2020</v>
      </c>
      <c r="B1595" t="s">
        <v>45</v>
      </c>
      <c r="C1595" t="s">
        <v>170</v>
      </c>
      <c r="D1595" t="s">
        <v>171</v>
      </c>
      <c r="E1595" t="s">
        <v>91</v>
      </c>
      <c r="F1595" t="s">
        <v>7</v>
      </c>
      <c r="G1595">
        <v>13</v>
      </c>
    </row>
    <row r="1596" spans="1:7" x14ac:dyDescent="0.3">
      <c r="A1596">
        <v>2020</v>
      </c>
      <c r="B1596" t="s">
        <v>45</v>
      </c>
      <c r="C1596" t="s">
        <v>170</v>
      </c>
      <c r="D1596" t="s">
        <v>171</v>
      </c>
      <c r="E1596" t="s">
        <v>109</v>
      </c>
      <c r="F1596" t="s">
        <v>7</v>
      </c>
      <c r="G1596">
        <v>6</v>
      </c>
    </row>
    <row r="1597" spans="1:7" x14ac:dyDescent="0.3">
      <c r="A1597">
        <v>2020</v>
      </c>
      <c r="B1597" t="s">
        <v>45</v>
      </c>
      <c r="C1597" t="s">
        <v>170</v>
      </c>
      <c r="D1597" t="s">
        <v>171</v>
      </c>
      <c r="E1597" t="s">
        <v>110</v>
      </c>
      <c r="F1597" t="s">
        <v>7</v>
      </c>
      <c r="G1597">
        <v>1</v>
      </c>
    </row>
    <row r="1598" spans="1:7" x14ac:dyDescent="0.3">
      <c r="A1598">
        <v>2020</v>
      </c>
      <c r="B1598" t="s">
        <v>46</v>
      </c>
      <c r="C1598" t="s">
        <v>170</v>
      </c>
      <c r="D1598" t="s">
        <v>171</v>
      </c>
      <c r="E1598" t="s">
        <v>108</v>
      </c>
      <c r="F1598" t="s">
        <v>7</v>
      </c>
    </row>
    <row r="1599" spans="1:7" x14ac:dyDescent="0.3">
      <c r="A1599">
        <v>2020</v>
      </c>
      <c r="B1599" t="s">
        <v>46</v>
      </c>
      <c r="C1599" t="s">
        <v>170</v>
      </c>
      <c r="D1599" t="s">
        <v>171</v>
      </c>
      <c r="E1599" t="s">
        <v>91</v>
      </c>
      <c r="F1599" t="s">
        <v>7</v>
      </c>
    </row>
    <row r="1600" spans="1:7" x14ac:dyDescent="0.3">
      <c r="A1600">
        <v>2020</v>
      </c>
      <c r="B1600" t="s">
        <v>46</v>
      </c>
      <c r="C1600" t="s">
        <v>170</v>
      </c>
      <c r="D1600" t="s">
        <v>171</v>
      </c>
      <c r="E1600" t="s">
        <v>109</v>
      </c>
      <c r="F1600" t="s">
        <v>7</v>
      </c>
      <c r="G1600">
        <v>3</v>
      </c>
    </row>
    <row r="1601" spans="1:7" x14ac:dyDescent="0.3">
      <c r="A1601">
        <v>2020</v>
      </c>
      <c r="B1601" t="s">
        <v>46</v>
      </c>
      <c r="C1601" t="s">
        <v>170</v>
      </c>
      <c r="D1601" t="s">
        <v>171</v>
      </c>
      <c r="E1601" t="s">
        <v>110</v>
      </c>
      <c r="F1601" t="s">
        <v>7</v>
      </c>
      <c r="G1601">
        <v>1</v>
      </c>
    </row>
    <row r="1602" spans="1:7" x14ac:dyDescent="0.3">
      <c r="A1602">
        <v>2020</v>
      </c>
      <c r="B1602" t="s">
        <v>47</v>
      </c>
      <c r="C1602" t="s">
        <v>170</v>
      </c>
      <c r="D1602" t="s">
        <v>171</v>
      </c>
      <c r="E1602" t="s">
        <v>108</v>
      </c>
      <c r="F1602" t="s">
        <v>7</v>
      </c>
      <c r="G1602">
        <v>13</v>
      </c>
    </row>
    <row r="1603" spans="1:7" x14ac:dyDescent="0.3">
      <c r="A1603">
        <v>2020</v>
      </c>
      <c r="B1603" t="s">
        <v>47</v>
      </c>
      <c r="C1603" t="s">
        <v>170</v>
      </c>
      <c r="D1603" t="s">
        <v>171</v>
      </c>
      <c r="E1603" t="s">
        <v>91</v>
      </c>
      <c r="F1603" t="s">
        <v>7</v>
      </c>
      <c r="G1603">
        <v>6</v>
      </c>
    </row>
    <row r="1604" spans="1:7" x14ac:dyDescent="0.3">
      <c r="A1604">
        <v>2020</v>
      </c>
      <c r="B1604" t="s">
        <v>47</v>
      </c>
      <c r="C1604" t="s">
        <v>170</v>
      </c>
      <c r="D1604" t="s">
        <v>171</v>
      </c>
      <c r="E1604" t="s">
        <v>109</v>
      </c>
      <c r="F1604" t="s">
        <v>7</v>
      </c>
      <c r="G1604">
        <v>15</v>
      </c>
    </row>
    <row r="1605" spans="1:7" x14ac:dyDescent="0.3">
      <c r="A1605">
        <v>2020</v>
      </c>
      <c r="B1605" t="s">
        <v>47</v>
      </c>
      <c r="C1605" t="s">
        <v>170</v>
      </c>
      <c r="D1605" t="s">
        <v>171</v>
      </c>
      <c r="E1605" t="s">
        <v>110</v>
      </c>
      <c r="F1605" t="s">
        <v>7</v>
      </c>
    </row>
    <row r="1606" spans="1:7" x14ac:dyDescent="0.3">
      <c r="A1606">
        <v>2020</v>
      </c>
      <c r="B1606" t="s">
        <v>48</v>
      </c>
      <c r="C1606" t="s">
        <v>170</v>
      </c>
      <c r="D1606" t="s">
        <v>171</v>
      </c>
      <c r="E1606" t="s">
        <v>108</v>
      </c>
      <c r="F1606" t="s">
        <v>7</v>
      </c>
      <c r="G1606">
        <v>50</v>
      </c>
    </row>
    <row r="1607" spans="1:7" x14ac:dyDescent="0.3">
      <c r="A1607">
        <v>2020</v>
      </c>
      <c r="B1607" t="s">
        <v>48</v>
      </c>
      <c r="C1607" t="s">
        <v>170</v>
      </c>
      <c r="D1607" t="s">
        <v>171</v>
      </c>
      <c r="E1607" t="s">
        <v>91</v>
      </c>
      <c r="F1607" t="s">
        <v>7</v>
      </c>
      <c r="G1607">
        <v>14</v>
      </c>
    </row>
    <row r="1608" spans="1:7" x14ac:dyDescent="0.3">
      <c r="A1608">
        <v>2020</v>
      </c>
      <c r="B1608" t="s">
        <v>48</v>
      </c>
      <c r="C1608" t="s">
        <v>170</v>
      </c>
      <c r="D1608" t="s">
        <v>171</v>
      </c>
      <c r="E1608" t="s">
        <v>109</v>
      </c>
      <c r="F1608" t="s">
        <v>7</v>
      </c>
      <c r="G1608">
        <v>10</v>
      </c>
    </row>
    <row r="1609" spans="1:7" x14ac:dyDescent="0.3">
      <c r="A1609">
        <v>2020</v>
      </c>
      <c r="B1609" t="s">
        <v>48</v>
      </c>
      <c r="C1609" t="s">
        <v>170</v>
      </c>
      <c r="D1609" t="s">
        <v>171</v>
      </c>
      <c r="E1609" t="s">
        <v>110</v>
      </c>
      <c r="F1609" t="s">
        <v>7</v>
      </c>
    </row>
    <row r="1610" spans="1:7" x14ac:dyDescent="0.3">
      <c r="A1610">
        <v>2020</v>
      </c>
      <c r="B1610" t="s">
        <v>49</v>
      </c>
      <c r="C1610" t="s">
        <v>170</v>
      </c>
      <c r="D1610" t="s">
        <v>171</v>
      </c>
      <c r="E1610" t="s">
        <v>108</v>
      </c>
      <c r="F1610" t="s">
        <v>7</v>
      </c>
      <c r="G1610">
        <v>12</v>
      </c>
    </row>
    <row r="1611" spans="1:7" x14ac:dyDescent="0.3">
      <c r="A1611">
        <v>2020</v>
      </c>
      <c r="B1611" t="s">
        <v>49</v>
      </c>
      <c r="C1611" t="s">
        <v>170</v>
      </c>
      <c r="D1611" t="s">
        <v>171</v>
      </c>
      <c r="E1611" t="s">
        <v>91</v>
      </c>
      <c r="F1611" t="s">
        <v>7</v>
      </c>
      <c r="G1611">
        <v>5</v>
      </c>
    </row>
    <row r="1612" spans="1:7" x14ac:dyDescent="0.3">
      <c r="A1612">
        <v>2020</v>
      </c>
      <c r="B1612" t="s">
        <v>49</v>
      </c>
      <c r="C1612" t="s">
        <v>170</v>
      </c>
      <c r="D1612" t="s">
        <v>171</v>
      </c>
      <c r="E1612" t="s">
        <v>109</v>
      </c>
      <c r="F1612" t="s">
        <v>7</v>
      </c>
      <c r="G1612">
        <v>4</v>
      </c>
    </row>
    <row r="1613" spans="1:7" x14ac:dyDescent="0.3">
      <c r="A1613">
        <v>2020</v>
      </c>
      <c r="B1613" t="s">
        <v>49</v>
      </c>
      <c r="C1613" t="s">
        <v>170</v>
      </c>
      <c r="D1613" t="s">
        <v>171</v>
      </c>
      <c r="E1613" t="s">
        <v>110</v>
      </c>
      <c r="F1613" t="s">
        <v>7</v>
      </c>
      <c r="G1613">
        <v>0</v>
      </c>
    </row>
    <row r="1614" spans="1:7" x14ac:dyDescent="0.3">
      <c r="A1614">
        <v>2020</v>
      </c>
      <c r="B1614" t="s">
        <v>59</v>
      </c>
      <c r="C1614" t="s">
        <v>170</v>
      </c>
      <c r="D1614" t="s">
        <v>171</v>
      </c>
      <c r="E1614" t="s">
        <v>108</v>
      </c>
      <c r="F1614" t="s">
        <v>7</v>
      </c>
      <c r="G1614">
        <v>4</v>
      </c>
    </row>
    <row r="1615" spans="1:7" x14ac:dyDescent="0.3">
      <c r="A1615">
        <v>2020</v>
      </c>
      <c r="B1615" t="s">
        <v>59</v>
      </c>
      <c r="C1615" t="s">
        <v>170</v>
      </c>
      <c r="D1615" t="s">
        <v>171</v>
      </c>
      <c r="E1615" t="s">
        <v>91</v>
      </c>
      <c r="F1615" t="s">
        <v>7</v>
      </c>
      <c r="G1615">
        <v>0</v>
      </c>
    </row>
    <row r="1616" spans="1:7" x14ac:dyDescent="0.3">
      <c r="A1616">
        <v>2020</v>
      </c>
      <c r="B1616" t="s">
        <v>59</v>
      </c>
      <c r="C1616" t="s">
        <v>170</v>
      </c>
      <c r="D1616" t="s">
        <v>171</v>
      </c>
      <c r="E1616" t="s">
        <v>109</v>
      </c>
      <c r="F1616" t="s">
        <v>7</v>
      </c>
      <c r="G1616">
        <v>15</v>
      </c>
    </row>
    <row r="1617" spans="1:7" x14ac:dyDescent="0.3">
      <c r="A1617">
        <v>2020</v>
      </c>
      <c r="B1617" t="s">
        <v>59</v>
      </c>
      <c r="C1617" t="s">
        <v>170</v>
      </c>
      <c r="D1617" t="s">
        <v>171</v>
      </c>
      <c r="E1617" t="s">
        <v>110</v>
      </c>
      <c r="F1617" t="s">
        <v>7</v>
      </c>
      <c r="G1617">
        <v>1</v>
      </c>
    </row>
    <row r="1618" spans="1:7" x14ac:dyDescent="0.3">
      <c r="A1618">
        <v>2020</v>
      </c>
      <c r="B1618" t="s">
        <v>50</v>
      </c>
      <c r="C1618" t="s">
        <v>170</v>
      </c>
      <c r="D1618" t="s">
        <v>171</v>
      </c>
      <c r="E1618" t="s">
        <v>108</v>
      </c>
      <c r="F1618" t="s">
        <v>7</v>
      </c>
      <c r="G1618">
        <v>41</v>
      </c>
    </row>
    <row r="1619" spans="1:7" x14ac:dyDescent="0.3">
      <c r="A1619">
        <v>2020</v>
      </c>
      <c r="B1619" t="s">
        <v>50</v>
      </c>
      <c r="C1619" t="s">
        <v>170</v>
      </c>
      <c r="D1619" t="s">
        <v>171</v>
      </c>
      <c r="E1619" t="s">
        <v>91</v>
      </c>
      <c r="F1619" t="s">
        <v>7</v>
      </c>
      <c r="G1619">
        <v>3</v>
      </c>
    </row>
    <row r="1620" spans="1:7" x14ac:dyDescent="0.3">
      <c r="A1620">
        <v>2020</v>
      </c>
      <c r="B1620" t="s">
        <v>50</v>
      </c>
      <c r="C1620" t="s">
        <v>170</v>
      </c>
      <c r="D1620" t="s">
        <v>171</v>
      </c>
      <c r="E1620" t="s">
        <v>109</v>
      </c>
      <c r="F1620" t="s">
        <v>7</v>
      </c>
      <c r="G1620">
        <v>25</v>
      </c>
    </row>
    <row r="1621" spans="1:7" x14ac:dyDescent="0.3">
      <c r="A1621">
        <v>2020</v>
      </c>
      <c r="B1621" t="s">
        <v>50</v>
      </c>
      <c r="C1621" t="s">
        <v>170</v>
      </c>
      <c r="D1621" t="s">
        <v>171</v>
      </c>
      <c r="E1621" t="s">
        <v>110</v>
      </c>
      <c r="F1621" t="s">
        <v>7</v>
      </c>
    </row>
    <row r="1622" spans="1:7" x14ac:dyDescent="0.3">
      <c r="A1622">
        <v>2020</v>
      </c>
      <c r="B1622" t="s">
        <v>51</v>
      </c>
      <c r="C1622" t="s">
        <v>170</v>
      </c>
      <c r="D1622" t="s">
        <v>171</v>
      </c>
      <c r="E1622" t="s">
        <v>108</v>
      </c>
      <c r="F1622" t="s">
        <v>7</v>
      </c>
      <c r="G1622">
        <v>1</v>
      </c>
    </row>
    <row r="1623" spans="1:7" x14ac:dyDescent="0.3">
      <c r="A1623">
        <v>2020</v>
      </c>
      <c r="B1623" t="s">
        <v>51</v>
      </c>
      <c r="C1623" t="s">
        <v>170</v>
      </c>
      <c r="D1623" t="s">
        <v>171</v>
      </c>
      <c r="E1623" t="s">
        <v>91</v>
      </c>
      <c r="F1623" t="s">
        <v>7</v>
      </c>
      <c r="G1623">
        <v>2</v>
      </c>
    </row>
    <row r="1624" spans="1:7" x14ac:dyDescent="0.3">
      <c r="A1624">
        <v>2020</v>
      </c>
      <c r="B1624" t="s">
        <v>51</v>
      </c>
      <c r="C1624" t="s">
        <v>170</v>
      </c>
      <c r="D1624" t="s">
        <v>171</v>
      </c>
      <c r="E1624" t="s">
        <v>109</v>
      </c>
      <c r="F1624" t="s">
        <v>7</v>
      </c>
      <c r="G1624">
        <v>4</v>
      </c>
    </row>
    <row r="1625" spans="1:7" x14ac:dyDescent="0.3">
      <c r="A1625">
        <v>2020</v>
      </c>
      <c r="B1625" t="s">
        <v>51</v>
      </c>
      <c r="C1625" t="s">
        <v>170</v>
      </c>
      <c r="D1625" t="s">
        <v>171</v>
      </c>
      <c r="E1625" t="s">
        <v>110</v>
      </c>
      <c r="F1625" t="s">
        <v>7</v>
      </c>
    </row>
    <row r="1626" spans="1:7" x14ac:dyDescent="0.3">
      <c r="A1626">
        <v>2020</v>
      </c>
      <c r="B1626" t="s">
        <v>52</v>
      </c>
      <c r="C1626" t="s">
        <v>170</v>
      </c>
      <c r="D1626" t="s">
        <v>171</v>
      </c>
      <c r="E1626" t="s">
        <v>108</v>
      </c>
      <c r="F1626" t="s">
        <v>7</v>
      </c>
      <c r="G1626">
        <v>7</v>
      </c>
    </row>
    <row r="1627" spans="1:7" x14ac:dyDescent="0.3">
      <c r="A1627">
        <v>2020</v>
      </c>
      <c r="B1627" t="s">
        <v>52</v>
      </c>
      <c r="C1627" t="s">
        <v>170</v>
      </c>
      <c r="D1627" t="s">
        <v>171</v>
      </c>
      <c r="E1627" t="s">
        <v>91</v>
      </c>
      <c r="F1627" t="s">
        <v>7</v>
      </c>
      <c r="G1627">
        <v>34</v>
      </c>
    </row>
    <row r="1628" spans="1:7" x14ac:dyDescent="0.3">
      <c r="A1628">
        <v>2020</v>
      </c>
      <c r="B1628" t="s">
        <v>52</v>
      </c>
      <c r="C1628" t="s">
        <v>170</v>
      </c>
      <c r="D1628" t="s">
        <v>171</v>
      </c>
      <c r="E1628" t="s">
        <v>109</v>
      </c>
      <c r="F1628" t="s">
        <v>7</v>
      </c>
      <c r="G1628">
        <v>12</v>
      </c>
    </row>
    <row r="1629" spans="1:7" x14ac:dyDescent="0.3">
      <c r="A1629">
        <v>2020</v>
      </c>
      <c r="B1629" t="s">
        <v>52</v>
      </c>
      <c r="C1629" t="s">
        <v>170</v>
      </c>
      <c r="D1629" t="s">
        <v>171</v>
      </c>
      <c r="E1629" t="s">
        <v>110</v>
      </c>
      <c r="F1629" t="s">
        <v>7</v>
      </c>
      <c r="G1629">
        <v>3</v>
      </c>
    </row>
    <row r="1630" spans="1:7" x14ac:dyDescent="0.3">
      <c r="A1630">
        <v>2020</v>
      </c>
      <c r="B1630" t="s">
        <v>60</v>
      </c>
      <c r="C1630" t="s">
        <v>170</v>
      </c>
      <c r="D1630" t="s">
        <v>171</v>
      </c>
      <c r="E1630" t="s">
        <v>108</v>
      </c>
      <c r="F1630" t="s">
        <v>7</v>
      </c>
      <c r="G1630">
        <v>4</v>
      </c>
    </row>
    <row r="1631" spans="1:7" x14ac:dyDescent="0.3">
      <c r="A1631">
        <v>2020</v>
      </c>
      <c r="B1631" t="s">
        <v>60</v>
      </c>
      <c r="C1631" t="s">
        <v>170</v>
      </c>
      <c r="D1631" t="s">
        <v>171</v>
      </c>
      <c r="E1631" t="s">
        <v>91</v>
      </c>
      <c r="F1631" t="s">
        <v>7</v>
      </c>
      <c r="G1631">
        <v>15</v>
      </c>
    </row>
    <row r="1632" spans="1:7" x14ac:dyDescent="0.3">
      <c r="A1632">
        <v>2020</v>
      </c>
      <c r="B1632" t="s">
        <v>60</v>
      </c>
      <c r="C1632" t="s">
        <v>170</v>
      </c>
      <c r="D1632" t="s">
        <v>171</v>
      </c>
      <c r="E1632" t="s">
        <v>109</v>
      </c>
      <c r="F1632" t="s">
        <v>7</v>
      </c>
      <c r="G1632">
        <v>26</v>
      </c>
    </row>
    <row r="1633" spans="1:7" x14ac:dyDescent="0.3">
      <c r="A1633">
        <v>2020</v>
      </c>
      <c r="B1633" t="s">
        <v>60</v>
      </c>
      <c r="C1633" t="s">
        <v>170</v>
      </c>
      <c r="D1633" t="s">
        <v>171</v>
      </c>
      <c r="E1633" t="s">
        <v>110</v>
      </c>
      <c r="F1633" t="s">
        <v>7</v>
      </c>
      <c r="G1633">
        <v>1</v>
      </c>
    </row>
    <row r="1634" spans="1:7" x14ac:dyDescent="0.3">
      <c r="A1634">
        <v>2020</v>
      </c>
      <c r="B1634" t="s">
        <v>53</v>
      </c>
      <c r="C1634" t="s">
        <v>170</v>
      </c>
      <c r="D1634" t="s">
        <v>171</v>
      </c>
      <c r="E1634" t="s">
        <v>108</v>
      </c>
      <c r="F1634" t="s">
        <v>7</v>
      </c>
      <c r="G1634">
        <v>11</v>
      </c>
    </row>
    <row r="1635" spans="1:7" x14ac:dyDescent="0.3">
      <c r="A1635">
        <v>2020</v>
      </c>
      <c r="B1635" t="s">
        <v>53</v>
      </c>
      <c r="C1635" t="s">
        <v>170</v>
      </c>
      <c r="D1635" t="s">
        <v>171</v>
      </c>
      <c r="E1635" t="s">
        <v>91</v>
      </c>
      <c r="F1635" t="s">
        <v>7</v>
      </c>
      <c r="G1635">
        <v>13</v>
      </c>
    </row>
    <row r="1636" spans="1:7" x14ac:dyDescent="0.3">
      <c r="A1636">
        <v>2020</v>
      </c>
      <c r="B1636" t="s">
        <v>53</v>
      </c>
      <c r="C1636" t="s">
        <v>170</v>
      </c>
      <c r="D1636" t="s">
        <v>171</v>
      </c>
      <c r="E1636" t="s">
        <v>109</v>
      </c>
      <c r="F1636" t="s">
        <v>7</v>
      </c>
      <c r="G1636">
        <v>15</v>
      </c>
    </row>
    <row r="1637" spans="1:7" x14ac:dyDescent="0.3">
      <c r="A1637">
        <v>2020</v>
      </c>
      <c r="B1637" t="s">
        <v>53</v>
      </c>
      <c r="C1637" t="s">
        <v>170</v>
      </c>
      <c r="D1637" t="s">
        <v>171</v>
      </c>
      <c r="E1637" t="s">
        <v>110</v>
      </c>
      <c r="F1637" t="s">
        <v>7</v>
      </c>
      <c r="G1637">
        <v>2</v>
      </c>
    </row>
    <row r="1638" spans="1:7" x14ac:dyDescent="0.3">
      <c r="A1638">
        <v>2020</v>
      </c>
      <c r="B1638" t="s">
        <v>61</v>
      </c>
      <c r="C1638" t="s">
        <v>170</v>
      </c>
      <c r="D1638" t="s">
        <v>171</v>
      </c>
      <c r="E1638" t="s">
        <v>108</v>
      </c>
      <c r="F1638" t="s">
        <v>7</v>
      </c>
    </row>
    <row r="1639" spans="1:7" x14ac:dyDescent="0.3">
      <c r="A1639">
        <v>2020</v>
      </c>
      <c r="B1639" t="s">
        <v>61</v>
      </c>
      <c r="C1639" t="s">
        <v>170</v>
      </c>
      <c r="D1639" t="s">
        <v>171</v>
      </c>
      <c r="E1639" t="s">
        <v>91</v>
      </c>
      <c r="F1639" t="s">
        <v>7</v>
      </c>
      <c r="G1639">
        <v>52</v>
      </c>
    </row>
    <row r="1640" spans="1:7" x14ac:dyDescent="0.3">
      <c r="A1640">
        <v>2020</v>
      </c>
      <c r="B1640" t="s">
        <v>61</v>
      </c>
      <c r="C1640" t="s">
        <v>170</v>
      </c>
      <c r="D1640" t="s">
        <v>171</v>
      </c>
      <c r="E1640" t="s">
        <v>109</v>
      </c>
      <c r="F1640" t="s">
        <v>7</v>
      </c>
      <c r="G1640">
        <v>17</v>
      </c>
    </row>
    <row r="1641" spans="1:7" x14ac:dyDescent="0.3">
      <c r="A1641">
        <v>2020</v>
      </c>
      <c r="B1641" t="s">
        <v>61</v>
      </c>
      <c r="C1641" t="s">
        <v>170</v>
      </c>
      <c r="D1641" t="s">
        <v>171</v>
      </c>
      <c r="E1641" t="s">
        <v>110</v>
      </c>
      <c r="F1641" t="s">
        <v>7</v>
      </c>
      <c r="G1641">
        <v>6</v>
      </c>
    </row>
    <row r="1642" spans="1:7" x14ac:dyDescent="0.3">
      <c r="A1642">
        <v>2020</v>
      </c>
      <c r="B1642" t="s">
        <v>54</v>
      </c>
      <c r="C1642" t="s">
        <v>170</v>
      </c>
      <c r="D1642" t="s">
        <v>171</v>
      </c>
      <c r="E1642" t="s">
        <v>108</v>
      </c>
      <c r="F1642" t="s">
        <v>7</v>
      </c>
      <c r="G1642">
        <v>30</v>
      </c>
    </row>
    <row r="1643" spans="1:7" x14ac:dyDescent="0.3">
      <c r="A1643">
        <v>2020</v>
      </c>
      <c r="B1643" t="s">
        <v>54</v>
      </c>
      <c r="C1643" t="s">
        <v>170</v>
      </c>
      <c r="D1643" t="s">
        <v>171</v>
      </c>
      <c r="E1643" t="s">
        <v>91</v>
      </c>
      <c r="F1643" t="s">
        <v>7</v>
      </c>
      <c r="G1643">
        <v>2</v>
      </c>
    </row>
    <row r="1644" spans="1:7" x14ac:dyDescent="0.3">
      <c r="A1644">
        <v>2020</v>
      </c>
      <c r="B1644" t="s">
        <v>54</v>
      </c>
      <c r="C1644" t="s">
        <v>170</v>
      </c>
      <c r="D1644" t="s">
        <v>171</v>
      </c>
      <c r="E1644" t="s">
        <v>109</v>
      </c>
      <c r="F1644" t="s">
        <v>7</v>
      </c>
      <c r="G1644">
        <v>1</v>
      </c>
    </row>
    <row r="1645" spans="1:7" x14ac:dyDescent="0.3">
      <c r="A1645">
        <v>2020</v>
      </c>
      <c r="B1645" t="s">
        <v>54</v>
      </c>
      <c r="C1645" t="s">
        <v>170</v>
      </c>
      <c r="D1645" t="s">
        <v>171</v>
      </c>
      <c r="E1645" t="s">
        <v>110</v>
      </c>
      <c r="F1645" t="s">
        <v>7</v>
      </c>
      <c r="G1645">
        <v>0</v>
      </c>
    </row>
    <row r="1646" spans="1:7" x14ac:dyDescent="0.3">
      <c r="A1646">
        <v>2020</v>
      </c>
      <c r="B1646" t="s">
        <v>62</v>
      </c>
      <c r="C1646" t="s">
        <v>170</v>
      </c>
      <c r="D1646" t="s">
        <v>171</v>
      </c>
      <c r="E1646" t="s">
        <v>108</v>
      </c>
      <c r="F1646" t="s">
        <v>7</v>
      </c>
      <c r="G1646">
        <v>25</v>
      </c>
    </row>
    <row r="1647" spans="1:7" x14ac:dyDescent="0.3">
      <c r="A1647">
        <v>2020</v>
      </c>
      <c r="B1647" t="s">
        <v>62</v>
      </c>
      <c r="C1647" t="s">
        <v>170</v>
      </c>
      <c r="D1647" t="s">
        <v>171</v>
      </c>
      <c r="E1647" t="s">
        <v>91</v>
      </c>
      <c r="F1647" t="s">
        <v>7</v>
      </c>
      <c r="G1647">
        <v>24</v>
      </c>
    </row>
    <row r="1648" spans="1:7" x14ac:dyDescent="0.3">
      <c r="A1648">
        <v>2020</v>
      </c>
      <c r="B1648" t="s">
        <v>62</v>
      </c>
      <c r="C1648" t="s">
        <v>170</v>
      </c>
      <c r="D1648" t="s">
        <v>171</v>
      </c>
      <c r="E1648" t="s">
        <v>109</v>
      </c>
      <c r="F1648" t="s">
        <v>7</v>
      </c>
      <c r="G1648">
        <v>11</v>
      </c>
    </row>
    <row r="1649" spans="1:7" x14ac:dyDescent="0.3">
      <c r="A1649">
        <v>2020</v>
      </c>
      <c r="B1649" t="s">
        <v>62</v>
      </c>
      <c r="C1649" t="s">
        <v>170</v>
      </c>
      <c r="D1649" t="s">
        <v>171</v>
      </c>
      <c r="E1649" t="s">
        <v>110</v>
      </c>
      <c r="F1649" t="s">
        <v>7</v>
      </c>
      <c r="G1649">
        <v>1</v>
      </c>
    </row>
    <row r="1650" spans="1:7" x14ac:dyDescent="0.3">
      <c r="A1650">
        <v>2020</v>
      </c>
      <c r="B1650" t="s">
        <v>28</v>
      </c>
      <c r="C1650" t="s">
        <v>170</v>
      </c>
      <c r="D1650" t="s">
        <v>171</v>
      </c>
      <c r="E1650" t="s">
        <v>108</v>
      </c>
      <c r="F1650" t="s">
        <v>7</v>
      </c>
      <c r="G1650">
        <v>77</v>
      </c>
    </row>
    <row r="1651" spans="1:7" x14ac:dyDescent="0.3">
      <c r="A1651">
        <v>2020</v>
      </c>
      <c r="B1651" t="s">
        <v>28</v>
      </c>
      <c r="C1651" t="s">
        <v>170</v>
      </c>
      <c r="D1651" t="s">
        <v>171</v>
      </c>
      <c r="E1651" t="s">
        <v>91</v>
      </c>
      <c r="F1651" t="s">
        <v>7</v>
      </c>
      <c r="G1651">
        <v>10</v>
      </c>
    </row>
    <row r="1652" spans="1:7" x14ac:dyDescent="0.3">
      <c r="A1652">
        <v>2020</v>
      </c>
      <c r="B1652" t="s">
        <v>28</v>
      </c>
      <c r="C1652" t="s">
        <v>170</v>
      </c>
      <c r="D1652" t="s">
        <v>171</v>
      </c>
      <c r="E1652" t="s">
        <v>109</v>
      </c>
      <c r="F1652" t="s">
        <v>7</v>
      </c>
      <c r="G1652">
        <v>60</v>
      </c>
    </row>
    <row r="1653" spans="1:7" x14ac:dyDescent="0.3">
      <c r="A1653">
        <v>2020</v>
      </c>
      <c r="B1653" t="s">
        <v>28</v>
      </c>
      <c r="C1653" t="s">
        <v>170</v>
      </c>
      <c r="D1653" t="s">
        <v>171</v>
      </c>
      <c r="E1653" t="s">
        <v>110</v>
      </c>
      <c r="F1653" t="s">
        <v>7</v>
      </c>
      <c r="G1653">
        <v>5</v>
      </c>
    </row>
    <row r="1654" spans="1:7" x14ac:dyDescent="0.3">
      <c r="A1654">
        <v>2020</v>
      </c>
      <c r="B1654" t="s">
        <v>43</v>
      </c>
      <c r="C1654" t="s">
        <v>170</v>
      </c>
      <c r="D1654" t="s">
        <v>171</v>
      </c>
      <c r="E1654" t="s">
        <v>108</v>
      </c>
      <c r="F1654" t="s">
        <v>7</v>
      </c>
    </row>
    <row r="1655" spans="1:7" x14ac:dyDescent="0.3">
      <c r="A1655">
        <v>2020</v>
      </c>
      <c r="B1655" t="s">
        <v>43</v>
      </c>
      <c r="C1655" t="s">
        <v>170</v>
      </c>
      <c r="D1655" t="s">
        <v>171</v>
      </c>
      <c r="E1655" t="s">
        <v>91</v>
      </c>
      <c r="F1655" t="s">
        <v>7</v>
      </c>
    </row>
    <row r="1656" spans="1:7" x14ac:dyDescent="0.3">
      <c r="A1656">
        <v>2020</v>
      </c>
      <c r="B1656" t="s">
        <v>43</v>
      </c>
      <c r="C1656" t="s">
        <v>170</v>
      </c>
      <c r="D1656" t="s">
        <v>171</v>
      </c>
      <c r="E1656" t="s">
        <v>109</v>
      </c>
      <c r="F1656" t="s">
        <v>7</v>
      </c>
    </row>
    <row r="1657" spans="1:7" x14ac:dyDescent="0.3">
      <c r="A1657">
        <v>2020</v>
      </c>
      <c r="B1657" t="s">
        <v>43</v>
      </c>
      <c r="C1657" t="s">
        <v>170</v>
      </c>
      <c r="D1657" t="s">
        <v>171</v>
      </c>
      <c r="E1657" t="s">
        <v>110</v>
      </c>
      <c r="F1657" t="s">
        <v>7</v>
      </c>
      <c r="G1657">
        <v>11</v>
      </c>
    </row>
    <row r="1658" spans="1:7" x14ac:dyDescent="0.3">
      <c r="A1658">
        <v>2020</v>
      </c>
      <c r="B1658" t="s">
        <v>17</v>
      </c>
      <c r="C1658" t="s">
        <v>170</v>
      </c>
      <c r="D1658" t="s">
        <v>171</v>
      </c>
      <c r="E1658" t="s">
        <v>108</v>
      </c>
      <c r="F1658" t="s">
        <v>114</v>
      </c>
    </row>
    <row r="1659" spans="1:7" x14ac:dyDescent="0.3">
      <c r="A1659">
        <v>2020</v>
      </c>
      <c r="B1659" t="s">
        <v>17</v>
      </c>
      <c r="C1659" t="s">
        <v>170</v>
      </c>
      <c r="D1659" t="s">
        <v>171</v>
      </c>
      <c r="E1659" t="s">
        <v>91</v>
      </c>
      <c r="F1659" t="s">
        <v>114</v>
      </c>
    </row>
    <row r="1660" spans="1:7" x14ac:dyDescent="0.3">
      <c r="A1660">
        <v>2020</v>
      </c>
      <c r="B1660" t="s">
        <v>17</v>
      </c>
      <c r="C1660" t="s">
        <v>170</v>
      </c>
      <c r="D1660" t="s">
        <v>171</v>
      </c>
      <c r="E1660" t="s">
        <v>109</v>
      </c>
      <c r="F1660" t="s">
        <v>114</v>
      </c>
      <c r="G1660">
        <v>1</v>
      </c>
    </row>
    <row r="1661" spans="1:7" x14ac:dyDescent="0.3">
      <c r="A1661">
        <v>2020</v>
      </c>
      <c r="B1661" t="s">
        <v>17</v>
      </c>
      <c r="C1661" t="s">
        <v>170</v>
      </c>
      <c r="D1661" t="s">
        <v>171</v>
      </c>
      <c r="E1661" t="s">
        <v>110</v>
      </c>
      <c r="F1661" t="s">
        <v>114</v>
      </c>
    </row>
    <row r="1662" spans="1:7" x14ac:dyDescent="0.3">
      <c r="A1662">
        <v>2020</v>
      </c>
      <c r="B1662" t="s">
        <v>18</v>
      </c>
      <c r="C1662" t="s">
        <v>170</v>
      </c>
      <c r="D1662" t="s">
        <v>171</v>
      </c>
      <c r="E1662" t="s">
        <v>108</v>
      </c>
      <c r="F1662" t="s">
        <v>114</v>
      </c>
      <c r="G1662">
        <v>0</v>
      </c>
    </row>
    <row r="1663" spans="1:7" x14ac:dyDescent="0.3">
      <c r="A1663">
        <v>2020</v>
      </c>
      <c r="B1663" t="s">
        <v>18</v>
      </c>
      <c r="C1663" t="s">
        <v>170</v>
      </c>
      <c r="D1663" t="s">
        <v>171</v>
      </c>
      <c r="E1663" t="s">
        <v>91</v>
      </c>
      <c r="F1663" t="s">
        <v>114</v>
      </c>
      <c r="G1663">
        <v>1</v>
      </c>
    </row>
    <row r="1664" spans="1:7" x14ac:dyDescent="0.3">
      <c r="A1664">
        <v>2020</v>
      </c>
      <c r="B1664" t="s">
        <v>18</v>
      </c>
      <c r="C1664" t="s">
        <v>170</v>
      </c>
      <c r="D1664" t="s">
        <v>171</v>
      </c>
      <c r="E1664" t="s">
        <v>109</v>
      </c>
      <c r="F1664" t="s">
        <v>114</v>
      </c>
      <c r="G1664">
        <v>0</v>
      </c>
    </row>
    <row r="1665" spans="1:7" x14ac:dyDescent="0.3">
      <c r="A1665">
        <v>2020</v>
      </c>
      <c r="B1665" t="s">
        <v>18</v>
      </c>
      <c r="C1665" t="s">
        <v>170</v>
      </c>
      <c r="D1665" t="s">
        <v>171</v>
      </c>
      <c r="E1665" t="s">
        <v>110</v>
      </c>
      <c r="F1665" t="s">
        <v>114</v>
      </c>
      <c r="G1665">
        <v>0</v>
      </c>
    </row>
    <row r="1666" spans="1:7" x14ac:dyDescent="0.3">
      <c r="A1666">
        <v>2020</v>
      </c>
      <c r="B1666" t="s">
        <v>19</v>
      </c>
      <c r="C1666" t="s">
        <v>170</v>
      </c>
      <c r="D1666" t="s">
        <v>171</v>
      </c>
      <c r="E1666" t="s">
        <v>108</v>
      </c>
      <c r="F1666" t="s">
        <v>114</v>
      </c>
      <c r="G1666">
        <v>1</v>
      </c>
    </row>
    <row r="1667" spans="1:7" x14ac:dyDescent="0.3">
      <c r="A1667">
        <v>2020</v>
      </c>
      <c r="B1667" t="s">
        <v>19</v>
      </c>
      <c r="C1667" t="s">
        <v>170</v>
      </c>
      <c r="D1667" t="s">
        <v>171</v>
      </c>
      <c r="E1667" t="s">
        <v>91</v>
      </c>
      <c r="F1667" t="s">
        <v>114</v>
      </c>
      <c r="G1667">
        <v>1</v>
      </c>
    </row>
    <row r="1668" spans="1:7" x14ac:dyDescent="0.3">
      <c r="A1668">
        <v>2020</v>
      </c>
      <c r="B1668" t="s">
        <v>19</v>
      </c>
      <c r="C1668" t="s">
        <v>170</v>
      </c>
      <c r="D1668" t="s">
        <v>171</v>
      </c>
      <c r="E1668" t="s">
        <v>109</v>
      </c>
      <c r="F1668" t="s">
        <v>114</v>
      </c>
      <c r="G1668">
        <v>1</v>
      </c>
    </row>
    <row r="1669" spans="1:7" x14ac:dyDescent="0.3">
      <c r="A1669">
        <v>2020</v>
      </c>
      <c r="B1669" t="s">
        <v>19</v>
      </c>
      <c r="C1669" t="s">
        <v>170</v>
      </c>
      <c r="D1669" t="s">
        <v>171</v>
      </c>
      <c r="E1669" t="s">
        <v>110</v>
      </c>
      <c r="F1669" t="s">
        <v>114</v>
      </c>
      <c r="G1669">
        <v>0</v>
      </c>
    </row>
    <row r="1670" spans="1:7" x14ac:dyDescent="0.3">
      <c r="A1670">
        <v>2020</v>
      </c>
      <c r="B1670" t="s">
        <v>20</v>
      </c>
      <c r="C1670" t="s">
        <v>170</v>
      </c>
      <c r="D1670" t="s">
        <v>171</v>
      </c>
      <c r="E1670" t="s">
        <v>108</v>
      </c>
      <c r="F1670" t="s">
        <v>114</v>
      </c>
    </row>
    <row r="1671" spans="1:7" x14ac:dyDescent="0.3">
      <c r="A1671">
        <v>2020</v>
      </c>
      <c r="B1671" t="s">
        <v>20</v>
      </c>
      <c r="C1671" t="s">
        <v>170</v>
      </c>
      <c r="D1671" t="s">
        <v>171</v>
      </c>
      <c r="E1671" t="s">
        <v>91</v>
      </c>
      <c r="F1671" t="s">
        <v>114</v>
      </c>
    </row>
    <row r="1672" spans="1:7" x14ac:dyDescent="0.3">
      <c r="A1672">
        <v>2020</v>
      </c>
      <c r="B1672" t="s">
        <v>20</v>
      </c>
      <c r="C1672" t="s">
        <v>170</v>
      </c>
      <c r="D1672" t="s">
        <v>171</v>
      </c>
      <c r="E1672" t="s">
        <v>109</v>
      </c>
      <c r="F1672" t="s">
        <v>114</v>
      </c>
    </row>
    <row r="1673" spans="1:7" x14ac:dyDescent="0.3">
      <c r="A1673">
        <v>2020</v>
      </c>
      <c r="B1673" t="s">
        <v>20</v>
      </c>
      <c r="C1673" t="s">
        <v>170</v>
      </c>
      <c r="D1673" t="s">
        <v>171</v>
      </c>
      <c r="E1673" t="s">
        <v>110</v>
      </c>
      <c r="F1673" t="s">
        <v>114</v>
      </c>
    </row>
    <row r="1674" spans="1:7" x14ac:dyDescent="0.3">
      <c r="A1674">
        <v>2020</v>
      </c>
      <c r="B1674" t="s">
        <v>21</v>
      </c>
      <c r="C1674" t="s">
        <v>170</v>
      </c>
      <c r="D1674" t="s">
        <v>171</v>
      </c>
      <c r="E1674" t="s">
        <v>108</v>
      </c>
      <c r="F1674" t="s">
        <v>114</v>
      </c>
      <c r="G1674">
        <v>1</v>
      </c>
    </row>
    <row r="1675" spans="1:7" x14ac:dyDescent="0.3">
      <c r="A1675">
        <v>2020</v>
      </c>
      <c r="B1675" t="s">
        <v>21</v>
      </c>
      <c r="C1675" t="s">
        <v>170</v>
      </c>
      <c r="D1675" t="s">
        <v>171</v>
      </c>
      <c r="E1675" t="s">
        <v>91</v>
      </c>
      <c r="F1675" t="s">
        <v>114</v>
      </c>
    </row>
    <row r="1676" spans="1:7" x14ac:dyDescent="0.3">
      <c r="A1676">
        <v>2020</v>
      </c>
      <c r="B1676" t="s">
        <v>21</v>
      </c>
      <c r="C1676" t="s">
        <v>170</v>
      </c>
      <c r="D1676" t="s">
        <v>171</v>
      </c>
      <c r="E1676" t="s">
        <v>109</v>
      </c>
      <c r="F1676" t="s">
        <v>114</v>
      </c>
    </row>
    <row r="1677" spans="1:7" x14ac:dyDescent="0.3">
      <c r="A1677">
        <v>2020</v>
      </c>
      <c r="B1677" t="s">
        <v>21</v>
      </c>
      <c r="C1677" t="s">
        <v>170</v>
      </c>
      <c r="D1677" t="s">
        <v>171</v>
      </c>
      <c r="E1677" t="s">
        <v>110</v>
      </c>
      <c r="F1677" t="s">
        <v>114</v>
      </c>
    </row>
    <row r="1678" spans="1:7" x14ac:dyDescent="0.3">
      <c r="A1678">
        <v>2020</v>
      </c>
      <c r="B1678" t="s">
        <v>22</v>
      </c>
      <c r="C1678" t="s">
        <v>170</v>
      </c>
      <c r="D1678" t="s">
        <v>171</v>
      </c>
      <c r="E1678" t="s">
        <v>108</v>
      </c>
      <c r="F1678" t="s">
        <v>114</v>
      </c>
      <c r="G1678">
        <v>1</v>
      </c>
    </row>
    <row r="1679" spans="1:7" x14ac:dyDescent="0.3">
      <c r="A1679">
        <v>2020</v>
      </c>
      <c r="B1679" t="s">
        <v>22</v>
      </c>
      <c r="C1679" t="s">
        <v>170</v>
      </c>
      <c r="D1679" t="s">
        <v>171</v>
      </c>
      <c r="E1679" t="s">
        <v>91</v>
      </c>
      <c r="F1679" t="s">
        <v>114</v>
      </c>
      <c r="G1679">
        <v>0</v>
      </c>
    </row>
    <row r="1680" spans="1:7" x14ac:dyDescent="0.3">
      <c r="A1680">
        <v>2020</v>
      </c>
      <c r="B1680" t="s">
        <v>22</v>
      </c>
      <c r="C1680" t="s">
        <v>170</v>
      </c>
      <c r="D1680" t="s">
        <v>171</v>
      </c>
      <c r="E1680" t="s">
        <v>109</v>
      </c>
      <c r="F1680" t="s">
        <v>114</v>
      </c>
      <c r="G1680">
        <v>0</v>
      </c>
    </row>
    <row r="1681" spans="1:7" x14ac:dyDescent="0.3">
      <c r="A1681">
        <v>2020</v>
      </c>
      <c r="B1681" t="s">
        <v>22</v>
      </c>
      <c r="C1681" t="s">
        <v>170</v>
      </c>
      <c r="D1681" t="s">
        <v>171</v>
      </c>
      <c r="E1681" t="s">
        <v>110</v>
      </c>
      <c r="F1681" t="s">
        <v>114</v>
      </c>
      <c r="G1681">
        <v>0</v>
      </c>
    </row>
    <row r="1682" spans="1:7" x14ac:dyDescent="0.3">
      <c r="A1682">
        <v>2020</v>
      </c>
      <c r="B1682" t="s">
        <v>23</v>
      </c>
      <c r="C1682" t="s">
        <v>170</v>
      </c>
      <c r="D1682" t="s">
        <v>171</v>
      </c>
      <c r="E1682" t="s">
        <v>108</v>
      </c>
      <c r="F1682" t="s">
        <v>114</v>
      </c>
      <c r="G1682">
        <v>1</v>
      </c>
    </row>
    <row r="1683" spans="1:7" x14ac:dyDescent="0.3">
      <c r="A1683">
        <v>2020</v>
      </c>
      <c r="B1683" t="s">
        <v>23</v>
      </c>
      <c r="C1683" t="s">
        <v>170</v>
      </c>
      <c r="D1683" t="s">
        <v>171</v>
      </c>
      <c r="E1683" t="s">
        <v>91</v>
      </c>
      <c r="F1683" t="s">
        <v>114</v>
      </c>
      <c r="G1683">
        <v>0</v>
      </c>
    </row>
    <row r="1684" spans="1:7" x14ac:dyDescent="0.3">
      <c r="A1684">
        <v>2020</v>
      </c>
      <c r="B1684" t="s">
        <v>23</v>
      </c>
      <c r="C1684" t="s">
        <v>170</v>
      </c>
      <c r="D1684" t="s">
        <v>171</v>
      </c>
      <c r="E1684" t="s">
        <v>109</v>
      </c>
      <c r="F1684" t="s">
        <v>114</v>
      </c>
      <c r="G1684">
        <v>0</v>
      </c>
    </row>
    <row r="1685" spans="1:7" x14ac:dyDescent="0.3">
      <c r="A1685">
        <v>2020</v>
      </c>
      <c r="B1685" t="s">
        <v>23</v>
      </c>
      <c r="C1685" t="s">
        <v>170</v>
      </c>
      <c r="D1685" t="s">
        <v>171</v>
      </c>
      <c r="E1685" t="s">
        <v>110</v>
      </c>
      <c r="F1685" t="s">
        <v>114</v>
      </c>
      <c r="G1685">
        <v>0</v>
      </c>
    </row>
    <row r="1686" spans="1:7" x14ac:dyDescent="0.3">
      <c r="A1686">
        <v>2020</v>
      </c>
      <c r="B1686" t="s">
        <v>24</v>
      </c>
      <c r="C1686" t="s">
        <v>170</v>
      </c>
      <c r="D1686" t="s">
        <v>171</v>
      </c>
      <c r="E1686" t="s">
        <v>108</v>
      </c>
      <c r="F1686" t="s">
        <v>114</v>
      </c>
    </row>
    <row r="1687" spans="1:7" x14ac:dyDescent="0.3">
      <c r="A1687">
        <v>2020</v>
      </c>
      <c r="B1687" t="s">
        <v>24</v>
      </c>
      <c r="C1687" t="s">
        <v>170</v>
      </c>
      <c r="D1687" t="s">
        <v>171</v>
      </c>
      <c r="E1687" t="s">
        <v>91</v>
      </c>
      <c r="F1687" t="s">
        <v>114</v>
      </c>
    </row>
    <row r="1688" spans="1:7" x14ac:dyDescent="0.3">
      <c r="A1688">
        <v>2020</v>
      </c>
      <c r="B1688" t="s">
        <v>24</v>
      </c>
      <c r="C1688" t="s">
        <v>170</v>
      </c>
      <c r="D1688" t="s">
        <v>171</v>
      </c>
      <c r="E1688" t="s">
        <v>109</v>
      </c>
      <c r="F1688" t="s">
        <v>114</v>
      </c>
    </row>
    <row r="1689" spans="1:7" x14ac:dyDescent="0.3">
      <c r="A1689">
        <v>2020</v>
      </c>
      <c r="B1689" t="s">
        <v>24</v>
      </c>
      <c r="C1689" t="s">
        <v>170</v>
      </c>
      <c r="D1689" t="s">
        <v>171</v>
      </c>
      <c r="E1689" t="s">
        <v>110</v>
      </c>
      <c r="F1689" t="s">
        <v>114</v>
      </c>
    </row>
    <row r="1690" spans="1:7" x14ac:dyDescent="0.3">
      <c r="A1690">
        <v>2020</v>
      </c>
      <c r="B1690" t="s">
        <v>25</v>
      </c>
      <c r="C1690" t="s">
        <v>170</v>
      </c>
      <c r="D1690" t="s">
        <v>171</v>
      </c>
      <c r="E1690" t="s">
        <v>108</v>
      </c>
      <c r="F1690" t="s">
        <v>114</v>
      </c>
    </row>
    <row r="1691" spans="1:7" x14ac:dyDescent="0.3">
      <c r="A1691">
        <v>2020</v>
      </c>
      <c r="B1691" t="s">
        <v>25</v>
      </c>
      <c r="C1691" t="s">
        <v>170</v>
      </c>
      <c r="D1691" t="s">
        <v>171</v>
      </c>
      <c r="E1691" t="s">
        <v>91</v>
      </c>
      <c r="F1691" t="s">
        <v>114</v>
      </c>
    </row>
    <row r="1692" spans="1:7" x14ac:dyDescent="0.3">
      <c r="A1692">
        <v>2020</v>
      </c>
      <c r="B1692" t="s">
        <v>25</v>
      </c>
      <c r="C1692" t="s">
        <v>170</v>
      </c>
      <c r="D1692" t="s">
        <v>171</v>
      </c>
      <c r="E1692" t="s">
        <v>109</v>
      </c>
      <c r="F1692" t="s">
        <v>114</v>
      </c>
    </row>
    <row r="1693" spans="1:7" x14ac:dyDescent="0.3">
      <c r="A1693">
        <v>2020</v>
      </c>
      <c r="B1693" t="s">
        <v>25</v>
      </c>
      <c r="C1693" t="s">
        <v>170</v>
      </c>
      <c r="D1693" t="s">
        <v>171</v>
      </c>
      <c r="E1693" t="s">
        <v>110</v>
      </c>
      <c r="F1693" t="s">
        <v>114</v>
      </c>
    </row>
    <row r="1694" spans="1:7" x14ac:dyDescent="0.3">
      <c r="A1694">
        <v>2020</v>
      </c>
      <c r="B1694" t="s">
        <v>26</v>
      </c>
      <c r="C1694" t="s">
        <v>170</v>
      </c>
      <c r="D1694" t="s">
        <v>171</v>
      </c>
      <c r="E1694" t="s">
        <v>108</v>
      </c>
      <c r="F1694" t="s">
        <v>114</v>
      </c>
      <c r="G1694">
        <v>2</v>
      </c>
    </row>
    <row r="1695" spans="1:7" x14ac:dyDescent="0.3">
      <c r="A1695">
        <v>2020</v>
      </c>
      <c r="B1695" t="s">
        <v>26</v>
      </c>
      <c r="C1695" t="s">
        <v>170</v>
      </c>
      <c r="D1695" t="s">
        <v>171</v>
      </c>
      <c r="E1695" t="s">
        <v>91</v>
      </c>
      <c r="F1695" t="s">
        <v>114</v>
      </c>
    </row>
    <row r="1696" spans="1:7" x14ac:dyDescent="0.3">
      <c r="A1696">
        <v>2020</v>
      </c>
      <c r="B1696" t="s">
        <v>26</v>
      </c>
      <c r="C1696" t="s">
        <v>170</v>
      </c>
      <c r="D1696" t="s">
        <v>171</v>
      </c>
      <c r="E1696" t="s">
        <v>109</v>
      </c>
      <c r="F1696" t="s">
        <v>114</v>
      </c>
    </row>
    <row r="1697" spans="1:7" x14ac:dyDescent="0.3">
      <c r="A1697">
        <v>2020</v>
      </c>
      <c r="B1697" t="s">
        <v>26</v>
      </c>
      <c r="C1697" t="s">
        <v>170</v>
      </c>
      <c r="D1697" t="s">
        <v>171</v>
      </c>
      <c r="E1697" t="s">
        <v>110</v>
      </c>
      <c r="F1697" t="s">
        <v>114</v>
      </c>
    </row>
    <row r="1698" spans="1:7" x14ac:dyDescent="0.3">
      <c r="A1698">
        <v>2020</v>
      </c>
      <c r="B1698" t="s">
        <v>27</v>
      </c>
      <c r="C1698" t="s">
        <v>170</v>
      </c>
      <c r="D1698" t="s">
        <v>171</v>
      </c>
      <c r="E1698" t="s">
        <v>108</v>
      </c>
      <c r="F1698" t="s">
        <v>114</v>
      </c>
      <c r="G1698">
        <v>6</v>
      </c>
    </row>
    <row r="1699" spans="1:7" x14ac:dyDescent="0.3">
      <c r="A1699">
        <v>2020</v>
      </c>
      <c r="B1699" t="s">
        <v>27</v>
      </c>
      <c r="C1699" t="s">
        <v>170</v>
      </c>
      <c r="D1699" t="s">
        <v>171</v>
      </c>
      <c r="E1699" t="s">
        <v>91</v>
      </c>
      <c r="F1699" t="s">
        <v>114</v>
      </c>
      <c r="G1699">
        <v>0</v>
      </c>
    </row>
    <row r="1700" spans="1:7" x14ac:dyDescent="0.3">
      <c r="A1700">
        <v>2020</v>
      </c>
      <c r="B1700" t="s">
        <v>27</v>
      </c>
      <c r="C1700" t="s">
        <v>170</v>
      </c>
      <c r="D1700" t="s">
        <v>171</v>
      </c>
      <c r="E1700" t="s">
        <v>109</v>
      </c>
      <c r="F1700" t="s">
        <v>114</v>
      </c>
      <c r="G1700">
        <v>0</v>
      </c>
    </row>
    <row r="1701" spans="1:7" x14ac:dyDescent="0.3">
      <c r="A1701">
        <v>2020</v>
      </c>
      <c r="B1701" t="s">
        <v>27</v>
      </c>
      <c r="C1701" t="s">
        <v>170</v>
      </c>
      <c r="D1701" t="s">
        <v>171</v>
      </c>
      <c r="E1701" t="s">
        <v>110</v>
      </c>
      <c r="F1701" t="s">
        <v>114</v>
      </c>
      <c r="G1701">
        <v>0</v>
      </c>
    </row>
    <row r="1702" spans="1:7" x14ac:dyDescent="0.3">
      <c r="A1702">
        <v>2020</v>
      </c>
      <c r="B1702" t="s">
        <v>29</v>
      </c>
      <c r="C1702" t="s">
        <v>170</v>
      </c>
      <c r="D1702" t="s">
        <v>171</v>
      </c>
      <c r="E1702" t="s">
        <v>108</v>
      </c>
      <c r="F1702" t="s">
        <v>114</v>
      </c>
      <c r="G1702">
        <v>1</v>
      </c>
    </row>
    <row r="1703" spans="1:7" x14ac:dyDescent="0.3">
      <c r="A1703">
        <v>2020</v>
      </c>
      <c r="B1703" t="s">
        <v>29</v>
      </c>
      <c r="C1703" t="s">
        <v>170</v>
      </c>
      <c r="D1703" t="s">
        <v>171</v>
      </c>
      <c r="E1703" t="s">
        <v>91</v>
      </c>
      <c r="F1703" t="s">
        <v>114</v>
      </c>
    </row>
    <row r="1704" spans="1:7" x14ac:dyDescent="0.3">
      <c r="A1704">
        <v>2020</v>
      </c>
      <c r="B1704" t="s">
        <v>29</v>
      </c>
      <c r="C1704" t="s">
        <v>170</v>
      </c>
      <c r="D1704" t="s">
        <v>171</v>
      </c>
      <c r="E1704" t="s">
        <v>109</v>
      </c>
      <c r="F1704" t="s">
        <v>114</v>
      </c>
    </row>
    <row r="1705" spans="1:7" x14ac:dyDescent="0.3">
      <c r="A1705">
        <v>2020</v>
      </c>
      <c r="B1705" t="s">
        <v>29</v>
      </c>
      <c r="C1705" t="s">
        <v>170</v>
      </c>
      <c r="D1705" t="s">
        <v>171</v>
      </c>
      <c r="E1705" t="s">
        <v>110</v>
      </c>
      <c r="F1705" t="s">
        <v>114</v>
      </c>
    </row>
    <row r="1706" spans="1:7" x14ac:dyDescent="0.3">
      <c r="A1706">
        <v>2020</v>
      </c>
      <c r="B1706" t="s">
        <v>30</v>
      </c>
      <c r="C1706" t="s">
        <v>170</v>
      </c>
      <c r="D1706" t="s">
        <v>171</v>
      </c>
      <c r="E1706" t="s">
        <v>108</v>
      </c>
      <c r="F1706" t="s">
        <v>114</v>
      </c>
      <c r="G1706">
        <v>0</v>
      </c>
    </row>
    <row r="1707" spans="1:7" x14ac:dyDescent="0.3">
      <c r="A1707">
        <v>2020</v>
      </c>
      <c r="B1707" t="s">
        <v>30</v>
      </c>
      <c r="C1707" t="s">
        <v>170</v>
      </c>
      <c r="D1707" t="s">
        <v>171</v>
      </c>
      <c r="E1707" t="s">
        <v>91</v>
      </c>
      <c r="F1707" t="s">
        <v>114</v>
      </c>
      <c r="G1707">
        <v>0</v>
      </c>
    </row>
    <row r="1708" spans="1:7" x14ac:dyDescent="0.3">
      <c r="A1708">
        <v>2020</v>
      </c>
      <c r="B1708" t="s">
        <v>30</v>
      </c>
      <c r="C1708" t="s">
        <v>170</v>
      </c>
      <c r="D1708" t="s">
        <v>171</v>
      </c>
      <c r="E1708" t="s">
        <v>109</v>
      </c>
      <c r="F1708" t="s">
        <v>114</v>
      </c>
      <c r="G1708">
        <v>0</v>
      </c>
    </row>
    <row r="1709" spans="1:7" x14ac:dyDescent="0.3">
      <c r="A1709">
        <v>2020</v>
      </c>
      <c r="B1709" t="s">
        <v>30</v>
      </c>
      <c r="C1709" t="s">
        <v>170</v>
      </c>
      <c r="D1709" t="s">
        <v>171</v>
      </c>
      <c r="E1709" t="s">
        <v>110</v>
      </c>
      <c r="F1709" t="s">
        <v>114</v>
      </c>
      <c r="G1709">
        <v>1</v>
      </c>
    </row>
    <row r="1710" spans="1:7" x14ac:dyDescent="0.3">
      <c r="A1710">
        <v>2020</v>
      </c>
      <c r="B1710" t="s">
        <v>31</v>
      </c>
      <c r="C1710" t="s">
        <v>170</v>
      </c>
      <c r="D1710" t="s">
        <v>171</v>
      </c>
      <c r="E1710" t="s">
        <v>108</v>
      </c>
      <c r="F1710" t="s">
        <v>114</v>
      </c>
      <c r="G1710">
        <v>1</v>
      </c>
    </row>
    <row r="1711" spans="1:7" x14ac:dyDescent="0.3">
      <c r="A1711">
        <v>2020</v>
      </c>
      <c r="B1711" t="s">
        <v>31</v>
      </c>
      <c r="C1711" t="s">
        <v>170</v>
      </c>
      <c r="D1711" t="s">
        <v>171</v>
      </c>
      <c r="E1711" t="s">
        <v>91</v>
      </c>
      <c r="F1711" t="s">
        <v>114</v>
      </c>
      <c r="G1711">
        <v>1</v>
      </c>
    </row>
    <row r="1712" spans="1:7" x14ac:dyDescent="0.3">
      <c r="A1712">
        <v>2020</v>
      </c>
      <c r="B1712" t="s">
        <v>31</v>
      </c>
      <c r="C1712" t="s">
        <v>170</v>
      </c>
      <c r="D1712" t="s">
        <v>171</v>
      </c>
      <c r="E1712" t="s">
        <v>109</v>
      </c>
      <c r="F1712" t="s">
        <v>114</v>
      </c>
      <c r="G1712">
        <v>1</v>
      </c>
    </row>
    <row r="1713" spans="1:7" x14ac:dyDescent="0.3">
      <c r="A1713">
        <v>2020</v>
      </c>
      <c r="B1713" t="s">
        <v>31</v>
      </c>
      <c r="C1713" t="s">
        <v>170</v>
      </c>
      <c r="D1713" t="s">
        <v>171</v>
      </c>
      <c r="E1713" t="s">
        <v>110</v>
      </c>
      <c r="F1713" t="s">
        <v>114</v>
      </c>
      <c r="G1713">
        <v>0</v>
      </c>
    </row>
    <row r="1714" spans="1:7" x14ac:dyDescent="0.3">
      <c r="A1714">
        <v>2020</v>
      </c>
      <c r="B1714" t="s">
        <v>32</v>
      </c>
      <c r="C1714" t="s">
        <v>170</v>
      </c>
      <c r="D1714" t="s">
        <v>171</v>
      </c>
      <c r="E1714" t="s">
        <v>108</v>
      </c>
      <c r="F1714" t="s">
        <v>114</v>
      </c>
    </row>
    <row r="1715" spans="1:7" x14ac:dyDescent="0.3">
      <c r="A1715">
        <v>2020</v>
      </c>
      <c r="B1715" t="s">
        <v>32</v>
      </c>
      <c r="C1715" t="s">
        <v>170</v>
      </c>
      <c r="D1715" t="s">
        <v>171</v>
      </c>
      <c r="E1715" t="s">
        <v>91</v>
      </c>
      <c r="F1715" t="s">
        <v>114</v>
      </c>
    </row>
    <row r="1716" spans="1:7" x14ac:dyDescent="0.3">
      <c r="A1716">
        <v>2020</v>
      </c>
      <c r="B1716" t="s">
        <v>32</v>
      </c>
      <c r="C1716" t="s">
        <v>170</v>
      </c>
      <c r="D1716" t="s">
        <v>171</v>
      </c>
      <c r="E1716" t="s">
        <v>109</v>
      </c>
      <c r="F1716" t="s">
        <v>114</v>
      </c>
    </row>
    <row r="1717" spans="1:7" x14ac:dyDescent="0.3">
      <c r="A1717">
        <v>2020</v>
      </c>
      <c r="B1717" t="s">
        <v>32</v>
      </c>
      <c r="C1717" t="s">
        <v>170</v>
      </c>
      <c r="D1717" t="s">
        <v>171</v>
      </c>
      <c r="E1717" t="s">
        <v>110</v>
      </c>
      <c r="F1717" t="s">
        <v>114</v>
      </c>
    </row>
    <row r="1718" spans="1:7" x14ac:dyDescent="0.3">
      <c r="A1718">
        <v>2020</v>
      </c>
      <c r="B1718" t="s">
        <v>63</v>
      </c>
      <c r="C1718" t="s">
        <v>170</v>
      </c>
      <c r="D1718" t="s">
        <v>171</v>
      </c>
      <c r="E1718" t="s">
        <v>108</v>
      </c>
      <c r="F1718" t="s">
        <v>114</v>
      </c>
      <c r="G1718">
        <v>0</v>
      </c>
    </row>
    <row r="1719" spans="1:7" x14ac:dyDescent="0.3">
      <c r="A1719">
        <v>2020</v>
      </c>
      <c r="B1719" t="s">
        <v>63</v>
      </c>
      <c r="C1719" t="s">
        <v>170</v>
      </c>
      <c r="D1719" t="s">
        <v>171</v>
      </c>
      <c r="E1719" t="s">
        <v>91</v>
      </c>
      <c r="F1719" t="s">
        <v>114</v>
      </c>
      <c r="G1719">
        <v>10</v>
      </c>
    </row>
    <row r="1720" spans="1:7" x14ac:dyDescent="0.3">
      <c r="A1720">
        <v>2020</v>
      </c>
      <c r="B1720" t="s">
        <v>63</v>
      </c>
      <c r="C1720" t="s">
        <v>170</v>
      </c>
      <c r="D1720" t="s">
        <v>171</v>
      </c>
      <c r="E1720" t="s">
        <v>109</v>
      </c>
      <c r="F1720" t="s">
        <v>114</v>
      </c>
      <c r="G1720">
        <v>6</v>
      </c>
    </row>
    <row r="1721" spans="1:7" x14ac:dyDescent="0.3">
      <c r="A1721">
        <v>2020</v>
      </c>
      <c r="B1721" t="s">
        <v>63</v>
      </c>
      <c r="C1721" t="s">
        <v>170</v>
      </c>
      <c r="D1721" t="s">
        <v>171</v>
      </c>
      <c r="E1721" t="s">
        <v>110</v>
      </c>
      <c r="F1721" t="s">
        <v>114</v>
      </c>
      <c r="G1721">
        <v>0</v>
      </c>
    </row>
    <row r="1722" spans="1:7" x14ac:dyDescent="0.3">
      <c r="A1722">
        <v>2020</v>
      </c>
      <c r="B1722" t="s">
        <v>57</v>
      </c>
      <c r="C1722" t="s">
        <v>170</v>
      </c>
      <c r="D1722" t="s">
        <v>171</v>
      </c>
      <c r="E1722" t="s">
        <v>108</v>
      </c>
      <c r="F1722" t="s">
        <v>114</v>
      </c>
    </row>
    <row r="1723" spans="1:7" x14ac:dyDescent="0.3">
      <c r="A1723">
        <v>2020</v>
      </c>
      <c r="B1723" t="s">
        <v>57</v>
      </c>
      <c r="C1723" t="s">
        <v>170</v>
      </c>
      <c r="D1723" t="s">
        <v>171</v>
      </c>
      <c r="E1723" t="s">
        <v>91</v>
      </c>
      <c r="F1723" t="s">
        <v>114</v>
      </c>
      <c r="G1723">
        <v>1</v>
      </c>
    </row>
    <row r="1724" spans="1:7" x14ac:dyDescent="0.3">
      <c r="A1724">
        <v>2020</v>
      </c>
      <c r="B1724" t="s">
        <v>57</v>
      </c>
      <c r="C1724" t="s">
        <v>170</v>
      </c>
      <c r="D1724" t="s">
        <v>171</v>
      </c>
      <c r="E1724" t="s">
        <v>109</v>
      </c>
      <c r="F1724" t="s">
        <v>114</v>
      </c>
    </row>
    <row r="1725" spans="1:7" x14ac:dyDescent="0.3">
      <c r="A1725">
        <v>2020</v>
      </c>
      <c r="B1725" t="s">
        <v>57</v>
      </c>
      <c r="C1725" t="s">
        <v>170</v>
      </c>
      <c r="D1725" t="s">
        <v>171</v>
      </c>
      <c r="E1725" t="s">
        <v>110</v>
      </c>
      <c r="F1725" t="s">
        <v>114</v>
      </c>
    </row>
    <row r="1726" spans="1:7" x14ac:dyDescent="0.3">
      <c r="A1726">
        <v>2020</v>
      </c>
      <c r="B1726" t="s">
        <v>33</v>
      </c>
      <c r="C1726" t="s">
        <v>170</v>
      </c>
      <c r="D1726" t="s">
        <v>171</v>
      </c>
      <c r="E1726" t="s">
        <v>108</v>
      </c>
      <c r="F1726" t="s">
        <v>114</v>
      </c>
      <c r="G1726">
        <v>4</v>
      </c>
    </row>
    <row r="1727" spans="1:7" x14ac:dyDescent="0.3">
      <c r="A1727">
        <v>2020</v>
      </c>
      <c r="B1727" t="s">
        <v>33</v>
      </c>
      <c r="C1727" t="s">
        <v>170</v>
      </c>
      <c r="D1727" t="s">
        <v>171</v>
      </c>
      <c r="E1727" t="s">
        <v>91</v>
      </c>
      <c r="F1727" t="s">
        <v>114</v>
      </c>
    </row>
    <row r="1728" spans="1:7" x14ac:dyDescent="0.3">
      <c r="A1728">
        <v>2020</v>
      </c>
      <c r="B1728" t="s">
        <v>33</v>
      </c>
      <c r="C1728" t="s">
        <v>170</v>
      </c>
      <c r="D1728" t="s">
        <v>171</v>
      </c>
      <c r="E1728" t="s">
        <v>109</v>
      </c>
      <c r="F1728" t="s">
        <v>114</v>
      </c>
      <c r="G1728">
        <v>2</v>
      </c>
    </row>
    <row r="1729" spans="1:7" x14ac:dyDescent="0.3">
      <c r="A1729">
        <v>2020</v>
      </c>
      <c r="B1729" t="s">
        <v>33</v>
      </c>
      <c r="C1729" t="s">
        <v>170</v>
      </c>
      <c r="D1729" t="s">
        <v>171</v>
      </c>
      <c r="E1729" t="s">
        <v>110</v>
      </c>
      <c r="F1729" t="s">
        <v>114</v>
      </c>
    </row>
    <row r="1730" spans="1:7" x14ac:dyDescent="0.3">
      <c r="A1730">
        <v>2020</v>
      </c>
      <c r="B1730" t="s">
        <v>34</v>
      </c>
      <c r="C1730" t="s">
        <v>170</v>
      </c>
      <c r="D1730" t="s">
        <v>171</v>
      </c>
      <c r="E1730" t="s">
        <v>108</v>
      </c>
      <c r="F1730" t="s">
        <v>114</v>
      </c>
      <c r="G1730">
        <v>2</v>
      </c>
    </row>
    <row r="1731" spans="1:7" x14ac:dyDescent="0.3">
      <c r="A1731">
        <v>2020</v>
      </c>
      <c r="B1731" t="s">
        <v>34</v>
      </c>
      <c r="C1731" t="s">
        <v>170</v>
      </c>
      <c r="D1731" t="s">
        <v>171</v>
      </c>
      <c r="E1731" t="s">
        <v>91</v>
      </c>
      <c r="F1731" t="s">
        <v>114</v>
      </c>
      <c r="G1731">
        <v>2</v>
      </c>
    </row>
    <row r="1732" spans="1:7" x14ac:dyDescent="0.3">
      <c r="A1732">
        <v>2020</v>
      </c>
      <c r="B1732" t="s">
        <v>34</v>
      </c>
      <c r="C1732" t="s">
        <v>170</v>
      </c>
      <c r="D1732" t="s">
        <v>171</v>
      </c>
      <c r="E1732" t="s">
        <v>109</v>
      </c>
      <c r="F1732" t="s">
        <v>114</v>
      </c>
      <c r="G1732">
        <v>9</v>
      </c>
    </row>
    <row r="1733" spans="1:7" x14ac:dyDescent="0.3">
      <c r="A1733">
        <v>2020</v>
      </c>
      <c r="B1733" t="s">
        <v>34</v>
      </c>
      <c r="C1733" t="s">
        <v>170</v>
      </c>
      <c r="D1733" t="s">
        <v>171</v>
      </c>
      <c r="E1733" t="s">
        <v>110</v>
      </c>
      <c r="F1733" t="s">
        <v>114</v>
      </c>
      <c r="G1733">
        <v>0</v>
      </c>
    </row>
    <row r="1734" spans="1:7" x14ac:dyDescent="0.3">
      <c r="A1734">
        <v>2020</v>
      </c>
      <c r="B1734" t="s">
        <v>35</v>
      </c>
      <c r="C1734" t="s">
        <v>170</v>
      </c>
      <c r="D1734" t="s">
        <v>171</v>
      </c>
      <c r="E1734" t="s">
        <v>108</v>
      </c>
      <c r="F1734" t="s">
        <v>114</v>
      </c>
      <c r="G1734">
        <v>0</v>
      </c>
    </row>
    <row r="1735" spans="1:7" x14ac:dyDescent="0.3">
      <c r="A1735">
        <v>2020</v>
      </c>
      <c r="B1735" t="s">
        <v>35</v>
      </c>
      <c r="C1735" t="s">
        <v>170</v>
      </c>
      <c r="D1735" t="s">
        <v>171</v>
      </c>
      <c r="E1735" t="s">
        <v>91</v>
      </c>
      <c r="F1735" t="s">
        <v>114</v>
      </c>
      <c r="G1735">
        <v>2</v>
      </c>
    </row>
    <row r="1736" spans="1:7" x14ac:dyDescent="0.3">
      <c r="A1736">
        <v>2020</v>
      </c>
      <c r="B1736" t="s">
        <v>35</v>
      </c>
      <c r="C1736" t="s">
        <v>170</v>
      </c>
      <c r="D1736" t="s">
        <v>171</v>
      </c>
      <c r="E1736" t="s">
        <v>109</v>
      </c>
      <c r="F1736" t="s">
        <v>114</v>
      </c>
      <c r="G1736">
        <v>0</v>
      </c>
    </row>
    <row r="1737" spans="1:7" x14ac:dyDescent="0.3">
      <c r="A1737">
        <v>2020</v>
      </c>
      <c r="B1737" t="s">
        <v>35</v>
      </c>
      <c r="C1737" t="s">
        <v>170</v>
      </c>
      <c r="D1737" t="s">
        <v>171</v>
      </c>
      <c r="E1737" t="s">
        <v>110</v>
      </c>
      <c r="F1737" t="s">
        <v>114</v>
      </c>
      <c r="G1737">
        <v>0</v>
      </c>
    </row>
    <row r="1738" spans="1:7" x14ac:dyDescent="0.3">
      <c r="A1738">
        <v>2020</v>
      </c>
      <c r="B1738" t="s">
        <v>36</v>
      </c>
      <c r="C1738" t="s">
        <v>170</v>
      </c>
      <c r="D1738" t="s">
        <v>171</v>
      </c>
      <c r="E1738" t="s">
        <v>108</v>
      </c>
      <c r="F1738" t="s">
        <v>114</v>
      </c>
      <c r="G1738">
        <v>2</v>
      </c>
    </row>
    <row r="1739" spans="1:7" x14ac:dyDescent="0.3">
      <c r="A1739">
        <v>2020</v>
      </c>
      <c r="B1739" t="s">
        <v>36</v>
      </c>
      <c r="C1739" t="s">
        <v>170</v>
      </c>
      <c r="D1739" t="s">
        <v>171</v>
      </c>
      <c r="E1739" t="s">
        <v>91</v>
      </c>
      <c r="F1739" t="s">
        <v>114</v>
      </c>
      <c r="G1739">
        <v>0</v>
      </c>
    </row>
    <row r="1740" spans="1:7" x14ac:dyDescent="0.3">
      <c r="A1740">
        <v>2020</v>
      </c>
      <c r="B1740" t="s">
        <v>36</v>
      </c>
      <c r="C1740" t="s">
        <v>170</v>
      </c>
      <c r="D1740" t="s">
        <v>171</v>
      </c>
      <c r="E1740" t="s">
        <v>109</v>
      </c>
      <c r="F1740" t="s">
        <v>114</v>
      </c>
      <c r="G1740">
        <v>0</v>
      </c>
    </row>
    <row r="1741" spans="1:7" x14ac:dyDescent="0.3">
      <c r="A1741">
        <v>2020</v>
      </c>
      <c r="B1741" t="s">
        <v>36</v>
      </c>
      <c r="C1741" t="s">
        <v>170</v>
      </c>
      <c r="D1741" t="s">
        <v>171</v>
      </c>
      <c r="E1741" t="s">
        <v>110</v>
      </c>
      <c r="F1741" t="s">
        <v>114</v>
      </c>
      <c r="G1741">
        <v>0</v>
      </c>
    </row>
    <row r="1742" spans="1:7" x14ac:dyDescent="0.3">
      <c r="A1742">
        <v>2020</v>
      </c>
      <c r="B1742" t="s">
        <v>37</v>
      </c>
      <c r="C1742" t="s">
        <v>170</v>
      </c>
      <c r="D1742" t="s">
        <v>171</v>
      </c>
      <c r="E1742" t="s">
        <v>108</v>
      </c>
      <c r="F1742" t="s">
        <v>114</v>
      </c>
    </row>
    <row r="1743" spans="1:7" x14ac:dyDescent="0.3">
      <c r="A1743">
        <v>2020</v>
      </c>
      <c r="B1743" t="s">
        <v>37</v>
      </c>
      <c r="C1743" t="s">
        <v>170</v>
      </c>
      <c r="D1743" t="s">
        <v>171</v>
      </c>
      <c r="E1743" t="s">
        <v>91</v>
      </c>
      <c r="F1743" t="s">
        <v>114</v>
      </c>
    </row>
    <row r="1744" spans="1:7" x14ac:dyDescent="0.3">
      <c r="A1744">
        <v>2020</v>
      </c>
      <c r="B1744" t="s">
        <v>37</v>
      </c>
      <c r="C1744" t="s">
        <v>170</v>
      </c>
      <c r="D1744" t="s">
        <v>171</v>
      </c>
      <c r="E1744" t="s">
        <v>109</v>
      </c>
      <c r="F1744" t="s">
        <v>114</v>
      </c>
    </row>
    <row r="1745" spans="1:7" x14ac:dyDescent="0.3">
      <c r="A1745">
        <v>2020</v>
      </c>
      <c r="B1745" t="s">
        <v>37</v>
      </c>
      <c r="C1745" t="s">
        <v>170</v>
      </c>
      <c r="D1745" t="s">
        <v>171</v>
      </c>
      <c r="E1745" t="s">
        <v>110</v>
      </c>
      <c r="F1745" t="s">
        <v>114</v>
      </c>
    </row>
    <row r="1746" spans="1:7" x14ac:dyDescent="0.3">
      <c r="A1746">
        <v>2020</v>
      </c>
      <c r="B1746" t="s">
        <v>55</v>
      </c>
      <c r="C1746" t="s">
        <v>170</v>
      </c>
      <c r="D1746" t="s">
        <v>171</v>
      </c>
      <c r="E1746" t="s">
        <v>108</v>
      </c>
      <c r="F1746" t="s">
        <v>114</v>
      </c>
      <c r="G1746">
        <v>0</v>
      </c>
    </row>
    <row r="1747" spans="1:7" x14ac:dyDescent="0.3">
      <c r="A1747">
        <v>2020</v>
      </c>
      <c r="B1747" t="s">
        <v>55</v>
      </c>
      <c r="C1747" t="s">
        <v>170</v>
      </c>
      <c r="D1747" t="s">
        <v>171</v>
      </c>
      <c r="E1747" t="s">
        <v>91</v>
      </c>
      <c r="F1747" t="s">
        <v>114</v>
      </c>
      <c r="G1747">
        <v>0</v>
      </c>
    </row>
    <row r="1748" spans="1:7" x14ac:dyDescent="0.3">
      <c r="A1748">
        <v>2020</v>
      </c>
      <c r="B1748" t="s">
        <v>55</v>
      </c>
      <c r="C1748" t="s">
        <v>170</v>
      </c>
      <c r="D1748" t="s">
        <v>171</v>
      </c>
      <c r="E1748" t="s">
        <v>109</v>
      </c>
      <c r="F1748" t="s">
        <v>114</v>
      </c>
      <c r="G1748">
        <v>0</v>
      </c>
    </row>
    <row r="1749" spans="1:7" x14ac:dyDescent="0.3">
      <c r="A1749">
        <v>2020</v>
      </c>
      <c r="B1749" t="s">
        <v>55</v>
      </c>
      <c r="C1749" t="s">
        <v>170</v>
      </c>
      <c r="D1749" t="s">
        <v>171</v>
      </c>
      <c r="E1749" t="s">
        <v>110</v>
      </c>
      <c r="F1749" t="s">
        <v>114</v>
      </c>
      <c r="G1749">
        <v>0</v>
      </c>
    </row>
    <row r="1750" spans="1:7" x14ac:dyDescent="0.3">
      <c r="A1750">
        <v>2020</v>
      </c>
      <c r="B1750" t="s">
        <v>38</v>
      </c>
      <c r="C1750" t="s">
        <v>170</v>
      </c>
      <c r="D1750" t="s">
        <v>171</v>
      </c>
      <c r="E1750" t="s">
        <v>108</v>
      </c>
      <c r="F1750" t="s">
        <v>114</v>
      </c>
    </row>
    <row r="1751" spans="1:7" x14ac:dyDescent="0.3">
      <c r="A1751">
        <v>2020</v>
      </c>
      <c r="B1751" t="s">
        <v>38</v>
      </c>
      <c r="C1751" t="s">
        <v>170</v>
      </c>
      <c r="D1751" t="s">
        <v>171</v>
      </c>
      <c r="E1751" t="s">
        <v>91</v>
      </c>
      <c r="F1751" t="s">
        <v>114</v>
      </c>
    </row>
    <row r="1752" spans="1:7" x14ac:dyDescent="0.3">
      <c r="A1752">
        <v>2020</v>
      </c>
      <c r="B1752" t="s">
        <v>38</v>
      </c>
      <c r="C1752" t="s">
        <v>170</v>
      </c>
      <c r="D1752" t="s">
        <v>171</v>
      </c>
      <c r="E1752" t="s">
        <v>109</v>
      </c>
      <c r="F1752" t="s">
        <v>114</v>
      </c>
    </row>
    <row r="1753" spans="1:7" x14ac:dyDescent="0.3">
      <c r="A1753">
        <v>2020</v>
      </c>
      <c r="B1753" t="s">
        <v>38</v>
      </c>
      <c r="C1753" t="s">
        <v>170</v>
      </c>
      <c r="D1753" t="s">
        <v>171</v>
      </c>
      <c r="E1753" t="s">
        <v>110</v>
      </c>
      <c r="F1753" t="s">
        <v>114</v>
      </c>
    </row>
    <row r="1754" spans="1:7" x14ac:dyDescent="0.3">
      <c r="A1754">
        <v>2020</v>
      </c>
      <c r="B1754" t="s">
        <v>39</v>
      </c>
      <c r="C1754" t="s">
        <v>170</v>
      </c>
      <c r="D1754" t="s">
        <v>171</v>
      </c>
      <c r="E1754" t="s">
        <v>108</v>
      </c>
      <c r="F1754" t="s">
        <v>114</v>
      </c>
    </row>
    <row r="1755" spans="1:7" x14ac:dyDescent="0.3">
      <c r="A1755">
        <v>2020</v>
      </c>
      <c r="B1755" t="s">
        <v>39</v>
      </c>
      <c r="C1755" t="s">
        <v>170</v>
      </c>
      <c r="D1755" t="s">
        <v>171</v>
      </c>
      <c r="E1755" t="s">
        <v>91</v>
      </c>
      <c r="F1755" t="s">
        <v>114</v>
      </c>
    </row>
    <row r="1756" spans="1:7" x14ac:dyDescent="0.3">
      <c r="A1756">
        <v>2020</v>
      </c>
      <c r="B1756" t="s">
        <v>39</v>
      </c>
      <c r="C1756" t="s">
        <v>170</v>
      </c>
      <c r="D1756" t="s">
        <v>171</v>
      </c>
      <c r="E1756" t="s">
        <v>109</v>
      </c>
      <c r="F1756" t="s">
        <v>114</v>
      </c>
    </row>
    <row r="1757" spans="1:7" x14ac:dyDescent="0.3">
      <c r="A1757">
        <v>2020</v>
      </c>
      <c r="B1757" t="s">
        <v>39</v>
      </c>
      <c r="C1757" t="s">
        <v>170</v>
      </c>
      <c r="D1757" t="s">
        <v>171</v>
      </c>
      <c r="E1757" t="s">
        <v>110</v>
      </c>
      <c r="F1757" t="s">
        <v>114</v>
      </c>
    </row>
    <row r="1758" spans="1:7" x14ac:dyDescent="0.3">
      <c r="A1758">
        <v>2020</v>
      </c>
      <c r="B1758" t="s">
        <v>40</v>
      </c>
      <c r="C1758" t="s">
        <v>170</v>
      </c>
      <c r="D1758" t="s">
        <v>171</v>
      </c>
      <c r="E1758" t="s">
        <v>108</v>
      </c>
      <c r="F1758" t="s">
        <v>114</v>
      </c>
      <c r="G1758">
        <v>0</v>
      </c>
    </row>
    <row r="1759" spans="1:7" x14ac:dyDescent="0.3">
      <c r="A1759">
        <v>2020</v>
      </c>
      <c r="B1759" t="s">
        <v>40</v>
      </c>
      <c r="C1759" t="s">
        <v>170</v>
      </c>
      <c r="D1759" t="s">
        <v>171</v>
      </c>
      <c r="E1759" t="s">
        <v>91</v>
      </c>
      <c r="F1759" t="s">
        <v>114</v>
      </c>
      <c r="G1759">
        <v>1</v>
      </c>
    </row>
    <row r="1760" spans="1:7" x14ac:dyDescent="0.3">
      <c r="A1760">
        <v>2020</v>
      </c>
      <c r="B1760" t="s">
        <v>40</v>
      </c>
      <c r="C1760" t="s">
        <v>170</v>
      </c>
      <c r="D1760" t="s">
        <v>171</v>
      </c>
      <c r="E1760" t="s">
        <v>109</v>
      </c>
      <c r="F1760" t="s">
        <v>114</v>
      </c>
      <c r="G1760">
        <v>0</v>
      </c>
    </row>
    <row r="1761" spans="1:7" x14ac:dyDescent="0.3">
      <c r="A1761">
        <v>2020</v>
      </c>
      <c r="B1761" t="s">
        <v>40</v>
      </c>
      <c r="C1761" t="s">
        <v>170</v>
      </c>
      <c r="D1761" t="s">
        <v>171</v>
      </c>
      <c r="E1761" t="s">
        <v>110</v>
      </c>
      <c r="F1761" t="s">
        <v>114</v>
      </c>
      <c r="G1761">
        <v>0</v>
      </c>
    </row>
    <row r="1762" spans="1:7" x14ac:dyDescent="0.3">
      <c r="A1762">
        <v>2020</v>
      </c>
      <c r="B1762" t="s">
        <v>41</v>
      </c>
      <c r="C1762" t="s">
        <v>170</v>
      </c>
      <c r="D1762" t="s">
        <v>171</v>
      </c>
      <c r="E1762" t="s">
        <v>108</v>
      </c>
      <c r="F1762" t="s">
        <v>114</v>
      </c>
      <c r="G1762">
        <v>3</v>
      </c>
    </row>
    <row r="1763" spans="1:7" x14ac:dyDescent="0.3">
      <c r="A1763">
        <v>2020</v>
      </c>
      <c r="B1763" t="s">
        <v>41</v>
      </c>
      <c r="C1763" t="s">
        <v>170</v>
      </c>
      <c r="D1763" t="s">
        <v>171</v>
      </c>
      <c r="E1763" t="s">
        <v>91</v>
      </c>
      <c r="F1763" t="s">
        <v>114</v>
      </c>
    </row>
    <row r="1764" spans="1:7" x14ac:dyDescent="0.3">
      <c r="A1764">
        <v>2020</v>
      </c>
      <c r="B1764" t="s">
        <v>41</v>
      </c>
      <c r="C1764" t="s">
        <v>170</v>
      </c>
      <c r="D1764" t="s">
        <v>171</v>
      </c>
      <c r="E1764" t="s">
        <v>109</v>
      </c>
      <c r="F1764" t="s">
        <v>114</v>
      </c>
    </row>
    <row r="1765" spans="1:7" x14ac:dyDescent="0.3">
      <c r="A1765">
        <v>2020</v>
      </c>
      <c r="B1765" t="s">
        <v>41</v>
      </c>
      <c r="C1765" t="s">
        <v>170</v>
      </c>
      <c r="D1765" t="s">
        <v>171</v>
      </c>
      <c r="E1765" t="s">
        <v>110</v>
      </c>
      <c r="F1765" t="s">
        <v>114</v>
      </c>
    </row>
    <row r="1766" spans="1:7" x14ac:dyDescent="0.3">
      <c r="A1766">
        <v>2020</v>
      </c>
      <c r="B1766" t="s">
        <v>58</v>
      </c>
      <c r="C1766" t="s">
        <v>170</v>
      </c>
      <c r="D1766" t="s">
        <v>171</v>
      </c>
      <c r="E1766" t="s">
        <v>108</v>
      </c>
      <c r="F1766" t="s">
        <v>114</v>
      </c>
    </row>
    <row r="1767" spans="1:7" x14ac:dyDescent="0.3">
      <c r="A1767">
        <v>2020</v>
      </c>
      <c r="B1767" t="s">
        <v>58</v>
      </c>
      <c r="C1767" t="s">
        <v>170</v>
      </c>
      <c r="D1767" t="s">
        <v>171</v>
      </c>
      <c r="E1767" t="s">
        <v>91</v>
      </c>
      <c r="F1767" t="s">
        <v>114</v>
      </c>
    </row>
    <row r="1768" spans="1:7" x14ac:dyDescent="0.3">
      <c r="A1768">
        <v>2020</v>
      </c>
      <c r="B1768" t="s">
        <v>58</v>
      </c>
      <c r="C1768" t="s">
        <v>170</v>
      </c>
      <c r="D1768" t="s">
        <v>171</v>
      </c>
      <c r="E1768" t="s">
        <v>109</v>
      </c>
      <c r="F1768" t="s">
        <v>114</v>
      </c>
    </row>
    <row r="1769" spans="1:7" x14ac:dyDescent="0.3">
      <c r="A1769">
        <v>2020</v>
      </c>
      <c r="B1769" t="s">
        <v>58</v>
      </c>
      <c r="C1769" t="s">
        <v>170</v>
      </c>
      <c r="D1769" t="s">
        <v>171</v>
      </c>
      <c r="E1769" t="s">
        <v>110</v>
      </c>
      <c r="F1769" t="s">
        <v>114</v>
      </c>
    </row>
    <row r="1770" spans="1:7" x14ac:dyDescent="0.3">
      <c r="A1770">
        <v>2020</v>
      </c>
      <c r="B1770" t="s">
        <v>42</v>
      </c>
      <c r="C1770" t="s">
        <v>170</v>
      </c>
      <c r="D1770" t="s">
        <v>171</v>
      </c>
      <c r="E1770" t="s">
        <v>108</v>
      </c>
      <c r="F1770" t="s">
        <v>114</v>
      </c>
      <c r="G1770">
        <v>1</v>
      </c>
    </row>
    <row r="1771" spans="1:7" x14ac:dyDescent="0.3">
      <c r="A1771">
        <v>2020</v>
      </c>
      <c r="B1771" t="s">
        <v>42</v>
      </c>
      <c r="C1771" t="s">
        <v>170</v>
      </c>
      <c r="D1771" t="s">
        <v>171</v>
      </c>
      <c r="E1771" t="s">
        <v>91</v>
      </c>
      <c r="F1771" t="s">
        <v>114</v>
      </c>
      <c r="G1771">
        <v>0</v>
      </c>
    </row>
    <row r="1772" spans="1:7" x14ac:dyDescent="0.3">
      <c r="A1772">
        <v>2020</v>
      </c>
      <c r="B1772" t="s">
        <v>42</v>
      </c>
      <c r="C1772" t="s">
        <v>170</v>
      </c>
      <c r="D1772" t="s">
        <v>171</v>
      </c>
      <c r="E1772" t="s">
        <v>109</v>
      </c>
      <c r="F1772" t="s">
        <v>114</v>
      </c>
      <c r="G1772">
        <v>0</v>
      </c>
    </row>
    <row r="1773" spans="1:7" x14ac:dyDescent="0.3">
      <c r="A1773">
        <v>2020</v>
      </c>
      <c r="B1773" t="s">
        <v>42</v>
      </c>
      <c r="C1773" t="s">
        <v>170</v>
      </c>
      <c r="D1773" t="s">
        <v>171</v>
      </c>
      <c r="E1773" t="s">
        <v>110</v>
      </c>
      <c r="F1773" t="s">
        <v>114</v>
      </c>
      <c r="G1773">
        <v>0</v>
      </c>
    </row>
    <row r="1774" spans="1:7" x14ac:dyDescent="0.3">
      <c r="A1774">
        <v>2020</v>
      </c>
      <c r="B1774" t="s">
        <v>44</v>
      </c>
      <c r="C1774" t="s">
        <v>170</v>
      </c>
      <c r="D1774" t="s">
        <v>171</v>
      </c>
      <c r="E1774" t="s">
        <v>108</v>
      </c>
      <c r="F1774" t="s">
        <v>114</v>
      </c>
    </row>
    <row r="1775" spans="1:7" x14ac:dyDescent="0.3">
      <c r="A1775">
        <v>2020</v>
      </c>
      <c r="B1775" t="s">
        <v>44</v>
      </c>
      <c r="C1775" t="s">
        <v>170</v>
      </c>
      <c r="D1775" t="s">
        <v>171</v>
      </c>
      <c r="E1775" t="s">
        <v>91</v>
      </c>
      <c r="F1775" t="s">
        <v>114</v>
      </c>
    </row>
    <row r="1776" spans="1:7" x14ac:dyDescent="0.3">
      <c r="A1776">
        <v>2020</v>
      </c>
      <c r="B1776" t="s">
        <v>44</v>
      </c>
      <c r="C1776" t="s">
        <v>170</v>
      </c>
      <c r="D1776" t="s">
        <v>171</v>
      </c>
      <c r="E1776" t="s">
        <v>109</v>
      </c>
      <c r="F1776" t="s">
        <v>114</v>
      </c>
    </row>
    <row r="1777" spans="1:7" x14ac:dyDescent="0.3">
      <c r="A1777">
        <v>2020</v>
      </c>
      <c r="B1777" t="s">
        <v>44</v>
      </c>
      <c r="C1777" t="s">
        <v>170</v>
      </c>
      <c r="D1777" t="s">
        <v>171</v>
      </c>
      <c r="E1777" t="s">
        <v>110</v>
      </c>
      <c r="F1777" t="s">
        <v>114</v>
      </c>
    </row>
    <row r="1778" spans="1:7" x14ac:dyDescent="0.3">
      <c r="A1778">
        <v>2020</v>
      </c>
      <c r="B1778" t="s">
        <v>45</v>
      </c>
      <c r="C1778" t="s">
        <v>170</v>
      </c>
      <c r="D1778" t="s">
        <v>171</v>
      </c>
      <c r="E1778" t="s">
        <v>108</v>
      </c>
      <c r="F1778" t="s">
        <v>114</v>
      </c>
    </row>
    <row r="1779" spans="1:7" x14ac:dyDescent="0.3">
      <c r="A1779">
        <v>2020</v>
      </c>
      <c r="B1779" t="s">
        <v>45</v>
      </c>
      <c r="C1779" t="s">
        <v>170</v>
      </c>
      <c r="D1779" t="s">
        <v>171</v>
      </c>
      <c r="E1779" t="s">
        <v>91</v>
      </c>
      <c r="F1779" t="s">
        <v>114</v>
      </c>
    </row>
    <row r="1780" spans="1:7" x14ac:dyDescent="0.3">
      <c r="A1780">
        <v>2020</v>
      </c>
      <c r="B1780" t="s">
        <v>45</v>
      </c>
      <c r="C1780" t="s">
        <v>170</v>
      </c>
      <c r="D1780" t="s">
        <v>171</v>
      </c>
      <c r="E1780" t="s">
        <v>109</v>
      </c>
      <c r="F1780" t="s">
        <v>114</v>
      </c>
    </row>
    <row r="1781" spans="1:7" x14ac:dyDescent="0.3">
      <c r="A1781">
        <v>2020</v>
      </c>
      <c r="B1781" t="s">
        <v>45</v>
      </c>
      <c r="C1781" t="s">
        <v>170</v>
      </c>
      <c r="D1781" t="s">
        <v>171</v>
      </c>
      <c r="E1781" t="s">
        <v>110</v>
      </c>
      <c r="F1781" t="s">
        <v>114</v>
      </c>
    </row>
    <row r="1782" spans="1:7" x14ac:dyDescent="0.3">
      <c r="A1782">
        <v>2020</v>
      </c>
      <c r="B1782" t="s">
        <v>46</v>
      </c>
      <c r="C1782" t="s">
        <v>170</v>
      </c>
      <c r="D1782" t="s">
        <v>171</v>
      </c>
      <c r="E1782" t="s">
        <v>108</v>
      </c>
      <c r="F1782" t="s">
        <v>114</v>
      </c>
    </row>
    <row r="1783" spans="1:7" x14ac:dyDescent="0.3">
      <c r="A1783">
        <v>2020</v>
      </c>
      <c r="B1783" t="s">
        <v>46</v>
      </c>
      <c r="C1783" t="s">
        <v>170</v>
      </c>
      <c r="D1783" t="s">
        <v>171</v>
      </c>
      <c r="E1783" t="s">
        <v>91</v>
      </c>
      <c r="F1783" t="s">
        <v>114</v>
      </c>
    </row>
    <row r="1784" spans="1:7" x14ac:dyDescent="0.3">
      <c r="A1784">
        <v>2020</v>
      </c>
      <c r="B1784" t="s">
        <v>46</v>
      </c>
      <c r="C1784" t="s">
        <v>170</v>
      </c>
      <c r="D1784" t="s">
        <v>171</v>
      </c>
      <c r="E1784" t="s">
        <v>109</v>
      </c>
      <c r="F1784" t="s">
        <v>114</v>
      </c>
    </row>
    <row r="1785" spans="1:7" x14ac:dyDescent="0.3">
      <c r="A1785">
        <v>2020</v>
      </c>
      <c r="B1785" t="s">
        <v>46</v>
      </c>
      <c r="C1785" t="s">
        <v>170</v>
      </c>
      <c r="D1785" t="s">
        <v>171</v>
      </c>
      <c r="E1785" t="s">
        <v>110</v>
      </c>
      <c r="F1785" t="s">
        <v>114</v>
      </c>
    </row>
    <row r="1786" spans="1:7" x14ac:dyDescent="0.3">
      <c r="A1786">
        <v>2020</v>
      </c>
      <c r="B1786" t="s">
        <v>47</v>
      </c>
      <c r="C1786" t="s">
        <v>170</v>
      </c>
      <c r="D1786" t="s">
        <v>171</v>
      </c>
      <c r="E1786" t="s">
        <v>108</v>
      </c>
      <c r="F1786" t="s">
        <v>114</v>
      </c>
      <c r="G1786">
        <v>1</v>
      </c>
    </row>
    <row r="1787" spans="1:7" x14ac:dyDescent="0.3">
      <c r="A1787">
        <v>2020</v>
      </c>
      <c r="B1787" t="s">
        <v>47</v>
      </c>
      <c r="C1787" t="s">
        <v>170</v>
      </c>
      <c r="D1787" t="s">
        <v>171</v>
      </c>
      <c r="E1787" t="s">
        <v>91</v>
      </c>
      <c r="F1787" t="s">
        <v>114</v>
      </c>
    </row>
    <row r="1788" spans="1:7" x14ac:dyDescent="0.3">
      <c r="A1788">
        <v>2020</v>
      </c>
      <c r="B1788" t="s">
        <v>47</v>
      </c>
      <c r="C1788" t="s">
        <v>170</v>
      </c>
      <c r="D1788" t="s">
        <v>171</v>
      </c>
      <c r="E1788" t="s">
        <v>109</v>
      </c>
      <c r="F1788" t="s">
        <v>114</v>
      </c>
    </row>
    <row r="1789" spans="1:7" x14ac:dyDescent="0.3">
      <c r="A1789">
        <v>2020</v>
      </c>
      <c r="B1789" t="s">
        <v>47</v>
      </c>
      <c r="C1789" t="s">
        <v>170</v>
      </c>
      <c r="D1789" t="s">
        <v>171</v>
      </c>
      <c r="E1789" t="s">
        <v>110</v>
      </c>
      <c r="F1789" t="s">
        <v>114</v>
      </c>
    </row>
    <row r="1790" spans="1:7" x14ac:dyDescent="0.3">
      <c r="A1790">
        <v>2020</v>
      </c>
      <c r="B1790" t="s">
        <v>48</v>
      </c>
      <c r="C1790" t="s">
        <v>170</v>
      </c>
      <c r="D1790" t="s">
        <v>171</v>
      </c>
      <c r="E1790" t="s">
        <v>108</v>
      </c>
      <c r="F1790" t="s">
        <v>114</v>
      </c>
      <c r="G1790">
        <v>3</v>
      </c>
    </row>
    <row r="1791" spans="1:7" x14ac:dyDescent="0.3">
      <c r="A1791">
        <v>2020</v>
      </c>
      <c r="B1791" t="s">
        <v>48</v>
      </c>
      <c r="C1791" t="s">
        <v>170</v>
      </c>
      <c r="D1791" t="s">
        <v>171</v>
      </c>
      <c r="E1791" t="s">
        <v>91</v>
      </c>
      <c r="F1791" t="s">
        <v>114</v>
      </c>
    </row>
    <row r="1792" spans="1:7" x14ac:dyDescent="0.3">
      <c r="A1792">
        <v>2020</v>
      </c>
      <c r="B1792" t="s">
        <v>48</v>
      </c>
      <c r="C1792" t="s">
        <v>170</v>
      </c>
      <c r="D1792" t="s">
        <v>171</v>
      </c>
      <c r="E1792" t="s">
        <v>109</v>
      </c>
      <c r="F1792" t="s">
        <v>114</v>
      </c>
      <c r="G1792">
        <v>3</v>
      </c>
    </row>
    <row r="1793" spans="1:7" x14ac:dyDescent="0.3">
      <c r="A1793">
        <v>2020</v>
      </c>
      <c r="B1793" t="s">
        <v>48</v>
      </c>
      <c r="C1793" t="s">
        <v>170</v>
      </c>
      <c r="D1793" t="s">
        <v>171</v>
      </c>
      <c r="E1793" t="s">
        <v>110</v>
      </c>
      <c r="F1793" t="s">
        <v>114</v>
      </c>
    </row>
    <row r="1794" spans="1:7" x14ac:dyDescent="0.3">
      <c r="A1794">
        <v>2020</v>
      </c>
      <c r="B1794" t="s">
        <v>49</v>
      </c>
      <c r="C1794" t="s">
        <v>170</v>
      </c>
      <c r="D1794" t="s">
        <v>171</v>
      </c>
      <c r="E1794" t="s">
        <v>108</v>
      </c>
      <c r="F1794" t="s">
        <v>114</v>
      </c>
      <c r="G1794">
        <v>2</v>
      </c>
    </row>
    <row r="1795" spans="1:7" x14ac:dyDescent="0.3">
      <c r="A1795">
        <v>2020</v>
      </c>
      <c r="B1795" t="s">
        <v>49</v>
      </c>
      <c r="C1795" t="s">
        <v>170</v>
      </c>
      <c r="D1795" t="s">
        <v>171</v>
      </c>
      <c r="E1795" t="s">
        <v>91</v>
      </c>
      <c r="F1795" t="s">
        <v>114</v>
      </c>
      <c r="G1795">
        <v>2</v>
      </c>
    </row>
    <row r="1796" spans="1:7" x14ac:dyDescent="0.3">
      <c r="A1796">
        <v>2020</v>
      </c>
      <c r="B1796" t="s">
        <v>49</v>
      </c>
      <c r="C1796" t="s">
        <v>170</v>
      </c>
      <c r="D1796" t="s">
        <v>171</v>
      </c>
      <c r="E1796" t="s">
        <v>109</v>
      </c>
      <c r="F1796" t="s">
        <v>114</v>
      </c>
      <c r="G1796">
        <v>3</v>
      </c>
    </row>
    <row r="1797" spans="1:7" x14ac:dyDescent="0.3">
      <c r="A1797">
        <v>2020</v>
      </c>
      <c r="B1797" t="s">
        <v>49</v>
      </c>
      <c r="C1797" t="s">
        <v>170</v>
      </c>
      <c r="D1797" t="s">
        <v>171</v>
      </c>
      <c r="E1797" t="s">
        <v>110</v>
      </c>
      <c r="F1797" t="s">
        <v>114</v>
      </c>
      <c r="G1797">
        <v>1</v>
      </c>
    </row>
    <row r="1798" spans="1:7" x14ac:dyDescent="0.3">
      <c r="A1798">
        <v>2020</v>
      </c>
      <c r="B1798" t="s">
        <v>59</v>
      </c>
      <c r="C1798" t="s">
        <v>170</v>
      </c>
      <c r="D1798" t="s">
        <v>171</v>
      </c>
      <c r="E1798" t="s">
        <v>108</v>
      </c>
      <c r="F1798" t="s">
        <v>114</v>
      </c>
      <c r="G1798">
        <v>0</v>
      </c>
    </row>
    <row r="1799" spans="1:7" x14ac:dyDescent="0.3">
      <c r="A1799">
        <v>2020</v>
      </c>
      <c r="B1799" t="s">
        <v>59</v>
      </c>
      <c r="C1799" t="s">
        <v>170</v>
      </c>
      <c r="D1799" t="s">
        <v>171</v>
      </c>
      <c r="E1799" t="s">
        <v>91</v>
      </c>
      <c r="F1799" t="s">
        <v>114</v>
      </c>
      <c r="G1799">
        <v>0</v>
      </c>
    </row>
    <row r="1800" spans="1:7" x14ac:dyDescent="0.3">
      <c r="A1800">
        <v>2020</v>
      </c>
      <c r="B1800" t="s">
        <v>59</v>
      </c>
      <c r="C1800" t="s">
        <v>170</v>
      </c>
      <c r="D1800" t="s">
        <v>171</v>
      </c>
      <c r="E1800" t="s">
        <v>109</v>
      </c>
      <c r="F1800" t="s">
        <v>114</v>
      </c>
      <c r="G1800">
        <v>0</v>
      </c>
    </row>
    <row r="1801" spans="1:7" x14ac:dyDescent="0.3">
      <c r="A1801">
        <v>2020</v>
      </c>
      <c r="B1801" t="s">
        <v>59</v>
      </c>
      <c r="C1801" t="s">
        <v>170</v>
      </c>
      <c r="D1801" t="s">
        <v>171</v>
      </c>
      <c r="E1801" t="s">
        <v>110</v>
      </c>
      <c r="F1801" t="s">
        <v>114</v>
      </c>
      <c r="G1801">
        <v>0</v>
      </c>
    </row>
    <row r="1802" spans="1:7" x14ac:dyDescent="0.3">
      <c r="A1802">
        <v>2020</v>
      </c>
      <c r="B1802" t="s">
        <v>50</v>
      </c>
      <c r="C1802" t="s">
        <v>170</v>
      </c>
      <c r="D1802" t="s">
        <v>171</v>
      </c>
      <c r="E1802" t="s">
        <v>108</v>
      </c>
      <c r="F1802" t="s">
        <v>114</v>
      </c>
      <c r="G1802">
        <v>2</v>
      </c>
    </row>
    <row r="1803" spans="1:7" x14ac:dyDescent="0.3">
      <c r="A1803">
        <v>2020</v>
      </c>
      <c r="B1803" t="s">
        <v>50</v>
      </c>
      <c r="C1803" t="s">
        <v>170</v>
      </c>
      <c r="D1803" t="s">
        <v>171</v>
      </c>
      <c r="E1803" t="s">
        <v>91</v>
      </c>
      <c r="F1803" t="s">
        <v>114</v>
      </c>
    </row>
    <row r="1804" spans="1:7" x14ac:dyDescent="0.3">
      <c r="A1804">
        <v>2020</v>
      </c>
      <c r="B1804" t="s">
        <v>50</v>
      </c>
      <c r="C1804" t="s">
        <v>170</v>
      </c>
      <c r="D1804" t="s">
        <v>171</v>
      </c>
      <c r="E1804" t="s">
        <v>109</v>
      </c>
      <c r="F1804" t="s">
        <v>114</v>
      </c>
    </row>
    <row r="1805" spans="1:7" x14ac:dyDescent="0.3">
      <c r="A1805">
        <v>2020</v>
      </c>
      <c r="B1805" t="s">
        <v>50</v>
      </c>
      <c r="C1805" t="s">
        <v>170</v>
      </c>
      <c r="D1805" t="s">
        <v>171</v>
      </c>
      <c r="E1805" t="s">
        <v>110</v>
      </c>
      <c r="F1805" t="s">
        <v>114</v>
      </c>
    </row>
    <row r="1806" spans="1:7" x14ac:dyDescent="0.3">
      <c r="A1806">
        <v>2020</v>
      </c>
      <c r="B1806" t="s">
        <v>51</v>
      </c>
      <c r="C1806" t="s">
        <v>170</v>
      </c>
      <c r="D1806" t="s">
        <v>171</v>
      </c>
      <c r="E1806" t="s">
        <v>108</v>
      </c>
      <c r="F1806" t="s">
        <v>114</v>
      </c>
    </row>
    <row r="1807" spans="1:7" x14ac:dyDescent="0.3">
      <c r="A1807">
        <v>2020</v>
      </c>
      <c r="B1807" t="s">
        <v>51</v>
      </c>
      <c r="C1807" t="s">
        <v>170</v>
      </c>
      <c r="D1807" t="s">
        <v>171</v>
      </c>
      <c r="E1807" t="s">
        <v>91</v>
      </c>
      <c r="F1807" t="s">
        <v>114</v>
      </c>
    </row>
    <row r="1808" spans="1:7" x14ac:dyDescent="0.3">
      <c r="A1808">
        <v>2020</v>
      </c>
      <c r="B1808" t="s">
        <v>51</v>
      </c>
      <c r="C1808" t="s">
        <v>170</v>
      </c>
      <c r="D1808" t="s">
        <v>171</v>
      </c>
      <c r="E1808" t="s">
        <v>109</v>
      </c>
      <c r="F1808" t="s">
        <v>114</v>
      </c>
    </row>
    <row r="1809" spans="1:7" x14ac:dyDescent="0.3">
      <c r="A1809">
        <v>2020</v>
      </c>
      <c r="B1809" t="s">
        <v>51</v>
      </c>
      <c r="C1809" t="s">
        <v>170</v>
      </c>
      <c r="D1809" t="s">
        <v>171</v>
      </c>
      <c r="E1809" t="s">
        <v>110</v>
      </c>
      <c r="F1809" t="s">
        <v>114</v>
      </c>
    </row>
    <row r="1810" spans="1:7" x14ac:dyDescent="0.3">
      <c r="A1810">
        <v>2020</v>
      </c>
      <c r="B1810" t="s">
        <v>52</v>
      </c>
      <c r="C1810" t="s">
        <v>170</v>
      </c>
      <c r="D1810" t="s">
        <v>171</v>
      </c>
      <c r="E1810" t="s">
        <v>108</v>
      </c>
      <c r="F1810" t="s">
        <v>114</v>
      </c>
      <c r="G1810">
        <v>1</v>
      </c>
    </row>
    <row r="1811" spans="1:7" x14ac:dyDescent="0.3">
      <c r="A1811">
        <v>2020</v>
      </c>
      <c r="B1811" t="s">
        <v>52</v>
      </c>
      <c r="C1811" t="s">
        <v>170</v>
      </c>
      <c r="D1811" t="s">
        <v>171</v>
      </c>
      <c r="E1811" t="s">
        <v>91</v>
      </c>
      <c r="F1811" t="s">
        <v>114</v>
      </c>
      <c r="G1811">
        <v>1</v>
      </c>
    </row>
    <row r="1812" spans="1:7" x14ac:dyDescent="0.3">
      <c r="A1812">
        <v>2020</v>
      </c>
      <c r="B1812" t="s">
        <v>52</v>
      </c>
      <c r="C1812" t="s">
        <v>170</v>
      </c>
      <c r="D1812" t="s">
        <v>171</v>
      </c>
      <c r="E1812" t="s">
        <v>109</v>
      </c>
      <c r="F1812" t="s">
        <v>114</v>
      </c>
      <c r="G1812">
        <v>2</v>
      </c>
    </row>
    <row r="1813" spans="1:7" x14ac:dyDescent="0.3">
      <c r="A1813">
        <v>2020</v>
      </c>
      <c r="B1813" t="s">
        <v>52</v>
      </c>
      <c r="C1813" t="s">
        <v>170</v>
      </c>
      <c r="D1813" t="s">
        <v>171</v>
      </c>
      <c r="E1813" t="s">
        <v>110</v>
      </c>
      <c r="F1813" t="s">
        <v>114</v>
      </c>
    </row>
    <row r="1814" spans="1:7" x14ac:dyDescent="0.3">
      <c r="A1814">
        <v>2020</v>
      </c>
      <c r="B1814" t="s">
        <v>60</v>
      </c>
      <c r="C1814" t="s">
        <v>170</v>
      </c>
      <c r="D1814" t="s">
        <v>171</v>
      </c>
      <c r="E1814" t="s">
        <v>108</v>
      </c>
      <c r="F1814" t="s">
        <v>114</v>
      </c>
      <c r="G1814">
        <v>0</v>
      </c>
    </row>
    <row r="1815" spans="1:7" x14ac:dyDescent="0.3">
      <c r="A1815">
        <v>2020</v>
      </c>
      <c r="B1815" t="s">
        <v>60</v>
      </c>
      <c r="C1815" t="s">
        <v>170</v>
      </c>
      <c r="D1815" t="s">
        <v>171</v>
      </c>
      <c r="E1815" t="s">
        <v>91</v>
      </c>
      <c r="F1815" t="s">
        <v>114</v>
      </c>
      <c r="G1815">
        <v>0</v>
      </c>
    </row>
    <row r="1816" spans="1:7" x14ac:dyDescent="0.3">
      <c r="A1816">
        <v>2020</v>
      </c>
      <c r="B1816" t="s">
        <v>60</v>
      </c>
      <c r="C1816" t="s">
        <v>170</v>
      </c>
      <c r="D1816" t="s">
        <v>171</v>
      </c>
      <c r="E1816" t="s">
        <v>109</v>
      </c>
      <c r="F1816" t="s">
        <v>114</v>
      </c>
      <c r="G1816">
        <v>0</v>
      </c>
    </row>
    <row r="1817" spans="1:7" x14ac:dyDescent="0.3">
      <c r="A1817">
        <v>2020</v>
      </c>
      <c r="B1817" t="s">
        <v>60</v>
      </c>
      <c r="C1817" t="s">
        <v>170</v>
      </c>
      <c r="D1817" t="s">
        <v>171</v>
      </c>
      <c r="E1817" t="s">
        <v>110</v>
      </c>
      <c r="F1817" t="s">
        <v>114</v>
      </c>
      <c r="G1817">
        <v>0</v>
      </c>
    </row>
    <row r="1818" spans="1:7" x14ac:dyDescent="0.3">
      <c r="A1818">
        <v>2020</v>
      </c>
      <c r="B1818" t="s">
        <v>53</v>
      </c>
      <c r="C1818" t="s">
        <v>170</v>
      </c>
      <c r="D1818" t="s">
        <v>171</v>
      </c>
      <c r="E1818" t="s">
        <v>108</v>
      </c>
      <c r="F1818" t="s">
        <v>114</v>
      </c>
      <c r="G1818">
        <v>0</v>
      </c>
    </row>
    <row r="1819" spans="1:7" x14ac:dyDescent="0.3">
      <c r="A1819">
        <v>2020</v>
      </c>
      <c r="B1819" t="s">
        <v>53</v>
      </c>
      <c r="C1819" t="s">
        <v>170</v>
      </c>
      <c r="D1819" t="s">
        <v>171</v>
      </c>
      <c r="E1819" t="s">
        <v>91</v>
      </c>
      <c r="F1819" t="s">
        <v>114</v>
      </c>
      <c r="G1819">
        <v>0</v>
      </c>
    </row>
    <row r="1820" spans="1:7" x14ac:dyDescent="0.3">
      <c r="A1820">
        <v>2020</v>
      </c>
      <c r="B1820" t="s">
        <v>53</v>
      </c>
      <c r="C1820" t="s">
        <v>170</v>
      </c>
      <c r="D1820" t="s">
        <v>171</v>
      </c>
      <c r="E1820" t="s">
        <v>109</v>
      </c>
      <c r="F1820" t="s">
        <v>114</v>
      </c>
      <c r="G1820">
        <v>0</v>
      </c>
    </row>
    <row r="1821" spans="1:7" x14ac:dyDescent="0.3">
      <c r="A1821">
        <v>2020</v>
      </c>
      <c r="B1821" t="s">
        <v>53</v>
      </c>
      <c r="C1821" t="s">
        <v>170</v>
      </c>
      <c r="D1821" t="s">
        <v>171</v>
      </c>
      <c r="E1821" t="s">
        <v>110</v>
      </c>
      <c r="F1821" t="s">
        <v>114</v>
      </c>
      <c r="G1821">
        <v>0</v>
      </c>
    </row>
    <row r="1822" spans="1:7" x14ac:dyDescent="0.3">
      <c r="A1822">
        <v>2020</v>
      </c>
      <c r="B1822" t="s">
        <v>61</v>
      </c>
      <c r="C1822" t="s">
        <v>170</v>
      </c>
      <c r="D1822" t="s">
        <v>171</v>
      </c>
      <c r="E1822" t="s">
        <v>108</v>
      </c>
      <c r="F1822" t="s">
        <v>114</v>
      </c>
    </row>
    <row r="1823" spans="1:7" x14ac:dyDescent="0.3">
      <c r="A1823">
        <v>2020</v>
      </c>
      <c r="B1823" t="s">
        <v>61</v>
      </c>
      <c r="C1823" t="s">
        <v>170</v>
      </c>
      <c r="D1823" t="s">
        <v>171</v>
      </c>
      <c r="E1823" t="s">
        <v>91</v>
      </c>
      <c r="F1823" t="s">
        <v>114</v>
      </c>
    </row>
    <row r="1824" spans="1:7" x14ac:dyDescent="0.3">
      <c r="A1824">
        <v>2020</v>
      </c>
      <c r="B1824" t="s">
        <v>61</v>
      </c>
      <c r="C1824" t="s">
        <v>170</v>
      </c>
      <c r="D1824" t="s">
        <v>171</v>
      </c>
      <c r="E1824" t="s">
        <v>109</v>
      </c>
      <c r="F1824" t="s">
        <v>114</v>
      </c>
      <c r="G1824">
        <v>1</v>
      </c>
    </row>
    <row r="1825" spans="1:7" x14ac:dyDescent="0.3">
      <c r="A1825">
        <v>2020</v>
      </c>
      <c r="B1825" t="s">
        <v>61</v>
      </c>
      <c r="C1825" t="s">
        <v>170</v>
      </c>
      <c r="D1825" t="s">
        <v>171</v>
      </c>
      <c r="E1825" t="s">
        <v>110</v>
      </c>
      <c r="F1825" t="s">
        <v>114</v>
      </c>
    </row>
    <row r="1826" spans="1:7" x14ac:dyDescent="0.3">
      <c r="A1826">
        <v>2020</v>
      </c>
      <c r="B1826" t="s">
        <v>54</v>
      </c>
      <c r="C1826" t="s">
        <v>170</v>
      </c>
      <c r="D1826" t="s">
        <v>171</v>
      </c>
      <c r="E1826" t="s">
        <v>108</v>
      </c>
      <c r="F1826" t="s">
        <v>114</v>
      </c>
      <c r="G1826">
        <v>0</v>
      </c>
    </row>
    <row r="1827" spans="1:7" x14ac:dyDescent="0.3">
      <c r="A1827">
        <v>2020</v>
      </c>
      <c r="B1827" t="s">
        <v>54</v>
      </c>
      <c r="C1827" t="s">
        <v>170</v>
      </c>
      <c r="D1827" t="s">
        <v>171</v>
      </c>
      <c r="E1827" t="s">
        <v>91</v>
      </c>
      <c r="F1827" t="s">
        <v>114</v>
      </c>
      <c r="G1827">
        <v>0</v>
      </c>
    </row>
    <row r="1828" spans="1:7" x14ac:dyDescent="0.3">
      <c r="A1828">
        <v>2020</v>
      </c>
      <c r="B1828" t="s">
        <v>54</v>
      </c>
      <c r="C1828" t="s">
        <v>170</v>
      </c>
      <c r="D1828" t="s">
        <v>171</v>
      </c>
      <c r="E1828" t="s">
        <v>109</v>
      </c>
      <c r="F1828" t="s">
        <v>114</v>
      </c>
      <c r="G1828">
        <v>0</v>
      </c>
    </row>
    <row r="1829" spans="1:7" x14ac:dyDescent="0.3">
      <c r="A1829">
        <v>2020</v>
      </c>
      <c r="B1829" t="s">
        <v>54</v>
      </c>
      <c r="C1829" t="s">
        <v>170</v>
      </c>
      <c r="D1829" t="s">
        <v>171</v>
      </c>
      <c r="E1829" t="s">
        <v>110</v>
      </c>
      <c r="F1829" t="s">
        <v>114</v>
      </c>
      <c r="G1829">
        <v>0</v>
      </c>
    </row>
    <row r="1830" spans="1:7" x14ac:dyDescent="0.3">
      <c r="A1830">
        <v>2020</v>
      </c>
      <c r="B1830" t="s">
        <v>62</v>
      </c>
      <c r="C1830" t="s">
        <v>170</v>
      </c>
      <c r="D1830" t="s">
        <v>171</v>
      </c>
      <c r="E1830" t="s">
        <v>108</v>
      </c>
      <c r="F1830" t="s">
        <v>114</v>
      </c>
      <c r="G1830">
        <v>0</v>
      </c>
    </row>
    <row r="1831" spans="1:7" x14ac:dyDescent="0.3">
      <c r="A1831">
        <v>2020</v>
      </c>
      <c r="B1831" t="s">
        <v>62</v>
      </c>
      <c r="C1831" t="s">
        <v>170</v>
      </c>
      <c r="D1831" t="s">
        <v>171</v>
      </c>
      <c r="E1831" t="s">
        <v>91</v>
      </c>
      <c r="F1831" t="s">
        <v>114</v>
      </c>
      <c r="G1831">
        <v>0</v>
      </c>
    </row>
    <row r="1832" spans="1:7" x14ac:dyDescent="0.3">
      <c r="A1832">
        <v>2020</v>
      </c>
      <c r="B1832" t="s">
        <v>62</v>
      </c>
      <c r="C1832" t="s">
        <v>170</v>
      </c>
      <c r="D1832" t="s">
        <v>171</v>
      </c>
      <c r="E1832" t="s">
        <v>109</v>
      </c>
      <c r="F1832" t="s">
        <v>114</v>
      </c>
      <c r="G1832">
        <v>0</v>
      </c>
    </row>
    <row r="1833" spans="1:7" x14ac:dyDescent="0.3">
      <c r="A1833">
        <v>2020</v>
      </c>
      <c r="B1833" t="s">
        <v>62</v>
      </c>
      <c r="C1833" t="s">
        <v>170</v>
      </c>
      <c r="D1833" t="s">
        <v>171</v>
      </c>
      <c r="E1833" t="s">
        <v>110</v>
      </c>
      <c r="F1833" t="s">
        <v>114</v>
      </c>
      <c r="G1833">
        <v>0</v>
      </c>
    </row>
    <row r="1834" spans="1:7" x14ac:dyDescent="0.3">
      <c r="A1834">
        <v>2020</v>
      </c>
      <c r="B1834" t="s">
        <v>28</v>
      </c>
      <c r="C1834" t="s">
        <v>170</v>
      </c>
      <c r="D1834" t="s">
        <v>171</v>
      </c>
      <c r="E1834" t="s">
        <v>108</v>
      </c>
      <c r="F1834" t="s">
        <v>114</v>
      </c>
      <c r="G1834">
        <v>6</v>
      </c>
    </row>
    <row r="1835" spans="1:7" x14ac:dyDescent="0.3">
      <c r="A1835">
        <v>2020</v>
      </c>
      <c r="B1835" t="s">
        <v>28</v>
      </c>
      <c r="C1835" t="s">
        <v>170</v>
      </c>
      <c r="D1835" t="s">
        <v>171</v>
      </c>
      <c r="E1835" t="s">
        <v>91</v>
      </c>
      <c r="F1835" t="s">
        <v>114</v>
      </c>
      <c r="G1835">
        <v>0</v>
      </c>
    </row>
    <row r="1836" spans="1:7" x14ac:dyDescent="0.3">
      <c r="A1836">
        <v>2020</v>
      </c>
      <c r="B1836" t="s">
        <v>28</v>
      </c>
      <c r="C1836" t="s">
        <v>170</v>
      </c>
      <c r="D1836" t="s">
        <v>171</v>
      </c>
      <c r="E1836" t="s">
        <v>109</v>
      </c>
      <c r="F1836" t="s">
        <v>114</v>
      </c>
      <c r="G1836">
        <v>0</v>
      </c>
    </row>
    <row r="1837" spans="1:7" x14ac:dyDescent="0.3">
      <c r="A1837">
        <v>2020</v>
      </c>
      <c r="B1837" t="s">
        <v>28</v>
      </c>
      <c r="C1837" t="s">
        <v>170</v>
      </c>
      <c r="D1837" t="s">
        <v>171</v>
      </c>
      <c r="E1837" t="s">
        <v>110</v>
      </c>
      <c r="F1837" t="s">
        <v>114</v>
      </c>
      <c r="G1837">
        <v>0</v>
      </c>
    </row>
    <row r="1838" spans="1:7" x14ac:dyDescent="0.3">
      <c r="A1838">
        <v>2020</v>
      </c>
      <c r="B1838" t="s">
        <v>43</v>
      </c>
      <c r="C1838" t="s">
        <v>170</v>
      </c>
      <c r="D1838" t="s">
        <v>171</v>
      </c>
      <c r="E1838" t="s">
        <v>108</v>
      </c>
      <c r="F1838" t="s">
        <v>114</v>
      </c>
    </row>
    <row r="1839" spans="1:7" x14ac:dyDescent="0.3">
      <c r="A1839">
        <v>2020</v>
      </c>
      <c r="B1839" t="s">
        <v>43</v>
      </c>
      <c r="C1839" t="s">
        <v>170</v>
      </c>
      <c r="D1839" t="s">
        <v>171</v>
      </c>
      <c r="E1839" t="s">
        <v>91</v>
      </c>
      <c r="F1839" t="s">
        <v>114</v>
      </c>
    </row>
    <row r="1840" spans="1:7" x14ac:dyDescent="0.3">
      <c r="A1840">
        <v>2020</v>
      </c>
      <c r="B1840" t="s">
        <v>43</v>
      </c>
      <c r="C1840" t="s">
        <v>170</v>
      </c>
      <c r="D1840" t="s">
        <v>171</v>
      </c>
      <c r="E1840" t="s">
        <v>109</v>
      </c>
      <c r="F1840" t="s">
        <v>114</v>
      </c>
    </row>
    <row r="1841" spans="1:7" x14ac:dyDescent="0.3">
      <c r="A1841">
        <v>2020</v>
      </c>
      <c r="B1841" t="s">
        <v>43</v>
      </c>
      <c r="C1841" t="s">
        <v>170</v>
      </c>
      <c r="D1841" t="s">
        <v>171</v>
      </c>
      <c r="E1841" t="s">
        <v>110</v>
      </c>
      <c r="F1841" t="s">
        <v>114</v>
      </c>
    </row>
    <row r="1842" spans="1:7" x14ac:dyDescent="0.3">
      <c r="A1842">
        <v>2020</v>
      </c>
      <c r="B1842" t="s">
        <v>17</v>
      </c>
      <c r="C1842" t="s">
        <v>170</v>
      </c>
      <c r="D1842" t="s">
        <v>171</v>
      </c>
      <c r="E1842" t="s">
        <v>108</v>
      </c>
      <c r="F1842" t="s">
        <v>8</v>
      </c>
    </row>
    <row r="1843" spans="1:7" x14ac:dyDescent="0.3">
      <c r="A1843">
        <v>2020</v>
      </c>
      <c r="B1843" t="s">
        <v>17</v>
      </c>
      <c r="C1843" t="s">
        <v>170</v>
      </c>
      <c r="D1843" t="s">
        <v>171</v>
      </c>
      <c r="E1843" t="s">
        <v>91</v>
      </c>
      <c r="F1843" t="s">
        <v>8</v>
      </c>
    </row>
    <row r="1844" spans="1:7" x14ac:dyDescent="0.3">
      <c r="A1844">
        <v>2020</v>
      </c>
      <c r="B1844" t="s">
        <v>17</v>
      </c>
      <c r="C1844" t="s">
        <v>170</v>
      </c>
      <c r="D1844" t="s">
        <v>171</v>
      </c>
      <c r="E1844" t="s">
        <v>109</v>
      </c>
      <c r="F1844" t="s">
        <v>8</v>
      </c>
      <c r="G1844">
        <v>1</v>
      </c>
    </row>
    <row r="1845" spans="1:7" x14ac:dyDescent="0.3">
      <c r="A1845">
        <v>2020</v>
      </c>
      <c r="B1845" t="s">
        <v>17</v>
      </c>
      <c r="C1845" t="s">
        <v>170</v>
      </c>
      <c r="D1845" t="s">
        <v>171</v>
      </c>
      <c r="E1845" t="s">
        <v>110</v>
      </c>
      <c r="F1845" t="s">
        <v>8</v>
      </c>
    </row>
    <row r="1846" spans="1:7" x14ac:dyDescent="0.3">
      <c r="A1846">
        <v>2020</v>
      </c>
      <c r="B1846" t="s">
        <v>18</v>
      </c>
      <c r="C1846" t="s">
        <v>170</v>
      </c>
      <c r="D1846" t="s">
        <v>171</v>
      </c>
      <c r="E1846" t="s">
        <v>108</v>
      </c>
      <c r="F1846" t="s">
        <v>8</v>
      </c>
      <c r="G1846">
        <v>0</v>
      </c>
    </row>
    <row r="1847" spans="1:7" x14ac:dyDescent="0.3">
      <c r="A1847">
        <v>2020</v>
      </c>
      <c r="B1847" t="s">
        <v>18</v>
      </c>
      <c r="C1847" t="s">
        <v>170</v>
      </c>
      <c r="D1847" t="s">
        <v>171</v>
      </c>
      <c r="E1847" t="s">
        <v>91</v>
      </c>
      <c r="F1847" t="s">
        <v>8</v>
      </c>
      <c r="G1847">
        <v>0</v>
      </c>
    </row>
    <row r="1848" spans="1:7" x14ac:dyDescent="0.3">
      <c r="A1848">
        <v>2020</v>
      </c>
      <c r="B1848" t="s">
        <v>18</v>
      </c>
      <c r="C1848" t="s">
        <v>170</v>
      </c>
      <c r="D1848" t="s">
        <v>171</v>
      </c>
      <c r="E1848" t="s">
        <v>109</v>
      </c>
      <c r="F1848" t="s">
        <v>8</v>
      </c>
      <c r="G1848">
        <v>0</v>
      </c>
    </row>
    <row r="1849" spans="1:7" x14ac:dyDescent="0.3">
      <c r="A1849">
        <v>2020</v>
      </c>
      <c r="B1849" t="s">
        <v>18</v>
      </c>
      <c r="C1849" t="s">
        <v>170</v>
      </c>
      <c r="D1849" t="s">
        <v>171</v>
      </c>
      <c r="E1849" t="s">
        <v>110</v>
      </c>
      <c r="F1849" t="s">
        <v>8</v>
      </c>
      <c r="G1849">
        <v>0</v>
      </c>
    </row>
    <row r="1850" spans="1:7" x14ac:dyDescent="0.3">
      <c r="A1850">
        <v>2020</v>
      </c>
      <c r="B1850" t="s">
        <v>19</v>
      </c>
      <c r="C1850" t="s">
        <v>170</v>
      </c>
      <c r="D1850" t="s">
        <v>171</v>
      </c>
      <c r="E1850" t="s">
        <v>108</v>
      </c>
      <c r="F1850" t="s">
        <v>8</v>
      </c>
      <c r="G1850">
        <v>0</v>
      </c>
    </row>
    <row r="1851" spans="1:7" x14ac:dyDescent="0.3">
      <c r="A1851">
        <v>2020</v>
      </c>
      <c r="B1851" t="s">
        <v>19</v>
      </c>
      <c r="C1851" t="s">
        <v>170</v>
      </c>
      <c r="D1851" t="s">
        <v>171</v>
      </c>
      <c r="E1851" t="s">
        <v>91</v>
      </c>
      <c r="F1851" t="s">
        <v>8</v>
      </c>
      <c r="G1851">
        <v>1</v>
      </c>
    </row>
    <row r="1852" spans="1:7" x14ac:dyDescent="0.3">
      <c r="A1852">
        <v>2020</v>
      </c>
      <c r="B1852" t="s">
        <v>19</v>
      </c>
      <c r="C1852" t="s">
        <v>170</v>
      </c>
      <c r="D1852" t="s">
        <v>171</v>
      </c>
      <c r="E1852" t="s">
        <v>109</v>
      </c>
      <c r="F1852" t="s">
        <v>8</v>
      </c>
      <c r="G1852">
        <v>0</v>
      </c>
    </row>
    <row r="1853" spans="1:7" x14ac:dyDescent="0.3">
      <c r="A1853">
        <v>2020</v>
      </c>
      <c r="B1853" t="s">
        <v>19</v>
      </c>
      <c r="C1853" t="s">
        <v>170</v>
      </c>
      <c r="D1853" t="s">
        <v>171</v>
      </c>
      <c r="E1853" t="s">
        <v>110</v>
      </c>
      <c r="F1853" t="s">
        <v>8</v>
      </c>
      <c r="G1853">
        <v>0</v>
      </c>
    </row>
    <row r="1854" spans="1:7" x14ac:dyDescent="0.3">
      <c r="A1854">
        <v>2020</v>
      </c>
      <c r="B1854" t="s">
        <v>20</v>
      </c>
      <c r="C1854" t="s">
        <v>170</v>
      </c>
      <c r="D1854" t="s">
        <v>171</v>
      </c>
      <c r="E1854" t="s">
        <v>108</v>
      </c>
      <c r="F1854" t="s">
        <v>8</v>
      </c>
    </row>
    <row r="1855" spans="1:7" x14ac:dyDescent="0.3">
      <c r="A1855">
        <v>2020</v>
      </c>
      <c r="B1855" t="s">
        <v>20</v>
      </c>
      <c r="C1855" t="s">
        <v>170</v>
      </c>
      <c r="D1855" t="s">
        <v>171</v>
      </c>
      <c r="E1855" t="s">
        <v>91</v>
      </c>
      <c r="F1855" t="s">
        <v>8</v>
      </c>
    </row>
    <row r="1856" spans="1:7" x14ac:dyDescent="0.3">
      <c r="A1856">
        <v>2020</v>
      </c>
      <c r="B1856" t="s">
        <v>20</v>
      </c>
      <c r="C1856" t="s">
        <v>170</v>
      </c>
      <c r="D1856" t="s">
        <v>171</v>
      </c>
      <c r="E1856" t="s">
        <v>109</v>
      </c>
      <c r="F1856" t="s">
        <v>8</v>
      </c>
      <c r="G1856">
        <v>1</v>
      </c>
    </row>
    <row r="1857" spans="1:7" x14ac:dyDescent="0.3">
      <c r="A1857">
        <v>2020</v>
      </c>
      <c r="B1857" t="s">
        <v>20</v>
      </c>
      <c r="C1857" t="s">
        <v>170</v>
      </c>
      <c r="D1857" t="s">
        <v>171</v>
      </c>
      <c r="E1857" t="s">
        <v>110</v>
      </c>
      <c r="F1857" t="s">
        <v>8</v>
      </c>
    </row>
    <row r="1858" spans="1:7" x14ac:dyDescent="0.3">
      <c r="A1858">
        <v>2020</v>
      </c>
      <c r="B1858" t="s">
        <v>21</v>
      </c>
      <c r="C1858" t="s">
        <v>170</v>
      </c>
      <c r="D1858" t="s">
        <v>171</v>
      </c>
      <c r="E1858" t="s">
        <v>108</v>
      </c>
      <c r="F1858" t="s">
        <v>8</v>
      </c>
    </row>
    <row r="1859" spans="1:7" x14ac:dyDescent="0.3">
      <c r="A1859">
        <v>2020</v>
      </c>
      <c r="B1859" t="s">
        <v>21</v>
      </c>
      <c r="C1859" t="s">
        <v>170</v>
      </c>
      <c r="D1859" t="s">
        <v>171</v>
      </c>
      <c r="E1859" t="s">
        <v>91</v>
      </c>
      <c r="F1859" t="s">
        <v>8</v>
      </c>
      <c r="G1859">
        <v>1</v>
      </c>
    </row>
    <row r="1860" spans="1:7" x14ac:dyDescent="0.3">
      <c r="A1860">
        <v>2020</v>
      </c>
      <c r="B1860" t="s">
        <v>21</v>
      </c>
      <c r="C1860" t="s">
        <v>170</v>
      </c>
      <c r="D1860" t="s">
        <v>171</v>
      </c>
      <c r="E1860" t="s">
        <v>109</v>
      </c>
      <c r="F1860" t="s">
        <v>8</v>
      </c>
    </row>
    <row r="1861" spans="1:7" x14ac:dyDescent="0.3">
      <c r="A1861">
        <v>2020</v>
      </c>
      <c r="B1861" t="s">
        <v>21</v>
      </c>
      <c r="C1861" t="s">
        <v>170</v>
      </c>
      <c r="D1861" t="s">
        <v>171</v>
      </c>
      <c r="E1861" t="s">
        <v>110</v>
      </c>
      <c r="F1861" t="s">
        <v>8</v>
      </c>
    </row>
    <row r="1862" spans="1:7" x14ac:dyDescent="0.3">
      <c r="A1862">
        <v>2020</v>
      </c>
      <c r="B1862" t="s">
        <v>22</v>
      </c>
      <c r="C1862" t="s">
        <v>170</v>
      </c>
      <c r="D1862" t="s">
        <v>171</v>
      </c>
      <c r="E1862" t="s">
        <v>108</v>
      </c>
      <c r="F1862" t="s">
        <v>8</v>
      </c>
      <c r="G1862">
        <v>0</v>
      </c>
    </row>
    <row r="1863" spans="1:7" x14ac:dyDescent="0.3">
      <c r="A1863">
        <v>2020</v>
      </c>
      <c r="B1863" t="s">
        <v>22</v>
      </c>
      <c r="C1863" t="s">
        <v>170</v>
      </c>
      <c r="D1863" t="s">
        <v>171</v>
      </c>
      <c r="E1863" t="s">
        <v>91</v>
      </c>
      <c r="F1863" t="s">
        <v>8</v>
      </c>
      <c r="G1863">
        <v>0</v>
      </c>
    </row>
    <row r="1864" spans="1:7" x14ac:dyDescent="0.3">
      <c r="A1864">
        <v>2020</v>
      </c>
      <c r="B1864" t="s">
        <v>22</v>
      </c>
      <c r="C1864" t="s">
        <v>170</v>
      </c>
      <c r="D1864" t="s">
        <v>171</v>
      </c>
      <c r="E1864" t="s">
        <v>109</v>
      </c>
      <c r="F1864" t="s">
        <v>8</v>
      </c>
      <c r="G1864">
        <v>1</v>
      </c>
    </row>
    <row r="1865" spans="1:7" x14ac:dyDescent="0.3">
      <c r="A1865">
        <v>2020</v>
      </c>
      <c r="B1865" t="s">
        <v>22</v>
      </c>
      <c r="C1865" t="s">
        <v>170</v>
      </c>
      <c r="D1865" t="s">
        <v>171</v>
      </c>
      <c r="E1865" t="s">
        <v>110</v>
      </c>
      <c r="F1865" t="s">
        <v>8</v>
      </c>
      <c r="G1865">
        <v>0</v>
      </c>
    </row>
    <row r="1866" spans="1:7" x14ac:dyDescent="0.3">
      <c r="A1866">
        <v>2020</v>
      </c>
      <c r="B1866" t="s">
        <v>23</v>
      </c>
      <c r="C1866" t="s">
        <v>170</v>
      </c>
      <c r="D1866" t="s">
        <v>171</v>
      </c>
      <c r="E1866" t="s">
        <v>108</v>
      </c>
      <c r="F1866" t="s">
        <v>8</v>
      </c>
      <c r="G1866">
        <v>0</v>
      </c>
    </row>
    <row r="1867" spans="1:7" x14ac:dyDescent="0.3">
      <c r="A1867">
        <v>2020</v>
      </c>
      <c r="B1867" t="s">
        <v>23</v>
      </c>
      <c r="C1867" t="s">
        <v>170</v>
      </c>
      <c r="D1867" t="s">
        <v>171</v>
      </c>
      <c r="E1867" t="s">
        <v>91</v>
      </c>
      <c r="F1867" t="s">
        <v>8</v>
      </c>
      <c r="G1867">
        <v>0</v>
      </c>
    </row>
    <row r="1868" spans="1:7" x14ac:dyDescent="0.3">
      <c r="A1868">
        <v>2020</v>
      </c>
      <c r="B1868" t="s">
        <v>23</v>
      </c>
      <c r="C1868" t="s">
        <v>170</v>
      </c>
      <c r="D1868" t="s">
        <v>171</v>
      </c>
      <c r="E1868" t="s">
        <v>109</v>
      </c>
      <c r="F1868" t="s">
        <v>8</v>
      </c>
      <c r="G1868">
        <v>0</v>
      </c>
    </row>
    <row r="1869" spans="1:7" x14ac:dyDescent="0.3">
      <c r="A1869">
        <v>2020</v>
      </c>
      <c r="B1869" t="s">
        <v>23</v>
      </c>
      <c r="C1869" t="s">
        <v>170</v>
      </c>
      <c r="D1869" t="s">
        <v>171</v>
      </c>
      <c r="E1869" t="s">
        <v>110</v>
      </c>
      <c r="F1869" t="s">
        <v>8</v>
      </c>
      <c r="G1869">
        <v>0</v>
      </c>
    </row>
    <row r="1870" spans="1:7" x14ac:dyDescent="0.3">
      <c r="A1870">
        <v>2020</v>
      </c>
      <c r="B1870" t="s">
        <v>24</v>
      </c>
      <c r="C1870" t="s">
        <v>170</v>
      </c>
      <c r="D1870" t="s">
        <v>171</v>
      </c>
      <c r="E1870" t="s">
        <v>108</v>
      </c>
      <c r="F1870" t="s">
        <v>8</v>
      </c>
    </row>
    <row r="1871" spans="1:7" x14ac:dyDescent="0.3">
      <c r="A1871">
        <v>2020</v>
      </c>
      <c r="B1871" t="s">
        <v>24</v>
      </c>
      <c r="C1871" t="s">
        <v>170</v>
      </c>
      <c r="D1871" t="s">
        <v>171</v>
      </c>
      <c r="E1871" t="s">
        <v>91</v>
      </c>
      <c r="F1871" t="s">
        <v>8</v>
      </c>
    </row>
    <row r="1872" spans="1:7" x14ac:dyDescent="0.3">
      <c r="A1872">
        <v>2020</v>
      </c>
      <c r="B1872" t="s">
        <v>24</v>
      </c>
      <c r="C1872" t="s">
        <v>170</v>
      </c>
      <c r="D1872" t="s">
        <v>171</v>
      </c>
      <c r="E1872" t="s">
        <v>109</v>
      </c>
      <c r="F1872" t="s">
        <v>8</v>
      </c>
    </row>
    <row r="1873" spans="1:7" x14ac:dyDescent="0.3">
      <c r="A1873">
        <v>2020</v>
      </c>
      <c r="B1873" t="s">
        <v>24</v>
      </c>
      <c r="C1873" t="s">
        <v>170</v>
      </c>
      <c r="D1873" t="s">
        <v>171</v>
      </c>
      <c r="E1873" t="s">
        <v>110</v>
      </c>
      <c r="F1873" t="s">
        <v>8</v>
      </c>
    </row>
    <row r="1874" spans="1:7" x14ac:dyDescent="0.3">
      <c r="A1874">
        <v>2020</v>
      </c>
      <c r="B1874" t="s">
        <v>25</v>
      </c>
      <c r="C1874" t="s">
        <v>170</v>
      </c>
      <c r="D1874" t="s">
        <v>171</v>
      </c>
      <c r="E1874" t="s">
        <v>108</v>
      </c>
      <c r="F1874" t="s">
        <v>8</v>
      </c>
    </row>
    <row r="1875" spans="1:7" x14ac:dyDescent="0.3">
      <c r="A1875">
        <v>2020</v>
      </c>
      <c r="B1875" t="s">
        <v>25</v>
      </c>
      <c r="C1875" t="s">
        <v>170</v>
      </c>
      <c r="D1875" t="s">
        <v>171</v>
      </c>
      <c r="E1875" t="s">
        <v>91</v>
      </c>
      <c r="F1875" t="s">
        <v>8</v>
      </c>
    </row>
    <row r="1876" spans="1:7" x14ac:dyDescent="0.3">
      <c r="A1876">
        <v>2020</v>
      </c>
      <c r="B1876" t="s">
        <v>25</v>
      </c>
      <c r="C1876" t="s">
        <v>170</v>
      </c>
      <c r="D1876" t="s">
        <v>171</v>
      </c>
      <c r="E1876" t="s">
        <v>109</v>
      </c>
      <c r="F1876" t="s">
        <v>8</v>
      </c>
    </row>
    <row r="1877" spans="1:7" x14ac:dyDescent="0.3">
      <c r="A1877">
        <v>2020</v>
      </c>
      <c r="B1877" t="s">
        <v>25</v>
      </c>
      <c r="C1877" t="s">
        <v>170</v>
      </c>
      <c r="D1877" t="s">
        <v>171</v>
      </c>
      <c r="E1877" t="s">
        <v>110</v>
      </c>
      <c r="F1877" t="s">
        <v>8</v>
      </c>
    </row>
    <row r="1878" spans="1:7" x14ac:dyDescent="0.3">
      <c r="A1878">
        <v>2020</v>
      </c>
      <c r="B1878" t="s">
        <v>26</v>
      </c>
      <c r="C1878" t="s">
        <v>170</v>
      </c>
      <c r="D1878" t="s">
        <v>171</v>
      </c>
      <c r="E1878" t="s">
        <v>108</v>
      </c>
      <c r="F1878" t="s">
        <v>8</v>
      </c>
    </row>
    <row r="1879" spans="1:7" x14ac:dyDescent="0.3">
      <c r="A1879">
        <v>2020</v>
      </c>
      <c r="B1879" t="s">
        <v>26</v>
      </c>
      <c r="C1879" t="s">
        <v>170</v>
      </c>
      <c r="D1879" t="s">
        <v>171</v>
      </c>
      <c r="E1879" t="s">
        <v>91</v>
      </c>
      <c r="F1879" t="s">
        <v>8</v>
      </c>
    </row>
    <row r="1880" spans="1:7" x14ac:dyDescent="0.3">
      <c r="A1880">
        <v>2020</v>
      </c>
      <c r="B1880" t="s">
        <v>26</v>
      </c>
      <c r="C1880" t="s">
        <v>170</v>
      </c>
      <c r="D1880" t="s">
        <v>171</v>
      </c>
      <c r="E1880" t="s">
        <v>109</v>
      </c>
      <c r="F1880" t="s">
        <v>8</v>
      </c>
      <c r="G1880">
        <v>2</v>
      </c>
    </row>
    <row r="1881" spans="1:7" x14ac:dyDescent="0.3">
      <c r="A1881">
        <v>2020</v>
      </c>
      <c r="B1881" t="s">
        <v>26</v>
      </c>
      <c r="C1881" t="s">
        <v>170</v>
      </c>
      <c r="D1881" t="s">
        <v>171</v>
      </c>
      <c r="E1881" t="s">
        <v>110</v>
      </c>
      <c r="F1881" t="s">
        <v>8</v>
      </c>
    </row>
    <row r="1882" spans="1:7" x14ac:dyDescent="0.3">
      <c r="A1882">
        <v>2020</v>
      </c>
      <c r="B1882" t="s">
        <v>27</v>
      </c>
      <c r="C1882" t="s">
        <v>170</v>
      </c>
      <c r="D1882" t="s">
        <v>171</v>
      </c>
      <c r="E1882" t="s">
        <v>108</v>
      </c>
      <c r="F1882" t="s">
        <v>8</v>
      </c>
      <c r="G1882">
        <v>0</v>
      </c>
    </row>
    <row r="1883" spans="1:7" x14ac:dyDescent="0.3">
      <c r="A1883">
        <v>2020</v>
      </c>
      <c r="B1883" t="s">
        <v>27</v>
      </c>
      <c r="C1883" t="s">
        <v>170</v>
      </c>
      <c r="D1883" t="s">
        <v>171</v>
      </c>
      <c r="E1883" t="s">
        <v>91</v>
      </c>
      <c r="F1883" t="s">
        <v>8</v>
      </c>
      <c r="G1883">
        <v>0</v>
      </c>
    </row>
    <row r="1884" spans="1:7" x14ac:dyDescent="0.3">
      <c r="A1884">
        <v>2020</v>
      </c>
      <c r="B1884" t="s">
        <v>27</v>
      </c>
      <c r="C1884" t="s">
        <v>170</v>
      </c>
      <c r="D1884" t="s">
        <v>171</v>
      </c>
      <c r="E1884" t="s">
        <v>109</v>
      </c>
      <c r="F1884" t="s">
        <v>8</v>
      </c>
      <c r="G1884">
        <v>1</v>
      </c>
    </row>
    <row r="1885" spans="1:7" x14ac:dyDescent="0.3">
      <c r="A1885">
        <v>2020</v>
      </c>
      <c r="B1885" t="s">
        <v>27</v>
      </c>
      <c r="C1885" t="s">
        <v>170</v>
      </c>
      <c r="D1885" t="s">
        <v>171</v>
      </c>
      <c r="E1885" t="s">
        <v>110</v>
      </c>
      <c r="F1885" t="s">
        <v>8</v>
      </c>
      <c r="G1885">
        <v>0</v>
      </c>
    </row>
    <row r="1886" spans="1:7" x14ac:dyDescent="0.3">
      <c r="A1886">
        <v>2020</v>
      </c>
      <c r="B1886" t="s">
        <v>29</v>
      </c>
      <c r="C1886" t="s">
        <v>170</v>
      </c>
      <c r="D1886" t="s">
        <v>171</v>
      </c>
      <c r="E1886" t="s">
        <v>108</v>
      </c>
      <c r="F1886" t="s">
        <v>8</v>
      </c>
    </row>
    <row r="1887" spans="1:7" x14ac:dyDescent="0.3">
      <c r="A1887">
        <v>2020</v>
      </c>
      <c r="B1887" t="s">
        <v>29</v>
      </c>
      <c r="C1887" t="s">
        <v>170</v>
      </c>
      <c r="D1887" t="s">
        <v>171</v>
      </c>
      <c r="E1887" t="s">
        <v>91</v>
      </c>
      <c r="F1887" t="s">
        <v>8</v>
      </c>
    </row>
    <row r="1888" spans="1:7" x14ac:dyDescent="0.3">
      <c r="A1888">
        <v>2020</v>
      </c>
      <c r="B1888" t="s">
        <v>29</v>
      </c>
      <c r="C1888" t="s">
        <v>170</v>
      </c>
      <c r="D1888" t="s">
        <v>171</v>
      </c>
      <c r="E1888" t="s">
        <v>109</v>
      </c>
      <c r="F1888" t="s">
        <v>8</v>
      </c>
    </row>
    <row r="1889" spans="1:7" x14ac:dyDescent="0.3">
      <c r="A1889">
        <v>2020</v>
      </c>
      <c r="B1889" t="s">
        <v>29</v>
      </c>
      <c r="C1889" t="s">
        <v>170</v>
      </c>
      <c r="D1889" t="s">
        <v>171</v>
      </c>
      <c r="E1889" t="s">
        <v>110</v>
      </c>
      <c r="F1889" t="s">
        <v>8</v>
      </c>
    </row>
    <row r="1890" spans="1:7" x14ac:dyDescent="0.3">
      <c r="A1890">
        <v>2020</v>
      </c>
      <c r="B1890" t="s">
        <v>30</v>
      </c>
      <c r="C1890" t="s">
        <v>170</v>
      </c>
      <c r="D1890" t="s">
        <v>171</v>
      </c>
      <c r="E1890" t="s">
        <v>108</v>
      </c>
      <c r="F1890" t="s">
        <v>8</v>
      </c>
      <c r="G1890">
        <v>2</v>
      </c>
    </row>
    <row r="1891" spans="1:7" x14ac:dyDescent="0.3">
      <c r="A1891">
        <v>2020</v>
      </c>
      <c r="B1891" t="s">
        <v>30</v>
      </c>
      <c r="C1891" t="s">
        <v>170</v>
      </c>
      <c r="D1891" t="s">
        <v>171</v>
      </c>
      <c r="E1891" t="s">
        <v>91</v>
      </c>
      <c r="F1891" t="s">
        <v>8</v>
      </c>
      <c r="G1891">
        <v>0</v>
      </c>
    </row>
    <row r="1892" spans="1:7" x14ac:dyDescent="0.3">
      <c r="A1892">
        <v>2020</v>
      </c>
      <c r="B1892" t="s">
        <v>30</v>
      </c>
      <c r="C1892" t="s">
        <v>170</v>
      </c>
      <c r="D1892" t="s">
        <v>171</v>
      </c>
      <c r="E1892" t="s">
        <v>109</v>
      </c>
      <c r="F1892" t="s">
        <v>8</v>
      </c>
      <c r="G1892">
        <v>1</v>
      </c>
    </row>
    <row r="1893" spans="1:7" x14ac:dyDescent="0.3">
      <c r="A1893">
        <v>2020</v>
      </c>
      <c r="B1893" t="s">
        <v>30</v>
      </c>
      <c r="C1893" t="s">
        <v>170</v>
      </c>
      <c r="D1893" t="s">
        <v>171</v>
      </c>
      <c r="E1893" t="s">
        <v>110</v>
      </c>
      <c r="F1893" t="s">
        <v>8</v>
      </c>
      <c r="G1893">
        <v>0</v>
      </c>
    </row>
    <row r="1894" spans="1:7" x14ac:dyDescent="0.3">
      <c r="A1894">
        <v>2020</v>
      </c>
      <c r="B1894" t="s">
        <v>31</v>
      </c>
      <c r="C1894" t="s">
        <v>170</v>
      </c>
      <c r="D1894" t="s">
        <v>171</v>
      </c>
      <c r="E1894" t="s">
        <v>108</v>
      </c>
      <c r="F1894" t="s">
        <v>8</v>
      </c>
      <c r="G1894">
        <v>0</v>
      </c>
    </row>
    <row r="1895" spans="1:7" x14ac:dyDescent="0.3">
      <c r="A1895">
        <v>2020</v>
      </c>
      <c r="B1895" t="s">
        <v>31</v>
      </c>
      <c r="C1895" t="s">
        <v>170</v>
      </c>
      <c r="D1895" t="s">
        <v>171</v>
      </c>
      <c r="E1895" t="s">
        <v>91</v>
      </c>
      <c r="F1895" t="s">
        <v>8</v>
      </c>
      <c r="G1895">
        <v>2</v>
      </c>
    </row>
    <row r="1896" spans="1:7" x14ac:dyDescent="0.3">
      <c r="A1896">
        <v>2020</v>
      </c>
      <c r="B1896" t="s">
        <v>31</v>
      </c>
      <c r="C1896" t="s">
        <v>170</v>
      </c>
      <c r="D1896" t="s">
        <v>171</v>
      </c>
      <c r="E1896" t="s">
        <v>109</v>
      </c>
      <c r="F1896" t="s">
        <v>8</v>
      </c>
      <c r="G1896">
        <v>1</v>
      </c>
    </row>
    <row r="1897" spans="1:7" x14ac:dyDescent="0.3">
      <c r="A1897">
        <v>2020</v>
      </c>
      <c r="B1897" t="s">
        <v>31</v>
      </c>
      <c r="C1897" t="s">
        <v>170</v>
      </c>
      <c r="D1897" t="s">
        <v>171</v>
      </c>
      <c r="E1897" t="s">
        <v>110</v>
      </c>
      <c r="F1897" t="s">
        <v>8</v>
      </c>
      <c r="G1897">
        <v>0</v>
      </c>
    </row>
    <row r="1898" spans="1:7" x14ac:dyDescent="0.3">
      <c r="A1898">
        <v>2020</v>
      </c>
      <c r="B1898" t="s">
        <v>32</v>
      </c>
      <c r="C1898" t="s">
        <v>170</v>
      </c>
      <c r="D1898" t="s">
        <v>171</v>
      </c>
      <c r="E1898" t="s">
        <v>108</v>
      </c>
      <c r="F1898" t="s">
        <v>8</v>
      </c>
      <c r="G1898">
        <v>1</v>
      </c>
    </row>
    <row r="1899" spans="1:7" x14ac:dyDescent="0.3">
      <c r="A1899">
        <v>2020</v>
      </c>
      <c r="B1899" t="s">
        <v>32</v>
      </c>
      <c r="C1899" t="s">
        <v>170</v>
      </c>
      <c r="D1899" t="s">
        <v>171</v>
      </c>
      <c r="E1899" t="s">
        <v>91</v>
      </c>
      <c r="F1899" t="s">
        <v>8</v>
      </c>
    </row>
    <row r="1900" spans="1:7" x14ac:dyDescent="0.3">
      <c r="A1900">
        <v>2020</v>
      </c>
      <c r="B1900" t="s">
        <v>32</v>
      </c>
      <c r="C1900" t="s">
        <v>170</v>
      </c>
      <c r="D1900" t="s">
        <v>171</v>
      </c>
      <c r="E1900" t="s">
        <v>109</v>
      </c>
      <c r="F1900" t="s">
        <v>8</v>
      </c>
    </row>
    <row r="1901" spans="1:7" x14ac:dyDescent="0.3">
      <c r="A1901">
        <v>2020</v>
      </c>
      <c r="B1901" t="s">
        <v>32</v>
      </c>
      <c r="C1901" t="s">
        <v>170</v>
      </c>
      <c r="D1901" t="s">
        <v>171</v>
      </c>
      <c r="E1901" t="s">
        <v>110</v>
      </c>
      <c r="F1901" t="s">
        <v>8</v>
      </c>
    </row>
    <row r="1902" spans="1:7" x14ac:dyDescent="0.3">
      <c r="A1902">
        <v>2020</v>
      </c>
      <c r="B1902" t="s">
        <v>63</v>
      </c>
      <c r="C1902" t="s">
        <v>170</v>
      </c>
      <c r="D1902" t="s">
        <v>171</v>
      </c>
      <c r="E1902" t="s">
        <v>108</v>
      </c>
      <c r="F1902" t="s">
        <v>8</v>
      </c>
      <c r="G1902">
        <v>0</v>
      </c>
    </row>
    <row r="1903" spans="1:7" x14ac:dyDescent="0.3">
      <c r="A1903">
        <v>2020</v>
      </c>
      <c r="B1903" t="s">
        <v>63</v>
      </c>
      <c r="C1903" t="s">
        <v>170</v>
      </c>
      <c r="D1903" t="s">
        <v>171</v>
      </c>
      <c r="E1903" t="s">
        <v>91</v>
      </c>
      <c r="F1903" t="s">
        <v>8</v>
      </c>
      <c r="G1903">
        <v>12</v>
      </c>
    </row>
    <row r="1904" spans="1:7" x14ac:dyDescent="0.3">
      <c r="A1904">
        <v>2020</v>
      </c>
      <c r="B1904" t="s">
        <v>63</v>
      </c>
      <c r="C1904" t="s">
        <v>170</v>
      </c>
      <c r="D1904" t="s">
        <v>171</v>
      </c>
      <c r="E1904" t="s">
        <v>109</v>
      </c>
      <c r="F1904" t="s">
        <v>8</v>
      </c>
      <c r="G1904">
        <v>5</v>
      </c>
    </row>
    <row r="1905" spans="1:7" x14ac:dyDescent="0.3">
      <c r="A1905">
        <v>2020</v>
      </c>
      <c r="B1905" t="s">
        <v>63</v>
      </c>
      <c r="C1905" t="s">
        <v>170</v>
      </c>
      <c r="D1905" t="s">
        <v>171</v>
      </c>
      <c r="E1905" t="s">
        <v>110</v>
      </c>
      <c r="F1905" t="s">
        <v>8</v>
      </c>
      <c r="G1905">
        <v>1</v>
      </c>
    </row>
    <row r="1906" spans="1:7" x14ac:dyDescent="0.3">
      <c r="A1906">
        <v>2020</v>
      </c>
      <c r="B1906" t="s">
        <v>57</v>
      </c>
      <c r="C1906" t="s">
        <v>170</v>
      </c>
      <c r="D1906" t="s">
        <v>171</v>
      </c>
      <c r="E1906" t="s">
        <v>108</v>
      </c>
      <c r="F1906" t="s">
        <v>8</v>
      </c>
    </row>
    <row r="1907" spans="1:7" x14ac:dyDescent="0.3">
      <c r="A1907">
        <v>2020</v>
      </c>
      <c r="B1907" t="s">
        <v>57</v>
      </c>
      <c r="C1907" t="s">
        <v>170</v>
      </c>
      <c r="D1907" t="s">
        <v>171</v>
      </c>
      <c r="E1907" t="s">
        <v>91</v>
      </c>
      <c r="F1907" t="s">
        <v>8</v>
      </c>
      <c r="G1907">
        <v>3</v>
      </c>
    </row>
    <row r="1908" spans="1:7" x14ac:dyDescent="0.3">
      <c r="A1908">
        <v>2020</v>
      </c>
      <c r="B1908" t="s">
        <v>57</v>
      </c>
      <c r="C1908" t="s">
        <v>170</v>
      </c>
      <c r="D1908" t="s">
        <v>171</v>
      </c>
      <c r="E1908" t="s">
        <v>109</v>
      </c>
      <c r="F1908" t="s">
        <v>8</v>
      </c>
    </row>
    <row r="1909" spans="1:7" x14ac:dyDescent="0.3">
      <c r="A1909">
        <v>2020</v>
      </c>
      <c r="B1909" t="s">
        <v>57</v>
      </c>
      <c r="C1909" t="s">
        <v>170</v>
      </c>
      <c r="D1909" t="s">
        <v>171</v>
      </c>
      <c r="E1909" t="s">
        <v>110</v>
      </c>
      <c r="F1909" t="s">
        <v>8</v>
      </c>
    </row>
    <row r="1910" spans="1:7" x14ac:dyDescent="0.3">
      <c r="A1910">
        <v>2020</v>
      </c>
      <c r="B1910" t="s">
        <v>33</v>
      </c>
      <c r="C1910" t="s">
        <v>170</v>
      </c>
      <c r="D1910" t="s">
        <v>171</v>
      </c>
      <c r="E1910" t="s">
        <v>108</v>
      </c>
      <c r="F1910" t="s">
        <v>8</v>
      </c>
    </row>
    <row r="1911" spans="1:7" x14ac:dyDescent="0.3">
      <c r="A1911">
        <v>2020</v>
      </c>
      <c r="B1911" t="s">
        <v>33</v>
      </c>
      <c r="C1911" t="s">
        <v>170</v>
      </c>
      <c r="D1911" t="s">
        <v>171</v>
      </c>
      <c r="E1911" t="s">
        <v>91</v>
      </c>
      <c r="F1911" t="s">
        <v>8</v>
      </c>
    </row>
    <row r="1912" spans="1:7" x14ac:dyDescent="0.3">
      <c r="A1912">
        <v>2020</v>
      </c>
      <c r="B1912" t="s">
        <v>33</v>
      </c>
      <c r="C1912" t="s">
        <v>170</v>
      </c>
      <c r="D1912" t="s">
        <v>171</v>
      </c>
      <c r="E1912" t="s">
        <v>109</v>
      </c>
      <c r="F1912" t="s">
        <v>8</v>
      </c>
      <c r="G1912">
        <v>1</v>
      </c>
    </row>
    <row r="1913" spans="1:7" x14ac:dyDescent="0.3">
      <c r="A1913">
        <v>2020</v>
      </c>
      <c r="B1913" t="s">
        <v>33</v>
      </c>
      <c r="C1913" t="s">
        <v>170</v>
      </c>
      <c r="D1913" t="s">
        <v>171</v>
      </c>
      <c r="E1913" t="s">
        <v>110</v>
      </c>
      <c r="F1913" t="s">
        <v>8</v>
      </c>
    </row>
    <row r="1914" spans="1:7" x14ac:dyDescent="0.3">
      <c r="A1914">
        <v>2020</v>
      </c>
      <c r="B1914" t="s">
        <v>34</v>
      </c>
      <c r="C1914" t="s">
        <v>170</v>
      </c>
      <c r="D1914" t="s">
        <v>171</v>
      </c>
      <c r="E1914" t="s">
        <v>108</v>
      </c>
      <c r="F1914" t="s">
        <v>8</v>
      </c>
      <c r="G1914">
        <v>1</v>
      </c>
    </row>
    <row r="1915" spans="1:7" x14ac:dyDescent="0.3">
      <c r="A1915">
        <v>2020</v>
      </c>
      <c r="B1915" t="s">
        <v>34</v>
      </c>
      <c r="C1915" t="s">
        <v>170</v>
      </c>
      <c r="D1915" t="s">
        <v>171</v>
      </c>
      <c r="E1915" t="s">
        <v>91</v>
      </c>
      <c r="F1915" t="s">
        <v>8</v>
      </c>
      <c r="G1915">
        <v>0</v>
      </c>
    </row>
    <row r="1916" spans="1:7" x14ac:dyDescent="0.3">
      <c r="A1916">
        <v>2020</v>
      </c>
      <c r="B1916" t="s">
        <v>34</v>
      </c>
      <c r="C1916" t="s">
        <v>170</v>
      </c>
      <c r="D1916" t="s">
        <v>171</v>
      </c>
      <c r="E1916" t="s">
        <v>109</v>
      </c>
      <c r="F1916" t="s">
        <v>8</v>
      </c>
      <c r="G1916">
        <v>0</v>
      </c>
    </row>
    <row r="1917" spans="1:7" x14ac:dyDescent="0.3">
      <c r="A1917">
        <v>2020</v>
      </c>
      <c r="B1917" t="s">
        <v>34</v>
      </c>
      <c r="C1917" t="s">
        <v>170</v>
      </c>
      <c r="D1917" t="s">
        <v>171</v>
      </c>
      <c r="E1917" t="s">
        <v>110</v>
      </c>
      <c r="F1917" t="s">
        <v>8</v>
      </c>
      <c r="G1917">
        <v>0</v>
      </c>
    </row>
    <row r="1918" spans="1:7" x14ac:dyDescent="0.3">
      <c r="A1918">
        <v>2020</v>
      </c>
      <c r="B1918" t="s">
        <v>35</v>
      </c>
      <c r="C1918" t="s">
        <v>170</v>
      </c>
      <c r="D1918" t="s">
        <v>171</v>
      </c>
      <c r="E1918" t="s">
        <v>108</v>
      </c>
      <c r="F1918" t="s">
        <v>8</v>
      </c>
      <c r="G1918">
        <v>0</v>
      </c>
    </row>
    <row r="1919" spans="1:7" x14ac:dyDescent="0.3">
      <c r="A1919">
        <v>2020</v>
      </c>
      <c r="B1919" t="s">
        <v>35</v>
      </c>
      <c r="C1919" t="s">
        <v>170</v>
      </c>
      <c r="D1919" t="s">
        <v>171</v>
      </c>
      <c r="E1919" t="s">
        <v>91</v>
      </c>
      <c r="F1919" t="s">
        <v>8</v>
      </c>
      <c r="G1919">
        <v>6</v>
      </c>
    </row>
    <row r="1920" spans="1:7" x14ac:dyDescent="0.3">
      <c r="A1920">
        <v>2020</v>
      </c>
      <c r="B1920" t="s">
        <v>35</v>
      </c>
      <c r="C1920" t="s">
        <v>170</v>
      </c>
      <c r="D1920" t="s">
        <v>171</v>
      </c>
      <c r="E1920" t="s">
        <v>109</v>
      </c>
      <c r="F1920" t="s">
        <v>8</v>
      </c>
      <c r="G1920">
        <v>0</v>
      </c>
    </row>
    <row r="1921" spans="1:7" x14ac:dyDescent="0.3">
      <c r="A1921">
        <v>2020</v>
      </c>
      <c r="B1921" t="s">
        <v>35</v>
      </c>
      <c r="C1921" t="s">
        <v>170</v>
      </c>
      <c r="D1921" t="s">
        <v>171</v>
      </c>
      <c r="E1921" t="s">
        <v>110</v>
      </c>
      <c r="F1921" t="s">
        <v>8</v>
      </c>
      <c r="G1921">
        <v>0</v>
      </c>
    </row>
    <row r="1922" spans="1:7" x14ac:dyDescent="0.3">
      <c r="A1922">
        <v>2020</v>
      </c>
      <c r="B1922" t="s">
        <v>36</v>
      </c>
      <c r="C1922" t="s">
        <v>170</v>
      </c>
      <c r="D1922" t="s">
        <v>171</v>
      </c>
      <c r="E1922" t="s">
        <v>108</v>
      </c>
      <c r="F1922" t="s">
        <v>8</v>
      </c>
      <c r="G1922">
        <v>1</v>
      </c>
    </row>
    <row r="1923" spans="1:7" x14ac:dyDescent="0.3">
      <c r="A1923">
        <v>2020</v>
      </c>
      <c r="B1923" t="s">
        <v>36</v>
      </c>
      <c r="C1923" t="s">
        <v>170</v>
      </c>
      <c r="D1923" t="s">
        <v>171</v>
      </c>
      <c r="E1923" t="s">
        <v>91</v>
      </c>
      <c r="F1923" t="s">
        <v>8</v>
      </c>
      <c r="G1923">
        <v>0</v>
      </c>
    </row>
    <row r="1924" spans="1:7" x14ac:dyDescent="0.3">
      <c r="A1924">
        <v>2020</v>
      </c>
      <c r="B1924" t="s">
        <v>36</v>
      </c>
      <c r="C1924" t="s">
        <v>170</v>
      </c>
      <c r="D1924" t="s">
        <v>171</v>
      </c>
      <c r="E1924" t="s">
        <v>109</v>
      </c>
      <c r="F1924" t="s">
        <v>8</v>
      </c>
      <c r="G1924">
        <v>0</v>
      </c>
    </row>
    <row r="1925" spans="1:7" x14ac:dyDescent="0.3">
      <c r="A1925">
        <v>2020</v>
      </c>
      <c r="B1925" t="s">
        <v>36</v>
      </c>
      <c r="C1925" t="s">
        <v>170</v>
      </c>
      <c r="D1925" t="s">
        <v>171</v>
      </c>
      <c r="E1925" t="s">
        <v>110</v>
      </c>
      <c r="F1925" t="s">
        <v>8</v>
      </c>
      <c r="G1925">
        <v>0</v>
      </c>
    </row>
    <row r="1926" spans="1:7" x14ac:dyDescent="0.3">
      <c r="A1926">
        <v>2020</v>
      </c>
      <c r="B1926" t="s">
        <v>37</v>
      </c>
      <c r="C1926" t="s">
        <v>170</v>
      </c>
      <c r="D1926" t="s">
        <v>171</v>
      </c>
      <c r="E1926" t="s">
        <v>108</v>
      </c>
      <c r="F1926" t="s">
        <v>8</v>
      </c>
    </row>
    <row r="1927" spans="1:7" x14ac:dyDescent="0.3">
      <c r="A1927">
        <v>2020</v>
      </c>
      <c r="B1927" t="s">
        <v>37</v>
      </c>
      <c r="C1927" t="s">
        <v>170</v>
      </c>
      <c r="D1927" t="s">
        <v>171</v>
      </c>
      <c r="E1927" t="s">
        <v>91</v>
      </c>
      <c r="F1927" t="s">
        <v>8</v>
      </c>
    </row>
    <row r="1928" spans="1:7" x14ac:dyDescent="0.3">
      <c r="A1928">
        <v>2020</v>
      </c>
      <c r="B1928" t="s">
        <v>37</v>
      </c>
      <c r="C1928" t="s">
        <v>170</v>
      </c>
      <c r="D1928" t="s">
        <v>171</v>
      </c>
      <c r="E1928" t="s">
        <v>109</v>
      </c>
      <c r="F1928" t="s">
        <v>8</v>
      </c>
    </row>
    <row r="1929" spans="1:7" x14ac:dyDescent="0.3">
      <c r="A1929">
        <v>2020</v>
      </c>
      <c r="B1929" t="s">
        <v>37</v>
      </c>
      <c r="C1929" t="s">
        <v>170</v>
      </c>
      <c r="D1929" t="s">
        <v>171</v>
      </c>
      <c r="E1929" t="s">
        <v>110</v>
      </c>
      <c r="F1929" t="s">
        <v>8</v>
      </c>
    </row>
    <row r="1930" spans="1:7" x14ac:dyDescent="0.3">
      <c r="A1930">
        <v>2020</v>
      </c>
      <c r="B1930" t="s">
        <v>55</v>
      </c>
      <c r="C1930" t="s">
        <v>170</v>
      </c>
      <c r="D1930" t="s">
        <v>171</v>
      </c>
      <c r="E1930" t="s">
        <v>108</v>
      </c>
      <c r="F1930" t="s">
        <v>8</v>
      </c>
      <c r="G1930">
        <v>0</v>
      </c>
    </row>
    <row r="1931" spans="1:7" x14ac:dyDescent="0.3">
      <c r="A1931">
        <v>2020</v>
      </c>
      <c r="B1931" t="s">
        <v>55</v>
      </c>
      <c r="C1931" t="s">
        <v>170</v>
      </c>
      <c r="D1931" t="s">
        <v>171</v>
      </c>
      <c r="E1931" t="s">
        <v>91</v>
      </c>
      <c r="F1931" t="s">
        <v>8</v>
      </c>
      <c r="G1931">
        <v>0</v>
      </c>
    </row>
    <row r="1932" spans="1:7" x14ac:dyDescent="0.3">
      <c r="A1932">
        <v>2020</v>
      </c>
      <c r="B1932" t="s">
        <v>55</v>
      </c>
      <c r="C1932" t="s">
        <v>170</v>
      </c>
      <c r="D1932" t="s">
        <v>171</v>
      </c>
      <c r="E1932" t="s">
        <v>109</v>
      </c>
      <c r="F1932" t="s">
        <v>8</v>
      </c>
      <c r="G1932">
        <v>0</v>
      </c>
    </row>
    <row r="1933" spans="1:7" x14ac:dyDescent="0.3">
      <c r="A1933">
        <v>2020</v>
      </c>
      <c r="B1933" t="s">
        <v>55</v>
      </c>
      <c r="C1933" t="s">
        <v>170</v>
      </c>
      <c r="D1933" t="s">
        <v>171</v>
      </c>
      <c r="E1933" t="s">
        <v>110</v>
      </c>
      <c r="F1933" t="s">
        <v>8</v>
      </c>
      <c r="G1933">
        <v>0</v>
      </c>
    </row>
    <row r="1934" spans="1:7" x14ac:dyDescent="0.3">
      <c r="A1934">
        <v>2020</v>
      </c>
      <c r="B1934" t="s">
        <v>38</v>
      </c>
      <c r="C1934" t="s">
        <v>170</v>
      </c>
      <c r="D1934" t="s">
        <v>171</v>
      </c>
      <c r="E1934" t="s">
        <v>108</v>
      </c>
      <c r="F1934" t="s">
        <v>8</v>
      </c>
    </row>
    <row r="1935" spans="1:7" x14ac:dyDescent="0.3">
      <c r="A1935">
        <v>2020</v>
      </c>
      <c r="B1935" t="s">
        <v>38</v>
      </c>
      <c r="C1935" t="s">
        <v>170</v>
      </c>
      <c r="D1935" t="s">
        <v>171</v>
      </c>
      <c r="E1935" t="s">
        <v>91</v>
      </c>
      <c r="F1935" t="s">
        <v>8</v>
      </c>
    </row>
    <row r="1936" spans="1:7" x14ac:dyDescent="0.3">
      <c r="A1936">
        <v>2020</v>
      </c>
      <c r="B1936" t="s">
        <v>38</v>
      </c>
      <c r="C1936" t="s">
        <v>170</v>
      </c>
      <c r="D1936" t="s">
        <v>171</v>
      </c>
      <c r="E1936" t="s">
        <v>109</v>
      </c>
      <c r="F1936" t="s">
        <v>8</v>
      </c>
      <c r="G1936">
        <v>1</v>
      </c>
    </row>
    <row r="1937" spans="1:7" x14ac:dyDescent="0.3">
      <c r="A1937">
        <v>2020</v>
      </c>
      <c r="B1937" t="s">
        <v>38</v>
      </c>
      <c r="C1937" t="s">
        <v>170</v>
      </c>
      <c r="D1937" t="s">
        <v>171</v>
      </c>
      <c r="E1937" t="s">
        <v>110</v>
      </c>
      <c r="F1937" t="s">
        <v>8</v>
      </c>
    </row>
    <row r="1938" spans="1:7" x14ac:dyDescent="0.3">
      <c r="A1938">
        <v>2020</v>
      </c>
      <c r="B1938" t="s">
        <v>39</v>
      </c>
      <c r="C1938" t="s">
        <v>170</v>
      </c>
      <c r="D1938" t="s">
        <v>171</v>
      </c>
      <c r="E1938" t="s">
        <v>108</v>
      </c>
      <c r="F1938" t="s">
        <v>8</v>
      </c>
    </row>
    <row r="1939" spans="1:7" x14ac:dyDescent="0.3">
      <c r="A1939">
        <v>2020</v>
      </c>
      <c r="B1939" t="s">
        <v>39</v>
      </c>
      <c r="C1939" t="s">
        <v>170</v>
      </c>
      <c r="D1939" t="s">
        <v>171</v>
      </c>
      <c r="E1939" t="s">
        <v>91</v>
      </c>
      <c r="F1939" t="s">
        <v>8</v>
      </c>
      <c r="G1939">
        <v>1</v>
      </c>
    </row>
    <row r="1940" spans="1:7" x14ac:dyDescent="0.3">
      <c r="A1940">
        <v>2020</v>
      </c>
      <c r="B1940" t="s">
        <v>39</v>
      </c>
      <c r="C1940" t="s">
        <v>170</v>
      </c>
      <c r="D1940" t="s">
        <v>171</v>
      </c>
      <c r="E1940" t="s">
        <v>109</v>
      </c>
      <c r="F1940" t="s">
        <v>8</v>
      </c>
    </row>
    <row r="1941" spans="1:7" x14ac:dyDescent="0.3">
      <c r="A1941">
        <v>2020</v>
      </c>
      <c r="B1941" t="s">
        <v>39</v>
      </c>
      <c r="C1941" t="s">
        <v>170</v>
      </c>
      <c r="D1941" t="s">
        <v>171</v>
      </c>
      <c r="E1941" t="s">
        <v>110</v>
      </c>
      <c r="F1941" t="s">
        <v>8</v>
      </c>
    </row>
    <row r="1942" spans="1:7" x14ac:dyDescent="0.3">
      <c r="A1942">
        <v>2020</v>
      </c>
      <c r="B1942" t="s">
        <v>40</v>
      </c>
      <c r="C1942" t="s">
        <v>170</v>
      </c>
      <c r="D1942" t="s">
        <v>171</v>
      </c>
      <c r="E1942" t="s">
        <v>108</v>
      </c>
      <c r="F1942" t="s">
        <v>8</v>
      </c>
      <c r="G1942">
        <v>0</v>
      </c>
    </row>
    <row r="1943" spans="1:7" x14ac:dyDescent="0.3">
      <c r="A1943">
        <v>2020</v>
      </c>
      <c r="B1943" t="s">
        <v>40</v>
      </c>
      <c r="C1943" t="s">
        <v>170</v>
      </c>
      <c r="D1943" t="s">
        <v>171</v>
      </c>
      <c r="E1943" t="s">
        <v>91</v>
      </c>
      <c r="F1943" t="s">
        <v>8</v>
      </c>
      <c r="G1943">
        <v>4</v>
      </c>
    </row>
    <row r="1944" spans="1:7" x14ac:dyDescent="0.3">
      <c r="A1944">
        <v>2020</v>
      </c>
      <c r="B1944" t="s">
        <v>40</v>
      </c>
      <c r="C1944" t="s">
        <v>170</v>
      </c>
      <c r="D1944" t="s">
        <v>171</v>
      </c>
      <c r="E1944" t="s">
        <v>109</v>
      </c>
      <c r="F1944" t="s">
        <v>8</v>
      </c>
      <c r="G1944">
        <v>0</v>
      </c>
    </row>
    <row r="1945" spans="1:7" x14ac:dyDescent="0.3">
      <c r="A1945">
        <v>2020</v>
      </c>
      <c r="B1945" t="s">
        <v>40</v>
      </c>
      <c r="C1945" t="s">
        <v>170</v>
      </c>
      <c r="D1945" t="s">
        <v>171</v>
      </c>
      <c r="E1945" t="s">
        <v>110</v>
      </c>
      <c r="F1945" t="s">
        <v>8</v>
      </c>
      <c r="G1945">
        <v>0</v>
      </c>
    </row>
    <row r="1946" spans="1:7" x14ac:dyDescent="0.3">
      <c r="A1946">
        <v>2020</v>
      </c>
      <c r="B1946" t="s">
        <v>41</v>
      </c>
      <c r="C1946" t="s">
        <v>170</v>
      </c>
      <c r="D1946" t="s">
        <v>171</v>
      </c>
      <c r="E1946" t="s">
        <v>108</v>
      </c>
      <c r="F1946" t="s">
        <v>8</v>
      </c>
      <c r="G1946">
        <v>1</v>
      </c>
    </row>
    <row r="1947" spans="1:7" x14ac:dyDescent="0.3">
      <c r="A1947">
        <v>2020</v>
      </c>
      <c r="B1947" t="s">
        <v>41</v>
      </c>
      <c r="C1947" t="s">
        <v>170</v>
      </c>
      <c r="D1947" t="s">
        <v>171</v>
      </c>
      <c r="E1947" t="s">
        <v>91</v>
      </c>
      <c r="F1947" t="s">
        <v>8</v>
      </c>
      <c r="G1947">
        <v>1</v>
      </c>
    </row>
    <row r="1948" spans="1:7" x14ac:dyDescent="0.3">
      <c r="A1948">
        <v>2020</v>
      </c>
      <c r="B1948" t="s">
        <v>41</v>
      </c>
      <c r="C1948" t="s">
        <v>170</v>
      </c>
      <c r="D1948" t="s">
        <v>171</v>
      </c>
      <c r="E1948" t="s">
        <v>109</v>
      </c>
      <c r="F1948" t="s">
        <v>8</v>
      </c>
    </row>
    <row r="1949" spans="1:7" x14ac:dyDescent="0.3">
      <c r="A1949">
        <v>2020</v>
      </c>
      <c r="B1949" t="s">
        <v>41</v>
      </c>
      <c r="C1949" t="s">
        <v>170</v>
      </c>
      <c r="D1949" t="s">
        <v>171</v>
      </c>
      <c r="E1949" t="s">
        <v>110</v>
      </c>
      <c r="F1949" t="s">
        <v>8</v>
      </c>
    </row>
    <row r="1950" spans="1:7" x14ac:dyDescent="0.3">
      <c r="A1950">
        <v>2020</v>
      </c>
      <c r="B1950" t="s">
        <v>58</v>
      </c>
      <c r="C1950" t="s">
        <v>170</v>
      </c>
      <c r="D1950" t="s">
        <v>171</v>
      </c>
      <c r="E1950" t="s">
        <v>108</v>
      </c>
      <c r="F1950" t="s">
        <v>8</v>
      </c>
      <c r="G1950">
        <v>1</v>
      </c>
    </row>
    <row r="1951" spans="1:7" x14ac:dyDescent="0.3">
      <c r="A1951">
        <v>2020</v>
      </c>
      <c r="B1951" t="s">
        <v>58</v>
      </c>
      <c r="C1951" t="s">
        <v>170</v>
      </c>
      <c r="D1951" t="s">
        <v>171</v>
      </c>
      <c r="E1951" t="s">
        <v>91</v>
      </c>
      <c r="F1951" t="s">
        <v>8</v>
      </c>
      <c r="G1951">
        <v>2</v>
      </c>
    </row>
    <row r="1952" spans="1:7" x14ac:dyDescent="0.3">
      <c r="A1952">
        <v>2020</v>
      </c>
      <c r="B1952" t="s">
        <v>58</v>
      </c>
      <c r="C1952" t="s">
        <v>170</v>
      </c>
      <c r="D1952" t="s">
        <v>171</v>
      </c>
      <c r="E1952" t="s">
        <v>109</v>
      </c>
      <c r="F1952" t="s">
        <v>8</v>
      </c>
    </row>
    <row r="1953" spans="1:7" x14ac:dyDescent="0.3">
      <c r="A1953">
        <v>2020</v>
      </c>
      <c r="B1953" t="s">
        <v>58</v>
      </c>
      <c r="C1953" t="s">
        <v>170</v>
      </c>
      <c r="D1953" t="s">
        <v>171</v>
      </c>
      <c r="E1953" t="s">
        <v>110</v>
      </c>
      <c r="F1953" t="s">
        <v>8</v>
      </c>
    </row>
    <row r="1954" spans="1:7" x14ac:dyDescent="0.3">
      <c r="A1954">
        <v>2020</v>
      </c>
      <c r="B1954" t="s">
        <v>42</v>
      </c>
      <c r="C1954" t="s">
        <v>170</v>
      </c>
      <c r="D1954" t="s">
        <v>171</v>
      </c>
      <c r="E1954" t="s">
        <v>108</v>
      </c>
      <c r="F1954" t="s">
        <v>8</v>
      </c>
      <c r="G1954">
        <v>0</v>
      </c>
    </row>
    <row r="1955" spans="1:7" x14ac:dyDescent="0.3">
      <c r="A1955">
        <v>2020</v>
      </c>
      <c r="B1955" t="s">
        <v>42</v>
      </c>
      <c r="C1955" t="s">
        <v>170</v>
      </c>
      <c r="D1955" t="s">
        <v>171</v>
      </c>
      <c r="E1955" t="s">
        <v>91</v>
      </c>
      <c r="F1955" t="s">
        <v>8</v>
      </c>
      <c r="G1955">
        <v>0</v>
      </c>
    </row>
    <row r="1956" spans="1:7" x14ac:dyDescent="0.3">
      <c r="A1956">
        <v>2020</v>
      </c>
      <c r="B1956" t="s">
        <v>42</v>
      </c>
      <c r="C1956" t="s">
        <v>170</v>
      </c>
      <c r="D1956" t="s">
        <v>171</v>
      </c>
      <c r="E1956" t="s">
        <v>109</v>
      </c>
      <c r="F1956" t="s">
        <v>8</v>
      </c>
      <c r="G1956">
        <v>0</v>
      </c>
    </row>
    <row r="1957" spans="1:7" x14ac:dyDescent="0.3">
      <c r="A1957">
        <v>2020</v>
      </c>
      <c r="B1957" t="s">
        <v>42</v>
      </c>
      <c r="C1957" t="s">
        <v>170</v>
      </c>
      <c r="D1957" t="s">
        <v>171</v>
      </c>
      <c r="E1957" t="s">
        <v>110</v>
      </c>
      <c r="F1957" t="s">
        <v>8</v>
      </c>
      <c r="G1957">
        <v>0</v>
      </c>
    </row>
    <row r="1958" spans="1:7" x14ac:dyDescent="0.3">
      <c r="A1958">
        <v>2020</v>
      </c>
      <c r="B1958" t="s">
        <v>44</v>
      </c>
      <c r="C1958" t="s">
        <v>170</v>
      </c>
      <c r="D1958" t="s">
        <v>171</v>
      </c>
      <c r="E1958" t="s">
        <v>108</v>
      </c>
      <c r="F1958" t="s">
        <v>8</v>
      </c>
    </row>
    <row r="1959" spans="1:7" x14ac:dyDescent="0.3">
      <c r="A1959">
        <v>2020</v>
      </c>
      <c r="B1959" t="s">
        <v>44</v>
      </c>
      <c r="C1959" t="s">
        <v>170</v>
      </c>
      <c r="D1959" t="s">
        <v>171</v>
      </c>
      <c r="E1959" t="s">
        <v>91</v>
      </c>
      <c r="F1959" t="s">
        <v>8</v>
      </c>
      <c r="G1959">
        <v>2</v>
      </c>
    </row>
    <row r="1960" spans="1:7" x14ac:dyDescent="0.3">
      <c r="A1960">
        <v>2020</v>
      </c>
      <c r="B1960" t="s">
        <v>44</v>
      </c>
      <c r="C1960" t="s">
        <v>170</v>
      </c>
      <c r="D1960" t="s">
        <v>171</v>
      </c>
      <c r="E1960" t="s">
        <v>109</v>
      </c>
      <c r="F1960" t="s">
        <v>8</v>
      </c>
      <c r="G1960">
        <v>1</v>
      </c>
    </row>
    <row r="1961" spans="1:7" x14ac:dyDescent="0.3">
      <c r="A1961">
        <v>2020</v>
      </c>
      <c r="B1961" t="s">
        <v>44</v>
      </c>
      <c r="C1961" t="s">
        <v>170</v>
      </c>
      <c r="D1961" t="s">
        <v>171</v>
      </c>
      <c r="E1961" t="s">
        <v>110</v>
      </c>
      <c r="F1961" t="s">
        <v>8</v>
      </c>
    </row>
    <row r="1962" spans="1:7" x14ac:dyDescent="0.3">
      <c r="A1962">
        <v>2020</v>
      </c>
      <c r="B1962" t="s">
        <v>45</v>
      </c>
      <c r="C1962" t="s">
        <v>170</v>
      </c>
      <c r="D1962" t="s">
        <v>171</v>
      </c>
      <c r="E1962" t="s">
        <v>108</v>
      </c>
      <c r="F1962" t="s">
        <v>8</v>
      </c>
    </row>
    <row r="1963" spans="1:7" x14ac:dyDescent="0.3">
      <c r="A1963">
        <v>2020</v>
      </c>
      <c r="B1963" t="s">
        <v>45</v>
      </c>
      <c r="C1963" t="s">
        <v>170</v>
      </c>
      <c r="D1963" t="s">
        <v>171</v>
      </c>
      <c r="E1963" t="s">
        <v>91</v>
      </c>
      <c r="F1963" t="s">
        <v>8</v>
      </c>
    </row>
    <row r="1964" spans="1:7" x14ac:dyDescent="0.3">
      <c r="A1964">
        <v>2020</v>
      </c>
      <c r="B1964" t="s">
        <v>45</v>
      </c>
      <c r="C1964" t="s">
        <v>170</v>
      </c>
      <c r="D1964" t="s">
        <v>171</v>
      </c>
      <c r="E1964" t="s">
        <v>109</v>
      </c>
      <c r="F1964" t="s">
        <v>8</v>
      </c>
    </row>
    <row r="1965" spans="1:7" x14ac:dyDescent="0.3">
      <c r="A1965">
        <v>2020</v>
      </c>
      <c r="B1965" t="s">
        <v>45</v>
      </c>
      <c r="C1965" t="s">
        <v>170</v>
      </c>
      <c r="D1965" t="s">
        <v>171</v>
      </c>
      <c r="E1965" t="s">
        <v>110</v>
      </c>
      <c r="F1965" t="s">
        <v>8</v>
      </c>
    </row>
    <row r="1966" spans="1:7" x14ac:dyDescent="0.3">
      <c r="A1966">
        <v>2020</v>
      </c>
      <c r="B1966" t="s">
        <v>46</v>
      </c>
      <c r="C1966" t="s">
        <v>170</v>
      </c>
      <c r="D1966" t="s">
        <v>171</v>
      </c>
      <c r="E1966" t="s">
        <v>108</v>
      </c>
      <c r="F1966" t="s">
        <v>8</v>
      </c>
    </row>
    <row r="1967" spans="1:7" x14ac:dyDescent="0.3">
      <c r="A1967">
        <v>2020</v>
      </c>
      <c r="B1967" t="s">
        <v>46</v>
      </c>
      <c r="C1967" t="s">
        <v>170</v>
      </c>
      <c r="D1967" t="s">
        <v>171</v>
      </c>
      <c r="E1967" t="s">
        <v>91</v>
      </c>
      <c r="F1967" t="s">
        <v>8</v>
      </c>
    </row>
    <row r="1968" spans="1:7" x14ac:dyDescent="0.3">
      <c r="A1968">
        <v>2020</v>
      </c>
      <c r="B1968" t="s">
        <v>46</v>
      </c>
      <c r="C1968" t="s">
        <v>170</v>
      </c>
      <c r="D1968" t="s">
        <v>171</v>
      </c>
      <c r="E1968" t="s">
        <v>109</v>
      </c>
      <c r="F1968" t="s">
        <v>8</v>
      </c>
    </row>
    <row r="1969" spans="1:7" x14ac:dyDescent="0.3">
      <c r="A1969">
        <v>2020</v>
      </c>
      <c r="B1969" t="s">
        <v>46</v>
      </c>
      <c r="C1969" t="s">
        <v>170</v>
      </c>
      <c r="D1969" t="s">
        <v>171</v>
      </c>
      <c r="E1969" t="s">
        <v>110</v>
      </c>
      <c r="F1969" t="s">
        <v>8</v>
      </c>
    </row>
    <row r="1970" spans="1:7" x14ac:dyDescent="0.3">
      <c r="A1970">
        <v>2020</v>
      </c>
      <c r="B1970" t="s">
        <v>47</v>
      </c>
      <c r="C1970" t="s">
        <v>170</v>
      </c>
      <c r="D1970" t="s">
        <v>171</v>
      </c>
      <c r="E1970" t="s">
        <v>108</v>
      </c>
      <c r="F1970" t="s">
        <v>8</v>
      </c>
      <c r="G1970">
        <v>1</v>
      </c>
    </row>
    <row r="1971" spans="1:7" x14ac:dyDescent="0.3">
      <c r="A1971">
        <v>2020</v>
      </c>
      <c r="B1971" t="s">
        <v>47</v>
      </c>
      <c r="C1971" t="s">
        <v>170</v>
      </c>
      <c r="D1971" t="s">
        <v>171</v>
      </c>
      <c r="E1971" t="s">
        <v>91</v>
      </c>
      <c r="F1971" t="s">
        <v>8</v>
      </c>
      <c r="G1971">
        <v>1</v>
      </c>
    </row>
    <row r="1972" spans="1:7" x14ac:dyDescent="0.3">
      <c r="A1972">
        <v>2020</v>
      </c>
      <c r="B1972" t="s">
        <v>47</v>
      </c>
      <c r="C1972" t="s">
        <v>170</v>
      </c>
      <c r="D1972" t="s">
        <v>171</v>
      </c>
      <c r="E1972" t="s">
        <v>109</v>
      </c>
      <c r="F1972" t="s">
        <v>8</v>
      </c>
    </row>
    <row r="1973" spans="1:7" x14ac:dyDescent="0.3">
      <c r="A1973">
        <v>2020</v>
      </c>
      <c r="B1973" t="s">
        <v>47</v>
      </c>
      <c r="C1973" t="s">
        <v>170</v>
      </c>
      <c r="D1973" t="s">
        <v>171</v>
      </c>
      <c r="E1973" t="s">
        <v>110</v>
      </c>
      <c r="F1973" t="s">
        <v>8</v>
      </c>
    </row>
    <row r="1974" spans="1:7" x14ac:dyDescent="0.3">
      <c r="A1974">
        <v>2020</v>
      </c>
      <c r="B1974" t="s">
        <v>48</v>
      </c>
      <c r="C1974" t="s">
        <v>170</v>
      </c>
      <c r="D1974" t="s">
        <v>171</v>
      </c>
      <c r="E1974" t="s">
        <v>108</v>
      </c>
      <c r="F1974" t="s">
        <v>8</v>
      </c>
      <c r="G1974">
        <v>1</v>
      </c>
    </row>
    <row r="1975" spans="1:7" x14ac:dyDescent="0.3">
      <c r="A1975">
        <v>2020</v>
      </c>
      <c r="B1975" t="s">
        <v>48</v>
      </c>
      <c r="C1975" t="s">
        <v>170</v>
      </c>
      <c r="D1975" t="s">
        <v>171</v>
      </c>
      <c r="E1975" t="s">
        <v>91</v>
      </c>
      <c r="F1975" t="s">
        <v>8</v>
      </c>
    </row>
    <row r="1976" spans="1:7" x14ac:dyDescent="0.3">
      <c r="A1976">
        <v>2020</v>
      </c>
      <c r="B1976" t="s">
        <v>48</v>
      </c>
      <c r="C1976" t="s">
        <v>170</v>
      </c>
      <c r="D1976" t="s">
        <v>171</v>
      </c>
      <c r="E1976" t="s">
        <v>109</v>
      </c>
      <c r="F1976" t="s">
        <v>8</v>
      </c>
    </row>
    <row r="1977" spans="1:7" x14ac:dyDescent="0.3">
      <c r="A1977">
        <v>2020</v>
      </c>
      <c r="B1977" t="s">
        <v>48</v>
      </c>
      <c r="C1977" t="s">
        <v>170</v>
      </c>
      <c r="D1977" t="s">
        <v>171</v>
      </c>
      <c r="E1977" t="s">
        <v>110</v>
      </c>
      <c r="F1977" t="s">
        <v>8</v>
      </c>
    </row>
    <row r="1978" spans="1:7" x14ac:dyDescent="0.3">
      <c r="A1978">
        <v>2020</v>
      </c>
      <c r="B1978" t="s">
        <v>49</v>
      </c>
      <c r="C1978" t="s">
        <v>170</v>
      </c>
      <c r="D1978" t="s">
        <v>171</v>
      </c>
      <c r="E1978" t="s">
        <v>108</v>
      </c>
      <c r="F1978" t="s">
        <v>8</v>
      </c>
      <c r="G1978">
        <v>0</v>
      </c>
    </row>
    <row r="1979" spans="1:7" x14ac:dyDescent="0.3">
      <c r="A1979">
        <v>2020</v>
      </c>
      <c r="B1979" t="s">
        <v>49</v>
      </c>
      <c r="C1979" t="s">
        <v>170</v>
      </c>
      <c r="D1979" t="s">
        <v>171</v>
      </c>
      <c r="E1979" t="s">
        <v>91</v>
      </c>
      <c r="F1979" t="s">
        <v>8</v>
      </c>
      <c r="G1979">
        <v>1</v>
      </c>
    </row>
    <row r="1980" spans="1:7" x14ac:dyDescent="0.3">
      <c r="A1980">
        <v>2020</v>
      </c>
      <c r="B1980" t="s">
        <v>49</v>
      </c>
      <c r="C1980" t="s">
        <v>170</v>
      </c>
      <c r="D1980" t="s">
        <v>171</v>
      </c>
      <c r="E1980" t="s">
        <v>109</v>
      </c>
      <c r="F1980" t="s">
        <v>8</v>
      </c>
      <c r="G1980">
        <v>0</v>
      </c>
    </row>
    <row r="1981" spans="1:7" x14ac:dyDescent="0.3">
      <c r="A1981">
        <v>2020</v>
      </c>
      <c r="B1981" t="s">
        <v>49</v>
      </c>
      <c r="C1981" t="s">
        <v>170</v>
      </c>
      <c r="D1981" t="s">
        <v>171</v>
      </c>
      <c r="E1981" t="s">
        <v>110</v>
      </c>
      <c r="F1981" t="s">
        <v>8</v>
      </c>
      <c r="G1981">
        <v>0</v>
      </c>
    </row>
    <row r="1982" spans="1:7" x14ac:dyDescent="0.3">
      <c r="A1982">
        <v>2020</v>
      </c>
      <c r="B1982" t="s">
        <v>59</v>
      </c>
      <c r="C1982" t="s">
        <v>170</v>
      </c>
      <c r="D1982" t="s">
        <v>171</v>
      </c>
      <c r="E1982" t="s">
        <v>108</v>
      </c>
      <c r="F1982" t="s">
        <v>8</v>
      </c>
      <c r="G1982">
        <v>0</v>
      </c>
    </row>
    <row r="1983" spans="1:7" x14ac:dyDescent="0.3">
      <c r="A1983">
        <v>2020</v>
      </c>
      <c r="B1983" t="s">
        <v>59</v>
      </c>
      <c r="C1983" t="s">
        <v>170</v>
      </c>
      <c r="D1983" t="s">
        <v>171</v>
      </c>
      <c r="E1983" t="s">
        <v>91</v>
      </c>
      <c r="F1983" t="s">
        <v>8</v>
      </c>
      <c r="G1983">
        <v>0</v>
      </c>
    </row>
    <row r="1984" spans="1:7" x14ac:dyDescent="0.3">
      <c r="A1984">
        <v>2020</v>
      </c>
      <c r="B1984" t="s">
        <v>59</v>
      </c>
      <c r="C1984" t="s">
        <v>170</v>
      </c>
      <c r="D1984" t="s">
        <v>171</v>
      </c>
      <c r="E1984" t="s">
        <v>109</v>
      </c>
      <c r="F1984" t="s">
        <v>8</v>
      </c>
      <c r="G1984">
        <v>0</v>
      </c>
    </row>
    <row r="1985" spans="1:7" x14ac:dyDescent="0.3">
      <c r="A1985">
        <v>2020</v>
      </c>
      <c r="B1985" t="s">
        <v>59</v>
      </c>
      <c r="C1985" t="s">
        <v>170</v>
      </c>
      <c r="D1985" t="s">
        <v>171</v>
      </c>
      <c r="E1985" t="s">
        <v>110</v>
      </c>
      <c r="F1985" t="s">
        <v>8</v>
      </c>
      <c r="G1985">
        <v>0</v>
      </c>
    </row>
    <row r="1986" spans="1:7" x14ac:dyDescent="0.3">
      <c r="A1986">
        <v>2020</v>
      </c>
      <c r="B1986" t="s">
        <v>50</v>
      </c>
      <c r="C1986" t="s">
        <v>170</v>
      </c>
      <c r="D1986" t="s">
        <v>171</v>
      </c>
      <c r="E1986" t="s">
        <v>108</v>
      </c>
      <c r="F1986" t="s">
        <v>8</v>
      </c>
    </row>
    <row r="1987" spans="1:7" x14ac:dyDescent="0.3">
      <c r="A1987">
        <v>2020</v>
      </c>
      <c r="B1987" t="s">
        <v>50</v>
      </c>
      <c r="C1987" t="s">
        <v>170</v>
      </c>
      <c r="D1987" t="s">
        <v>171</v>
      </c>
      <c r="E1987" t="s">
        <v>91</v>
      </c>
      <c r="F1987" t="s">
        <v>8</v>
      </c>
    </row>
    <row r="1988" spans="1:7" x14ac:dyDescent="0.3">
      <c r="A1988">
        <v>2020</v>
      </c>
      <c r="B1988" t="s">
        <v>50</v>
      </c>
      <c r="C1988" t="s">
        <v>170</v>
      </c>
      <c r="D1988" t="s">
        <v>171</v>
      </c>
      <c r="E1988" t="s">
        <v>109</v>
      </c>
      <c r="F1988" t="s">
        <v>8</v>
      </c>
    </row>
    <row r="1989" spans="1:7" x14ac:dyDescent="0.3">
      <c r="A1989">
        <v>2020</v>
      </c>
      <c r="B1989" t="s">
        <v>50</v>
      </c>
      <c r="C1989" t="s">
        <v>170</v>
      </c>
      <c r="D1989" t="s">
        <v>171</v>
      </c>
      <c r="E1989" t="s">
        <v>110</v>
      </c>
      <c r="F1989" t="s">
        <v>8</v>
      </c>
    </row>
    <row r="1990" spans="1:7" x14ac:dyDescent="0.3">
      <c r="A1990">
        <v>2020</v>
      </c>
      <c r="B1990" t="s">
        <v>51</v>
      </c>
      <c r="C1990" t="s">
        <v>170</v>
      </c>
      <c r="D1990" t="s">
        <v>171</v>
      </c>
      <c r="E1990" t="s">
        <v>108</v>
      </c>
      <c r="F1990" t="s">
        <v>8</v>
      </c>
    </row>
    <row r="1991" spans="1:7" x14ac:dyDescent="0.3">
      <c r="A1991">
        <v>2020</v>
      </c>
      <c r="B1991" t="s">
        <v>51</v>
      </c>
      <c r="C1991" t="s">
        <v>170</v>
      </c>
      <c r="D1991" t="s">
        <v>171</v>
      </c>
      <c r="E1991" t="s">
        <v>91</v>
      </c>
      <c r="F1991" t="s">
        <v>8</v>
      </c>
    </row>
    <row r="1992" spans="1:7" x14ac:dyDescent="0.3">
      <c r="A1992">
        <v>2020</v>
      </c>
      <c r="B1992" t="s">
        <v>51</v>
      </c>
      <c r="C1992" t="s">
        <v>170</v>
      </c>
      <c r="D1992" t="s">
        <v>171</v>
      </c>
      <c r="E1992" t="s">
        <v>109</v>
      </c>
      <c r="F1992" t="s">
        <v>8</v>
      </c>
    </row>
    <row r="1993" spans="1:7" x14ac:dyDescent="0.3">
      <c r="A1993">
        <v>2020</v>
      </c>
      <c r="B1993" t="s">
        <v>51</v>
      </c>
      <c r="C1993" t="s">
        <v>170</v>
      </c>
      <c r="D1993" t="s">
        <v>171</v>
      </c>
      <c r="E1993" t="s">
        <v>110</v>
      </c>
      <c r="F1993" t="s">
        <v>8</v>
      </c>
    </row>
    <row r="1994" spans="1:7" x14ac:dyDescent="0.3">
      <c r="A1994">
        <v>2020</v>
      </c>
      <c r="B1994" t="s">
        <v>52</v>
      </c>
      <c r="C1994" t="s">
        <v>170</v>
      </c>
      <c r="D1994" t="s">
        <v>171</v>
      </c>
      <c r="E1994" t="s">
        <v>108</v>
      </c>
      <c r="F1994" t="s">
        <v>8</v>
      </c>
    </row>
    <row r="1995" spans="1:7" x14ac:dyDescent="0.3">
      <c r="A1995">
        <v>2020</v>
      </c>
      <c r="B1995" t="s">
        <v>52</v>
      </c>
      <c r="C1995" t="s">
        <v>170</v>
      </c>
      <c r="D1995" t="s">
        <v>171</v>
      </c>
      <c r="E1995" t="s">
        <v>91</v>
      </c>
      <c r="F1995" t="s">
        <v>8</v>
      </c>
    </row>
    <row r="1996" spans="1:7" x14ac:dyDescent="0.3">
      <c r="A1996">
        <v>2020</v>
      </c>
      <c r="B1996" t="s">
        <v>52</v>
      </c>
      <c r="C1996" t="s">
        <v>170</v>
      </c>
      <c r="D1996" t="s">
        <v>171</v>
      </c>
      <c r="E1996" t="s">
        <v>109</v>
      </c>
      <c r="F1996" t="s">
        <v>8</v>
      </c>
    </row>
    <row r="1997" spans="1:7" x14ac:dyDescent="0.3">
      <c r="A1997">
        <v>2020</v>
      </c>
      <c r="B1997" t="s">
        <v>52</v>
      </c>
      <c r="C1997" t="s">
        <v>170</v>
      </c>
      <c r="D1997" t="s">
        <v>171</v>
      </c>
      <c r="E1997" t="s">
        <v>110</v>
      </c>
      <c r="F1997" t="s">
        <v>8</v>
      </c>
    </row>
    <row r="1998" spans="1:7" x14ac:dyDescent="0.3">
      <c r="A1998">
        <v>2020</v>
      </c>
      <c r="B1998" t="s">
        <v>60</v>
      </c>
      <c r="C1998" t="s">
        <v>170</v>
      </c>
      <c r="D1998" t="s">
        <v>171</v>
      </c>
      <c r="E1998" t="s">
        <v>108</v>
      </c>
      <c r="F1998" t="s">
        <v>8</v>
      </c>
      <c r="G1998">
        <v>0</v>
      </c>
    </row>
    <row r="1999" spans="1:7" x14ac:dyDescent="0.3">
      <c r="A1999">
        <v>2020</v>
      </c>
      <c r="B1999" t="s">
        <v>60</v>
      </c>
      <c r="C1999" t="s">
        <v>170</v>
      </c>
      <c r="D1999" t="s">
        <v>171</v>
      </c>
      <c r="E1999" t="s">
        <v>91</v>
      </c>
      <c r="F1999" t="s">
        <v>8</v>
      </c>
      <c r="G1999">
        <v>1</v>
      </c>
    </row>
    <row r="2000" spans="1:7" x14ac:dyDescent="0.3">
      <c r="A2000">
        <v>2020</v>
      </c>
      <c r="B2000" t="s">
        <v>60</v>
      </c>
      <c r="C2000" t="s">
        <v>170</v>
      </c>
      <c r="D2000" t="s">
        <v>171</v>
      </c>
      <c r="E2000" t="s">
        <v>109</v>
      </c>
      <c r="F2000" t="s">
        <v>8</v>
      </c>
      <c r="G2000">
        <v>0</v>
      </c>
    </row>
    <row r="2001" spans="1:7" x14ac:dyDescent="0.3">
      <c r="A2001">
        <v>2020</v>
      </c>
      <c r="B2001" t="s">
        <v>60</v>
      </c>
      <c r="C2001" t="s">
        <v>170</v>
      </c>
      <c r="D2001" t="s">
        <v>171</v>
      </c>
      <c r="E2001" t="s">
        <v>110</v>
      </c>
      <c r="F2001" t="s">
        <v>8</v>
      </c>
      <c r="G2001">
        <v>0</v>
      </c>
    </row>
    <row r="2002" spans="1:7" x14ac:dyDescent="0.3">
      <c r="A2002">
        <v>2020</v>
      </c>
      <c r="B2002" t="s">
        <v>53</v>
      </c>
      <c r="C2002" t="s">
        <v>170</v>
      </c>
      <c r="D2002" t="s">
        <v>171</v>
      </c>
      <c r="E2002" t="s">
        <v>108</v>
      </c>
      <c r="F2002" t="s">
        <v>8</v>
      </c>
      <c r="G2002">
        <v>0</v>
      </c>
    </row>
    <row r="2003" spans="1:7" x14ac:dyDescent="0.3">
      <c r="A2003">
        <v>2020</v>
      </c>
      <c r="B2003" t="s">
        <v>53</v>
      </c>
      <c r="C2003" t="s">
        <v>170</v>
      </c>
      <c r="D2003" t="s">
        <v>171</v>
      </c>
      <c r="E2003" t="s">
        <v>91</v>
      </c>
      <c r="F2003" t="s">
        <v>8</v>
      </c>
      <c r="G2003">
        <v>0</v>
      </c>
    </row>
    <row r="2004" spans="1:7" x14ac:dyDescent="0.3">
      <c r="A2004">
        <v>2020</v>
      </c>
      <c r="B2004" t="s">
        <v>53</v>
      </c>
      <c r="C2004" t="s">
        <v>170</v>
      </c>
      <c r="D2004" t="s">
        <v>171</v>
      </c>
      <c r="E2004" t="s">
        <v>109</v>
      </c>
      <c r="F2004" t="s">
        <v>8</v>
      </c>
      <c r="G2004">
        <v>0</v>
      </c>
    </row>
    <row r="2005" spans="1:7" x14ac:dyDescent="0.3">
      <c r="A2005">
        <v>2020</v>
      </c>
      <c r="B2005" t="s">
        <v>53</v>
      </c>
      <c r="C2005" t="s">
        <v>170</v>
      </c>
      <c r="D2005" t="s">
        <v>171</v>
      </c>
      <c r="E2005" t="s">
        <v>110</v>
      </c>
      <c r="F2005" t="s">
        <v>8</v>
      </c>
      <c r="G2005">
        <v>0</v>
      </c>
    </row>
    <row r="2006" spans="1:7" x14ac:dyDescent="0.3">
      <c r="A2006">
        <v>2020</v>
      </c>
      <c r="B2006" t="s">
        <v>61</v>
      </c>
      <c r="C2006" t="s">
        <v>170</v>
      </c>
      <c r="D2006" t="s">
        <v>171</v>
      </c>
      <c r="E2006" t="s">
        <v>108</v>
      </c>
      <c r="F2006" t="s">
        <v>8</v>
      </c>
    </row>
    <row r="2007" spans="1:7" x14ac:dyDescent="0.3">
      <c r="A2007">
        <v>2020</v>
      </c>
      <c r="B2007" t="s">
        <v>61</v>
      </c>
      <c r="C2007" t="s">
        <v>170</v>
      </c>
      <c r="D2007" t="s">
        <v>171</v>
      </c>
      <c r="E2007" t="s">
        <v>91</v>
      </c>
      <c r="F2007" t="s">
        <v>8</v>
      </c>
      <c r="G2007">
        <v>12</v>
      </c>
    </row>
    <row r="2008" spans="1:7" x14ac:dyDescent="0.3">
      <c r="A2008">
        <v>2020</v>
      </c>
      <c r="B2008" t="s">
        <v>61</v>
      </c>
      <c r="C2008" t="s">
        <v>170</v>
      </c>
      <c r="D2008" t="s">
        <v>171</v>
      </c>
      <c r="E2008" t="s">
        <v>109</v>
      </c>
      <c r="F2008" t="s">
        <v>8</v>
      </c>
    </row>
    <row r="2009" spans="1:7" x14ac:dyDescent="0.3">
      <c r="A2009">
        <v>2020</v>
      </c>
      <c r="B2009" t="s">
        <v>61</v>
      </c>
      <c r="C2009" t="s">
        <v>170</v>
      </c>
      <c r="D2009" t="s">
        <v>171</v>
      </c>
      <c r="E2009" t="s">
        <v>110</v>
      </c>
      <c r="F2009" t="s">
        <v>8</v>
      </c>
    </row>
    <row r="2010" spans="1:7" x14ac:dyDescent="0.3">
      <c r="A2010">
        <v>2020</v>
      </c>
      <c r="B2010" t="s">
        <v>54</v>
      </c>
      <c r="C2010" t="s">
        <v>170</v>
      </c>
      <c r="D2010" t="s">
        <v>171</v>
      </c>
      <c r="E2010" t="s">
        <v>108</v>
      </c>
      <c r="F2010" t="s">
        <v>8</v>
      </c>
      <c r="G2010">
        <v>0</v>
      </c>
    </row>
    <row r="2011" spans="1:7" x14ac:dyDescent="0.3">
      <c r="A2011">
        <v>2020</v>
      </c>
      <c r="B2011" t="s">
        <v>54</v>
      </c>
      <c r="C2011" t="s">
        <v>170</v>
      </c>
      <c r="D2011" t="s">
        <v>171</v>
      </c>
      <c r="E2011" t="s">
        <v>91</v>
      </c>
      <c r="F2011" t="s">
        <v>8</v>
      </c>
      <c r="G2011">
        <v>0</v>
      </c>
    </row>
    <row r="2012" spans="1:7" x14ac:dyDescent="0.3">
      <c r="A2012">
        <v>2020</v>
      </c>
      <c r="B2012" t="s">
        <v>54</v>
      </c>
      <c r="C2012" t="s">
        <v>170</v>
      </c>
      <c r="D2012" t="s">
        <v>171</v>
      </c>
      <c r="E2012" t="s">
        <v>109</v>
      </c>
      <c r="F2012" t="s">
        <v>8</v>
      </c>
      <c r="G2012">
        <v>0</v>
      </c>
    </row>
    <row r="2013" spans="1:7" x14ac:dyDescent="0.3">
      <c r="A2013">
        <v>2020</v>
      </c>
      <c r="B2013" t="s">
        <v>54</v>
      </c>
      <c r="C2013" t="s">
        <v>170</v>
      </c>
      <c r="D2013" t="s">
        <v>171</v>
      </c>
      <c r="E2013" t="s">
        <v>110</v>
      </c>
      <c r="F2013" t="s">
        <v>8</v>
      </c>
      <c r="G2013">
        <v>0</v>
      </c>
    </row>
    <row r="2014" spans="1:7" x14ac:dyDescent="0.3">
      <c r="A2014">
        <v>2020</v>
      </c>
      <c r="B2014" t="s">
        <v>62</v>
      </c>
      <c r="C2014" t="s">
        <v>170</v>
      </c>
      <c r="D2014" t="s">
        <v>171</v>
      </c>
      <c r="E2014" t="s">
        <v>108</v>
      </c>
      <c r="F2014" t="s">
        <v>8</v>
      </c>
      <c r="G2014">
        <v>0</v>
      </c>
    </row>
    <row r="2015" spans="1:7" x14ac:dyDescent="0.3">
      <c r="A2015">
        <v>2020</v>
      </c>
      <c r="B2015" t="s">
        <v>62</v>
      </c>
      <c r="C2015" t="s">
        <v>170</v>
      </c>
      <c r="D2015" t="s">
        <v>171</v>
      </c>
      <c r="E2015" t="s">
        <v>91</v>
      </c>
      <c r="F2015" t="s">
        <v>8</v>
      </c>
      <c r="G2015">
        <v>1</v>
      </c>
    </row>
    <row r="2016" spans="1:7" x14ac:dyDescent="0.3">
      <c r="A2016">
        <v>2020</v>
      </c>
      <c r="B2016" t="s">
        <v>62</v>
      </c>
      <c r="C2016" t="s">
        <v>170</v>
      </c>
      <c r="D2016" t="s">
        <v>171</v>
      </c>
      <c r="E2016" t="s">
        <v>109</v>
      </c>
      <c r="F2016" t="s">
        <v>8</v>
      </c>
      <c r="G2016">
        <v>0</v>
      </c>
    </row>
    <row r="2017" spans="1:7" x14ac:dyDescent="0.3">
      <c r="A2017">
        <v>2020</v>
      </c>
      <c r="B2017" t="s">
        <v>62</v>
      </c>
      <c r="C2017" t="s">
        <v>170</v>
      </c>
      <c r="D2017" t="s">
        <v>171</v>
      </c>
      <c r="E2017" t="s">
        <v>110</v>
      </c>
      <c r="F2017" t="s">
        <v>8</v>
      </c>
      <c r="G2017">
        <v>0</v>
      </c>
    </row>
    <row r="2018" spans="1:7" x14ac:dyDescent="0.3">
      <c r="A2018">
        <v>2020</v>
      </c>
      <c r="B2018" t="s">
        <v>28</v>
      </c>
      <c r="C2018" t="s">
        <v>170</v>
      </c>
      <c r="D2018" t="s">
        <v>171</v>
      </c>
      <c r="E2018" t="s">
        <v>108</v>
      </c>
      <c r="F2018" t="s">
        <v>8</v>
      </c>
      <c r="G2018">
        <v>1</v>
      </c>
    </row>
    <row r="2019" spans="1:7" x14ac:dyDescent="0.3">
      <c r="A2019">
        <v>2020</v>
      </c>
      <c r="B2019" t="s">
        <v>28</v>
      </c>
      <c r="C2019" t="s">
        <v>170</v>
      </c>
      <c r="D2019" t="s">
        <v>171</v>
      </c>
      <c r="E2019" t="s">
        <v>91</v>
      </c>
      <c r="F2019" t="s">
        <v>8</v>
      </c>
      <c r="G2019">
        <v>0</v>
      </c>
    </row>
    <row r="2020" spans="1:7" x14ac:dyDescent="0.3">
      <c r="A2020">
        <v>2020</v>
      </c>
      <c r="B2020" t="s">
        <v>28</v>
      </c>
      <c r="C2020" t="s">
        <v>170</v>
      </c>
      <c r="D2020" t="s">
        <v>171</v>
      </c>
      <c r="E2020" t="s">
        <v>109</v>
      </c>
      <c r="F2020" t="s">
        <v>8</v>
      </c>
      <c r="G2020">
        <v>0</v>
      </c>
    </row>
    <row r="2021" spans="1:7" x14ac:dyDescent="0.3">
      <c r="A2021">
        <v>2020</v>
      </c>
      <c r="B2021" t="s">
        <v>28</v>
      </c>
      <c r="C2021" t="s">
        <v>170</v>
      </c>
      <c r="D2021" t="s">
        <v>171</v>
      </c>
      <c r="E2021" t="s">
        <v>110</v>
      </c>
      <c r="F2021" t="s">
        <v>8</v>
      </c>
      <c r="G2021">
        <v>0</v>
      </c>
    </row>
    <row r="2022" spans="1:7" x14ac:dyDescent="0.3">
      <c r="A2022">
        <v>2020</v>
      </c>
      <c r="B2022" t="s">
        <v>43</v>
      </c>
      <c r="C2022" t="s">
        <v>170</v>
      </c>
      <c r="D2022" t="s">
        <v>171</v>
      </c>
      <c r="E2022" t="s">
        <v>108</v>
      </c>
      <c r="F2022" t="s">
        <v>8</v>
      </c>
    </row>
    <row r="2023" spans="1:7" x14ac:dyDescent="0.3">
      <c r="A2023">
        <v>2020</v>
      </c>
      <c r="B2023" t="s">
        <v>43</v>
      </c>
      <c r="C2023" t="s">
        <v>170</v>
      </c>
      <c r="D2023" t="s">
        <v>171</v>
      </c>
      <c r="E2023" t="s">
        <v>91</v>
      </c>
      <c r="F2023" t="s">
        <v>8</v>
      </c>
    </row>
    <row r="2024" spans="1:7" x14ac:dyDescent="0.3">
      <c r="A2024">
        <v>2020</v>
      </c>
      <c r="B2024" t="s">
        <v>43</v>
      </c>
      <c r="C2024" t="s">
        <v>170</v>
      </c>
      <c r="D2024" t="s">
        <v>171</v>
      </c>
      <c r="E2024" t="s">
        <v>109</v>
      </c>
      <c r="F2024" t="s">
        <v>8</v>
      </c>
    </row>
    <row r="2025" spans="1:7" x14ac:dyDescent="0.3">
      <c r="A2025">
        <v>2020</v>
      </c>
      <c r="B2025" t="s">
        <v>43</v>
      </c>
      <c r="C2025" t="s">
        <v>170</v>
      </c>
      <c r="D2025" t="s">
        <v>171</v>
      </c>
      <c r="E2025" t="s">
        <v>110</v>
      </c>
      <c r="F2025" t="s">
        <v>8</v>
      </c>
    </row>
    <row r="2026" spans="1:7" x14ac:dyDescent="0.3">
      <c r="A2026">
        <v>2020</v>
      </c>
      <c r="B2026" t="s">
        <v>17</v>
      </c>
      <c r="C2026" t="s">
        <v>170</v>
      </c>
      <c r="D2026" t="s">
        <v>171</v>
      </c>
      <c r="E2026" t="s">
        <v>108</v>
      </c>
      <c r="F2026" t="s">
        <v>115</v>
      </c>
    </row>
    <row r="2027" spans="1:7" x14ac:dyDescent="0.3">
      <c r="A2027">
        <v>2020</v>
      </c>
      <c r="B2027" t="s">
        <v>17</v>
      </c>
      <c r="C2027" t="s">
        <v>170</v>
      </c>
      <c r="D2027" t="s">
        <v>171</v>
      </c>
      <c r="E2027" t="s">
        <v>91</v>
      </c>
      <c r="F2027" t="s">
        <v>115</v>
      </c>
    </row>
    <row r="2028" spans="1:7" x14ac:dyDescent="0.3">
      <c r="A2028">
        <v>2020</v>
      </c>
      <c r="B2028" t="s">
        <v>17</v>
      </c>
      <c r="C2028" t="s">
        <v>170</v>
      </c>
      <c r="D2028" t="s">
        <v>171</v>
      </c>
      <c r="E2028" t="s">
        <v>109</v>
      </c>
      <c r="F2028" t="s">
        <v>115</v>
      </c>
    </row>
    <row r="2029" spans="1:7" x14ac:dyDescent="0.3">
      <c r="A2029">
        <v>2020</v>
      </c>
      <c r="B2029" t="s">
        <v>17</v>
      </c>
      <c r="C2029" t="s">
        <v>170</v>
      </c>
      <c r="D2029" t="s">
        <v>171</v>
      </c>
      <c r="E2029" t="s">
        <v>110</v>
      </c>
      <c r="F2029" t="s">
        <v>115</v>
      </c>
    </row>
    <row r="2030" spans="1:7" x14ac:dyDescent="0.3">
      <c r="A2030">
        <v>2020</v>
      </c>
      <c r="B2030" t="s">
        <v>18</v>
      </c>
      <c r="C2030" t="s">
        <v>170</v>
      </c>
      <c r="D2030" t="s">
        <v>171</v>
      </c>
      <c r="E2030" t="s">
        <v>108</v>
      </c>
      <c r="F2030" t="s">
        <v>115</v>
      </c>
      <c r="G2030">
        <v>0</v>
      </c>
    </row>
    <row r="2031" spans="1:7" x14ac:dyDescent="0.3">
      <c r="A2031">
        <v>2020</v>
      </c>
      <c r="B2031" t="s">
        <v>18</v>
      </c>
      <c r="C2031" t="s">
        <v>170</v>
      </c>
      <c r="D2031" t="s">
        <v>171</v>
      </c>
      <c r="E2031" t="s">
        <v>91</v>
      </c>
      <c r="F2031" t="s">
        <v>115</v>
      </c>
      <c r="G2031">
        <v>1</v>
      </c>
    </row>
    <row r="2032" spans="1:7" x14ac:dyDescent="0.3">
      <c r="A2032">
        <v>2020</v>
      </c>
      <c r="B2032" t="s">
        <v>18</v>
      </c>
      <c r="C2032" t="s">
        <v>170</v>
      </c>
      <c r="D2032" t="s">
        <v>171</v>
      </c>
      <c r="E2032" t="s">
        <v>109</v>
      </c>
      <c r="F2032" t="s">
        <v>115</v>
      </c>
      <c r="G2032">
        <v>1</v>
      </c>
    </row>
    <row r="2033" spans="1:7" x14ac:dyDescent="0.3">
      <c r="A2033">
        <v>2020</v>
      </c>
      <c r="B2033" t="s">
        <v>18</v>
      </c>
      <c r="C2033" t="s">
        <v>170</v>
      </c>
      <c r="D2033" t="s">
        <v>171</v>
      </c>
      <c r="E2033" t="s">
        <v>110</v>
      </c>
      <c r="F2033" t="s">
        <v>115</v>
      </c>
      <c r="G2033">
        <v>0</v>
      </c>
    </row>
    <row r="2034" spans="1:7" x14ac:dyDescent="0.3">
      <c r="A2034">
        <v>2020</v>
      </c>
      <c r="B2034" t="s">
        <v>19</v>
      </c>
      <c r="C2034" t="s">
        <v>170</v>
      </c>
      <c r="D2034" t="s">
        <v>171</v>
      </c>
      <c r="E2034" t="s">
        <v>108</v>
      </c>
      <c r="F2034" t="s">
        <v>115</v>
      </c>
      <c r="G2034">
        <v>0</v>
      </c>
    </row>
    <row r="2035" spans="1:7" x14ac:dyDescent="0.3">
      <c r="A2035">
        <v>2020</v>
      </c>
      <c r="B2035" t="s">
        <v>19</v>
      </c>
      <c r="C2035" t="s">
        <v>170</v>
      </c>
      <c r="D2035" t="s">
        <v>171</v>
      </c>
      <c r="E2035" t="s">
        <v>91</v>
      </c>
      <c r="F2035" t="s">
        <v>115</v>
      </c>
      <c r="G2035">
        <v>0</v>
      </c>
    </row>
    <row r="2036" spans="1:7" x14ac:dyDescent="0.3">
      <c r="A2036">
        <v>2020</v>
      </c>
      <c r="B2036" t="s">
        <v>19</v>
      </c>
      <c r="C2036" t="s">
        <v>170</v>
      </c>
      <c r="D2036" t="s">
        <v>171</v>
      </c>
      <c r="E2036" t="s">
        <v>109</v>
      </c>
      <c r="F2036" t="s">
        <v>115</v>
      </c>
      <c r="G2036">
        <v>1</v>
      </c>
    </row>
    <row r="2037" spans="1:7" x14ac:dyDescent="0.3">
      <c r="A2037">
        <v>2020</v>
      </c>
      <c r="B2037" t="s">
        <v>19</v>
      </c>
      <c r="C2037" t="s">
        <v>170</v>
      </c>
      <c r="D2037" t="s">
        <v>171</v>
      </c>
      <c r="E2037" t="s">
        <v>110</v>
      </c>
      <c r="F2037" t="s">
        <v>115</v>
      </c>
      <c r="G2037">
        <v>0</v>
      </c>
    </row>
    <row r="2038" spans="1:7" x14ac:dyDescent="0.3">
      <c r="A2038">
        <v>2020</v>
      </c>
      <c r="B2038" t="s">
        <v>20</v>
      </c>
      <c r="C2038" t="s">
        <v>170</v>
      </c>
      <c r="D2038" t="s">
        <v>171</v>
      </c>
      <c r="E2038" t="s">
        <v>108</v>
      </c>
      <c r="F2038" t="s">
        <v>115</v>
      </c>
    </row>
    <row r="2039" spans="1:7" x14ac:dyDescent="0.3">
      <c r="A2039">
        <v>2020</v>
      </c>
      <c r="B2039" t="s">
        <v>20</v>
      </c>
      <c r="C2039" t="s">
        <v>170</v>
      </c>
      <c r="D2039" t="s">
        <v>171</v>
      </c>
      <c r="E2039" t="s">
        <v>91</v>
      </c>
      <c r="F2039" t="s">
        <v>115</v>
      </c>
    </row>
    <row r="2040" spans="1:7" x14ac:dyDescent="0.3">
      <c r="A2040">
        <v>2020</v>
      </c>
      <c r="B2040" t="s">
        <v>20</v>
      </c>
      <c r="C2040" t="s">
        <v>170</v>
      </c>
      <c r="D2040" t="s">
        <v>171</v>
      </c>
      <c r="E2040" t="s">
        <v>109</v>
      </c>
      <c r="F2040" t="s">
        <v>115</v>
      </c>
      <c r="G2040">
        <v>2</v>
      </c>
    </row>
    <row r="2041" spans="1:7" x14ac:dyDescent="0.3">
      <c r="A2041">
        <v>2020</v>
      </c>
      <c r="B2041" t="s">
        <v>20</v>
      </c>
      <c r="C2041" t="s">
        <v>170</v>
      </c>
      <c r="D2041" t="s">
        <v>171</v>
      </c>
      <c r="E2041" t="s">
        <v>110</v>
      </c>
      <c r="F2041" t="s">
        <v>115</v>
      </c>
    </row>
    <row r="2042" spans="1:7" x14ac:dyDescent="0.3">
      <c r="A2042">
        <v>2020</v>
      </c>
      <c r="B2042" t="s">
        <v>21</v>
      </c>
      <c r="C2042" t="s">
        <v>170</v>
      </c>
      <c r="D2042" t="s">
        <v>171</v>
      </c>
      <c r="E2042" t="s">
        <v>108</v>
      </c>
      <c r="F2042" t="s">
        <v>115</v>
      </c>
    </row>
    <row r="2043" spans="1:7" x14ac:dyDescent="0.3">
      <c r="A2043">
        <v>2020</v>
      </c>
      <c r="B2043" t="s">
        <v>21</v>
      </c>
      <c r="C2043" t="s">
        <v>170</v>
      </c>
      <c r="D2043" t="s">
        <v>171</v>
      </c>
      <c r="E2043" t="s">
        <v>91</v>
      </c>
      <c r="F2043" t="s">
        <v>115</v>
      </c>
    </row>
    <row r="2044" spans="1:7" x14ac:dyDescent="0.3">
      <c r="A2044">
        <v>2020</v>
      </c>
      <c r="B2044" t="s">
        <v>21</v>
      </c>
      <c r="C2044" t="s">
        <v>170</v>
      </c>
      <c r="D2044" t="s">
        <v>171</v>
      </c>
      <c r="E2044" t="s">
        <v>109</v>
      </c>
      <c r="F2044" t="s">
        <v>115</v>
      </c>
      <c r="G2044">
        <v>1</v>
      </c>
    </row>
    <row r="2045" spans="1:7" x14ac:dyDescent="0.3">
      <c r="A2045">
        <v>2020</v>
      </c>
      <c r="B2045" t="s">
        <v>21</v>
      </c>
      <c r="C2045" t="s">
        <v>170</v>
      </c>
      <c r="D2045" t="s">
        <v>171</v>
      </c>
      <c r="E2045" t="s">
        <v>110</v>
      </c>
      <c r="F2045" t="s">
        <v>115</v>
      </c>
      <c r="G2045">
        <v>1</v>
      </c>
    </row>
    <row r="2046" spans="1:7" x14ac:dyDescent="0.3">
      <c r="A2046">
        <v>2020</v>
      </c>
      <c r="B2046" t="s">
        <v>22</v>
      </c>
      <c r="C2046" t="s">
        <v>170</v>
      </c>
      <c r="D2046" t="s">
        <v>171</v>
      </c>
      <c r="E2046" t="s">
        <v>108</v>
      </c>
      <c r="F2046" t="s">
        <v>115</v>
      </c>
      <c r="G2046">
        <v>0</v>
      </c>
    </row>
    <row r="2047" spans="1:7" x14ac:dyDescent="0.3">
      <c r="A2047">
        <v>2020</v>
      </c>
      <c r="B2047" t="s">
        <v>22</v>
      </c>
      <c r="C2047" t="s">
        <v>170</v>
      </c>
      <c r="D2047" t="s">
        <v>171</v>
      </c>
      <c r="E2047" t="s">
        <v>91</v>
      </c>
      <c r="F2047" t="s">
        <v>115</v>
      </c>
      <c r="G2047">
        <v>0</v>
      </c>
    </row>
    <row r="2048" spans="1:7" x14ac:dyDescent="0.3">
      <c r="A2048">
        <v>2020</v>
      </c>
      <c r="B2048" t="s">
        <v>22</v>
      </c>
      <c r="C2048" t="s">
        <v>170</v>
      </c>
      <c r="D2048" t="s">
        <v>171</v>
      </c>
      <c r="E2048" t="s">
        <v>109</v>
      </c>
      <c r="F2048" t="s">
        <v>115</v>
      </c>
      <c r="G2048">
        <v>0</v>
      </c>
    </row>
    <row r="2049" spans="1:7" x14ac:dyDescent="0.3">
      <c r="A2049">
        <v>2020</v>
      </c>
      <c r="B2049" t="s">
        <v>22</v>
      </c>
      <c r="C2049" t="s">
        <v>170</v>
      </c>
      <c r="D2049" t="s">
        <v>171</v>
      </c>
      <c r="E2049" t="s">
        <v>110</v>
      </c>
      <c r="F2049" t="s">
        <v>115</v>
      </c>
      <c r="G2049">
        <v>0</v>
      </c>
    </row>
    <row r="2050" spans="1:7" x14ac:dyDescent="0.3">
      <c r="A2050">
        <v>2020</v>
      </c>
      <c r="B2050" t="s">
        <v>23</v>
      </c>
      <c r="C2050" t="s">
        <v>170</v>
      </c>
      <c r="D2050" t="s">
        <v>171</v>
      </c>
      <c r="E2050" t="s">
        <v>108</v>
      </c>
      <c r="F2050" t="s">
        <v>115</v>
      </c>
      <c r="G2050">
        <v>0</v>
      </c>
    </row>
    <row r="2051" spans="1:7" x14ac:dyDescent="0.3">
      <c r="A2051">
        <v>2020</v>
      </c>
      <c r="B2051" t="s">
        <v>23</v>
      </c>
      <c r="C2051" t="s">
        <v>170</v>
      </c>
      <c r="D2051" t="s">
        <v>171</v>
      </c>
      <c r="E2051" t="s">
        <v>91</v>
      </c>
      <c r="F2051" t="s">
        <v>115</v>
      </c>
      <c r="G2051">
        <v>0</v>
      </c>
    </row>
    <row r="2052" spans="1:7" x14ac:dyDescent="0.3">
      <c r="A2052">
        <v>2020</v>
      </c>
      <c r="B2052" t="s">
        <v>23</v>
      </c>
      <c r="C2052" t="s">
        <v>170</v>
      </c>
      <c r="D2052" t="s">
        <v>171</v>
      </c>
      <c r="E2052" t="s">
        <v>109</v>
      </c>
      <c r="F2052" t="s">
        <v>115</v>
      </c>
      <c r="G2052">
        <v>0</v>
      </c>
    </row>
    <row r="2053" spans="1:7" x14ac:dyDescent="0.3">
      <c r="A2053">
        <v>2020</v>
      </c>
      <c r="B2053" t="s">
        <v>23</v>
      </c>
      <c r="C2053" t="s">
        <v>170</v>
      </c>
      <c r="D2053" t="s">
        <v>171</v>
      </c>
      <c r="E2053" t="s">
        <v>110</v>
      </c>
      <c r="F2053" t="s">
        <v>115</v>
      </c>
      <c r="G2053">
        <v>0</v>
      </c>
    </row>
    <row r="2054" spans="1:7" x14ac:dyDescent="0.3">
      <c r="A2054">
        <v>2020</v>
      </c>
      <c r="B2054" t="s">
        <v>24</v>
      </c>
      <c r="C2054" t="s">
        <v>170</v>
      </c>
      <c r="D2054" t="s">
        <v>171</v>
      </c>
      <c r="E2054" t="s">
        <v>108</v>
      </c>
      <c r="F2054" t="s">
        <v>115</v>
      </c>
    </row>
    <row r="2055" spans="1:7" x14ac:dyDescent="0.3">
      <c r="A2055">
        <v>2020</v>
      </c>
      <c r="B2055" t="s">
        <v>24</v>
      </c>
      <c r="C2055" t="s">
        <v>170</v>
      </c>
      <c r="D2055" t="s">
        <v>171</v>
      </c>
      <c r="E2055" t="s">
        <v>91</v>
      </c>
      <c r="F2055" t="s">
        <v>115</v>
      </c>
    </row>
    <row r="2056" spans="1:7" x14ac:dyDescent="0.3">
      <c r="A2056">
        <v>2020</v>
      </c>
      <c r="B2056" t="s">
        <v>24</v>
      </c>
      <c r="C2056" t="s">
        <v>170</v>
      </c>
      <c r="D2056" t="s">
        <v>171</v>
      </c>
      <c r="E2056" t="s">
        <v>109</v>
      </c>
      <c r="F2056" t="s">
        <v>115</v>
      </c>
    </row>
    <row r="2057" spans="1:7" x14ac:dyDescent="0.3">
      <c r="A2057">
        <v>2020</v>
      </c>
      <c r="B2057" t="s">
        <v>24</v>
      </c>
      <c r="C2057" t="s">
        <v>170</v>
      </c>
      <c r="D2057" t="s">
        <v>171</v>
      </c>
      <c r="E2057" t="s">
        <v>110</v>
      </c>
      <c r="F2057" t="s">
        <v>115</v>
      </c>
    </row>
    <row r="2058" spans="1:7" x14ac:dyDescent="0.3">
      <c r="A2058">
        <v>2020</v>
      </c>
      <c r="B2058" t="s">
        <v>25</v>
      </c>
      <c r="C2058" t="s">
        <v>170</v>
      </c>
      <c r="D2058" t="s">
        <v>171</v>
      </c>
      <c r="E2058" t="s">
        <v>108</v>
      </c>
      <c r="F2058" t="s">
        <v>115</v>
      </c>
    </row>
    <row r="2059" spans="1:7" x14ac:dyDescent="0.3">
      <c r="A2059">
        <v>2020</v>
      </c>
      <c r="B2059" t="s">
        <v>25</v>
      </c>
      <c r="C2059" t="s">
        <v>170</v>
      </c>
      <c r="D2059" t="s">
        <v>171</v>
      </c>
      <c r="E2059" t="s">
        <v>91</v>
      </c>
      <c r="F2059" t="s">
        <v>115</v>
      </c>
    </row>
    <row r="2060" spans="1:7" x14ac:dyDescent="0.3">
      <c r="A2060">
        <v>2020</v>
      </c>
      <c r="B2060" t="s">
        <v>25</v>
      </c>
      <c r="C2060" t="s">
        <v>170</v>
      </c>
      <c r="D2060" t="s">
        <v>171</v>
      </c>
      <c r="E2060" t="s">
        <v>109</v>
      </c>
      <c r="F2060" t="s">
        <v>115</v>
      </c>
      <c r="G2060">
        <v>1</v>
      </c>
    </row>
    <row r="2061" spans="1:7" x14ac:dyDescent="0.3">
      <c r="A2061">
        <v>2020</v>
      </c>
      <c r="B2061" t="s">
        <v>25</v>
      </c>
      <c r="C2061" t="s">
        <v>170</v>
      </c>
      <c r="D2061" t="s">
        <v>171</v>
      </c>
      <c r="E2061" t="s">
        <v>110</v>
      </c>
      <c r="F2061" t="s">
        <v>115</v>
      </c>
    </row>
    <row r="2062" spans="1:7" x14ac:dyDescent="0.3">
      <c r="A2062">
        <v>2020</v>
      </c>
      <c r="B2062" t="s">
        <v>26</v>
      </c>
      <c r="C2062" t="s">
        <v>170</v>
      </c>
      <c r="D2062" t="s">
        <v>171</v>
      </c>
      <c r="E2062" t="s">
        <v>108</v>
      </c>
      <c r="F2062" t="s">
        <v>115</v>
      </c>
    </row>
    <row r="2063" spans="1:7" x14ac:dyDescent="0.3">
      <c r="A2063">
        <v>2020</v>
      </c>
      <c r="B2063" t="s">
        <v>26</v>
      </c>
      <c r="C2063" t="s">
        <v>170</v>
      </c>
      <c r="D2063" t="s">
        <v>171</v>
      </c>
      <c r="E2063" t="s">
        <v>91</v>
      </c>
      <c r="F2063" t="s">
        <v>115</v>
      </c>
    </row>
    <row r="2064" spans="1:7" x14ac:dyDescent="0.3">
      <c r="A2064">
        <v>2020</v>
      </c>
      <c r="B2064" t="s">
        <v>26</v>
      </c>
      <c r="C2064" t="s">
        <v>170</v>
      </c>
      <c r="D2064" t="s">
        <v>171</v>
      </c>
      <c r="E2064" t="s">
        <v>109</v>
      </c>
      <c r="F2064" t="s">
        <v>115</v>
      </c>
    </row>
    <row r="2065" spans="1:7" x14ac:dyDescent="0.3">
      <c r="A2065">
        <v>2020</v>
      </c>
      <c r="B2065" t="s">
        <v>26</v>
      </c>
      <c r="C2065" t="s">
        <v>170</v>
      </c>
      <c r="D2065" t="s">
        <v>171</v>
      </c>
      <c r="E2065" t="s">
        <v>110</v>
      </c>
      <c r="F2065" t="s">
        <v>115</v>
      </c>
    </row>
    <row r="2066" spans="1:7" x14ac:dyDescent="0.3">
      <c r="A2066">
        <v>2020</v>
      </c>
      <c r="B2066" t="s">
        <v>27</v>
      </c>
      <c r="C2066" t="s">
        <v>170</v>
      </c>
      <c r="D2066" t="s">
        <v>171</v>
      </c>
      <c r="E2066" t="s">
        <v>108</v>
      </c>
      <c r="F2066" t="s">
        <v>115</v>
      </c>
      <c r="G2066">
        <v>0</v>
      </c>
    </row>
    <row r="2067" spans="1:7" x14ac:dyDescent="0.3">
      <c r="A2067">
        <v>2020</v>
      </c>
      <c r="B2067" t="s">
        <v>27</v>
      </c>
      <c r="C2067" t="s">
        <v>170</v>
      </c>
      <c r="D2067" t="s">
        <v>171</v>
      </c>
      <c r="E2067" t="s">
        <v>91</v>
      </c>
      <c r="F2067" t="s">
        <v>115</v>
      </c>
      <c r="G2067">
        <v>0</v>
      </c>
    </row>
    <row r="2068" spans="1:7" x14ac:dyDescent="0.3">
      <c r="A2068">
        <v>2020</v>
      </c>
      <c r="B2068" t="s">
        <v>27</v>
      </c>
      <c r="C2068" t="s">
        <v>170</v>
      </c>
      <c r="D2068" t="s">
        <v>171</v>
      </c>
      <c r="E2068" t="s">
        <v>109</v>
      </c>
      <c r="F2068" t="s">
        <v>115</v>
      </c>
      <c r="G2068">
        <v>1</v>
      </c>
    </row>
    <row r="2069" spans="1:7" x14ac:dyDescent="0.3">
      <c r="A2069">
        <v>2020</v>
      </c>
      <c r="B2069" t="s">
        <v>27</v>
      </c>
      <c r="C2069" t="s">
        <v>170</v>
      </c>
      <c r="D2069" t="s">
        <v>171</v>
      </c>
      <c r="E2069" t="s">
        <v>110</v>
      </c>
      <c r="F2069" t="s">
        <v>115</v>
      </c>
      <c r="G2069">
        <v>0</v>
      </c>
    </row>
    <row r="2070" spans="1:7" x14ac:dyDescent="0.3">
      <c r="A2070">
        <v>2020</v>
      </c>
      <c r="B2070" t="s">
        <v>29</v>
      </c>
      <c r="C2070" t="s">
        <v>170</v>
      </c>
      <c r="D2070" t="s">
        <v>171</v>
      </c>
      <c r="E2070" t="s">
        <v>108</v>
      </c>
      <c r="F2070" t="s">
        <v>115</v>
      </c>
    </row>
    <row r="2071" spans="1:7" x14ac:dyDescent="0.3">
      <c r="A2071">
        <v>2020</v>
      </c>
      <c r="B2071" t="s">
        <v>29</v>
      </c>
      <c r="C2071" t="s">
        <v>170</v>
      </c>
      <c r="D2071" t="s">
        <v>171</v>
      </c>
      <c r="E2071" t="s">
        <v>91</v>
      </c>
      <c r="F2071" t="s">
        <v>115</v>
      </c>
    </row>
    <row r="2072" spans="1:7" x14ac:dyDescent="0.3">
      <c r="A2072">
        <v>2020</v>
      </c>
      <c r="B2072" t="s">
        <v>29</v>
      </c>
      <c r="C2072" t="s">
        <v>170</v>
      </c>
      <c r="D2072" t="s">
        <v>171</v>
      </c>
      <c r="E2072" t="s">
        <v>109</v>
      </c>
      <c r="F2072" t="s">
        <v>115</v>
      </c>
    </row>
    <row r="2073" spans="1:7" x14ac:dyDescent="0.3">
      <c r="A2073">
        <v>2020</v>
      </c>
      <c r="B2073" t="s">
        <v>29</v>
      </c>
      <c r="C2073" t="s">
        <v>170</v>
      </c>
      <c r="D2073" t="s">
        <v>171</v>
      </c>
      <c r="E2073" t="s">
        <v>110</v>
      </c>
      <c r="F2073" t="s">
        <v>115</v>
      </c>
    </row>
    <row r="2074" spans="1:7" x14ac:dyDescent="0.3">
      <c r="A2074">
        <v>2020</v>
      </c>
      <c r="B2074" t="s">
        <v>30</v>
      </c>
      <c r="C2074" t="s">
        <v>170</v>
      </c>
      <c r="D2074" t="s">
        <v>171</v>
      </c>
      <c r="E2074" t="s">
        <v>108</v>
      </c>
      <c r="F2074" t="s">
        <v>115</v>
      </c>
      <c r="G2074">
        <v>0</v>
      </c>
    </row>
    <row r="2075" spans="1:7" x14ac:dyDescent="0.3">
      <c r="A2075">
        <v>2020</v>
      </c>
      <c r="B2075" t="s">
        <v>30</v>
      </c>
      <c r="C2075" t="s">
        <v>170</v>
      </c>
      <c r="D2075" t="s">
        <v>171</v>
      </c>
      <c r="E2075" t="s">
        <v>91</v>
      </c>
      <c r="F2075" t="s">
        <v>115</v>
      </c>
      <c r="G2075">
        <v>0</v>
      </c>
    </row>
    <row r="2076" spans="1:7" x14ac:dyDescent="0.3">
      <c r="A2076">
        <v>2020</v>
      </c>
      <c r="B2076" t="s">
        <v>30</v>
      </c>
      <c r="C2076" t="s">
        <v>170</v>
      </c>
      <c r="D2076" t="s">
        <v>171</v>
      </c>
      <c r="E2076" t="s">
        <v>109</v>
      </c>
      <c r="F2076" t="s">
        <v>115</v>
      </c>
      <c r="G2076">
        <v>0</v>
      </c>
    </row>
    <row r="2077" spans="1:7" x14ac:dyDescent="0.3">
      <c r="A2077">
        <v>2020</v>
      </c>
      <c r="B2077" t="s">
        <v>30</v>
      </c>
      <c r="C2077" t="s">
        <v>170</v>
      </c>
      <c r="D2077" t="s">
        <v>171</v>
      </c>
      <c r="E2077" t="s">
        <v>110</v>
      </c>
      <c r="F2077" t="s">
        <v>115</v>
      </c>
      <c r="G2077">
        <v>0</v>
      </c>
    </row>
    <row r="2078" spans="1:7" x14ac:dyDescent="0.3">
      <c r="A2078">
        <v>2020</v>
      </c>
      <c r="B2078" t="s">
        <v>31</v>
      </c>
      <c r="C2078" t="s">
        <v>170</v>
      </c>
      <c r="D2078" t="s">
        <v>171</v>
      </c>
      <c r="E2078" t="s">
        <v>108</v>
      </c>
      <c r="F2078" t="s">
        <v>115</v>
      </c>
      <c r="G2078">
        <v>0</v>
      </c>
    </row>
    <row r="2079" spans="1:7" x14ac:dyDescent="0.3">
      <c r="A2079">
        <v>2020</v>
      </c>
      <c r="B2079" t="s">
        <v>31</v>
      </c>
      <c r="C2079" t="s">
        <v>170</v>
      </c>
      <c r="D2079" t="s">
        <v>171</v>
      </c>
      <c r="E2079" t="s">
        <v>91</v>
      </c>
      <c r="F2079" t="s">
        <v>115</v>
      </c>
      <c r="G2079">
        <v>0</v>
      </c>
    </row>
    <row r="2080" spans="1:7" x14ac:dyDescent="0.3">
      <c r="A2080">
        <v>2020</v>
      </c>
      <c r="B2080" t="s">
        <v>31</v>
      </c>
      <c r="C2080" t="s">
        <v>170</v>
      </c>
      <c r="D2080" t="s">
        <v>171</v>
      </c>
      <c r="E2080" t="s">
        <v>109</v>
      </c>
      <c r="F2080" t="s">
        <v>115</v>
      </c>
      <c r="G2080">
        <v>0</v>
      </c>
    </row>
    <row r="2081" spans="1:7" x14ac:dyDescent="0.3">
      <c r="A2081">
        <v>2020</v>
      </c>
      <c r="B2081" t="s">
        <v>31</v>
      </c>
      <c r="C2081" t="s">
        <v>170</v>
      </c>
      <c r="D2081" t="s">
        <v>171</v>
      </c>
      <c r="E2081" t="s">
        <v>110</v>
      </c>
      <c r="F2081" t="s">
        <v>115</v>
      </c>
      <c r="G2081">
        <v>0</v>
      </c>
    </row>
    <row r="2082" spans="1:7" x14ac:dyDescent="0.3">
      <c r="A2082">
        <v>2020</v>
      </c>
      <c r="B2082" t="s">
        <v>32</v>
      </c>
      <c r="C2082" t="s">
        <v>170</v>
      </c>
      <c r="D2082" t="s">
        <v>171</v>
      </c>
      <c r="E2082" t="s">
        <v>108</v>
      </c>
      <c r="F2082" t="s">
        <v>115</v>
      </c>
    </row>
    <row r="2083" spans="1:7" x14ac:dyDescent="0.3">
      <c r="A2083">
        <v>2020</v>
      </c>
      <c r="B2083" t="s">
        <v>32</v>
      </c>
      <c r="C2083" t="s">
        <v>170</v>
      </c>
      <c r="D2083" t="s">
        <v>171</v>
      </c>
      <c r="E2083" t="s">
        <v>91</v>
      </c>
      <c r="F2083" t="s">
        <v>115</v>
      </c>
    </row>
    <row r="2084" spans="1:7" x14ac:dyDescent="0.3">
      <c r="A2084">
        <v>2020</v>
      </c>
      <c r="B2084" t="s">
        <v>32</v>
      </c>
      <c r="C2084" t="s">
        <v>170</v>
      </c>
      <c r="D2084" t="s">
        <v>171</v>
      </c>
      <c r="E2084" t="s">
        <v>109</v>
      </c>
      <c r="F2084" t="s">
        <v>115</v>
      </c>
    </row>
    <row r="2085" spans="1:7" x14ac:dyDescent="0.3">
      <c r="A2085">
        <v>2020</v>
      </c>
      <c r="B2085" t="s">
        <v>32</v>
      </c>
      <c r="C2085" t="s">
        <v>170</v>
      </c>
      <c r="D2085" t="s">
        <v>171</v>
      </c>
      <c r="E2085" t="s">
        <v>110</v>
      </c>
      <c r="F2085" t="s">
        <v>115</v>
      </c>
    </row>
    <row r="2086" spans="1:7" x14ac:dyDescent="0.3">
      <c r="A2086">
        <v>2020</v>
      </c>
      <c r="B2086" t="s">
        <v>63</v>
      </c>
      <c r="C2086" t="s">
        <v>170</v>
      </c>
      <c r="D2086" t="s">
        <v>171</v>
      </c>
      <c r="E2086" t="s">
        <v>108</v>
      </c>
      <c r="F2086" t="s">
        <v>115</v>
      </c>
      <c r="G2086">
        <v>0</v>
      </c>
    </row>
    <row r="2087" spans="1:7" x14ac:dyDescent="0.3">
      <c r="A2087">
        <v>2020</v>
      </c>
      <c r="B2087" t="s">
        <v>63</v>
      </c>
      <c r="C2087" t="s">
        <v>170</v>
      </c>
      <c r="D2087" t="s">
        <v>171</v>
      </c>
      <c r="E2087" t="s">
        <v>91</v>
      </c>
      <c r="F2087" t="s">
        <v>115</v>
      </c>
      <c r="G2087">
        <v>5</v>
      </c>
    </row>
    <row r="2088" spans="1:7" x14ac:dyDescent="0.3">
      <c r="A2088">
        <v>2020</v>
      </c>
      <c r="B2088" t="s">
        <v>63</v>
      </c>
      <c r="C2088" t="s">
        <v>170</v>
      </c>
      <c r="D2088" t="s">
        <v>171</v>
      </c>
      <c r="E2088" t="s">
        <v>109</v>
      </c>
      <c r="F2088" t="s">
        <v>115</v>
      </c>
      <c r="G2088">
        <v>7</v>
      </c>
    </row>
    <row r="2089" spans="1:7" x14ac:dyDescent="0.3">
      <c r="A2089">
        <v>2020</v>
      </c>
      <c r="B2089" t="s">
        <v>63</v>
      </c>
      <c r="C2089" t="s">
        <v>170</v>
      </c>
      <c r="D2089" t="s">
        <v>171</v>
      </c>
      <c r="E2089" t="s">
        <v>110</v>
      </c>
      <c r="F2089" t="s">
        <v>115</v>
      </c>
      <c r="G2089">
        <v>0</v>
      </c>
    </row>
    <row r="2090" spans="1:7" x14ac:dyDescent="0.3">
      <c r="A2090">
        <v>2020</v>
      </c>
      <c r="B2090" t="s">
        <v>57</v>
      </c>
      <c r="C2090" t="s">
        <v>170</v>
      </c>
      <c r="D2090" t="s">
        <v>171</v>
      </c>
      <c r="E2090" t="s">
        <v>108</v>
      </c>
      <c r="F2090" t="s">
        <v>115</v>
      </c>
    </row>
    <row r="2091" spans="1:7" x14ac:dyDescent="0.3">
      <c r="A2091">
        <v>2020</v>
      </c>
      <c r="B2091" t="s">
        <v>57</v>
      </c>
      <c r="C2091" t="s">
        <v>170</v>
      </c>
      <c r="D2091" t="s">
        <v>171</v>
      </c>
      <c r="E2091" t="s">
        <v>91</v>
      </c>
      <c r="F2091" t="s">
        <v>115</v>
      </c>
    </row>
    <row r="2092" spans="1:7" x14ac:dyDescent="0.3">
      <c r="A2092">
        <v>2020</v>
      </c>
      <c r="B2092" t="s">
        <v>57</v>
      </c>
      <c r="C2092" t="s">
        <v>170</v>
      </c>
      <c r="D2092" t="s">
        <v>171</v>
      </c>
      <c r="E2092" t="s">
        <v>109</v>
      </c>
      <c r="F2092" t="s">
        <v>115</v>
      </c>
    </row>
    <row r="2093" spans="1:7" x14ac:dyDescent="0.3">
      <c r="A2093">
        <v>2020</v>
      </c>
      <c r="B2093" t="s">
        <v>57</v>
      </c>
      <c r="C2093" t="s">
        <v>170</v>
      </c>
      <c r="D2093" t="s">
        <v>171</v>
      </c>
      <c r="E2093" t="s">
        <v>110</v>
      </c>
      <c r="F2093" t="s">
        <v>115</v>
      </c>
    </row>
    <row r="2094" spans="1:7" x14ac:dyDescent="0.3">
      <c r="A2094">
        <v>2020</v>
      </c>
      <c r="B2094" t="s">
        <v>33</v>
      </c>
      <c r="C2094" t="s">
        <v>170</v>
      </c>
      <c r="D2094" t="s">
        <v>171</v>
      </c>
      <c r="E2094" t="s">
        <v>108</v>
      </c>
      <c r="F2094" t="s">
        <v>115</v>
      </c>
    </row>
    <row r="2095" spans="1:7" x14ac:dyDescent="0.3">
      <c r="A2095">
        <v>2020</v>
      </c>
      <c r="B2095" t="s">
        <v>33</v>
      </c>
      <c r="C2095" t="s">
        <v>170</v>
      </c>
      <c r="D2095" t="s">
        <v>171</v>
      </c>
      <c r="E2095" t="s">
        <v>91</v>
      </c>
      <c r="F2095" t="s">
        <v>115</v>
      </c>
    </row>
    <row r="2096" spans="1:7" x14ac:dyDescent="0.3">
      <c r="A2096">
        <v>2020</v>
      </c>
      <c r="B2096" t="s">
        <v>33</v>
      </c>
      <c r="C2096" t="s">
        <v>170</v>
      </c>
      <c r="D2096" t="s">
        <v>171</v>
      </c>
      <c r="E2096" t="s">
        <v>109</v>
      </c>
      <c r="F2096" t="s">
        <v>115</v>
      </c>
      <c r="G2096">
        <v>1</v>
      </c>
    </row>
    <row r="2097" spans="1:7" x14ac:dyDescent="0.3">
      <c r="A2097">
        <v>2020</v>
      </c>
      <c r="B2097" t="s">
        <v>33</v>
      </c>
      <c r="C2097" t="s">
        <v>170</v>
      </c>
      <c r="D2097" t="s">
        <v>171</v>
      </c>
      <c r="E2097" t="s">
        <v>110</v>
      </c>
      <c r="F2097" t="s">
        <v>115</v>
      </c>
    </row>
    <row r="2098" spans="1:7" x14ac:dyDescent="0.3">
      <c r="A2098">
        <v>2020</v>
      </c>
      <c r="B2098" t="s">
        <v>34</v>
      </c>
      <c r="C2098" t="s">
        <v>170</v>
      </c>
      <c r="D2098" t="s">
        <v>171</v>
      </c>
      <c r="E2098" t="s">
        <v>108</v>
      </c>
      <c r="F2098" t="s">
        <v>115</v>
      </c>
      <c r="G2098">
        <v>0</v>
      </c>
    </row>
    <row r="2099" spans="1:7" x14ac:dyDescent="0.3">
      <c r="A2099">
        <v>2020</v>
      </c>
      <c r="B2099" t="s">
        <v>34</v>
      </c>
      <c r="C2099" t="s">
        <v>170</v>
      </c>
      <c r="D2099" t="s">
        <v>171</v>
      </c>
      <c r="E2099" t="s">
        <v>91</v>
      </c>
      <c r="F2099" t="s">
        <v>115</v>
      </c>
      <c r="G2099">
        <v>0</v>
      </c>
    </row>
    <row r="2100" spans="1:7" x14ac:dyDescent="0.3">
      <c r="A2100">
        <v>2020</v>
      </c>
      <c r="B2100" t="s">
        <v>34</v>
      </c>
      <c r="C2100" t="s">
        <v>170</v>
      </c>
      <c r="D2100" t="s">
        <v>171</v>
      </c>
      <c r="E2100" t="s">
        <v>109</v>
      </c>
      <c r="F2100" t="s">
        <v>115</v>
      </c>
      <c r="G2100">
        <v>0</v>
      </c>
    </row>
    <row r="2101" spans="1:7" x14ac:dyDescent="0.3">
      <c r="A2101">
        <v>2020</v>
      </c>
      <c r="B2101" t="s">
        <v>34</v>
      </c>
      <c r="C2101" t="s">
        <v>170</v>
      </c>
      <c r="D2101" t="s">
        <v>171</v>
      </c>
      <c r="E2101" t="s">
        <v>110</v>
      </c>
      <c r="F2101" t="s">
        <v>115</v>
      </c>
      <c r="G2101">
        <v>0</v>
      </c>
    </row>
    <row r="2102" spans="1:7" x14ac:dyDescent="0.3">
      <c r="A2102">
        <v>2020</v>
      </c>
      <c r="B2102" t="s">
        <v>35</v>
      </c>
      <c r="C2102" t="s">
        <v>170</v>
      </c>
      <c r="D2102" t="s">
        <v>171</v>
      </c>
      <c r="E2102" t="s">
        <v>108</v>
      </c>
      <c r="F2102" t="s">
        <v>115</v>
      </c>
      <c r="G2102">
        <v>0</v>
      </c>
    </row>
    <row r="2103" spans="1:7" x14ac:dyDescent="0.3">
      <c r="A2103">
        <v>2020</v>
      </c>
      <c r="B2103" t="s">
        <v>35</v>
      </c>
      <c r="C2103" t="s">
        <v>170</v>
      </c>
      <c r="D2103" t="s">
        <v>171</v>
      </c>
      <c r="E2103" t="s">
        <v>91</v>
      </c>
      <c r="F2103" t="s">
        <v>115</v>
      </c>
      <c r="G2103">
        <v>0</v>
      </c>
    </row>
    <row r="2104" spans="1:7" x14ac:dyDescent="0.3">
      <c r="A2104">
        <v>2020</v>
      </c>
      <c r="B2104" t="s">
        <v>35</v>
      </c>
      <c r="C2104" t="s">
        <v>170</v>
      </c>
      <c r="D2104" t="s">
        <v>171</v>
      </c>
      <c r="E2104" t="s">
        <v>109</v>
      </c>
      <c r="F2104" t="s">
        <v>115</v>
      </c>
      <c r="G2104">
        <v>1</v>
      </c>
    </row>
    <row r="2105" spans="1:7" x14ac:dyDescent="0.3">
      <c r="A2105">
        <v>2020</v>
      </c>
      <c r="B2105" t="s">
        <v>35</v>
      </c>
      <c r="C2105" t="s">
        <v>170</v>
      </c>
      <c r="D2105" t="s">
        <v>171</v>
      </c>
      <c r="E2105" t="s">
        <v>110</v>
      </c>
      <c r="F2105" t="s">
        <v>115</v>
      </c>
      <c r="G2105">
        <v>0</v>
      </c>
    </row>
    <row r="2106" spans="1:7" x14ac:dyDescent="0.3">
      <c r="A2106">
        <v>2020</v>
      </c>
      <c r="B2106" t="s">
        <v>36</v>
      </c>
      <c r="C2106" t="s">
        <v>170</v>
      </c>
      <c r="D2106" t="s">
        <v>171</v>
      </c>
      <c r="E2106" t="s">
        <v>108</v>
      </c>
      <c r="F2106" t="s">
        <v>115</v>
      </c>
    </row>
    <row r="2107" spans="1:7" x14ac:dyDescent="0.3">
      <c r="A2107">
        <v>2020</v>
      </c>
      <c r="B2107" t="s">
        <v>36</v>
      </c>
      <c r="C2107" t="s">
        <v>170</v>
      </c>
      <c r="D2107" t="s">
        <v>171</v>
      </c>
      <c r="E2107" t="s">
        <v>91</v>
      </c>
      <c r="F2107" t="s">
        <v>115</v>
      </c>
    </row>
    <row r="2108" spans="1:7" x14ac:dyDescent="0.3">
      <c r="A2108">
        <v>2020</v>
      </c>
      <c r="B2108" t="s">
        <v>36</v>
      </c>
      <c r="C2108" t="s">
        <v>170</v>
      </c>
      <c r="D2108" t="s">
        <v>171</v>
      </c>
      <c r="E2108" t="s">
        <v>109</v>
      </c>
      <c r="F2108" t="s">
        <v>115</v>
      </c>
    </row>
    <row r="2109" spans="1:7" x14ac:dyDescent="0.3">
      <c r="A2109">
        <v>2020</v>
      </c>
      <c r="B2109" t="s">
        <v>36</v>
      </c>
      <c r="C2109" t="s">
        <v>170</v>
      </c>
      <c r="D2109" t="s">
        <v>171</v>
      </c>
      <c r="E2109" t="s">
        <v>110</v>
      </c>
      <c r="F2109" t="s">
        <v>115</v>
      </c>
    </row>
    <row r="2110" spans="1:7" x14ac:dyDescent="0.3">
      <c r="A2110">
        <v>2020</v>
      </c>
      <c r="B2110" t="s">
        <v>37</v>
      </c>
      <c r="C2110" t="s">
        <v>170</v>
      </c>
      <c r="D2110" t="s">
        <v>171</v>
      </c>
      <c r="E2110" t="s">
        <v>108</v>
      </c>
      <c r="F2110" t="s">
        <v>115</v>
      </c>
    </row>
    <row r="2111" spans="1:7" x14ac:dyDescent="0.3">
      <c r="A2111">
        <v>2020</v>
      </c>
      <c r="B2111" t="s">
        <v>37</v>
      </c>
      <c r="C2111" t="s">
        <v>170</v>
      </c>
      <c r="D2111" t="s">
        <v>171</v>
      </c>
      <c r="E2111" t="s">
        <v>91</v>
      </c>
      <c r="F2111" t="s">
        <v>115</v>
      </c>
    </row>
    <row r="2112" spans="1:7" x14ac:dyDescent="0.3">
      <c r="A2112">
        <v>2020</v>
      </c>
      <c r="B2112" t="s">
        <v>37</v>
      </c>
      <c r="C2112" t="s">
        <v>170</v>
      </c>
      <c r="D2112" t="s">
        <v>171</v>
      </c>
      <c r="E2112" t="s">
        <v>109</v>
      </c>
      <c r="F2112" t="s">
        <v>115</v>
      </c>
    </row>
    <row r="2113" spans="1:7" x14ac:dyDescent="0.3">
      <c r="A2113">
        <v>2020</v>
      </c>
      <c r="B2113" t="s">
        <v>37</v>
      </c>
      <c r="C2113" t="s">
        <v>170</v>
      </c>
      <c r="D2113" t="s">
        <v>171</v>
      </c>
      <c r="E2113" t="s">
        <v>110</v>
      </c>
      <c r="F2113" t="s">
        <v>115</v>
      </c>
    </row>
    <row r="2114" spans="1:7" x14ac:dyDescent="0.3">
      <c r="A2114">
        <v>2020</v>
      </c>
      <c r="B2114" t="s">
        <v>55</v>
      </c>
      <c r="C2114" t="s">
        <v>170</v>
      </c>
      <c r="D2114" t="s">
        <v>171</v>
      </c>
      <c r="E2114" t="s">
        <v>108</v>
      </c>
      <c r="F2114" t="s">
        <v>115</v>
      </c>
      <c r="G2114">
        <v>0</v>
      </c>
    </row>
    <row r="2115" spans="1:7" x14ac:dyDescent="0.3">
      <c r="A2115">
        <v>2020</v>
      </c>
      <c r="B2115" t="s">
        <v>55</v>
      </c>
      <c r="C2115" t="s">
        <v>170</v>
      </c>
      <c r="D2115" t="s">
        <v>171</v>
      </c>
      <c r="E2115" t="s">
        <v>91</v>
      </c>
      <c r="F2115" t="s">
        <v>115</v>
      </c>
      <c r="G2115">
        <v>0</v>
      </c>
    </row>
    <row r="2116" spans="1:7" x14ac:dyDescent="0.3">
      <c r="A2116">
        <v>2020</v>
      </c>
      <c r="B2116" t="s">
        <v>55</v>
      </c>
      <c r="C2116" t="s">
        <v>170</v>
      </c>
      <c r="D2116" t="s">
        <v>171</v>
      </c>
      <c r="E2116" t="s">
        <v>109</v>
      </c>
      <c r="F2116" t="s">
        <v>115</v>
      </c>
      <c r="G2116">
        <v>0</v>
      </c>
    </row>
    <row r="2117" spans="1:7" x14ac:dyDescent="0.3">
      <c r="A2117">
        <v>2020</v>
      </c>
      <c r="B2117" t="s">
        <v>55</v>
      </c>
      <c r="C2117" t="s">
        <v>170</v>
      </c>
      <c r="D2117" t="s">
        <v>171</v>
      </c>
      <c r="E2117" t="s">
        <v>110</v>
      </c>
      <c r="F2117" t="s">
        <v>115</v>
      </c>
      <c r="G2117">
        <v>0</v>
      </c>
    </row>
    <row r="2118" spans="1:7" x14ac:dyDescent="0.3">
      <c r="A2118">
        <v>2020</v>
      </c>
      <c r="B2118" t="s">
        <v>38</v>
      </c>
      <c r="C2118" t="s">
        <v>170</v>
      </c>
      <c r="D2118" t="s">
        <v>171</v>
      </c>
      <c r="E2118" t="s">
        <v>108</v>
      </c>
      <c r="F2118" t="s">
        <v>115</v>
      </c>
    </row>
    <row r="2119" spans="1:7" x14ac:dyDescent="0.3">
      <c r="A2119">
        <v>2020</v>
      </c>
      <c r="B2119" t="s">
        <v>38</v>
      </c>
      <c r="C2119" t="s">
        <v>170</v>
      </c>
      <c r="D2119" t="s">
        <v>171</v>
      </c>
      <c r="E2119" t="s">
        <v>91</v>
      </c>
      <c r="F2119" t="s">
        <v>115</v>
      </c>
    </row>
    <row r="2120" spans="1:7" x14ac:dyDescent="0.3">
      <c r="A2120">
        <v>2020</v>
      </c>
      <c r="B2120" t="s">
        <v>38</v>
      </c>
      <c r="C2120" t="s">
        <v>170</v>
      </c>
      <c r="D2120" t="s">
        <v>171</v>
      </c>
      <c r="E2120" t="s">
        <v>109</v>
      </c>
      <c r="F2120" t="s">
        <v>115</v>
      </c>
    </row>
    <row r="2121" spans="1:7" x14ac:dyDescent="0.3">
      <c r="A2121">
        <v>2020</v>
      </c>
      <c r="B2121" t="s">
        <v>38</v>
      </c>
      <c r="C2121" t="s">
        <v>170</v>
      </c>
      <c r="D2121" t="s">
        <v>171</v>
      </c>
      <c r="E2121" t="s">
        <v>110</v>
      </c>
      <c r="F2121" t="s">
        <v>115</v>
      </c>
    </row>
    <row r="2122" spans="1:7" x14ac:dyDescent="0.3">
      <c r="A2122">
        <v>2020</v>
      </c>
      <c r="B2122" t="s">
        <v>39</v>
      </c>
      <c r="C2122" t="s">
        <v>170</v>
      </c>
      <c r="D2122" t="s">
        <v>171</v>
      </c>
      <c r="E2122" t="s">
        <v>108</v>
      </c>
      <c r="F2122" t="s">
        <v>115</v>
      </c>
    </row>
    <row r="2123" spans="1:7" x14ac:dyDescent="0.3">
      <c r="A2123">
        <v>2020</v>
      </c>
      <c r="B2123" t="s">
        <v>39</v>
      </c>
      <c r="C2123" t="s">
        <v>170</v>
      </c>
      <c r="D2123" t="s">
        <v>171</v>
      </c>
      <c r="E2123" t="s">
        <v>91</v>
      </c>
      <c r="F2123" t="s">
        <v>115</v>
      </c>
      <c r="G2123">
        <v>1</v>
      </c>
    </row>
    <row r="2124" spans="1:7" x14ac:dyDescent="0.3">
      <c r="A2124">
        <v>2020</v>
      </c>
      <c r="B2124" t="s">
        <v>39</v>
      </c>
      <c r="C2124" t="s">
        <v>170</v>
      </c>
      <c r="D2124" t="s">
        <v>171</v>
      </c>
      <c r="E2124" t="s">
        <v>109</v>
      </c>
      <c r="F2124" t="s">
        <v>115</v>
      </c>
    </row>
    <row r="2125" spans="1:7" x14ac:dyDescent="0.3">
      <c r="A2125">
        <v>2020</v>
      </c>
      <c r="B2125" t="s">
        <v>39</v>
      </c>
      <c r="C2125" t="s">
        <v>170</v>
      </c>
      <c r="D2125" t="s">
        <v>171</v>
      </c>
      <c r="E2125" t="s">
        <v>110</v>
      </c>
      <c r="F2125" t="s">
        <v>115</v>
      </c>
    </row>
    <row r="2126" spans="1:7" x14ac:dyDescent="0.3">
      <c r="A2126">
        <v>2020</v>
      </c>
      <c r="B2126" t="s">
        <v>40</v>
      </c>
      <c r="C2126" t="s">
        <v>170</v>
      </c>
      <c r="D2126" t="s">
        <v>171</v>
      </c>
      <c r="E2126" t="s">
        <v>108</v>
      </c>
      <c r="F2126" t="s">
        <v>115</v>
      </c>
      <c r="G2126">
        <v>0</v>
      </c>
    </row>
    <row r="2127" spans="1:7" x14ac:dyDescent="0.3">
      <c r="A2127">
        <v>2020</v>
      </c>
      <c r="B2127" t="s">
        <v>40</v>
      </c>
      <c r="C2127" t="s">
        <v>170</v>
      </c>
      <c r="D2127" t="s">
        <v>171</v>
      </c>
      <c r="E2127" t="s">
        <v>91</v>
      </c>
      <c r="F2127" t="s">
        <v>115</v>
      </c>
      <c r="G2127">
        <v>0</v>
      </c>
    </row>
    <row r="2128" spans="1:7" x14ac:dyDescent="0.3">
      <c r="A2128">
        <v>2020</v>
      </c>
      <c r="B2128" t="s">
        <v>40</v>
      </c>
      <c r="C2128" t="s">
        <v>170</v>
      </c>
      <c r="D2128" t="s">
        <v>171</v>
      </c>
      <c r="E2128" t="s">
        <v>109</v>
      </c>
      <c r="F2128" t="s">
        <v>115</v>
      </c>
      <c r="G2128">
        <v>2</v>
      </c>
    </row>
    <row r="2129" spans="1:7" x14ac:dyDescent="0.3">
      <c r="A2129">
        <v>2020</v>
      </c>
      <c r="B2129" t="s">
        <v>40</v>
      </c>
      <c r="C2129" t="s">
        <v>170</v>
      </c>
      <c r="D2129" t="s">
        <v>171</v>
      </c>
      <c r="E2129" t="s">
        <v>110</v>
      </c>
      <c r="F2129" t="s">
        <v>115</v>
      </c>
      <c r="G2129">
        <v>0</v>
      </c>
    </row>
    <row r="2130" spans="1:7" x14ac:dyDescent="0.3">
      <c r="A2130">
        <v>2020</v>
      </c>
      <c r="B2130" t="s">
        <v>41</v>
      </c>
      <c r="C2130" t="s">
        <v>170</v>
      </c>
      <c r="D2130" t="s">
        <v>171</v>
      </c>
      <c r="E2130" t="s">
        <v>108</v>
      </c>
      <c r="F2130" t="s">
        <v>115</v>
      </c>
    </row>
    <row r="2131" spans="1:7" x14ac:dyDescent="0.3">
      <c r="A2131">
        <v>2020</v>
      </c>
      <c r="B2131" t="s">
        <v>41</v>
      </c>
      <c r="C2131" t="s">
        <v>170</v>
      </c>
      <c r="D2131" t="s">
        <v>171</v>
      </c>
      <c r="E2131" t="s">
        <v>91</v>
      </c>
      <c r="F2131" t="s">
        <v>115</v>
      </c>
    </row>
    <row r="2132" spans="1:7" x14ac:dyDescent="0.3">
      <c r="A2132">
        <v>2020</v>
      </c>
      <c r="B2132" t="s">
        <v>41</v>
      </c>
      <c r="C2132" t="s">
        <v>170</v>
      </c>
      <c r="D2132" t="s">
        <v>171</v>
      </c>
      <c r="E2132" t="s">
        <v>109</v>
      </c>
      <c r="F2132" t="s">
        <v>115</v>
      </c>
    </row>
    <row r="2133" spans="1:7" x14ac:dyDescent="0.3">
      <c r="A2133">
        <v>2020</v>
      </c>
      <c r="B2133" t="s">
        <v>41</v>
      </c>
      <c r="C2133" t="s">
        <v>170</v>
      </c>
      <c r="D2133" t="s">
        <v>171</v>
      </c>
      <c r="E2133" t="s">
        <v>110</v>
      </c>
      <c r="F2133" t="s">
        <v>115</v>
      </c>
    </row>
    <row r="2134" spans="1:7" x14ac:dyDescent="0.3">
      <c r="A2134">
        <v>2020</v>
      </c>
      <c r="B2134" t="s">
        <v>58</v>
      </c>
      <c r="C2134" t="s">
        <v>170</v>
      </c>
      <c r="D2134" t="s">
        <v>171</v>
      </c>
      <c r="E2134" t="s">
        <v>108</v>
      </c>
      <c r="F2134" t="s">
        <v>115</v>
      </c>
    </row>
    <row r="2135" spans="1:7" x14ac:dyDescent="0.3">
      <c r="A2135">
        <v>2020</v>
      </c>
      <c r="B2135" t="s">
        <v>58</v>
      </c>
      <c r="C2135" t="s">
        <v>170</v>
      </c>
      <c r="D2135" t="s">
        <v>171</v>
      </c>
      <c r="E2135" t="s">
        <v>91</v>
      </c>
      <c r="F2135" t="s">
        <v>115</v>
      </c>
    </row>
    <row r="2136" spans="1:7" x14ac:dyDescent="0.3">
      <c r="A2136">
        <v>2020</v>
      </c>
      <c r="B2136" t="s">
        <v>58</v>
      </c>
      <c r="C2136" t="s">
        <v>170</v>
      </c>
      <c r="D2136" t="s">
        <v>171</v>
      </c>
      <c r="E2136" t="s">
        <v>109</v>
      </c>
      <c r="F2136" t="s">
        <v>115</v>
      </c>
    </row>
    <row r="2137" spans="1:7" x14ac:dyDescent="0.3">
      <c r="A2137">
        <v>2020</v>
      </c>
      <c r="B2137" t="s">
        <v>58</v>
      </c>
      <c r="C2137" t="s">
        <v>170</v>
      </c>
      <c r="D2137" t="s">
        <v>171</v>
      </c>
      <c r="E2137" t="s">
        <v>110</v>
      </c>
      <c r="F2137" t="s">
        <v>115</v>
      </c>
    </row>
    <row r="2138" spans="1:7" x14ac:dyDescent="0.3">
      <c r="A2138">
        <v>2020</v>
      </c>
      <c r="B2138" t="s">
        <v>42</v>
      </c>
      <c r="C2138" t="s">
        <v>170</v>
      </c>
      <c r="D2138" t="s">
        <v>171</v>
      </c>
      <c r="E2138" t="s">
        <v>108</v>
      </c>
      <c r="F2138" t="s">
        <v>115</v>
      </c>
      <c r="G2138">
        <v>0</v>
      </c>
    </row>
    <row r="2139" spans="1:7" x14ac:dyDescent="0.3">
      <c r="A2139">
        <v>2020</v>
      </c>
      <c r="B2139" t="s">
        <v>42</v>
      </c>
      <c r="C2139" t="s">
        <v>170</v>
      </c>
      <c r="D2139" t="s">
        <v>171</v>
      </c>
      <c r="E2139" t="s">
        <v>91</v>
      </c>
      <c r="F2139" t="s">
        <v>115</v>
      </c>
      <c r="G2139">
        <v>0</v>
      </c>
    </row>
    <row r="2140" spans="1:7" x14ac:dyDescent="0.3">
      <c r="A2140">
        <v>2020</v>
      </c>
      <c r="B2140" t="s">
        <v>42</v>
      </c>
      <c r="C2140" t="s">
        <v>170</v>
      </c>
      <c r="D2140" t="s">
        <v>171</v>
      </c>
      <c r="E2140" t="s">
        <v>109</v>
      </c>
      <c r="F2140" t="s">
        <v>115</v>
      </c>
      <c r="G2140">
        <v>0</v>
      </c>
    </row>
    <row r="2141" spans="1:7" x14ac:dyDescent="0.3">
      <c r="A2141">
        <v>2020</v>
      </c>
      <c r="B2141" t="s">
        <v>42</v>
      </c>
      <c r="C2141" t="s">
        <v>170</v>
      </c>
      <c r="D2141" t="s">
        <v>171</v>
      </c>
      <c r="E2141" t="s">
        <v>110</v>
      </c>
      <c r="F2141" t="s">
        <v>115</v>
      </c>
      <c r="G2141">
        <v>0</v>
      </c>
    </row>
    <row r="2142" spans="1:7" x14ac:dyDescent="0.3">
      <c r="A2142">
        <v>2020</v>
      </c>
      <c r="B2142" t="s">
        <v>44</v>
      </c>
      <c r="C2142" t="s">
        <v>170</v>
      </c>
      <c r="D2142" t="s">
        <v>171</v>
      </c>
      <c r="E2142" t="s">
        <v>108</v>
      </c>
      <c r="F2142" t="s">
        <v>115</v>
      </c>
      <c r="G2142">
        <v>1</v>
      </c>
    </row>
    <row r="2143" spans="1:7" x14ac:dyDescent="0.3">
      <c r="A2143">
        <v>2020</v>
      </c>
      <c r="B2143" t="s">
        <v>44</v>
      </c>
      <c r="C2143" t="s">
        <v>170</v>
      </c>
      <c r="D2143" t="s">
        <v>171</v>
      </c>
      <c r="E2143" t="s">
        <v>91</v>
      </c>
      <c r="F2143" t="s">
        <v>115</v>
      </c>
    </row>
    <row r="2144" spans="1:7" x14ac:dyDescent="0.3">
      <c r="A2144">
        <v>2020</v>
      </c>
      <c r="B2144" t="s">
        <v>44</v>
      </c>
      <c r="C2144" t="s">
        <v>170</v>
      </c>
      <c r="D2144" t="s">
        <v>171</v>
      </c>
      <c r="E2144" t="s">
        <v>109</v>
      </c>
      <c r="F2144" t="s">
        <v>115</v>
      </c>
    </row>
    <row r="2145" spans="1:7" x14ac:dyDescent="0.3">
      <c r="A2145">
        <v>2020</v>
      </c>
      <c r="B2145" t="s">
        <v>44</v>
      </c>
      <c r="C2145" t="s">
        <v>170</v>
      </c>
      <c r="D2145" t="s">
        <v>171</v>
      </c>
      <c r="E2145" t="s">
        <v>110</v>
      </c>
      <c r="F2145" t="s">
        <v>115</v>
      </c>
    </row>
    <row r="2146" spans="1:7" x14ac:dyDescent="0.3">
      <c r="A2146">
        <v>2020</v>
      </c>
      <c r="B2146" t="s">
        <v>45</v>
      </c>
      <c r="C2146" t="s">
        <v>170</v>
      </c>
      <c r="D2146" t="s">
        <v>171</v>
      </c>
      <c r="E2146" t="s">
        <v>108</v>
      </c>
      <c r="F2146" t="s">
        <v>115</v>
      </c>
    </row>
    <row r="2147" spans="1:7" x14ac:dyDescent="0.3">
      <c r="A2147">
        <v>2020</v>
      </c>
      <c r="B2147" t="s">
        <v>45</v>
      </c>
      <c r="C2147" t="s">
        <v>170</v>
      </c>
      <c r="D2147" t="s">
        <v>171</v>
      </c>
      <c r="E2147" t="s">
        <v>91</v>
      </c>
      <c r="F2147" t="s">
        <v>115</v>
      </c>
    </row>
    <row r="2148" spans="1:7" x14ac:dyDescent="0.3">
      <c r="A2148">
        <v>2020</v>
      </c>
      <c r="B2148" t="s">
        <v>45</v>
      </c>
      <c r="C2148" t="s">
        <v>170</v>
      </c>
      <c r="D2148" t="s">
        <v>171</v>
      </c>
      <c r="E2148" t="s">
        <v>109</v>
      </c>
      <c r="F2148" t="s">
        <v>115</v>
      </c>
    </row>
    <row r="2149" spans="1:7" x14ac:dyDescent="0.3">
      <c r="A2149">
        <v>2020</v>
      </c>
      <c r="B2149" t="s">
        <v>45</v>
      </c>
      <c r="C2149" t="s">
        <v>170</v>
      </c>
      <c r="D2149" t="s">
        <v>171</v>
      </c>
      <c r="E2149" t="s">
        <v>110</v>
      </c>
      <c r="F2149" t="s">
        <v>115</v>
      </c>
    </row>
    <row r="2150" spans="1:7" x14ac:dyDescent="0.3">
      <c r="A2150">
        <v>2020</v>
      </c>
      <c r="B2150" t="s">
        <v>46</v>
      </c>
      <c r="C2150" t="s">
        <v>170</v>
      </c>
      <c r="D2150" t="s">
        <v>171</v>
      </c>
      <c r="E2150" t="s">
        <v>108</v>
      </c>
      <c r="F2150" t="s">
        <v>115</v>
      </c>
    </row>
    <row r="2151" spans="1:7" x14ac:dyDescent="0.3">
      <c r="A2151">
        <v>2020</v>
      </c>
      <c r="B2151" t="s">
        <v>46</v>
      </c>
      <c r="C2151" t="s">
        <v>170</v>
      </c>
      <c r="D2151" t="s">
        <v>171</v>
      </c>
      <c r="E2151" t="s">
        <v>91</v>
      </c>
      <c r="F2151" t="s">
        <v>115</v>
      </c>
    </row>
    <row r="2152" spans="1:7" x14ac:dyDescent="0.3">
      <c r="A2152">
        <v>2020</v>
      </c>
      <c r="B2152" t="s">
        <v>46</v>
      </c>
      <c r="C2152" t="s">
        <v>170</v>
      </c>
      <c r="D2152" t="s">
        <v>171</v>
      </c>
      <c r="E2152" t="s">
        <v>109</v>
      </c>
      <c r="F2152" t="s">
        <v>115</v>
      </c>
    </row>
    <row r="2153" spans="1:7" x14ac:dyDescent="0.3">
      <c r="A2153">
        <v>2020</v>
      </c>
      <c r="B2153" t="s">
        <v>46</v>
      </c>
      <c r="C2153" t="s">
        <v>170</v>
      </c>
      <c r="D2153" t="s">
        <v>171</v>
      </c>
      <c r="E2153" t="s">
        <v>110</v>
      </c>
      <c r="F2153" t="s">
        <v>115</v>
      </c>
    </row>
    <row r="2154" spans="1:7" x14ac:dyDescent="0.3">
      <c r="A2154">
        <v>2020</v>
      </c>
      <c r="B2154" t="s">
        <v>47</v>
      </c>
      <c r="C2154" t="s">
        <v>170</v>
      </c>
      <c r="D2154" t="s">
        <v>171</v>
      </c>
      <c r="E2154" t="s">
        <v>108</v>
      </c>
      <c r="F2154" t="s">
        <v>115</v>
      </c>
    </row>
    <row r="2155" spans="1:7" x14ac:dyDescent="0.3">
      <c r="A2155">
        <v>2020</v>
      </c>
      <c r="B2155" t="s">
        <v>47</v>
      </c>
      <c r="C2155" t="s">
        <v>170</v>
      </c>
      <c r="D2155" t="s">
        <v>171</v>
      </c>
      <c r="E2155" t="s">
        <v>91</v>
      </c>
      <c r="F2155" t="s">
        <v>115</v>
      </c>
    </row>
    <row r="2156" spans="1:7" x14ac:dyDescent="0.3">
      <c r="A2156">
        <v>2020</v>
      </c>
      <c r="B2156" t="s">
        <v>47</v>
      </c>
      <c r="C2156" t="s">
        <v>170</v>
      </c>
      <c r="D2156" t="s">
        <v>171</v>
      </c>
      <c r="E2156" t="s">
        <v>109</v>
      </c>
      <c r="F2156" t="s">
        <v>115</v>
      </c>
      <c r="G2156">
        <v>1</v>
      </c>
    </row>
    <row r="2157" spans="1:7" x14ac:dyDescent="0.3">
      <c r="A2157">
        <v>2020</v>
      </c>
      <c r="B2157" t="s">
        <v>47</v>
      </c>
      <c r="C2157" t="s">
        <v>170</v>
      </c>
      <c r="D2157" t="s">
        <v>171</v>
      </c>
      <c r="E2157" t="s">
        <v>110</v>
      </c>
      <c r="F2157" t="s">
        <v>115</v>
      </c>
    </row>
    <row r="2158" spans="1:7" x14ac:dyDescent="0.3">
      <c r="A2158">
        <v>2020</v>
      </c>
      <c r="B2158" t="s">
        <v>48</v>
      </c>
      <c r="C2158" t="s">
        <v>170</v>
      </c>
      <c r="D2158" t="s">
        <v>171</v>
      </c>
      <c r="E2158" t="s">
        <v>108</v>
      </c>
      <c r="F2158" t="s">
        <v>115</v>
      </c>
    </row>
    <row r="2159" spans="1:7" x14ac:dyDescent="0.3">
      <c r="A2159">
        <v>2020</v>
      </c>
      <c r="B2159" t="s">
        <v>48</v>
      </c>
      <c r="C2159" t="s">
        <v>170</v>
      </c>
      <c r="D2159" t="s">
        <v>171</v>
      </c>
      <c r="E2159" t="s">
        <v>91</v>
      </c>
      <c r="F2159" t="s">
        <v>115</v>
      </c>
    </row>
    <row r="2160" spans="1:7" x14ac:dyDescent="0.3">
      <c r="A2160">
        <v>2020</v>
      </c>
      <c r="B2160" t="s">
        <v>48</v>
      </c>
      <c r="C2160" t="s">
        <v>170</v>
      </c>
      <c r="D2160" t="s">
        <v>171</v>
      </c>
      <c r="E2160" t="s">
        <v>109</v>
      </c>
      <c r="F2160" t="s">
        <v>115</v>
      </c>
    </row>
    <row r="2161" spans="1:7" x14ac:dyDescent="0.3">
      <c r="A2161">
        <v>2020</v>
      </c>
      <c r="B2161" t="s">
        <v>48</v>
      </c>
      <c r="C2161" t="s">
        <v>170</v>
      </c>
      <c r="D2161" t="s">
        <v>171</v>
      </c>
      <c r="E2161" t="s">
        <v>110</v>
      </c>
      <c r="F2161" t="s">
        <v>115</v>
      </c>
    </row>
    <row r="2162" spans="1:7" x14ac:dyDescent="0.3">
      <c r="A2162">
        <v>2020</v>
      </c>
      <c r="B2162" t="s">
        <v>49</v>
      </c>
      <c r="C2162" t="s">
        <v>170</v>
      </c>
      <c r="D2162" t="s">
        <v>171</v>
      </c>
      <c r="E2162" t="s">
        <v>108</v>
      </c>
      <c r="F2162" t="s">
        <v>115</v>
      </c>
      <c r="G2162">
        <v>1</v>
      </c>
    </row>
    <row r="2163" spans="1:7" x14ac:dyDescent="0.3">
      <c r="A2163">
        <v>2020</v>
      </c>
      <c r="B2163" t="s">
        <v>49</v>
      </c>
      <c r="C2163" t="s">
        <v>170</v>
      </c>
      <c r="D2163" t="s">
        <v>171</v>
      </c>
      <c r="E2163" t="s">
        <v>91</v>
      </c>
      <c r="F2163" t="s">
        <v>115</v>
      </c>
      <c r="G2163">
        <v>0</v>
      </c>
    </row>
    <row r="2164" spans="1:7" x14ac:dyDescent="0.3">
      <c r="A2164">
        <v>2020</v>
      </c>
      <c r="B2164" t="s">
        <v>49</v>
      </c>
      <c r="C2164" t="s">
        <v>170</v>
      </c>
      <c r="D2164" t="s">
        <v>171</v>
      </c>
      <c r="E2164" t="s">
        <v>109</v>
      </c>
      <c r="F2164" t="s">
        <v>115</v>
      </c>
      <c r="G2164">
        <v>0</v>
      </c>
    </row>
    <row r="2165" spans="1:7" x14ac:dyDescent="0.3">
      <c r="A2165">
        <v>2020</v>
      </c>
      <c r="B2165" t="s">
        <v>49</v>
      </c>
      <c r="C2165" t="s">
        <v>170</v>
      </c>
      <c r="D2165" t="s">
        <v>171</v>
      </c>
      <c r="E2165" t="s">
        <v>110</v>
      </c>
      <c r="F2165" t="s">
        <v>115</v>
      </c>
      <c r="G2165">
        <v>0</v>
      </c>
    </row>
    <row r="2166" spans="1:7" x14ac:dyDescent="0.3">
      <c r="A2166">
        <v>2020</v>
      </c>
      <c r="B2166" t="s">
        <v>59</v>
      </c>
      <c r="C2166" t="s">
        <v>170</v>
      </c>
      <c r="D2166" t="s">
        <v>171</v>
      </c>
      <c r="E2166" t="s">
        <v>108</v>
      </c>
      <c r="F2166" t="s">
        <v>115</v>
      </c>
      <c r="G2166">
        <v>0</v>
      </c>
    </row>
    <row r="2167" spans="1:7" x14ac:dyDescent="0.3">
      <c r="A2167">
        <v>2020</v>
      </c>
      <c r="B2167" t="s">
        <v>59</v>
      </c>
      <c r="C2167" t="s">
        <v>170</v>
      </c>
      <c r="D2167" t="s">
        <v>171</v>
      </c>
      <c r="E2167" t="s">
        <v>91</v>
      </c>
      <c r="F2167" t="s">
        <v>115</v>
      </c>
      <c r="G2167">
        <v>0</v>
      </c>
    </row>
    <row r="2168" spans="1:7" x14ac:dyDescent="0.3">
      <c r="A2168">
        <v>2020</v>
      </c>
      <c r="B2168" t="s">
        <v>59</v>
      </c>
      <c r="C2168" t="s">
        <v>170</v>
      </c>
      <c r="D2168" t="s">
        <v>171</v>
      </c>
      <c r="E2168" t="s">
        <v>109</v>
      </c>
      <c r="F2168" t="s">
        <v>115</v>
      </c>
      <c r="G2168">
        <v>0</v>
      </c>
    </row>
    <row r="2169" spans="1:7" x14ac:dyDescent="0.3">
      <c r="A2169">
        <v>2020</v>
      </c>
      <c r="B2169" t="s">
        <v>59</v>
      </c>
      <c r="C2169" t="s">
        <v>170</v>
      </c>
      <c r="D2169" t="s">
        <v>171</v>
      </c>
      <c r="E2169" t="s">
        <v>110</v>
      </c>
      <c r="F2169" t="s">
        <v>115</v>
      </c>
      <c r="G2169">
        <v>0</v>
      </c>
    </row>
    <row r="2170" spans="1:7" x14ac:dyDescent="0.3">
      <c r="A2170">
        <v>2020</v>
      </c>
      <c r="B2170" t="s">
        <v>50</v>
      </c>
      <c r="C2170" t="s">
        <v>170</v>
      </c>
      <c r="D2170" t="s">
        <v>171</v>
      </c>
      <c r="E2170" t="s">
        <v>108</v>
      </c>
      <c r="F2170" t="s">
        <v>115</v>
      </c>
      <c r="G2170">
        <v>1</v>
      </c>
    </row>
    <row r="2171" spans="1:7" x14ac:dyDescent="0.3">
      <c r="A2171">
        <v>2020</v>
      </c>
      <c r="B2171" t="s">
        <v>50</v>
      </c>
      <c r="C2171" t="s">
        <v>170</v>
      </c>
      <c r="D2171" t="s">
        <v>171</v>
      </c>
      <c r="E2171" t="s">
        <v>91</v>
      </c>
      <c r="F2171" t="s">
        <v>115</v>
      </c>
    </row>
    <row r="2172" spans="1:7" x14ac:dyDescent="0.3">
      <c r="A2172">
        <v>2020</v>
      </c>
      <c r="B2172" t="s">
        <v>50</v>
      </c>
      <c r="C2172" t="s">
        <v>170</v>
      </c>
      <c r="D2172" t="s">
        <v>171</v>
      </c>
      <c r="E2172" t="s">
        <v>109</v>
      </c>
      <c r="F2172" t="s">
        <v>115</v>
      </c>
    </row>
    <row r="2173" spans="1:7" x14ac:dyDescent="0.3">
      <c r="A2173">
        <v>2020</v>
      </c>
      <c r="B2173" t="s">
        <v>50</v>
      </c>
      <c r="C2173" t="s">
        <v>170</v>
      </c>
      <c r="D2173" t="s">
        <v>171</v>
      </c>
      <c r="E2173" t="s">
        <v>110</v>
      </c>
      <c r="F2173" t="s">
        <v>115</v>
      </c>
    </row>
    <row r="2174" spans="1:7" x14ac:dyDescent="0.3">
      <c r="A2174">
        <v>2020</v>
      </c>
      <c r="B2174" t="s">
        <v>51</v>
      </c>
      <c r="C2174" t="s">
        <v>170</v>
      </c>
      <c r="D2174" t="s">
        <v>171</v>
      </c>
      <c r="E2174" t="s">
        <v>108</v>
      </c>
      <c r="F2174" t="s">
        <v>115</v>
      </c>
    </row>
    <row r="2175" spans="1:7" x14ac:dyDescent="0.3">
      <c r="A2175">
        <v>2020</v>
      </c>
      <c r="B2175" t="s">
        <v>51</v>
      </c>
      <c r="C2175" t="s">
        <v>170</v>
      </c>
      <c r="D2175" t="s">
        <v>171</v>
      </c>
      <c r="E2175" t="s">
        <v>91</v>
      </c>
      <c r="F2175" t="s">
        <v>115</v>
      </c>
    </row>
    <row r="2176" spans="1:7" x14ac:dyDescent="0.3">
      <c r="A2176">
        <v>2020</v>
      </c>
      <c r="B2176" t="s">
        <v>51</v>
      </c>
      <c r="C2176" t="s">
        <v>170</v>
      </c>
      <c r="D2176" t="s">
        <v>171</v>
      </c>
      <c r="E2176" t="s">
        <v>109</v>
      </c>
      <c r="F2176" t="s">
        <v>115</v>
      </c>
    </row>
    <row r="2177" spans="1:7" x14ac:dyDescent="0.3">
      <c r="A2177">
        <v>2020</v>
      </c>
      <c r="B2177" t="s">
        <v>51</v>
      </c>
      <c r="C2177" t="s">
        <v>170</v>
      </c>
      <c r="D2177" t="s">
        <v>171</v>
      </c>
      <c r="E2177" t="s">
        <v>110</v>
      </c>
      <c r="F2177" t="s">
        <v>115</v>
      </c>
    </row>
    <row r="2178" spans="1:7" x14ac:dyDescent="0.3">
      <c r="A2178">
        <v>2020</v>
      </c>
      <c r="B2178" t="s">
        <v>52</v>
      </c>
      <c r="C2178" t="s">
        <v>170</v>
      </c>
      <c r="D2178" t="s">
        <v>171</v>
      </c>
      <c r="E2178" t="s">
        <v>108</v>
      </c>
      <c r="F2178" t="s">
        <v>115</v>
      </c>
    </row>
    <row r="2179" spans="1:7" x14ac:dyDescent="0.3">
      <c r="A2179">
        <v>2020</v>
      </c>
      <c r="B2179" t="s">
        <v>52</v>
      </c>
      <c r="C2179" t="s">
        <v>170</v>
      </c>
      <c r="D2179" t="s">
        <v>171</v>
      </c>
      <c r="E2179" t="s">
        <v>91</v>
      </c>
      <c r="F2179" t="s">
        <v>115</v>
      </c>
    </row>
    <row r="2180" spans="1:7" x14ac:dyDescent="0.3">
      <c r="A2180">
        <v>2020</v>
      </c>
      <c r="B2180" t="s">
        <v>52</v>
      </c>
      <c r="C2180" t="s">
        <v>170</v>
      </c>
      <c r="D2180" t="s">
        <v>171</v>
      </c>
      <c r="E2180" t="s">
        <v>109</v>
      </c>
      <c r="F2180" t="s">
        <v>115</v>
      </c>
    </row>
    <row r="2181" spans="1:7" x14ac:dyDescent="0.3">
      <c r="A2181">
        <v>2020</v>
      </c>
      <c r="B2181" t="s">
        <v>52</v>
      </c>
      <c r="C2181" t="s">
        <v>170</v>
      </c>
      <c r="D2181" t="s">
        <v>171</v>
      </c>
      <c r="E2181" t="s">
        <v>110</v>
      </c>
      <c r="F2181" t="s">
        <v>115</v>
      </c>
    </row>
    <row r="2182" spans="1:7" x14ac:dyDescent="0.3">
      <c r="A2182">
        <v>2020</v>
      </c>
      <c r="B2182" t="s">
        <v>60</v>
      </c>
      <c r="C2182" t="s">
        <v>170</v>
      </c>
      <c r="D2182" t="s">
        <v>171</v>
      </c>
      <c r="E2182" t="s">
        <v>108</v>
      </c>
      <c r="F2182" t="s">
        <v>115</v>
      </c>
      <c r="G2182">
        <v>0</v>
      </c>
    </row>
    <row r="2183" spans="1:7" x14ac:dyDescent="0.3">
      <c r="A2183">
        <v>2020</v>
      </c>
      <c r="B2183" t="s">
        <v>60</v>
      </c>
      <c r="C2183" t="s">
        <v>170</v>
      </c>
      <c r="D2183" t="s">
        <v>171</v>
      </c>
      <c r="E2183" t="s">
        <v>91</v>
      </c>
      <c r="F2183" t="s">
        <v>115</v>
      </c>
      <c r="G2183">
        <v>0</v>
      </c>
    </row>
    <row r="2184" spans="1:7" x14ac:dyDescent="0.3">
      <c r="A2184">
        <v>2020</v>
      </c>
      <c r="B2184" t="s">
        <v>60</v>
      </c>
      <c r="C2184" t="s">
        <v>170</v>
      </c>
      <c r="D2184" t="s">
        <v>171</v>
      </c>
      <c r="E2184" t="s">
        <v>109</v>
      </c>
      <c r="F2184" t="s">
        <v>115</v>
      </c>
      <c r="G2184">
        <v>0</v>
      </c>
    </row>
    <row r="2185" spans="1:7" x14ac:dyDescent="0.3">
      <c r="A2185">
        <v>2020</v>
      </c>
      <c r="B2185" t="s">
        <v>60</v>
      </c>
      <c r="C2185" t="s">
        <v>170</v>
      </c>
      <c r="D2185" t="s">
        <v>171</v>
      </c>
      <c r="E2185" t="s">
        <v>110</v>
      </c>
      <c r="F2185" t="s">
        <v>115</v>
      </c>
      <c r="G2185">
        <v>0</v>
      </c>
    </row>
    <row r="2186" spans="1:7" x14ac:dyDescent="0.3">
      <c r="A2186">
        <v>2020</v>
      </c>
      <c r="B2186" t="s">
        <v>53</v>
      </c>
      <c r="C2186" t="s">
        <v>170</v>
      </c>
      <c r="D2186" t="s">
        <v>171</v>
      </c>
      <c r="E2186" t="s">
        <v>108</v>
      </c>
      <c r="F2186" t="s">
        <v>115</v>
      </c>
      <c r="G2186">
        <v>0</v>
      </c>
    </row>
    <row r="2187" spans="1:7" x14ac:dyDescent="0.3">
      <c r="A2187">
        <v>2020</v>
      </c>
      <c r="B2187" t="s">
        <v>53</v>
      </c>
      <c r="C2187" t="s">
        <v>170</v>
      </c>
      <c r="D2187" t="s">
        <v>171</v>
      </c>
      <c r="E2187" t="s">
        <v>91</v>
      </c>
      <c r="F2187" t="s">
        <v>115</v>
      </c>
      <c r="G2187">
        <v>1</v>
      </c>
    </row>
    <row r="2188" spans="1:7" x14ac:dyDescent="0.3">
      <c r="A2188">
        <v>2020</v>
      </c>
      <c r="B2188" t="s">
        <v>53</v>
      </c>
      <c r="C2188" t="s">
        <v>170</v>
      </c>
      <c r="D2188" t="s">
        <v>171</v>
      </c>
      <c r="E2188" t="s">
        <v>109</v>
      </c>
      <c r="F2188" t="s">
        <v>115</v>
      </c>
      <c r="G2188">
        <v>0</v>
      </c>
    </row>
    <row r="2189" spans="1:7" x14ac:dyDescent="0.3">
      <c r="A2189">
        <v>2020</v>
      </c>
      <c r="B2189" t="s">
        <v>53</v>
      </c>
      <c r="C2189" t="s">
        <v>170</v>
      </c>
      <c r="D2189" t="s">
        <v>171</v>
      </c>
      <c r="E2189" t="s">
        <v>110</v>
      </c>
      <c r="F2189" t="s">
        <v>115</v>
      </c>
      <c r="G2189">
        <v>0</v>
      </c>
    </row>
    <row r="2190" spans="1:7" x14ac:dyDescent="0.3">
      <c r="A2190">
        <v>2020</v>
      </c>
      <c r="B2190" t="s">
        <v>61</v>
      </c>
      <c r="C2190" t="s">
        <v>170</v>
      </c>
      <c r="D2190" t="s">
        <v>171</v>
      </c>
      <c r="E2190" t="s">
        <v>108</v>
      </c>
      <c r="F2190" t="s">
        <v>115</v>
      </c>
    </row>
    <row r="2191" spans="1:7" x14ac:dyDescent="0.3">
      <c r="A2191">
        <v>2020</v>
      </c>
      <c r="B2191" t="s">
        <v>61</v>
      </c>
      <c r="C2191" t="s">
        <v>170</v>
      </c>
      <c r="D2191" t="s">
        <v>171</v>
      </c>
      <c r="E2191" t="s">
        <v>91</v>
      </c>
      <c r="F2191" t="s">
        <v>115</v>
      </c>
      <c r="G2191">
        <v>2</v>
      </c>
    </row>
    <row r="2192" spans="1:7" x14ac:dyDescent="0.3">
      <c r="A2192">
        <v>2020</v>
      </c>
      <c r="B2192" t="s">
        <v>61</v>
      </c>
      <c r="C2192" t="s">
        <v>170</v>
      </c>
      <c r="D2192" t="s">
        <v>171</v>
      </c>
      <c r="E2192" t="s">
        <v>109</v>
      </c>
      <c r="F2192" t="s">
        <v>115</v>
      </c>
      <c r="G2192">
        <v>6</v>
      </c>
    </row>
    <row r="2193" spans="1:7" x14ac:dyDescent="0.3">
      <c r="A2193">
        <v>2020</v>
      </c>
      <c r="B2193" t="s">
        <v>61</v>
      </c>
      <c r="C2193" t="s">
        <v>170</v>
      </c>
      <c r="D2193" t="s">
        <v>171</v>
      </c>
      <c r="E2193" t="s">
        <v>110</v>
      </c>
      <c r="F2193" t="s">
        <v>115</v>
      </c>
    </row>
    <row r="2194" spans="1:7" x14ac:dyDescent="0.3">
      <c r="A2194">
        <v>2020</v>
      </c>
      <c r="B2194" t="s">
        <v>54</v>
      </c>
      <c r="C2194" t="s">
        <v>170</v>
      </c>
      <c r="D2194" t="s">
        <v>171</v>
      </c>
      <c r="E2194" t="s">
        <v>108</v>
      </c>
      <c r="F2194" t="s">
        <v>115</v>
      </c>
      <c r="G2194">
        <v>0</v>
      </c>
    </row>
    <row r="2195" spans="1:7" x14ac:dyDescent="0.3">
      <c r="A2195">
        <v>2020</v>
      </c>
      <c r="B2195" t="s">
        <v>54</v>
      </c>
      <c r="C2195" t="s">
        <v>170</v>
      </c>
      <c r="D2195" t="s">
        <v>171</v>
      </c>
      <c r="E2195" t="s">
        <v>91</v>
      </c>
      <c r="F2195" t="s">
        <v>115</v>
      </c>
      <c r="G2195">
        <v>0</v>
      </c>
    </row>
    <row r="2196" spans="1:7" x14ac:dyDescent="0.3">
      <c r="A2196">
        <v>2020</v>
      </c>
      <c r="B2196" t="s">
        <v>54</v>
      </c>
      <c r="C2196" t="s">
        <v>170</v>
      </c>
      <c r="D2196" t="s">
        <v>171</v>
      </c>
      <c r="E2196" t="s">
        <v>109</v>
      </c>
      <c r="F2196" t="s">
        <v>115</v>
      </c>
      <c r="G2196">
        <v>0</v>
      </c>
    </row>
    <row r="2197" spans="1:7" x14ac:dyDescent="0.3">
      <c r="A2197">
        <v>2020</v>
      </c>
      <c r="B2197" t="s">
        <v>54</v>
      </c>
      <c r="C2197" t="s">
        <v>170</v>
      </c>
      <c r="D2197" t="s">
        <v>171</v>
      </c>
      <c r="E2197" t="s">
        <v>110</v>
      </c>
      <c r="F2197" t="s">
        <v>115</v>
      </c>
      <c r="G2197">
        <v>0</v>
      </c>
    </row>
    <row r="2198" spans="1:7" x14ac:dyDescent="0.3">
      <c r="A2198">
        <v>2020</v>
      </c>
      <c r="B2198" t="s">
        <v>62</v>
      </c>
      <c r="C2198" t="s">
        <v>170</v>
      </c>
      <c r="D2198" t="s">
        <v>171</v>
      </c>
      <c r="E2198" t="s">
        <v>108</v>
      </c>
      <c r="F2198" t="s">
        <v>115</v>
      </c>
      <c r="G2198">
        <v>0</v>
      </c>
    </row>
    <row r="2199" spans="1:7" x14ac:dyDescent="0.3">
      <c r="A2199">
        <v>2020</v>
      </c>
      <c r="B2199" t="s">
        <v>62</v>
      </c>
      <c r="C2199" t="s">
        <v>170</v>
      </c>
      <c r="D2199" t="s">
        <v>171</v>
      </c>
      <c r="E2199" t="s">
        <v>91</v>
      </c>
      <c r="F2199" t="s">
        <v>115</v>
      </c>
      <c r="G2199">
        <v>0</v>
      </c>
    </row>
    <row r="2200" spans="1:7" x14ac:dyDescent="0.3">
      <c r="A2200">
        <v>2020</v>
      </c>
      <c r="B2200" t="s">
        <v>62</v>
      </c>
      <c r="C2200" t="s">
        <v>170</v>
      </c>
      <c r="D2200" t="s">
        <v>171</v>
      </c>
      <c r="E2200" t="s">
        <v>109</v>
      </c>
      <c r="F2200" t="s">
        <v>115</v>
      </c>
      <c r="G2200">
        <v>1</v>
      </c>
    </row>
    <row r="2201" spans="1:7" x14ac:dyDescent="0.3">
      <c r="A2201">
        <v>2020</v>
      </c>
      <c r="B2201" t="s">
        <v>62</v>
      </c>
      <c r="C2201" t="s">
        <v>170</v>
      </c>
      <c r="D2201" t="s">
        <v>171</v>
      </c>
      <c r="E2201" t="s">
        <v>110</v>
      </c>
      <c r="F2201" t="s">
        <v>115</v>
      </c>
      <c r="G2201">
        <v>0</v>
      </c>
    </row>
    <row r="2202" spans="1:7" x14ac:dyDescent="0.3">
      <c r="A2202">
        <v>2020</v>
      </c>
      <c r="B2202" t="s">
        <v>28</v>
      </c>
      <c r="C2202" t="s">
        <v>170</v>
      </c>
      <c r="D2202" t="s">
        <v>171</v>
      </c>
      <c r="E2202" t="s">
        <v>108</v>
      </c>
      <c r="F2202" t="s">
        <v>115</v>
      </c>
      <c r="G2202">
        <v>0</v>
      </c>
    </row>
    <row r="2203" spans="1:7" x14ac:dyDescent="0.3">
      <c r="A2203">
        <v>2020</v>
      </c>
      <c r="B2203" t="s">
        <v>28</v>
      </c>
      <c r="C2203" t="s">
        <v>170</v>
      </c>
      <c r="D2203" t="s">
        <v>171</v>
      </c>
      <c r="E2203" t="s">
        <v>91</v>
      </c>
      <c r="F2203" t="s">
        <v>115</v>
      </c>
      <c r="G2203">
        <v>0</v>
      </c>
    </row>
    <row r="2204" spans="1:7" x14ac:dyDescent="0.3">
      <c r="A2204">
        <v>2020</v>
      </c>
      <c r="B2204" t="s">
        <v>28</v>
      </c>
      <c r="C2204" t="s">
        <v>170</v>
      </c>
      <c r="D2204" t="s">
        <v>171</v>
      </c>
      <c r="E2204" t="s">
        <v>109</v>
      </c>
      <c r="F2204" t="s">
        <v>115</v>
      </c>
      <c r="G2204">
        <v>0</v>
      </c>
    </row>
    <row r="2205" spans="1:7" x14ac:dyDescent="0.3">
      <c r="A2205">
        <v>2020</v>
      </c>
      <c r="B2205" t="s">
        <v>28</v>
      </c>
      <c r="C2205" t="s">
        <v>170</v>
      </c>
      <c r="D2205" t="s">
        <v>171</v>
      </c>
      <c r="E2205" t="s">
        <v>110</v>
      </c>
      <c r="F2205" t="s">
        <v>115</v>
      </c>
      <c r="G2205">
        <v>0</v>
      </c>
    </row>
    <row r="2206" spans="1:7" x14ac:dyDescent="0.3">
      <c r="A2206">
        <v>2020</v>
      </c>
      <c r="B2206" t="s">
        <v>43</v>
      </c>
      <c r="C2206" t="s">
        <v>170</v>
      </c>
      <c r="D2206" t="s">
        <v>171</v>
      </c>
      <c r="E2206" t="s">
        <v>108</v>
      </c>
      <c r="F2206" t="s">
        <v>115</v>
      </c>
    </row>
    <row r="2207" spans="1:7" x14ac:dyDescent="0.3">
      <c r="A2207">
        <v>2020</v>
      </c>
      <c r="B2207" t="s">
        <v>43</v>
      </c>
      <c r="C2207" t="s">
        <v>170</v>
      </c>
      <c r="D2207" t="s">
        <v>171</v>
      </c>
      <c r="E2207" t="s">
        <v>91</v>
      </c>
      <c r="F2207" t="s">
        <v>115</v>
      </c>
    </row>
    <row r="2208" spans="1:7" x14ac:dyDescent="0.3">
      <c r="A2208">
        <v>2020</v>
      </c>
      <c r="B2208" t="s">
        <v>43</v>
      </c>
      <c r="C2208" t="s">
        <v>170</v>
      </c>
      <c r="D2208" t="s">
        <v>171</v>
      </c>
      <c r="E2208" t="s">
        <v>109</v>
      </c>
      <c r="F2208" t="s">
        <v>115</v>
      </c>
    </row>
    <row r="2209" spans="1:7" x14ac:dyDescent="0.3">
      <c r="A2209">
        <v>2020</v>
      </c>
      <c r="B2209" t="s">
        <v>43</v>
      </c>
      <c r="C2209" t="s">
        <v>170</v>
      </c>
      <c r="D2209" t="s">
        <v>171</v>
      </c>
      <c r="E2209" t="s">
        <v>110</v>
      </c>
      <c r="F2209" t="s">
        <v>115</v>
      </c>
    </row>
    <row r="2210" spans="1:7" x14ac:dyDescent="0.3">
      <c r="A2210">
        <v>2020</v>
      </c>
      <c r="B2210" t="s">
        <v>17</v>
      </c>
      <c r="C2210" t="s">
        <v>170</v>
      </c>
      <c r="D2210" t="s">
        <v>171</v>
      </c>
      <c r="E2210" t="s">
        <v>108</v>
      </c>
      <c r="F2210" t="s">
        <v>116</v>
      </c>
    </row>
    <row r="2211" spans="1:7" x14ac:dyDescent="0.3">
      <c r="A2211">
        <v>2020</v>
      </c>
      <c r="B2211" t="s">
        <v>17</v>
      </c>
      <c r="C2211" t="s">
        <v>170</v>
      </c>
      <c r="D2211" t="s">
        <v>171</v>
      </c>
      <c r="E2211" t="s">
        <v>91</v>
      </c>
      <c r="F2211" t="s">
        <v>116</v>
      </c>
    </row>
    <row r="2212" spans="1:7" x14ac:dyDescent="0.3">
      <c r="A2212">
        <v>2020</v>
      </c>
      <c r="B2212" t="s">
        <v>17</v>
      </c>
      <c r="C2212" t="s">
        <v>170</v>
      </c>
      <c r="D2212" t="s">
        <v>171</v>
      </c>
      <c r="E2212" t="s">
        <v>109</v>
      </c>
      <c r="F2212" t="s">
        <v>116</v>
      </c>
    </row>
    <row r="2213" spans="1:7" x14ac:dyDescent="0.3">
      <c r="A2213">
        <v>2020</v>
      </c>
      <c r="B2213" t="s">
        <v>17</v>
      </c>
      <c r="C2213" t="s">
        <v>170</v>
      </c>
      <c r="D2213" t="s">
        <v>171</v>
      </c>
      <c r="E2213" t="s">
        <v>110</v>
      </c>
      <c r="F2213" t="s">
        <v>116</v>
      </c>
    </row>
    <row r="2214" spans="1:7" x14ac:dyDescent="0.3">
      <c r="A2214">
        <v>2020</v>
      </c>
      <c r="B2214" t="s">
        <v>18</v>
      </c>
      <c r="C2214" t="s">
        <v>170</v>
      </c>
      <c r="D2214" t="s">
        <v>171</v>
      </c>
      <c r="E2214" t="s">
        <v>108</v>
      </c>
      <c r="F2214" t="s">
        <v>116</v>
      </c>
      <c r="G2214">
        <v>1</v>
      </c>
    </row>
    <row r="2215" spans="1:7" x14ac:dyDescent="0.3">
      <c r="A2215">
        <v>2020</v>
      </c>
      <c r="B2215" t="s">
        <v>18</v>
      </c>
      <c r="C2215" t="s">
        <v>170</v>
      </c>
      <c r="D2215" t="s">
        <v>171</v>
      </c>
      <c r="E2215" t="s">
        <v>91</v>
      </c>
      <c r="F2215" t="s">
        <v>116</v>
      </c>
      <c r="G2215">
        <v>0</v>
      </c>
    </row>
    <row r="2216" spans="1:7" x14ac:dyDescent="0.3">
      <c r="A2216">
        <v>2020</v>
      </c>
      <c r="B2216" t="s">
        <v>18</v>
      </c>
      <c r="C2216" t="s">
        <v>170</v>
      </c>
      <c r="D2216" t="s">
        <v>171</v>
      </c>
      <c r="E2216" t="s">
        <v>109</v>
      </c>
      <c r="F2216" t="s">
        <v>116</v>
      </c>
      <c r="G2216">
        <v>2</v>
      </c>
    </row>
    <row r="2217" spans="1:7" x14ac:dyDescent="0.3">
      <c r="A2217">
        <v>2020</v>
      </c>
      <c r="B2217" t="s">
        <v>18</v>
      </c>
      <c r="C2217" t="s">
        <v>170</v>
      </c>
      <c r="D2217" t="s">
        <v>171</v>
      </c>
      <c r="E2217" t="s">
        <v>110</v>
      </c>
      <c r="F2217" t="s">
        <v>116</v>
      </c>
      <c r="G2217">
        <v>0</v>
      </c>
    </row>
    <row r="2218" spans="1:7" x14ac:dyDescent="0.3">
      <c r="A2218">
        <v>2020</v>
      </c>
      <c r="B2218" t="s">
        <v>19</v>
      </c>
      <c r="C2218" t="s">
        <v>170</v>
      </c>
      <c r="D2218" t="s">
        <v>171</v>
      </c>
      <c r="E2218" t="s">
        <v>108</v>
      </c>
      <c r="F2218" t="s">
        <v>116</v>
      </c>
      <c r="G2218">
        <v>0</v>
      </c>
    </row>
    <row r="2219" spans="1:7" x14ac:dyDescent="0.3">
      <c r="A2219">
        <v>2020</v>
      </c>
      <c r="B2219" t="s">
        <v>19</v>
      </c>
      <c r="C2219" t="s">
        <v>170</v>
      </c>
      <c r="D2219" t="s">
        <v>171</v>
      </c>
      <c r="E2219" t="s">
        <v>91</v>
      </c>
      <c r="F2219" t="s">
        <v>116</v>
      </c>
      <c r="G2219">
        <v>0</v>
      </c>
    </row>
    <row r="2220" spans="1:7" x14ac:dyDescent="0.3">
      <c r="A2220">
        <v>2020</v>
      </c>
      <c r="B2220" t="s">
        <v>19</v>
      </c>
      <c r="C2220" t="s">
        <v>170</v>
      </c>
      <c r="D2220" t="s">
        <v>171</v>
      </c>
      <c r="E2220" t="s">
        <v>109</v>
      </c>
      <c r="F2220" t="s">
        <v>116</v>
      </c>
      <c r="G2220">
        <v>1</v>
      </c>
    </row>
    <row r="2221" spans="1:7" x14ac:dyDescent="0.3">
      <c r="A2221">
        <v>2020</v>
      </c>
      <c r="B2221" t="s">
        <v>19</v>
      </c>
      <c r="C2221" t="s">
        <v>170</v>
      </c>
      <c r="D2221" t="s">
        <v>171</v>
      </c>
      <c r="E2221" t="s">
        <v>110</v>
      </c>
      <c r="F2221" t="s">
        <v>116</v>
      </c>
      <c r="G2221">
        <v>0</v>
      </c>
    </row>
    <row r="2222" spans="1:7" x14ac:dyDescent="0.3">
      <c r="A2222">
        <v>2020</v>
      </c>
      <c r="B2222" t="s">
        <v>20</v>
      </c>
      <c r="C2222" t="s">
        <v>170</v>
      </c>
      <c r="D2222" t="s">
        <v>171</v>
      </c>
      <c r="E2222" t="s">
        <v>108</v>
      </c>
      <c r="F2222" t="s">
        <v>116</v>
      </c>
    </row>
    <row r="2223" spans="1:7" x14ac:dyDescent="0.3">
      <c r="A2223">
        <v>2020</v>
      </c>
      <c r="B2223" t="s">
        <v>20</v>
      </c>
      <c r="C2223" t="s">
        <v>170</v>
      </c>
      <c r="D2223" t="s">
        <v>171</v>
      </c>
      <c r="E2223" t="s">
        <v>91</v>
      </c>
      <c r="F2223" t="s">
        <v>116</v>
      </c>
    </row>
    <row r="2224" spans="1:7" x14ac:dyDescent="0.3">
      <c r="A2224">
        <v>2020</v>
      </c>
      <c r="B2224" t="s">
        <v>20</v>
      </c>
      <c r="C2224" t="s">
        <v>170</v>
      </c>
      <c r="D2224" t="s">
        <v>171</v>
      </c>
      <c r="E2224" t="s">
        <v>109</v>
      </c>
      <c r="F2224" t="s">
        <v>116</v>
      </c>
      <c r="G2224">
        <v>3</v>
      </c>
    </row>
    <row r="2225" spans="1:7" x14ac:dyDescent="0.3">
      <c r="A2225">
        <v>2020</v>
      </c>
      <c r="B2225" t="s">
        <v>20</v>
      </c>
      <c r="C2225" t="s">
        <v>170</v>
      </c>
      <c r="D2225" t="s">
        <v>171</v>
      </c>
      <c r="E2225" t="s">
        <v>110</v>
      </c>
      <c r="F2225" t="s">
        <v>116</v>
      </c>
    </row>
    <row r="2226" spans="1:7" x14ac:dyDescent="0.3">
      <c r="A2226">
        <v>2020</v>
      </c>
      <c r="B2226" t="s">
        <v>21</v>
      </c>
      <c r="C2226" t="s">
        <v>170</v>
      </c>
      <c r="D2226" t="s">
        <v>171</v>
      </c>
      <c r="E2226" t="s">
        <v>108</v>
      </c>
      <c r="F2226" t="s">
        <v>116</v>
      </c>
    </row>
    <row r="2227" spans="1:7" x14ac:dyDescent="0.3">
      <c r="A2227">
        <v>2020</v>
      </c>
      <c r="B2227" t="s">
        <v>21</v>
      </c>
      <c r="C2227" t="s">
        <v>170</v>
      </c>
      <c r="D2227" t="s">
        <v>171</v>
      </c>
      <c r="E2227" t="s">
        <v>91</v>
      </c>
      <c r="F2227" t="s">
        <v>116</v>
      </c>
    </row>
    <row r="2228" spans="1:7" x14ac:dyDescent="0.3">
      <c r="A2228">
        <v>2020</v>
      </c>
      <c r="B2228" t="s">
        <v>21</v>
      </c>
      <c r="C2228" t="s">
        <v>170</v>
      </c>
      <c r="D2228" t="s">
        <v>171</v>
      </c>
      <c r="E2228" t="s">
        <v>109</v>
      </c>
      <c r="F2228" t="s">
        <v>116</v>
      </c>
    </row>
    <row r="2229" spans="1:7" x14ac:dyDescent="0.3">
      <c r="A2229">
        <v>2020</v>
      </c>
      <c r="B2229" t="s">
        <v>21</v>
      </c>
      <c r="C2229" t="s">
        <v>170</v>
      </c>
      <c r="D2229" t="s">
        <v>171</v>
      </c>
      <c r="E2229" t="s">
        <v>110</v>
      </c>
      <c r="F2229" t="s">
        <v>116</v>
      </c>
    </row>
    <row r="2230" spans="1:7" x14ac:dyDescent="0.3">
      <c r="A2230">
        <v>2020</v>
      </c>
      <c r="B2230" t="s">
        <v>22</v>
      </c>
      <c r="C2230" t="s">
        <v>170</v>
      </c>
      <c r="D2230" t="s">
        <v>171</v>
      </c>
      <c r="E2230" t="s">
        <v>108</v>
      </c>
      <c r="F2230" t="s">
        <v>116</v>
      </c>
      <c r="G2230">
        <v>0</v>
      </c>
    </row>
    <row r="2231" spans="1:7" x14ac:dyDescent="0.3">
      <c r="A2231">
        <v>2020</v>
      </c>
      <c r="B2231" t="s">
        <v>22</v>
      </c>
      <c r="C2231" t="s">
        <v>170</v>
      </c>
      <c r="D2231" t="s">
        <v>171</v>
      </c>
      <c r="E2231" t="s">
        <v>91</v>
      </c>
      <c r="F2231" t="s">
        <v>116</v>
      </c>
      <c r="G2231">
        <v>0</v>
      </c>
    </row>
    <row r="2232" spans="1:7" x14ac:dyDescent="0.3">
      <c r="A2232">
        <v>2020</v>
      </c>
      <c r="B2232" t="s">
        <v>22</v>
      </c>
      <c r="C2232" t="s">
        <v>170</v>
      </c>
      <c r="D2232" t="s">
        <v>171</v>
      </c>
      <c r="E2232" t="s">
        <v>109</v>
      </c>
      <c r="F2232" t="s">
        <v>116</v>
      </c>
      <c r="G2232">
        <v>0</v>
      </c>
    </row>
    <row r="2233" spans="1:7" x14ac:dyDescent="0.3">
      <c r="A2233">
        <v>2020</v>
      </c>
      <c r="B2233" t="s">
        <v>22</v>
      </c>
      <c r="C2233" t="s">
        <v>170</v>
      </c>
      <c r="D2233" t="s">
        <v>171</v>
      </c>
      <c r="E2233" t="s">
        <v>110</v>
      </c>
      <c r="F2233" t="s">
        <v>116</v>
      </c>
      <c r="G2233">
        <v>0</v>
      </c>
    </row>
    <row r="2234" spans="1:7" x14ac:dyDescent="0.3">
      <c r="A2234">
        <v>2020</v>
      </c>
      <c r="B2234" t="s">
        <v>23</v>
      </c>
      <c r="C2234" t="s">
        <v>170</v>
      </c>
      <c r="D2234" t="s">
        <v>171</v>
      </c>
      <c r="E2234" t="s">
        <v>108</v>
      </c>
      <c r="F2234" t="s">
        <v>116</v>
      </c>
      <c r="G2234">
        <v>0</v>
      </c>
    </row>
    <row r="2235" spans="1:7" x14ac:dyDescent="0.3">
      <c r="A2235">
        <v>2020</v>
      </c>
      <c r="B2235" t="s">
        <v>23</v>
      </c>
      <c r="C2235" t="s">
        <v>170</v>
      </c>
      <c r="D2235" t="s">
        <v>171</v>
      </c>
      <c r="E2235" t="s">
        <v>91</v>
      </c>
      <c r="F2235" t="s">
        <v>116</v>
      </c>
      <c r="G2235">
        <v>0</v>
      </c>
    </row>
    <row r="2236" spans="1:7" x14ac:dyDescent="0.3">
      <c r="A2236">
        <v>2020</v>
      </c>
      <c r="B2236" t="s">
        <v>23</v>
      </c>
      <c r="C2236" t="s">
        <v>170</v>
      </c>
      <c r="D2236" t="s">
        <v>171</v>
      </c>
      <c r="E2236" t="s">
        <v>109</v>
      </c>
      <c r="F2236" t="s">
        <v>116</v>
      </c>
      <c r="G2236">
        <v>0</v>
      </c>
    </row>
    <row r="2237" spans="1:7" x14ac:dyDescent="0.3">
      <c r="A2237">
        <v>2020</v>
      </c>
      <c r="B2237" t="s">
        <v>23</v>
      </c>
      <c r="C2237" t="s">
        <v>170</v>
      </c>
      <c r="D2237" t="s">
        <v>171</v>
      </c>
      <c r="E2237" t="s">
        <v>110</v>
      </c>
      <c r="F2237" t="s">
        <v>116</v>
      </c>
      <c r="G2237">
        <v>0</v>
      </c>
    </row>
    <row r="2238" spans="1:7" x14ac:dyDescent="0.3">
      <c r="A2238">
        <v>2020</v>
      </c>
      <c r="B2238" t="s">
        <v>24</v>
      </c>
      <c r="C2238" t="s">
        <v>170</v>
      </c>
      <c r="D2238" t="s">
        <v>171</v>
      </c>
      <c r="E2238" t="s">
        <v>108</v>
      </c>
      <c r="F2238" t="s">
        <v>116</v>
      </c>
    </row>
    <row r="2239" spans="1:7" x14ac:dyDescent="0.3">
      <c r="A2239">
        <v>2020</v>
      </c>
      <c r="B2239" t="s">
        <v>24</v>
      </c>
      <c r="C2239" t="s">
        <v>170</v>
      </c>
      <c r="D2239" t="s">
        <v>171</v>
      </c>
      <c r="E2239" t="s">
        <v>91</v>
      </c>
      <c r="F2239" t="s">
        <v>116</v>
      </c>
    </row>
    <row r="2240" spans="1:7" x14ac:dyDescent="0.3">
      <c r="A2240">
        <v>2020</v>
      </c>
      <c r="B2240" t="s">
        <v>24</v>
      </c>
      <c r="C2240" t="s">
        <v>170</v>
      </c>
      <c r="D2240" t="s">
        <v>171</v>
      </c>
      <c r="E2240" t="s">
        <v>109</v>
      </c>
      <c r="F2240" t="s">
        <v>116</v>
      </c>
    </row>
    <row r="2241" spans="1:7" x14ac:dyDescent="0.3">
      <c r="A2241">
        <v>2020</v>
      </c>
      <c r="B2241" t="s">
        <v>24</v>
      </c>
      <c r="C2241" t="s">
        <v>170</v>
      </c>
      <c r="D2241" t="s">
        <v>171</v>
      </c>
      <c r="E2241" t="s">
        <v>110</v>
      </c>
      <c r="F2241" t="s">
        <v>116</v>
      </c>
    </row>
    <row r="2242" spans="1:7" x14ac:dyDescent="0.3">
      <c r="A2242">
        <v>2020</v>
      </c>
      <c r="B2242" t="s">
        <v>25</v>
      </c>
      <c r="C2242" t="s">
        <v>170</v>
      </c>
      <c r="D2242" t="s">
        <v>171</v>
      </c>
      <c r="E2242" t="s">
        <v>108</v>
      </c>
      <c r="F2242" t="s">
        <v>116</v>
      </c>
    </row>
    <row r="2243" spans="1:7" x14ac:dyDescent="0.3">
      <c r="A2243">
        <v>2020</v>
      </c>
      <c r="B2243" t="s">
        <v>25</v>
      </c>
      <c r="C2243" t="s">
        <v>170</v>
      </c>
      <c r="D2243" t="s">
        <v>171</v>
      </c>
      <c r="E2243" t="s">
        <v>91</v>
      </c>
      <c r="F2243" t="s">
        <v>116</v>
      </c>
    </row>
    <row r="2244" spans="1:7" x14ac:dyDescent="0.3">
      <c r="A2244">
        <v>2020</v>
      </c>
      <c r="B2244" t="s">
        <v>25</v>
      </c>
      <c r="C2244" t="s">
        <v>170</v>
      </c>
      <c r="D2244" t="s">
        <v>171</v>
      </c>
      <c r="E2244" t="s">
        <v>109</v>
      </c>
      <c r="F2244" t="s">
        <v>116</v>
      </c>
    </row>
    <row r="2245" spans="1:7" x14ac:dyDescent="0.3">
      <c r="A2245">
        <v>2020</v>
      </c>
      <c r="B2245" t="s">
        <v>25</v>
      </c>
      <c r="C2245" t="s">
        <v>170</v>
      </c>
      <c r="D2245" t="s">
        <v>171</v>
      </c>
      <c r="E2245" t="s">
        <v>110</v>
      </c>
      <c r="F2245" t="s">
        <v>116</v>
      </c>
    </row>
    <row r="2246" spans="1:7" x14ac:dyDescent="0.3">
      <c r="A2246">
        <v>2020</v>
      </c>
      <c r="B2246" t="s">
        <v>26</v>
      </c>
      <c r="C2246" t="s">
        <v>170</v>
      </c>
      <c r="D2246" t="s">
        <v>171</v>
      </c>
      <c r="E2246" t="s">
        <v>108</v>
      </c>
      <c r="F2246" t="s">
        <v>116</v>
      </c>
    </row>
    <row r="2247" spans="1:7" x14ac:dyDescent="0.3">
      <c r="A2247">
        <v>2020</v>
      </c>
      <c r="B2247" t="s">
        <v>26</v>
      </c>
      <c r="C2247" t="s">
        <v>170</v>
      </c>
      <c r="D2247" t="s">
        <v>171</v>
      </c>
      <c r="E2247" t="s">
        <v>91</v>
      </c>
      <c r="F2247" t="s">
        <v>116</v>
      </c>
    </row>
    <row r="2248" spans="1:7" x14ac:dyDescent="0.3">
      <c r="A2248">
        <v>2020</v>
      </c>
      <c r="B2248" t="s">
        <v>26</v>
      </c>
      <c r="C2248" t="s">
        <v>170</v>
      </c>
      <c r="D2248" t="s">
        <v>171</v>
      </c>
      <c r="E2248" t="s">
        <v>109</v>
      </c>
      <c r="F2248" t="s">
        <v>116</v>
      </c>
    </row>
    <row r="2249" spans="1:7" x14ac:dyDescent="0.3">
      <c r="A2249">
        <v>2020</v>
      </c>
      <c r="B2249" t="s">
        <v>26</v>
      </c>
      <c r="C2249" t="s">
        <v>170</v>
      </c>
      <c r="D2249" t="s">
        <v>171</v>
      </c>
      <c r="E2249" t="s">
        <v>110</v>
      </c>
      <c r="F2249" t="s">
        <v>116</v>
      </c>
    </row>
    <row r="2250" spans="1:7" x14ac:dyDescent="0.3">
      <c r="A2250">
        <v>2020</v>
      </c>
      <c r="B2250" t="s">
        <v>27</v>
      </c>
      <c r="C2250" t="s">
        <v>170</v>
      </c>
      <c r="D2250" t="s">
        <v>171</v>
      </c>
      <c r="E2250" t="s">
        <v>108</v>
      </c>
      <c r="F2250" t="s">
        <v>116</v>
      </c>
      <c r="G2250">
        <v>0</v>
      </c>
    </row>
    <row r="2251" spans="1:7" x14ac:dyDescent="0.3">
      <c r="A2251">
        <v>2020</v>
      </c>
      <c r="B2251" t="s">
        <v>27</v>
      </c>
      <c r="C2251" t="s">
        <v>170</v>
      </c>
      <c r="D2251" t="s">
        <v>171</v>
      </c>
      <c r="E2251" t="s">
        <v>91</v>
      </c>
      <c r="F2251" t="s">
        <v>116</v>
      </c>
      <c r="G2251">
        <v>0</v>
      </c>
    </row>
    <row r="2252" spans="1:7" x14ac:dyDescent="0.3">
      <c r="A2252">
        <v>2020</v>
      </c>
      <c r="B2252" t="s">
        <v>27</v>
      </c>
      <c r="C2252" t="s">
        <v>170</v>
      </c>
      <c r="D2252" t="s">
        <v>171</v>
      </c>
      <c r="E2252" t="s">
        <v>109</v>
      </c>
      <c r="F2252" t="s">
        <v>116</v>
      </c>
      <c r="G2252">
        <v>0</v>
      </c>
    </row>
    <row r="2253" spans="1:7" x14ac:dyDescent="0.3">
      <c r="A2253">
        <v>2020</v>
      </c>
      <c r="B2253" t="s">
        <v>27</v>
      </c>
      <c r="C2253" t="s">
        <v>170</v>
      </c>
      <c r="D2253" t="s">
        <v>171</v>
      </c>
      <c r="E2253" t="s">
        <v>110</v>
      </c>
      <c r="F2253" t="s">
        <v>116</v>
      </c>
      <c r="G2253">
        <v>0</v>
      </c>
    </row>
    <row r="2254" spans="1:7" x14ac:dyDescent="0.3">
      <c r="A2254">
        <v>2020</v>
      </c>
      <c r="B2254" t="s">
        <v>29</v>
      </c>
      <c r="C2254" t="s">
        <v>170</v>
      </c>
      <c r="D2254" t="s">
        <v>171</v>
      </c>
      <c r="E2254" t="s">
        <v>108</v>
      </c>
      <c r="F2254" t="s">
        <v>116</v>
      </c>
    </row>
    <row r="2255" spans="1:7" x14ac:dyDescent="0.3">
      <c r="A2255">
        <v>2020</v>
      </c>
      <c r="B2255" t="s">
        <v>29</v>
      </c>
      <c r="C2255" t="s">
        <v>170</v>
      </c>
      <c r="D2255" t="s">
        <v>171</v>
      </c>
      <c r="E2255" t="s">
        <v>91</v>
      </c>
      <c r="F2255" t="s">
        <v>116</v>
      </c>
    </row>
    <row r="2256" spans="1:7" x14ac:dyDescent="0.3">
      <c r="A2256">
        <v>2020</v>
      </c>
      <c r="B2256" t="s">
        <v>29</v>
      </c>
      <c r="C2256" t="s">
        <v>170</v>
      </c>
      <c r="D2256" t="s">
        <v>171</v>
      </c>
      <c r="E2256" t="s">
        <v>109</v>
      </c>
      <c r="F2256" t="s">
        <v>116</v>
      </c>
    </row>
    <row r="2257" spans="1:7" x14ac:dyDescent="0.3">
      <c r="A2257">
        <v>2020</v>
      </c>
      <c r="B2257" t="s">
        <v>29</v>
      </c>
      <c r="C2257" t="s">
        <v>170</v>
      </c>
      <c r="D2257" t="s">
        <v>171</v>
      </c>
      <c r="E2257" t="s">
        <v>110</v>
      </c>
      <c r="F2257" t="s">
        <v>116</v>
      </c>
    </row>
    <row r="2258" spans="1:7" x14ac:dyDescent="0.3">
      <c r="A2258">
        <v>2020</v>
      </c>
      <c r="B2258" t="s">
        <v>30</v>
      </c>
      <c r="C2258" t="s">
        <v>170</v>
      </c>
      <c r="D2258" t="s">
        <v>171</v>
      </c>
      <c r="E2258" t="s">
        <v>108</v>
      </c>
      <c r="F2258" t="s">
        <v>116</v>
      </c>
      <c r="G2258">
        <v>0</v>
      </c>
    </row>
    <row r="2259" spans="1:7" x14ac:dyDescent="0.3">
      <c r="A2259">
        <v>2020</v>
      </c>
      <c r="B2259" t="s">
        <v>30</v>
      </c>
      <c r="C2259" t="s">
        <v>170</v>
      </c>
      <c r="D2259" t="s">
        <v>171</v>
      </c>
      <c r="E2259" t="s">
        <v>91</v>
      </c>
      <c r="F2259" t="s">
        <v>116</v>
      </c>
      <c r="G2259">
        <v>0</v>
      </c>
    </row>
    <row r="2260" spans="1:7" x14ac:dyDescent="0.3">
      <c r="A2260">
        <v>2020</v>
      </c>
      <c r="B2260" t="s">
        <v>30</v>
      </c>
      <c r="C2260" t="s">
        <v>170</v>
      </c>
      <c r="D2260" t="s">
        <v>171</v>
      </c>
      <c r="E2260" t="s">
        <v>109</v>
      </c>
      <c r="F2260" t="s">
        <v>116</v>
      </c>
      <c r="G2260">
        <v>0</v>
      </c>
    </row>
    <row r="2261" spans="1:7" x14ac:dyDescent="0.3">
      <c r="A2261">
        <v>2020</v>
      </c>
      <c r="B2261" t="s">
        <v>30</v>
      </c>
      <c r="C2261" t="s">
        <v>170</v>
      </c>
      <c r="D2261" t="s">
        <v>171</v>
      </c>
      <c r="E2261" t="s">
        <v>110</v>
      </c>
      <c r="F2261" t="s">
        <v>116</v>
      </c>
      <c r="G2261">
        <v>0</v>
      </c>
    </row>
    <row r="2262" spans="1:7" x14ac:dyDescent="0.3">
      <c r="A2262">
        <v>2020</v>
      </c>
      <c r="B2262" t="s">
        <v>31</v>
      </c>
      <c r="C2262" t="s">
        <v>170</v>
      </c>
      <c r="D2262" t="s">
        <v>171</v>
      </c>
      <c r="E2262" t="s">
        <v>108</v>
      </c>
      <c r="F2262" t="s">
        <v>116</v>
      </c>
      <c r="G2262">
        <v>1</v>
      </c>
    </row>
    <row r="2263" spans="1:7" x14ac:dyDescent="0.3">
      <c r="A2263">
        <v>2020</v>
      </c>
      <c r="B2263" t="s">
        <v>31</v>
      </c>
      <c r="C2263" t="s">
        <v>170</v>
      </c>
      <c r="D2263" t="s">
        <v>171</v>
      </c>
      <c r="E2263" t="s">
        <v>91</v>
      </c>
      <c r="F2263" t="s">
        <v>116</v>
      </c>
      <c r="G2263">
        <v>0</v>
      </c>
    </row>
    <row r="2264" spans="1:7" x14ac:dyDescent="0.3">
      <c r="A2264">
        <v>2020</v>
      </c>
      <c r="B2264" t="s">
        <v>31</v>
      </c>
      <c r="C2264" t="s">
        <v>170</v>
      </c>
      <c r="D2264" t="s">
        <v>171</v>
      </c>
      <c r="E2264" t="s">
        <v>109</v>
      </c>
      <c r="F2264" t="s">
        <v>116</v>
      </c>
      <c r="G2264">
        <v>1</v>
      </c>
    </row>
    <row r="2265" spans="1:7" x14ac:dyDescent="0.3">
      <c r="A2265">
        <v>2020</v>
      </c>
      <c r="B2265" t="s">
        <v>31</v>
      </c>
      <c r="C2265" t="s">
        <v>170</v>
      </c>
      <c r="D2265" t="s">
        <v>171</v>
      </c>
      <c r="E2265" t="s">
        <v>110</v>
      </c>
      <c r="F2265" t="s">
        <v>116</v>
      </c>
      <c r="G2265">
        <v>0</v>
      </c>
    </row>
    <row r="2266" spans="1:7" x14ac:dyDescent="0.3">
      <c r="A2266">
        <v>2020</v>
      </c>
      <c r="B2266" t="s">
        <v>32</v>
      </c>
      <c r="C2266" t="s">
        <v>170</v>
      </c>
      <c r="D2266" t="s">
        <v>171</v>
      </c>
      <c r="E2266" t="s">
        <v>108</v>
      </c>
      <c r="F2266" t="s">
        <v>116</v>
      </c>
    </row>
    <row r="2267" spans="1:7" x14ac:dyDescent="0.3">
      <c r="A2267">
        <v>2020</v>
      </c>
      <c r="B2267" t="s">
        <v>32</v>
      </c>
      <c r="C2267" t="s">
        <v>170</v>
      </c>
      <c r="D2267" t="s">
        <v>171</v>
      </c>
      <c r="E2267" t="s">
        <v>91</v>
      </c>
      <c r="F2267" t="s">
        <v>116</v>
      </c>
    </row>
    <row r="2268" spans="1:7" x14ac:dyDescent="0.3">
      <c r="A2268">
        <v>2020</v>
      </c>
      <c r="B2268" t="s">
        <v>32</v>
      </c>
      <c r="C2268" t="s">
        <v>170</v>
      </c>
      <c r="D2268" t="s">
        <v>171</v>
      </c>
      <c r="E2268" t="s">
        <v>109</v>
      </c>
      <c r="F2268" t="s">
        <v>116</v>
      </c>
    </row>
    <row r="2269" spans="1:7" x14ac:dyDescent="0.3">
      <c r="A2269">
        <v>2020</v>
      </c>
      <c r="B2269" t="s">
        <v>32</v>
      </c>
      <c r="C2269" t="s">
        <v>170</v>
      </c>
      <c r="D2269" t="s">
        <v>171</v>
      </c>
      <c r="E2269" t="s">
        <v>110</v>
      </c>
      <c r="F2269" t="s">
        <v>116</v>
      </c>
    </row>
    <row r="2270" spans="1:7" x14ac:dyDescent="0.3">
      <c r="A2270">
        <v>2020</v>
      </c>
      <c r="B2270" t="s">
        <v>63</v>
      </c>
      <c r="C2270" t="s">
        <v>170</v>
      </c>
      <c r="D2270" t="s">
        <v>171</v>
      </c>
      <c r="E2270" t="s">
        <v>108</v>
      </c>
      <c r="F2270" t="s">
        <v>116</v>
      </c>
      <c r="G2270">
        <v>0</v>
      </c>
    </row>
    <row r="2271" spans="1:7" x14ac:dyDescent="0.3">
      <c r="A2271">
        <v>2020</v>
      </c>
      <c r="B2271" t="s">
        <v>63</v>
      </c>
      <c r="C2271" t="s">
        <v>170</v>
      </c>
      <c r="D2271" t="s">
        <v>171</v>
      </c>
      <c r="E2271" t="s">
        <v>91</v>
      </c>
      <c r="F2271" t="s">
        <v>116</v>
      </c>
      <c r="G2271">
        <v>13</v>
      </c>
    </row>
    <row r="2272" spans="1:7" x14ac:dyDescent="0.3">
      <c r="A2272">
        <v>2020</v>
      </c>
      <c r="B2272" t="s">
        <v>63</v>
      </c>
      <c r="C2272" t="s">
        <v>170</v>
      </c>
      <c r="D2272" t="s">
        <v>171</v>
      </c>
      <c r="E2272" t="s">
        <v>109</v>
      </c>
      <c r="F2272" t="s">
        <v>116</v>
      </c>
      <c r="G2272">
        <v>13</v>
      </c>
    </row>
    <row r="2273" spans="1:7" x14ac:dyDescent="0.3">
      <c r="A2273">
        <v>2020</v>
      </c>
      <c r="B2273" t="s">
        <v>63</v>
      </c>
      <c r="C2273" t="s">
        <v>170</v>
      </c>
      <c r="D2273" t="s">
        <v>171</v>
      </c>
      <c r="E2273" t="s">
        <v>110</v>
      </c>
      <c r="F2273" t="s">
        <v>116</v>
      </c>
      <c r="G2273">
        <v>1</v>
      </c>
    </row>
    <row r="2274" spans="1:7" x14ac:dyDescent="0.3">
      <c r="A2274">
        <v>2020</v>
      </c>
      <c r="B2274" t="s">
        <v>57</v>
      </c>
      <c r="C2274" t="s">
        <v>170</v>
      </c>
      <c r="D2274" t="s">
        <v>171</v>
      </c>
      <c r="E2274" t="s">
        <v>108</v>
      </c>
      <c r="F2274" t="s">
        <v>116</v>
      </c>
    </row>
    <row r="2275" spans="1:7" x14ac:dyDescent="0.3">
      <c r="A2275">
        <v>2020</v>
      </c>
      <c r="B2275" t="s">
        <v>57</v>
      </c>
      <c r="C2275" t="s">
        <v>170</v>
      </c>
      <c r="D2275" t="s">
        <v>171</v>
      </c>
      <c r="E2275" t="s">
        <v>91</v>
      </c>
      <c r="F2275" t="s">
        <v>116</v>
      </c>
    </row>
    <row r="2276" spans="1:7" x14ac:dyDescent="0.3">
      <c r="A2276">
        <v>2020</v>
      </c>
      <c r="B2276" t="s">
        <v>57</v>
      </c>
      <c r="C2276" t="s">
        <v>170</v>
      </c>
      <c r="D2276" t="s">
        <v>171</v>
      </c>
      <c r="E2276" t="s">
        <v>109</v>
      </c>
      <c r="F2276" t="s">
        <v>116</v>
      </c>
    </row>
    <row r="2277" spans="1:7" x14ac:dyDescent="0.3">
      <c r="A2277">
        <v>2020</v>
      </c>
      <c r="B2277" t="s">
        <v>57</v>
      </c>
      <c r="C2277" t="s">
        <v>170</v>
      </c>
      <c r="D2277" t="s">
        <v>171</v>
      </c>
      <c r="E2277" t="s">
        <v>110</v>
      </c>
      <c r="F2277" t="s">
        <v>116</v>
      </c>
    </row>
    <row r="2278" spans="1:7" x14ac:dyDescent="0.3">
      <c r="A2278">
        <v>2020</v>
      </c>
      <c r="B2278" t="s">
        <v>33</v>
      </c>
      <c r="C2278" t="s">
        <v>170</v>
      </c>
      <c r="D2278" t="s">
        <v>171</v>
      </c>
      <c r="E2278" t="s">
        <v>108</v>
      </c>
      <c r="F2278" t="s">
        <v>116</v>
      </c>
      <c r="G2278">
        <v>1</v>
      </c>
    </row>
    <row r="2279" spans="1:7" x14ac:dyDescent="0.3">
      <c r="A2279">
        <v>2020</v>
      </c>
      <c r="B2279" t="s">
        <v>33</v>
      </c>
      <c r="C2279" t="s">
        <v>170</v>
      </c>
      <c r="D2279" t="s">
        <v>171</v>
      </c>
      <c r="E2279" t="s">
        <v>91</v>
      </c>
      <c r="F2279" t="s">
        <v>116</v>
      </c>
      <c r="G2279">
        <v>1</v>
      </c>
    </row>
    <row r="2280" spans="1:7" x14ac:dyDescent="0.3">
      <c r="A2280">
        <v>2020</v>
      </c>
      <c r="B2280" t="s">
        <v>33</v>
      </c>
      <c r="C2280" t="s">
        <v>170</v>
      </c>
      <c r="D2280" t="s">
        <v>171</v>
      </c>
      <c r="E2280" t="s">
        <v>109</v>
      </c>
      <c r="F2280" t="s">
        <v>116</v>
      </c>
    </row>
    <row r="2281" spans="1:7" x14ac:dyDescent="0.3">
      <c r="A2281">
        <v>2020</v>
      </c>
      <c r="B2281" t="s">
        <v>33</v>
      </c>
      <c r="C2281" t="s">
        <v>170</v>
      </c>
      <c r="D2281" t="s">
        <v>171</v>
      </c>
      <c r="E2281" t="s">
        <v>110</v>
      </c>
      <c r="F2281" t="s">
        <v>116</v>
      </c>
    </row>
    <row r="2282" spans="1:7" x14ac:dyDescent="0.3">
      <c r="A2282">
        <v>2020</v>
      </c>
      <c r="B2282" t="s">
        <v>34</v>
      </c>
      <c r="C2282" t="s">
        <v>170</v>
      </c>
      <c r="D2282" t="s">
        <v>171</v>
      </c>
      <c r="E2282" t="s">
        <v>108</v>
      </c>
      <c r="F2282" t="s">
        <v>116</v>
      </c>
      <c r="G2282">
        <v>0</v>
      </c>
    </row>
    <row r="2283" spans="1:7" x14ac:dyDescent="0.3">
      <c r="A2283">
        <v>2020</v>
      </c>
      <c r="B2283" t="s">
        <v>34</v>
      </c>
      <c r="C2283" t="s">
        <v>170</v>
      </c>
      <c r="D2283" t="s">
        <v>171</v>
      </c>
      <c r="E2283" t="s">
        <v>91</v>
      </c>
      <c r="F2283" t="s">
        <v>116</v>
      </c>
      <c r="G2283">
        <v>0</v>
      </c>
    </row>
    <row r="2284" spans="1:7" x14ac:dyDescent="0.3">
      <c r="A2284">
        <v>2020</v>
      </c>
      <c r="B2284" t="s">
        <v>34</v>
      </c>
      <c r="C2284" t="s">
        <v>170</v>
      </c>
      <c r="D2284" t="s">
        <v>171</v>
      </c>
      <c r="E2284" t="s">
        <v>109</v>
      </c>
      <c r="F2284" t="s">
        <v>116</v>
      </c>
      <c r="G2284">
        <v>0</v>
      </c>
    </row>
    <row r="2285" spans="1:7" x14ac:dyDescent="0.3">
      <c r="A2285">
        <v>2020</v>
      </c>
      <c r="B2285" t="s">
        <v>34</v>
      </c>
      <c r="C2285" t="s">
        <v>170</v>
      </c>
      <c r="D2285" t="s">
        <v>171</v>
      </c>
      <c r="E2285" t="s">
        <v>110</v>
      </c>
      <c r="F2285" t="s">
        <v>116</v>
      </c>
      <c r="G2285">
        <v>0</v>
      </c>
    </row>
    <row r="2286" spans="1:7" x14ac:dyDescent="0.3">
      <c r="A2286">
        <v>2020</v>
      </c>
      <c r="B2286" t="s">
        <v>35</v>
      </c>
      <c r="C2286" t="s">
        <v>170</v>
      </c>
      <c r="D2286" t="s">
        <v>171</v>
      </c>
      <c r="E2286" t="s">
        <v>108</v>
      </c>
      <c r="F2286" t="s">
        <v>116</v>
      </c>
      <c r="G2286">
        <v>0</v>
      </c>
    </row>
    <row r="2287" spans="1:7" x14ac:dyDescent="0.3">
      <c r="A2287">
        <v>2020</v>
      </c>
      <c r="B2287" t="s">
        <v>35</v>
      </c>
      <c r="C2287" t="s">
        <v>170</v>
      </c>
      <c r="D2287" t="s">
        <v>171</v>
      </c>
      <c r="E2287" t="s">
        <v>91</v>
      </c>
      <c r="F2287" t="s">
        <v>116</v>
      </c>
      <c r="G2287">
        <v>2</v>
      </c>
    </row>
    <row r="2288" spans="1:7" x14ac:dyDescent="0.3">
      <c r="A2288">
        <v>2020</v>
      </c>
      <c r="B2288" t="s">
        <v>35</v>
      </c>
      <c r="C2288" t="s">
        <v>170</v>
      </c>
      <c r="D2288" t="s">
        <v>171</v>
      </c>
      <c r="E2288" t="s">
        <v>109</v>
      </c>
      <c r="F2288" t="s">
        <v>116</v>
      </c>
      <c r="G2288">
        <v>1</v>
      </c>
    </row>
    <row r="2289" spans="1:7" x14ac:dyDescent="0.3">
      <c r="A2289">
        <v>2020</v>
      </c>
      <c r="B2289" t="s">
        <v>35</v>
      </c>
      <c r="C2289" t="s">
        <v>170</v>
      </c>
      <c r="D2289" t="s">
        <v>171</v>
      </c>
      <c r="E2289" t="s">
        <v>110</v>
      </c>
      <c r="F2289" t="s">
        <v>116</v>
      </c>
      <c r="G2289">
        <v>0</v>
      </c>
    </row>
    <row r="2290" spans="1:7" x14ac:dyDescent="0.3">
      <c r="A2290">
        <v>2020</v>
      </c>
      <c r="B2290" t="s">
        <v>36</v>
      </c>
      <c r="C2290" t="s">
        <v>170</v>
      </c>
      <c r="D2290" t="s">
        <v>171</v>
      </c>
      <c r="E2290" t="s">
        <v>108</v>
      </c>
      <c r="F2290" t="s">
        <v>116</v>
      </c>
    </row>
    <row r="2291" spans="1:7" x14ac:dyDescent="0.3">
      <c r="A2291">
        <v>2020</v>
      </c>
      <c r="B2291" t="s">
        <v>36</v>
      </c>
      <c r="C2291" t="s">
        <v>170</v>
      </c>
      <c r="D2291" t="s">
        <v>171</v>
      </c>
      <c r="E2291" t="s">
        <v>91</v>
      </c>
      <c r="F2291" t="s">
        <v>116</v>
      </c>
    </row>
    <row r="2292" spans="1:7" x14ac:dyDescent="0.3">
      <c r="A2292">
        <v>2020</v>
      </c>
      <c r="B2292" t="s">
        <v>36</v>
      </c>
      <c r="C2292" t="s">
        <v>170</v>
      </c>
      <c r="D2292" t="s">
        <v>171</v>
      </c>
      <c r="E2292" t="s">
        <v>109</v>
      </c>
      <c r="F2292" t="s">
        <v>116</v>
      </c>
    </row>
    <row r="2293" spans="1:7" x14ac:dyDescent="0.3">
      <c r="A2293">
        <v>2020</v>
      </c>
      <c r="B2293" t="s">
        <v>36</v>
      </c>
      <c r="C2293" t="s">
        <v>170</v>
      </c>
      <c r="D2293" t="s">
        <v>171</v>
      </c>
      <c r="E2293" t="s">
        <v>110</v>
      </c>
      <c r="F2293" t="s">
        <v>116</v>
      </c>
    </row>
    <row r="2294" spans="1:7" x14ac:dyDescent="0.3">
      <c r="A2294">
        <v>2020</v>
      </c>
      <c r="B2294" t="s">
        <v>37</v>
      </c>
      <c r="C2294" t="s">
        <v>170</v>
      </c>
      <c r="D2294" t="s">
        <v>171</v>
      </c>
      <c r="E2294" t="s">
        <v>108</v>
      </c>
      <c r="F2294" t="s">
        <v>116</v>
      </c>
    </row>
    <row r="2295" spans="1:7" x14ac:dyDescent="0.3">
      <c r="A2295">
        <v>2020</v>
      </c>
      <c r="B2295" t="s">
        <v>37</v>
      </c>
      <c r="C2295" t="s">
        <v>170</v>
      </c>
      <c r="D2295" t="s">
        <v>171</v>
      </c>
      <c r="E2295" t="s">
        <v>91</v>
      </c>
      <c r="F2295" t="s">
        <v>116</v>
      </c>
    </row>
    <row r="2296" spans="1:7" x14ac:dyDescent="0.3">
      <c r="A2296">
        <v>2020</v>
      </c>
      <c r="B2296" t="s">
        <v>37</v>
      </c>
      <c r="C2296" t="s">
        <v>170</v>
      </c>
      <c r="D2296" t="s">
        <v>171</v>
      </c>
      <c r="E2296" t="s">
        <v>109</v>
      </c>
      <c r="F2296" t="s">
        <v>116</v>
      </c>
    </row>
    <row r="2297" spans="1:7" x14ac:dyDescent="0.3">
      <c r="A2297">
        <v>2020</v>
      </c>
      <c r="B2297" t="s">
        <v>37</v>
      </c>
      <c r="C2297" t="s">
        <v>170</v>
      </c>
      <c r="D2297" t="s">
        <v>171</v>
      </c>
      <c r="E2297" t="s">
        <v>110</v>
      </c>
      <c r="F2297" t="s">
        <v>116</v>
      </c>
    </row>
    <row r="2298" spans="1:7" x14ac:dyDescent="0.3">
      <c r="A2298">
        <v>2020</v>
      </c>
      <c r="B2298" t="s">
        <v>55</v>
      </c>
      <c r="C2298" t="s">
        <v>170</v>
      </c>
      <c r="D2298" t="s">
        <v>171</v>
      </c>
      <c r="E2298" t="s">
        <v>108</v>
      </c>
      <c r="F2298" t="s">
        <v>116</v>
      </c>
      <c r="G2298">
        <v>0</v>
      </c>
    </row>
    <row r="2299" spans="1:7" x14ac:dyDescent="0.3">
      <c r="A2299">
        <v>2020</v>
      </c>
      <c r="B2299" t="s">
        <v>55</v>
      </c>
      <c r="C2299" t="s">
        <v>170</v>
      </c>
      <c r="D2299" t="s">
        <v>171</v>
      </c>
      <c r="E2299" t="s">
        <v>91</v>
      </c>
      <c r="F2299" t="s">
        <v>116</v>
      </c>
      <c r="G2299">
        <v>0</v>
      </c>
    </row>
    <row r="2300" spans="1:7" x14ac:dyDescent="0.3">
      <c r="A2300">
        <v>2020</v>
      </c>
      <c r="B2300" t="s">
        <v>55</v>
      </c>
      <c r="C2300" t="s">
        <v>170</v>
      </c>
      <c r="D2300" t="s">
        <v>171</v>
      </c>
      <c r="E2300" t="s">
        <v>109</v>
      </c>
      <c r="F2300" t="s">
        <v>116</v>
      </c>
      <c r="G2300">
        <v>0</v>
      </c>
    </row>
    <row r="2301" spans="1:7" x14ac:dyDescent="0.3">
      <c r="A2301">
        <v>2020</v>
      </c>
      <c r="B2301" t="s">
        <v>55</v>
      </c>
      <c r="C2301" t="s">
        <v>170</v>
      </c>
      <c r="D2301" t="s">
        <v>171</v>
      </c>
      <c r="E2301" t="s">
        <v>110</v>
      </c>
      <c r="F2301" t="s">
        <v>116</v>
      </c>
      <c r="G2301">
        <v>0</v>
      </c>
    </row>
    <row r="2302" spans="1:7" x14ac:dyDescent="0.3">
      <c r="A2302">
        <v>2020</v>
      </c>
      <c r="B2302" t="s">
        <v>38</v>
      </c>
      <c r="C2302" t="s">
        <v>170</v>
      </c>
      <c r="D2302" t="s">
        <v>171</v>
      </c>
      <c r="E2302" t="s">
        <v>108</v>
      </c>
      <c r="F2302" t="s">
        <v>116</v>
      </c>
    </row>
    <row r="2303" spans="1:7" x14ac:dyDescent="0.3">
      <c r="A2303">
        <v>2020</v>
      </c>
      <c r="B2303" t="s">
        <v>38</v>
      </c>
      <c r="C2303" t="s">
        <v>170</v>
      </c>
      <c r="D2303" t="s">
        <v>171</v>
      </c>
      <c r="E2303" t="s">
        <v>91</v>
      </c>
      <c r="F2303" t="s">
        <v>116</v>
      </c>
    </row>
    <row r="2304" spans="1:7" x14ac:dyDescent="0.3">
      <c r="A2304">
        <v>2020</v>
      </c>
      <c r="B2304" t="s">
        <v>38</v>
      </c>
      <c r="C2304" t="s">
        <v>170</v>
      </c>
      <c r="D2304" t="s">
        <v>171</v>
      </c>
      <c r="E2304" t="s">
        <v>109</v>
      </c>
      <c r="F2304" t="s">
        <v>116</v>
      </c>
    </row>
    <row r="2305" spans="1:7" x14ac:dyDescent="0.3">
      <c r="A2305">
        <v>2020</v>
      </c>
      <c r="B2305" t="s">
        <v>38</v>
      </c>
      <c r="C2305" t="s">
        <v>170</v>
      </c>
      <c r="D2305" t="s">
        <v>171</v>
      </c>
      <c r="E2305" t="s">
        <v>110</v>
      </c>
      <c r="F2305" t="s">
        <v>116</v>
      </c>
    </row>
    <row r="2306" spans="1:7" x14ac:dyDescent="0.3">
      <c r="A2306">
        <v>2020</v>
      </c>
      <c r="B2306" t="s">
        <v>39</v>
      </c>
      <c r="C2306" t="s">
        <v>170</v>
      </c>
      <c r="D2306" t="s">
        <v>171</v>
      </c>
      <c r="E2306" t="s">
        <v>108</v>
      </c>
      <c r="F2306" t="s">
        <v>116</v>
      </c>
    </row>
    <row r="2307" spans="1:7" x14ac:dyDescent="0.3">
      <c r="A2307">
        <v>2020</v>
      </c>
      <c r="B2307" t="s">
        <v>39</v>
      </c>
      <c r="C2307" t="s">
        <v>170</v>
      </c>
      <c r="D2307" t="s">
        <v>171</v>
      </c>
      <c r="E2307" t="s">
        <v>91</v>
      </c>
      <c r="F2307" t="s">
        <v>116</v>
      </c>
    </row>
    <row r="2308" spans="1:7" x14ac:dyDescent="0.3">
      <c r="A2308">
        <v>2020</v>
      </c>
      <c r="B2308" t="s">
        <v>39</v>
      </c>
      <c r="C2308" t="s">
        <v>170</v>
      </c>
      <c r="D2308" t="s">
        <v>171</v>
      </c>
      <c r="E2308" t="s">
        <v>109</v>
      </c>
      <c r="F2308" t="s">
        <v>116</v>
      </c>
    </row>
    <row r="2309" spans="1:7" x14ac:dyDescent="0.3">
      <c r="A2309">
        <v>2020</v>
      </c>
      <c r="B2309" t="s">
        <v>39</v>
      </c>
      <c r="C2309" t="s">
        <v>170</v>
      </c>
      <c r="D2309" t="s">
        <v>171</v>
      </c>
      <c r="E2309" t="s">
        <v>110</v>
      </c>
      <c r="F2309" t="s">
        <v>116</v>
      </c>
    </row>
    <row r="2310" spans="1:7" x14ac:dyDescent="0.3">
      <c r="A2310">
        <v>2020</v>
      </c>
      <c r="B2310" t="s">
        <v>40</v>
      </c>
      <c r="C2310" t="s">
        <v>170</v>
      </c>
      <c r="D2310" t="s">
        <v>171</v>
      </c>
      <c r="E2310" t="s">
        <v>108</v>
      </c>
      <c r="F2310" t="s">
        <v>116</v>
      </c>
      <c r="G2310">
        <v>0</v>
      </c>
    </row>
    <row r="2311" spans="1:7" x14ac:dyDescent="0.3">
      <c r="A2311">
        <v>2020</v>
      </c>
      <c r="B2311" t="s">
        <v>40</v>
      </c>
      <c r="C2311" t="s">
        <v>170</v>
      </c>
      <c r="D2311" t="s">
        <v>171</v>
      </c>
      <c r="E2311" t="s">
        <v>91</v>
      </c>
      <c r="F2311" t="s">
        <v>116</v>
      </c>
      <c r="G2311">
        <v>0</v>
      </c>
    </row>
    <row r="2312" spans="1:7" x14ac:dyDescent="0.3">
      <c r="A2312">
        <v>2020</v>
      </c>
      <c r="B2312" t="s">
        <v>40</v>
      </c>
      <c r="C2312" t="s">
        <v>170</v>
      </c>
      <c r="D2312" t="s">
        <v>171</v>
      </c>
      <c r="E2312" t="s">
        <v>109</v>
      </c>
      <c r="F2312" t="s">
        <v>116</v>
      </c>
      <c r="G2312">
        <v>0</v>
      </c>
    </row>
    <row r="2313" spans="1:7" x14ac:dyDescent="0.3">
      <c r="A2313">
        <v>2020</v>
      </c>
      <c r="B2313" t="s">
        <v>40</v>
      </c>
      <c r="C2313" t="s">
        <v>170</v>
      </c>
      <c r="D2313" t="s">
        <v>171</v>
      </c>
      <c r="E2313" t="s">
        <v>110</v>
      </c>
      <c r="F2313" t="s">
        <v>116</v>
      </c>
      <c r="G2313">
        <v>0</v>
      </c>
    </row>
    <row r="2314" spans="1:7" x14ac:dyDescent="0.3">
      <c r="A2314">
        <v>2020</v>
      </c>
      <c r="B2314" t="s">
        <v>41</v>
      </c>
      <c r="C2314" t="s">
        <v>170</v>
      </c>
      <c r="D2314" t="s">
        <v>171</v>
      </c>
      <c r="E2314" t="s">
        <v>108</v>
      </c>
      <c r="F2314" t="s">
        <v>116</v>
      </c>
    </row>
    <row r="2315" spans="1:7" x14ac:dyDescent="0.3">
      <c r="A2315">
        <v>2020</v>
      </c>
      <c r="B2315" t="s">
        <v>41</v>
      </c>
      <c r="C2315" t="s">
        <v>170</v>
      </c>
      <c r="D2315" t="s">
        <v>171</v>
      </c>
      <c r="E2315" t="s">
        <v>91</v>
      </c>
      <c r="F2315" t="s">
        <v>116</v>
      </c>
    </row>
    <row r="2316" spans="1:7" x14ac:dyDescent="0.3">
      <c r="A2316">
        <v>2020</v>
      </c>
      <c r="B2316" t="s">
        <v>41</v>
      </c>
      <c r="C2316" t="s">
        <v>170</v>
      </c>
      <c r="D2316" t="s">
        <v>171</v>
      </c>
      <c r="E2316" t="s">
        <v>109</v>
      </c>
      <c r="F2316" t="s">
        <v>116</v>
      </c>
    </row>
    <row r="2317" spans="1:7" x14ac:dyDescent="0.3">
      <c r="A2317">
        <v>2020</v>
      </c>
      <c r="B2317" t="s">
        <v>41</v>
      </c>
      <c r="C2317" t="s">
        <v>170</v>
      </c>
      <c r="D2317" t="s">
        <v>171</v>
      </c>
      <c r="E2317" t="s">
        <v>110</v>
      </c>
      <c r="F2317" t="s">
        <v>116</v>
      </c>
    </row>
    <row r="2318" spans="1:7" x14ac:dyDescent="0.3">
      <c r="A2318">
        <v>2020</v>
      </c>
      <c r="B2318" t="s">
        <v>58</v>
      </c>
      <c r="C2318" t="s">
        <v>170</v>
      </c>
      <c r="D2318" t="s">
        <v>171</v>
      </c>
      <c r="E2318" t="s">
        <v>108</v>
      </c>
      <c r="F2318" t="s">
        <v>116</v>
      </c>
    </row>
    <row r="2319" spans="1:7" x14ac:dyDescent="0.3">
      <c r="A2319">
        <v>2020</v>
      </c>
      <c r="B2319" t="s">
        <v>58</v>
      </c>
      <c r="C2319" t="s">
        <v>170</v>
      </c>
      <c r="D2319" t="s">
        <v>171</v>
      </c>
      <c r="E2319" t="s">
        <v>91</v>
      </c>
      <c r="F2319" t="s">
        <v>116</v>
      </c>
    </row>
    <row r="2320" spans="1:7" x14ac:dyDescent="0.3">
      <c r="A2320">
        <v>2020</v>
      </c>
      <c r="B2320" t="s">
        <v>58</v>
      </c>
      <c r="C2320" t="s">
        <v>170</v>
      </c>
      <c r="D2320" t="s">
        <v>171</v>
      </c>
      <c r="E2320" t="s">
        <v>109</v>
      </c>
      <c r="F2320" t="s">
        <v>116</v>
      </c>
      <c r="G2320">
        <v>1</v>
      </c>
    </row>
    <row r="2321" spans="1:7" x14ac:dyDescent="0.3">
      <c r="A2321">
        <v>2020</v>
      </c>
      <c r="B2321" t="s">
        <v>58</v>
      </c>
      <c r="C2321" t="s">
        <v>170</v>
      </c>
      <c r="D2321" t="s">
        <v>171</v>
      </c>
      <c r="E2321" t="s">
        <v>110</v>
      </c>
      <c r="F2321" t="s">
        <v>116</v>
      </c>
    </row>
    <row r="2322" spans="1:7" x14ac:dyDescent="0.3">
      <c r="A2322">
        <v>2020</v>
      </c>
      <c r="B2322" t="s">
        <v>42</v>
      </c>
      <c r="C2322" t="s">
        <v>170</v>
      </c>
      <c r="D2322" t="s">
        <v>171</v>
      </c>
      <c r="E2322" t="s">
        <v>108</v>
      </c>
      <c r="F2322" t="s">
        <v>116</v>
      </c>
      <c r="G2322">
        <v>2</v>
      </c>
    </row>
    <row r="2323" spans="1:7" x14ac:dyDescent="0.3">
      <c r="A2323">
        <v>2020</v>
      </c>
      <c r="B2323" t="s">
        <v>42</v>
      </c>
      <c r="C2323" t="s">
        <v>170</v>
      </c>
      <c r="D2323" t="s">
        <v>171</v>
      </c>
      <c r="E2323" t="s">
        <v>91</v>
      </c>
      <c r="F2323" t="s">
        <v>116</v>
      </c>
      <c r="G2323">
        <v>0</v>
      </c>
    </row>
    <row r="2324" spans="1:7" x14ac:dyDescent="0.3">
      <c r="A2324">
        <v>2020</v>
      </c>
      <c r="B2324" t="s">
        <v>42</v>
      </c>
      <c r="C2324" t="s">
        <v>170</v>
      </c>
      <c r="D2324" t="s">
        <v>171</v>
      </c>
      <c r="E2324" t="s">
        <v>109</v>
      </c>
      <c r="F2324" t="s">
        <v>116</v>
      </c>
      <c r="G2324">
        <v>0</v>
      </c>
    </row>
    <row r="2325" spans="1:7" x14ac:dyDescent="0.3">
      <c r="A2325">
        <v>2020</v>
      </c>
      <c r="B2325" t="s">
        <v>42</v>
      </c>
      <c r="C2325" t="s">
        <v>170</v>
      </c>
      <c r="D2325" t="s">
        <v>171</v>
      </c>
      <c r="E2325" t="s">
        <v>110</v>
      </c>
      <c r="F2325" t="s">
        <v>116</v>
      </c>
      <c r="G2325">
        <v>0</v>
      </c>
    </row>
    <row r="2326" spans="1:7" x14ac:dyDescent="0.3">
      <c r="A2326">
        <v>2020</v>
      </c>
      <c r="B2326" t="s">
        <v>44</v>
      </c>
      <c r="C2326" t="s">
        <v>170</v>
      </c>
      <c r="D2326" t="s">
        <v>171</v>
      </c>
      <c r="E2326" t="s">
        <v>108</v>
      </c>
      <c r="F2326" t="s">
        <v>116</v>
      </c>
    </row>
    <row r="2327" spans="1:7" x14ac:dyDescent="0.3">
      <c r="A2327">
        <v>2020</v>
      </c>
      <c r="B2327" t="s">
        <v>44</v>
      </c>
      <c r="C2327" t="s">
        <v>170</v>
      </c>
      <c r="D2327" t="s">
        <v>171</v>
      </c>
      <c r="E2327" t="s">
        <v>91</v>
      </c>
      <c r="F2327" t="s">
        <v>116</v>
      </c>
    </row>
    <row r="2328" spans="1:7" x14ac:dyDescent="0.3">
      <c r="A2328">
        <v>2020</v>
      </c>
      <c r="B2328" t="s">
        <v>44</v>
      </c>
      <c r="C2328" t="s">
        <v>170</v>
      </c>
      <c r="D2328" t="s">
        <v>171</v>
      </c>
      <c r="E2328" t="s">
        <v>109</v>
      </c>
      <c r="F2328" t="s">
        <v>116</v>
      </c>
    </row>
    <row r="2329" spans="1:7" x14ac:dyDescent="0.3">
      <c r="A2329">
        <v>2020</v>
      </c>
      <c r="B2329" t="s">
        <v>44</v>
      </c>
      <c r="C2329" t="s">
        <v>170</v>
      </c>
      <c r="D2329" t="s">
        <v>171</v>
      </c>
      <c r="E2329" t="s">
        <v>110</v>
      </c>
      <c r="F2329" t="s">
        <v>116</v>
      </c>
    </row>
    <row r="2330" spans="1:7" x14ac:dyDescent="0.3">
      <c r="A2330">
        <v>2020</v>
      </c>
      <c r="B2330" t="s">
        <v>45</v>
      </c>
      <c r="C2330" t="s">
        <v>170</v>
      </c>
      <c r="D2330" t="s">
        <v>171</v>
      </c>
      <c r="E2330" t="s">
        <v>108</v>
      </c>
      <c r="F2330" t="s">
        <v>116</v>
      </c>
    </row>
    <row r="2331" spans="1:7" x14ac:dyDescent="0.3">
      <c r="A2331">
        <v>2020</v>
      </c>
      <c r="B2331" t="s">
        <v>45</v>
      </c>
      <c r="C2331" t="s">
        <v>170</v>
      </c>
      <c r="D2331" t="s">
        <v>171</v>
      </c>
      <c r="E2331" t="s">
        <v>91</v>
      </c>
      <c r="F2331" t="s">
        <v>116</v>
      </c>
    </row>
    <row r="2332" spans="1:7" x14ac:dyDescent="0.3">
      <c r="A2332">
        <v>2020</v>
      </c>
      <c r="B2332" t="s">
        <v>45</v>
      </c>
      <c r="C2332" t="s">
        <v>170</v>
      </c>
      <c r="D2332" t="s">
        <v>171</v>
      </c>
      <c r="E2332" t="s">
        <v>109</v>
      </c>
      <c r="F2332" t="s">
        <v>116</v>
      </c>
    </row>
    <row r="2333" spans="1:7" x14ac:dyDescent="0.3">
      <c r="A2333">
        <v>2020</v>
      </c>
      <c r="B2333" t="s">
        <v>45</v>
      </c>
      <c r="C2333" t="s">
        <v>170</v>
      </c>
      <c r="D2333" t="s">
        <v>171</v>
      </c>
      <c r="E2333" t="s">
        <v>110</v>
      </c>
      <c r="F2333" t="s">
        <v>116</v>
      </c>
    </row>
    <row r="2334" spans="1:7" x14ac:dyDescent="0.3">
      <c r="A2334">
        <v>2020</v>
      </c>
      <c r="B2334" t="s">
        <v>46</v>
      </c>
      <c r="C2334" t="s">
        <v>170</v>
      </c>
      <c r="D2334" t="s">
        <v>171</v>
      </c>
      <c r="E2334" t="s">
        <v>108</v>
      </c>
      <c r="F2334" t="s">
        <v>116</v>
      </c>
    </row>
    <row r="2335" spans="1:7" x14ac:dyDescent="0.3">
      <c r="A2335">
        <v>2020</v>
      </c>
      <c r="B2335" t="s">
        <v>46</v>
      </c>
      <c r="C2335" t="s">
        <v>170</v>
      </c>
      <c r="D2335" t="s">
        <v>171</v>
      </c>
      <c r="E2335" t="s">
        <v>91</v>
      </c>
      <c r="F2335" t="s">
        <v>116</v>
      </c>
    </row>
    <row r="2336" spans="1:7" x14ac:dyDescent="0.3">
      <c r="A2336">
        <v>2020</v>
      </c>
      <c r="B2336" t="s">
        <v>46</v>
      </c>
      <c r="C2336" t="s">
        <v>170</v>
      </c>
      <c r="D2336" t="s">
        <v>171</v>
      </c>
      <c r="E2336" t="s">
        <v>109</v>
      </c>
      <c r="F2336" t="s">
        <v>116</v>
      </c>
    </row>
    <row r="2337" spans="1:7" x14ac:dyDescent="0.3">
      <c r="A2337">
        <v>2020</v>
      </c>
      <c r="B2337" t="s">
        <v>46</v>
      </c>
      <c r="C2337" t="s">
        <v>170</v>
      </c>
      <c r="D2337" t="s">
        <v>171</v>
      </c>
      <c r="E2337" t="s">
        <v>110</v>
      </c>
      <c r="F2337" t="s">
        <v>116</v>
      </c>
    </row>
    <row r="2338" spans="1:7" x14ac:dyDescent="0.3">
      <c r="A2338">
        <v>2020</v>
      </c>
      <c r="B2338" t="s">
        <v>47</v>
      </c>
      <c r="C2338" t="s">
        <v>170</v>
      </c>
      <c r="D2338" t="s">
        <v>171</v>
      </c>
      <c r="E2338" t="s">
        <v>108</v>
      </c>
      <c r="F2338" t="s">
        <v>116</v>
      </c>
    </row>
    <row r="2339" spans="1:7" x14ac:dyDescent="0.3">
      <c r="A2339">
        <v>2020</v>
      </c>
      <c r="B2339" t="s">
        <v>47</v>
      </c>
      <c r="C2339" t="s">
        <v>170</v>
      </c>
      <c r="D2339" t="s">
        <v>171</v>
      </c>
      <c r="E2339" t="s">
        <v>91</v>
      </c>
      <c r="F2339" t="s">
        <v>116</v>
      </c>
      <c r="G2339">
        <v>1</v>
      </c>
    </row>
    <row r="2340" spans="1:7" x14ac:dyDescent="0.3">
      <c r="A2340">
        <v>2020</v>
      </c>
      <c r="B2340" t="s">
        <v>47</v>
      </c>
      <c r="C2340" t="s">
        <v>170</v>
      </c>
      <c r="D2340" t="s">
        <v>171</v>
      </c>
      <c r="E2340" t="s">
        <v>109</v>
      </c>
      <c r="F2340" t="s">
        <v>116</v>
      </c>
    </row>
    <row r="2341" spans="1:7" x14ac:dyDescent="0.3">
      <c r="A2341">
        <v>2020</v>
      </c>
      <c r="B2341" t="s">
        <v>47</v>
      </c>
      <c r="C2341" t="s">
        <v>170</v>
      </c>
      <c r="D2341" t="s">
        <v>171</v>
      </c>
      <c r="E2341" t="s">
        <v>110</v>
      </c>
      <c r="F2341" t="s">
        <v>116</v>
      </c>
    </row>
    <row r="2342" spans="1:7" x14ac:dyDescent="0.3">
      <c r="A2342">
        <v>2020</v>
      </c>
      <c r="B2342" t="s">
        <v>48</v>
      </c>
      <c r="C2342" t="s">
        <v>170</v>
      </c>
      <c r="D2342" t="s">
        <v>171</v>
      </c>
      <c r="E2342" t="s">
        <v>108</v>
      </c>
      <c r="F2342" t="s">
        <v>116</v>
      </c>
    </row>
    <row r="2343" spans="1:7" x14ac:dyDescent="0.3">
      <c r="A2343">
        <v>2020</v>
      </c>
      <c r="B2343" t="s">
        <v>48</v>
      </c>
      <c r="C2343" t="s">
        <v>170</v>
      </c>
      <c r="D2343" t="s">
        <v>171</v>
      </c>
      <c r="E2343" t="s">
        <v>91</v>
      </c>
      <c r="F2343" t="s">
        <v>116</v>
      </c>
    </row>
    <row r="2344" spans="1:7" x14ac:dyDescent="0.3">
      <c r="A2344">
        <v>2020</v>
      </c>
      <c r="B2344" t="s">
        <v>48</v>
      </c>
      <c r="C2344" t="s">
        <v>170</v>
      </c>
      <c r="D2344" t="s">
        <v>171</v>
      </c>
      <c r="E2344" t="s">
        <v>109</v>
      </c>
      <c r="F2344" t="s">
        <v>116</v>
      </c>
    </row>
    <row r="2345" spans="1:7" x14ac:dyDescent="0.3">
      <c r="A2345">
        <v>2020</v>
      </c>
      <c r="B2345" t="s">
        <v>48</v>
      </c>
      <c r="C2345" t="s">
        <v>170</v>
      </c>
      <c r="D2345" t="s">
        <v>171</v>
      </c>
      <c r="E2345" t="s">
        <v>110</v>
      </c>
      <c r="F2345" t="s">
        <v>116</v>
      </c>
    </row>
    <row r="2346" spans="1:7" x14ac:dyDescent="0.3">
      <c r="A2346">
        <v>2020</v>
      </c>
      <c r="B2346" t="s">
        <v>49</v>
      </c>
      <c r="C2346" t="s">
        <v>170</v>
      </c>
      <c r="D2346" t="s">
        <v>171</v>
      </c>
      <c r="E2346" t="s">
        <v>108</v>
      </c>
      <c r="F2346" t="s">
        <v>116</v>
      </c>
      <c r="G2346">
        <v>0</v>
      </c>
    </row>
    <row r="2347" spans="1:7" x14ac:dyDescent="0.3">
      <c r="A2347">
        <v>2020</v>
      </c>
      <c r="B2347" t="s">
        <v>49</v>
      </c>
      <c r="C2347" t="s">
        <v>170</v>
      </c>
      <c r="D2347" t="s">
        <v>171</v>
      </c>
      <c r="E2347" t="s">
        <v>91</v>
      </c>
      <c r="F2347" t="s">
        <v>116</v>
      </c>
      <c r="G2347">
        <v>0</v>
      </c>
    </row>
    <row r="2348" spans="1:7" x14ac:dyDescent="0.3">
      <c r="A2348">
        <v>2020</v>
      </c>
      <c r="B2348" t="s">
        <v>49</v>
      </c>
      <c r="C2348" t="s">
        <v>170</v>
      </c>
      <c r="D2348" t="s">
        <v>171</v>
      </c>
      <c r="E2348" t="s">
        <v>109</v>
      </c>
      <c r="F2348" t="s">
        <v>116</v>
      </c>
      <c r="G2348">
        <v>0</v>
      </c>
    </row>
    <row r="2349" spans="1:7" x14ac:dyDescent="0.3">
      <c r="A2349">
        <v>2020</v>
      </c>
      <c r="B2349" t="s">
        <v>49</v>
      </c>
      <c r="C2349" t="s">
        <v>170</v>
      </c>
      <c r="D2349" t="s">
        <v>171</v>
      </c>
      <c r="E2349" t="s">
        <v>110</v>
      </c>
      <c r="F2349" t="s">
        <v>116</v>
      </c>
      <c r="G2349">
        <v>0</v>
      </c>
    </row>
    <row r="2350" spans="1:7" x14ac:dyDescent="0.3">
      <c r="A2350">
        <v>2020</v>
      </c>
      <c r="B2350" t="s">
        <v>59</v>
      </c>
      <c r="C2350" t="s">
        <v>170</v>
      </c>
      <c r="D2350" t="s">
        <v>171</v>
      </c>
      <c r="E2350" t="s">
        <v>108</v>
      </c>
      <c r="F2350" t="s">
        <v>116</v>
      </c>
      <c r="G2350">
        <v>0</v>
      </c>
    </row>
    <row r="2351" spans="1:7" x14ac:dyDescent="0.3">
      <c r="A2351">
        <v>2020</v>
      </c>
      <c r="B2351" t="s">
        <v>59</v>
      </c>
      <c r="C2351" t="s">
        <v>170</v>
      </c>
      <c r="D2351" t="s">
        <v>171</v>
      </c>
      <c r="E2351" t="s">
        <v>91</v>
      </c>
      <c r="F2351" t="s">
        <v>116</v>
      </c>
      <c r="G2351">
        <v>0</v>
      </c>
    </row>
    <row r="2352" spans="1:7" x14ac:dyDescent="0.3">
      <c r="A2352">
        <v>2020</v>
      </c>
      <c r="B2352" t="s">
        <v>59</v>
      </c>
      <c r="C2352" t="s">
        <v>170</v>
      </c>
      <c r="D2352" t="s">
        <v>171</v>
      </c>
      <c r="E2352" t="s">
        <v>109</v>
      </c>
      <c r="F2352" t="s">
        <v>116</v>
      </c>
      <c r="G2352">
        <v>1</v>
      </c>
    </row>
    <row r="2353" spans="1:7" x14ac:dyDescent="0.3">
      <c r="A2353">
        <v>2020</v>
      </c>
      <c r="B2353" t="s">
        <v>59</v>
      </c>
      <c r="C2353" t="s">
        <v>170</v>
      </c>
      <c r="D2353" t="s">
        <v>171</v>
      </c>
      <c r="E2353" t="s">
        <v>110</v>
      </c>
      <c r="F2353" t="s">
        <v>116</v>
      </c>
      <c r="G2353">
        <v>0</v>
      </c>
    </row>
    <row r="2354" spans="1:7" x14ac:dyDescent="0.3">
      <c r="A2354">
        <v>2020</v>
      </c>
      <c r="B2354" t="s">
        <v>50</v>
      </c>
      <c r="C2354" t="s">
        <v>170</v>
      </c>
      <c r="D2354" t="s">
        <v>171</v>
      </c>
      <c r="E2354" t="s">
        <v>108</v>
      </c>
      <c r="F2354" t="s">
        <v>116</v>
      </c>
    </row>
    <row r="2355" spans="1:7" x14ac:dyDescent="0.3">
      <c r="A2355">
        <v>2020</v>
      </c>
      <c r="B2355" t="s">
        <v>50</v>
      </c>
      <c r="C2355" t="s">
        <v>170</v>
      </c>
      <c r="D2355" t="s">
        <v>171</v>
      </c>
      <c r="E2355" t="s">
        <v>91</v>
      </c>
      <c r="F2355" t="s">
        <v>116</v>
      </c>
    </row>
    <row r="2356" spans="1:7" x14ac:dyDescent="0.3">
      <c r="A2356">
        <v>2020</v>
      </c>
      <c r="B2356" t="s">
        <v>50</v>
      </c>
      <c r="C2356" t="s">
        <v>170</v>
      </c>
      <c r="D2356" t="s">
        <v>171</v>
      </c>
      <c r="E2356" t="s">
        <v>109</v>
      </c>
      <c r="F2356" t="s">
        <v>116</v>
      </c>
    </row>
    <row r="2357" spans="1:7" x14ac:dyDescent="0.3">
      <c r="A2357">
        <v>2020</v>
      </c>
      <c r="B2357" t="s">
        <v>50</v>
      </c>
      <c r="C2357" t="s">
        <v>170</v>
      </c>
      <c r="D2357" t="s">
        <v>171</v>
      </c>
      <c r="E2357" t="s">
        <v>110</v>
      </c>
      <c r="F2357" t="s">
        <v>116</v>
      </c>
    </row>
    <row r="2358" spans="1:7" x14ac:dyDescent="0.3">
      <c r="A2358">
        <v>2020</v>
      </c>
      <c r="B2358" t="s">
        <v>51</v>
      </c>
      <c r="C2358" t="s">
        <v>170</v>
      </c>
      <c r="D2358" t="s">
        <v>171</v>
      </c>
      <c r="E2358" t="s">
        <v>108</v>
      </c>
      <c r="F2358" t="s">
        <v>116</v>
      </c>
    </row>
    <row r="2359" spans="1:7" x14ac:dyDescent="0.3">
      <c r="A2359">
        <v>2020</v>
      </c>
      <c r="B2359" t="s">
        <v>51</v>
      </c>
      <c r="C2359" t="s">
        <v>170</v>
      </c>
      <c r="D2359" t="s">
        <v>171</v>
      </c>
      <c r="E2359" t="s">
        <v>91</v>
      </c>
      <c r="F2359" t="s">
        <v>116</v>
      </c>
    </row>
    <row r="2360" spans="1:7" x14ac:dyDescent="0.3">
      <c r="A2360">
        <v>2020</v>
      </c>
      <c r="B2360" t="s">
        <v>51</v>
      </c>
      <c r="C2360" t="s">
        <v>170</v>
      </c>
      <c r="D2360" t="s">
        <v>171</v>
      </c>
      <c r="E2360" t="s">
        <v>109</v>
      </c>
      <c r="F2360" t="s">
        <v>116</v>
      </c>
    </row>
    <row r="2361" spans="1:7" x14ac:dyDescent="0.3">
      <c r="A2361">
        <v>2020</v>
      </c>
      <c r="B2361" t="s">
        <v>51</v>
      </c>
      <c r="C2361" t="s">
        <v>170</v>
      </c>
      <c r="D2361" t="s">
        <v>171</v>
      </c>
      <c r="E2361" t="s">
        <v>110</v>
      </c>
      <c r="F2361" t="s">
        <v>116</v>
      </c>
    </row>
    <row r="2362" spans="1:7" x14ac:dyDescent="0.3">
      <c r="A2362">
        <v>2020</v>
      </c>
      <c r="B2362" t="s">
        <v>52</v>
      </c>
      <c r="C2362" t="s">
        <v>170</v>
      </c>
      <c r="D2362" t="s">
        <v>171</v>
      </c>
      <c r="E2362" t="s">
        <v>108</v>
      </c>
      <c r="F2362" t="s">
        <v>116</v>
      </c>
    </row>
    <row r="2363" spans="1:7" x14ac:dyDescent="0.3">
      <c r="A2363">
        <v>2020</v>
      </c>
      <c r="B2363" t="s">
        <v>52</v>
      </c>
      <c r="C2363" t="s">
        <v>170</v>
      </c>
      <c r="D2363" t="s">
        <v>171</v>
      </c>
      <c r="E2363" t="s">
        <v>91</v>
      </c>
      <c r="F2363" t="s">
        <v>116</v>
      </c>
    </row>
    <row r="2364" spans="1:7" x14ac:dyDescent="0.3">
      <c r="A2364">
        <v>2020</v>
      </c>
      <c r="B2364" t="s">
        <v>52</v>
      </c>
      <c r="C2364" t="s">
        <v>170</v>
      </c>
      <c r="D2364" t="s">
        <v>171</v>
      </c>
      <c r="E2364" t="s">
        <v>109</v>
      </c>
      <c r="F2364" t="s">
        <v>116</v>
      </c>
      <c r="G2364">
        <v>1</v>
      </c>
    </row>
    <row r="2365" spans="1:7" x14ac:dyDescent="0.3">
      <c r="A2365">
        <v>2020</v>
      </c>
      <c r="B2365" t="s">
        <v>52</v>
      </c>
      <c r="C2365" t="s">
        <v>170</v>
      </c>
      <c r="D2365" t="s">
        <v>171</v>
      </c>
      <c r="E2365" t="s">
        <v>110</v>
      </c>
      <c r="F2365" t="s">
        <v>116</v>
      </c>
    </row>
    <row r="2366" spans="1:7" x14ac:dyDescent="0.3">
      <c r="A2366">
        <v>2020</v>
      </c>
      <c r="B2366" t="s">
        <v>60</v>
      </c>
      <c r="C2366" t="s">
        <v>170</v>
      </c>
      <c r="D2366" t="s">
        <v>171</v>
      </c>
      <c r="E2366" t="s">
        <v>108</v>
      </c>
      <c r="F2366" t="s">
        <v>116</v>
      </c>
      <c r="G2366">
        <v>0</v>
      </c>
    </row>
    <row r="2367" spans="1:7" x14ac:dyDescent="0.3">
      <c r="A2367">
        <v>2020</v>
      </c>
      <c r="B2367" t="s">
        <v>60</v>
      </c>
      <c r="C2367" t="s">
        <v>170</v>
      </c>
      <c r="D2367" t="s">
        <v>171</v>
      </c>
      <c r="E2367" t="s">
        <v>91</v>
      </c>
      <c r="F2367" t="s">
        <v>116</v>
      </c>
      <c r="G2367">
        <v>0</v>
      </c>
    </row>
    <row r="2368" spans="1:7" x14ac:dyDescent="0.3">
      <c r="A2368">
        <v>2020</v>
      </c>
      <c r="B2368" t="s">
        <v>60</v>
      </c>
      <c r="C2368" t="s">
        <v>170</v>
      </c>
      <c r="D2368" t="s">
        <v>171</v>
      </c>
      <c r="E2368" t="s">
        <v>109</v>
      </c>
      <c r="F2368" t="s">
        <v>116</v>
      </c>
      <c r="G2368">
        <v>0</v>
      </c>
    </row>
    <row r="2369" spans="1:7" x14ac:dyDescent="0.3">
      <c r="A2369">
        <v>2020</v>
      </c>
      <c r="B2369" t="s">
        <v>60</v>
      </c>
      <c r="C2369" t="s">
        <v>170</v>
      </c>
      <c r="D2369" t="s">
        <v>171</v>
      </c>
      <c r="E2369" t="s">
        <v>110</v>
      </c>
      <c r="F2369" t="s">
        <v>116</v>
      </c>
      <c r="G2369">
        <v>0</v>
      </c>
    </row>
    <row r="2370" spans="1:7" x14ac:dyDescent="0.3">
      <c r="A2370">
        <v>2020</v>
      </c>
      <c r="B2370" t="s">
        <v>53</v>
      </c>
      <c r="C2370" t="s">
        <v>170</v>
      </c>
      <c r="D2370" t="s">
        <v>171</v>
      </c>
      <c r="E2370" t="s">
        <v>108</v>
      </c>
      <c r="F2370" t="s">
        <v>116</v>
      </c>
      <c r="G2370">
        <v>0</v>
      </c>
    </row>
    <row r="2371" spans="1:7" x14ac:dyDescent="0.3">
      <c r="A2371">
        <v>2020</v>
      </c>
      <c r="B2371" t="s">
        <v>53</v>
      </c>
      <c r="C2371" t="s">
        <v>170</v>
      </c>
      <c r="D2371" t="s">
        <v>171</v>
      </c>
      <c r="E2371" t="s">
        <v>91</v>
      </c>
      <c r="F2371" t="s">
        <v>116</v>
      </c>
      <c r="G2371">
        <v>0</v>
      </c>
    </row>
    <row r="2372" spans="1:7" x14ac:dyDescent="0.3">
      <c r="A2372">
        <v>2020</v>
      </c>
      <c r="B2372" t="s">
        <v>53</v>
      </c>
      <c r="C2372" t="s">
        <v>170</v>
      </c>
      <c r="D2372" t="s">
        <v>171</v>
      </c>
      <c r="E2372" t="s">
        <v>109</v>
      </c>
      <c r="F2372" t="s">
        <v>116</v>
      </c>
      <c r="G2372">
        <v>0</v>
      </c>
    </row>
    <row r="2373" spans="1:7" x14ac:dyDescent="0.3">
      <c r="A2373">
        <v>2020</v>
      </c>
      <c r="B2373" t="s">
        <v>53</v>
      </c>
      <c r="C2373" t="s">
        <v>170</v>
      </c>
      <c r="D2373" t="s">
        <v>171</v>
      </c>
      <c r="E2373" t="s">
        <v>110</v>
      </c>
      <c r="F2373" t="s">
        <v>116</v>
      </c>
      <c r="G2373">
        <v>0</v>
      </c>
    </row>
    <row r="2374" spans="1:7" x14ac:dyDescent="0.3">
      <c r="A2374">
        <v>2020</v>
      </c>
      <c r="B2374" t="s">
        <v>61</v>
      </c>
      <c r="C2374" t="s">
        <v>170</v>
      </c>
      <c r="D2374" t="s">
        <v>171</v>
      </c>
      <c r="E2374" t="s">
        <v>108</v>
      </c>
      <c r="F2374" t="s">
        <v>116</v>
      </c>
    </row>
    <row r="2375" spans="1:7" x14ac:dyDescent="0.3">
      <c r="A2375">
        <v>2020</v>
      </c>
      <c r="B2375" t="s">
        <v>61</v>
      </c>
      <c r="C2375" t="s">
        <v>170</v>
      </c>
      <c r="D2375" t="s">
        <v>171</v>
      </c>
      <c r="E2375" t="s">
        <v>91</v>
      </c>
      <c r="F2375" t="s">
        <v>116</v>
      </c>
      <c r="G2375">
        <v>7</v>
      </c>
    </row>
    <row r="2376" spans="1:7" x14ac:dyDescent="0.3">
      <c r="A2376">
        <v>2020</v>
      </c>
      <c r="B2376" t="s">
        <v>61</v>
      </c>
      <c r="C2376" t="s">
        <v>170</v>
      </c>
      <c r="D2376" t="s">
        <v>171</v>
      </c>
      <c r="E2376" t="s">
        <v>109</v>
      </c>
      <c r="F2376" t="s">
        <v>116</v>
      </c>
      <c r="G2376">
        <v>4</v>
      </c>
    </row>
    <row r="2377" spans="1:7" x14ac:dyDescent="0.3">
      <c r="A2377">
        <v>2020</v>
      </c>
      <c r="B2377" t="s">
        <v>61</v>
      </c>
      <c r="C2377" t="s">
        <v>170</v>
      </c>
      <c r="D2377" t="s">
        <v>171</v>
      </c>
      <c r="E2377" t="s">
        <v>110</v>
      </c>
      <c r="F2377" t="s">
        <v>116</v>
      </c>
    </row>
    <row r="2378" spans="1:7" x14ac:dyDescent="0.3">
      <c r="A2378">
        <v>2020</v>
      </c>
      <c r="B2378" t="s">
        <v>54</v>
      </c>
      <c r="C2378" t="s">
        <v>170</v>
      </c>
      <c r="D2378" t="s">
        <v>171</v>
      </c>
      <c r="E2378" t="s">
        <v>108</v>
      </c>
      <c r="F2378" t="s">
        <v>116</v>
      </c>
      <c r="G2378">
        <v>0</v>
      </c>
    </row>
    <row r="2379" spans="1:7" x14ac:dyDescent="0.3">
      <c r="A2379">
        <v>2020</v>
      </c>
      <c r="B2379" t="s">
        <v>54</v>
      </c>
      <c r="C2379" t="s">
        <v>170</v>
      </c>
      <c r="D2379" t="s">
        <v>171</v>
      </c>
      <c r="E2379" t="s">
        <v>91</v>
      </c>
      <c r="F2379" t="s">
        <v>116</v>
      </c>
      <c r="G2379">
        <v>0</v>
      </c>
    </row>
    <row r="2380" spans="1:7" x14ac:dyDescent="0.3">
      <c r="A2380">
        <v>2020</v>
      </c>
      <c r="B2380" t="s">
        <v>54</v>
      </c>
      <c r="C2380" t="s">
        <v>170</v>
      </c>
      <c r="D2380" t="s">
        <v>171</v>
      </c>
      <c r="E2380" t="s">
        <v>109</v>
      </c>
      <c r="F2380" t="s">
        <v>116</v>
      </c>
      <c r="G2380">
        <v>0</v>
      </c>
    </row>
    <row r="2381" spans="1:7" x14ac:dyDescent="0.3">
      <c r="A2381">
        <v>2020</v>
      </c>
      <c r="B2381" t="s">
        <v>54</v>
      </c>
      <c r="C2381" t="s">
        <v>170</v>
      </c>
      <c r="D2381" t="s">
        <v>171</v>
      </c>
      <c r="E2381" t="s">
        <v>110</v>
      </c>
      <c r="F2381" t="s">
        <v>116</v>
      </c>
      <c r="G2381">
        <v>0</v>
      </c>
    </row>
    <row r="2382" spans="1:7" x14ac:dyDescent="0.3">
      <c r="A2382">
        <v>2020</v>
      </c>
      <c r="B2382" t="s">
        <v>62</v>
      </c>
      <c r="C2382" t="s">
        <v>170</v>
      </c>
      <c r="D2382" t="s">
        <v>171</v>
      </c>
      <c r="E2382" t="s">
        <v>108</v>
      </c>
      <c r="F2382" t="s">
        <v>116</v>
      </c>
      <c r="G2382">
        <v>0</v>
      </c>
    </row>
    <row r="2383" spans="1:7" x14ac:dyDescent="0.3">
      <c r="A2383">
        <v>2020</v>
      </c>
      <c r="B2383" t="s">
        <v>62</v>
      </c>
      <c r="C2383" t="s">
        <v>170</v>
      </c>
      <c r="D2383" t="s">
        <v>171</v>
      </c>
      <c r="E2383" t="s">
        <v>91</v>
      </c>
      <c r="F2383" t="s">
        <v>116</v>
      </c>
      <c r="G2383">
        <v>0</v>
      </c>
    </row>
    <row r="2384" spans="1:7" x14ac:dyDescent="0.3">
      <c r="A2384">
        <v>2020</v>
      </c>
      <c r="B2384" t="s">
        <v>62</v>
      </c>
      <c r="C2384" t="s">
        <v>170</v>
      </c>
      <c r="D2384" t="s">
        <v>171</v>
      </c>
      <c r="E2384" t="s">
        <v>109</v>
      </c>
      <c r="F2384" t="s">
        <v>116</v>
      </c>
      <c r="G2384">
        <v>0</v>
      </c>
    </row>
    <row r="2385" spans="1:7" x14ac:dyDescent="0.3">
      <c r="A2385">
        <v>2020</v>
      </c>
      <c r="B2385" t="s">
        <v>62</v>
      </c>
      <c r="C2385" t="s">
        <v>170</v>
      </c>
      <c r="D2385" t="s">
        <v>171</v>
      </c>
      <c r="E2385" t="s">
        <v>110</v>
      </c>
      <c r="F2385" t="s">
        <v>116</v>
      </c>
      <c r="G2385">
        <v>0</v>
      </c>
    </row>
    <row r="2386" spans="1:7" x14ac:dyDescent="0.3">
      <c r="A2386">
        <v>2020</v>
      </c>
      <c r="B2386" t="s">
        <v>28</v>
      </c>
      <c r="C2386" t="s">
        <v>170</v>
      </c>
      <c r="D2386" t="s">
        <v>171</v>
      </c>
      <c r="E2386" t="s">
        <v>108</v>
      </c>
      <c r="F2386" t="s">
        <v>116</v>
      </c>
      <c r="G2386">
        <v>0</v>
      </c>
    </row>
    <row r="2387" spans="1:7" x14ac:dyDescent="0.3">
      <c r="A2387">
        <v>2020</v>
      </c>
      <c r="B2387" t="s">
        <v>28</v>
      </c>
      <c r="C2387" t="s">
        <v>170</v>
      </c>
      <c r="D2387" t="s">
        <v>171</v>
      </c>
      <c r="E2387" t="s">
        <v>91</v>
      </c>
      <c r="F2387" t="s">
        <v>116</v>
      </c>
      <c r="G2387">
        <v>0</v>
      </c>
    </row>
    <row r="2388" spans="1:7" x14ac:dyDescent="0.3">
      <c r="A2388">
        <v>2020</v>
      </c>
      <c r="B2388" t="s">
        <v>28</v>
      </c>
      <c r="C2388" t="s">
        <v>170</v>
      </c>
      <c r="D2388" t="s">
        <v>171</v>
      </c>
      <c r="E2388" t="s">
        <v>109</v>
      </c>
      <c r="F2388" t="s">
        <v>116</v>
      </c>
      <c r="G2388">
        <v>0</v>
      </c>
    </row>
    <row r="2389" spans="1:7" x14ac:dyDescent="0.3">
      <c r="A2389">
        <v>2020</v>
      </c>
      <c r="B2389" t="s">
        <v>28</v>
      </c>
      <c r="C2389" t="s">
        <v>170</v>
      </c>
      <c r="D2389" t="s">
        <v>171</v>
      </c>
      <c r="E2389" t="s">
        <v>110</v>
      </c>
      <c r="F2389" t="s">
        <v>116</v>
      </c>
      <c r="G2389">
        <v>0</v>
      </c>
    </row>
    <row r="2390" spans="1:7" x14ac:dyDescent="0.3">
      <c r="A2390">
        <v>2020</v>
      </c>
      <c r="B2390" t="s">
        <v>43</v>
      </c>
      <c r="C2390" t="s">
        <v>170</v>
      </c>
      <c r="D2390" t="s">
        <v>171</v>
      </c>
      <c r="E2390" t="s">
        <v>108</v>
      </c>
      <c r="F2390" t="s">
        <v>116</v>
      </c>
    </row>
    <row r="2391" spans="1:7" x14ac:dyDescent="0.3">
      <c r="A2391">
        <v>2020</v>
      </c>
      <c r="B2391" t="s">
        <v>43</v>
      </c>
      <c r="C2391" t="s">
        <v>170</v>
      </c>
      <c r="D2391" t="s">
        <v>171</v>
      </c>
      <c r="E2391" t="s">
        <v>91</v>
      </c>
      <c r="F2391" t="s">
        <v>116</v>
      </c>
    </row>
    <row r="2392" spans="1:7" x14ac:dyDescent="0.3">
      <c r="A2392">
        <v>2020</v>
      </c>
      <c r="B2392" t="s">
        <v>43</v>
      </c>
      <c r="C2392" t="s">
        <v>170</v>
      </c>
      <c r="D2392" t="s">
        <v>171</v>
      </c>
      <c r="E2392" t="s">
        <v>109</v>
      </c>
      <c r="F2392" t="s">
        <v>116</v>
      </c>
    </row>
    <row r="2393" spans="1:7" x14ac:dyDescent="0.3">
      <c r="A2393">
        <v>2020</v>
      </c>
      <c r="B2393" t="s">
        <v>43</v>
      </c>
      <c r="C2393" t="s">
        <v>170</v>
      </c>
      <c r="D2393" t="s">
        <v>171</v>
      </c>
      <c r="E2393" t="s">
        <v>110</v>
      </c>
      <c r="F2393" t="s">
        <v>116</v>
      </c>
    </row>
    <row r="2394" spans="1:7" x14ac:dyDescent="0.3">
      <c r="A2394">
        <v>2020</v>
      </c>
      <c r="B2394" t="s">
        <v>17</v>
      </c>
      <c r="C2394" t="s">
        <v>170</v>
      </c>
      <c r="D2394" t="s">
        <v>171</v>
      </c>
      <c r="E2394" t="s">
        <v>108</v>
      </c>
      <c r="F2394" t="s">
        <v>80</v>
      </c>
    </row>
    <row r="2395" spans="1:7" x14ac:dyDescent="0.3">
      <c r="A2395">
        <v>2020</v>
      </c>
      <c r="B2395" t="s">
        <v>17</v>
      </c>
      <c r="C2395" t="s">
        <v>170</v>
      </c>
      <c r="D2395" t="s">
        <v>171</v>
      </c>
      <c r="E2395" t="s">
        <v>91</v>
      </c>
      <c r="F2395" t="s">
        <v>80</v>
      </c>
    </row>
    <row r="2396" spans="1:7" x14ac:dyDescent="0.3">
      <c r="A2396">
        <v>2020</v>
      </c>
      <c r="B2396" t="s">
        <v>17</v>
      </c>
      <c r="C2396" t="s">
        <v>170</v>
      </c>
      <c r="D2396" t="s">
        <v>171</v>
      </c>
      <c r="E2396" t="s">
        <v>109</v>
      </c>
      <c r="F2396" t="s">
        <v>80</v>
      </c>
    </row>
    <row r="2397" spans="1:7" x14ac:dyDescent="0.3">
      <c r="A2397">
        <v>2020</v>
      </c>
      <c r="B2397" t="s">
        <v>17</v>
      </c>
      <c r="C2397" t="s">
        <v>170</v>
      </c>
      <c r="D2397" t="s">
        <v>171</v>
      </c>
      <c r="E2397" t="s">
        <v>110</v>
      </c>
      <c r="F2397" t="s">
        <v>80</v>
      </c>
    </row>
    <row r="2398" spans="1:7" x14ac:dyDescent="0.3">
      <c r="A2398">
        <v>2020</v>
      </c>
      <c r="B2398" t="s">
        <v>18</v>
      </c>
      <c r="C2398" t="s">
        <v>170</v>
      </c>
      <c r="D2398" t="s">
        <v>171</v>
      </c>
      <c r="E2398" t="s">
        <v>108</v>
      </c>
      <c r="F2398" t="s">
        <v>80</v>
      </c>
      <c r="G2398">
        <v>0</v>
      </c>
    </row>
    <row r="2399" spans="1:7" x14ac:dyDescent="0.3">
      <c r="A2399">
        <v>2020</v>
      </c>
      <c r="B2399" t="s">
        <v>18</v>
      </c>
      <c r="C2399" t="s">
        <v>170</v>
      </c>
      <c r="D2399" t="s">
        <v>171</v>
      </c>
      <c r="E2399" t="s">
        <v>91</v>
      </c>
      <c r="F2399" t="s">
        <v>80</v>
      </c>
      <c r="G2399">
        <v>0</v>
      </c>
    </row>
    <row r="2400" spans="1:7" x14ac:dyDescent="0.3">
      <c r="A2400">
        <v>2020</v>
      </c>
      <c r="B2400" t="s">
        <v>18</v>
      </c>
      <c r="C2400" t="s">
        <v>170</v>
      </c>
      <c r="D2400" t="s">
        <v>171</v>
      </c>
      <c r="E2400" t="s">
        <v>109</v>
      </c>
      <c r="F2400" t="s">
        <v>80</v>
      </c>
      <c r="G2400">
        <v>0</v>
      </c>
    </row>
    <row r="2401" spans="1:7" x14ac:dyDescent="0.3">
      <c r="A2401">
        <v>2020</v>
      </c>
      <c r="B2401" t="s">
        <v>18</v>
      </c>
      <c r="C2401" t="s">
        <v>170</v>
      </c>
      <c r="D2401" t="s">
        <v>171</v>
      </c>
      <c r="E2401" t="s">
        <v>110</v>
      </c>
      <c r="F2401" t="s">
        <v>80</v>
      </c>
      <c r="G2401">
        <v>0</v>
      </c>
    </row>
    <row r="2402" spans="1:7" x14ac:dyDescent="0.3">
      <c r="A2402">
        <v>2020</v>
      </c>
      <c r="B2402" t="s">
        <v>19</v>
      </c>
      <c r="C2402" t="s">
        <v>170</v>
      </c>
      <c r="D2402" t="s">
        <v>171</v>
      </c>
      <c r="E2402" t="s">
        <v>108</v>
      </c>
      <c r="F2402" t="s">
        <v>80</v>
      </c>
      <c r="G2402">
        <v>0</v>
      </c>
    </row>
    <row r="2403" spans="1:7" x14ac:dyDescent="0.3">
      <c r="A2403">
        <v>2020</v>
      </c>
      <c r="B2403" t="s">
        <v>19</v>
      </c>
      <c r="C2403" t="s">
        <v>170</v>
      </c>
      <c r="D2403" t="s">
        <v>171</v>
      </c>
      <c r="E2403" t="s">
        <v>91</v>
      </c>
      <c r="F2403" t="s">
        <v>80</v>
      </c>
      <c r="G2403">
        <v>0</v>
      </c>
    </row>
    <row r="2404" spans="1:7" x14ac:dyDescent="0.3">
      <c r="A2404">
        <v>2020</v>
      </c>
      <c r="B2404" t="s">
        <v>19</v>
      </c>
      <c r="C2404" t="s">
        <v>170</v>
      </c>
      <c r="D2404" t="s">
        <v>171</v>
      </c>
      <c r="E2404" t="s">
        <v>109</v>
      </c>
      <c r="F2404" t="s">
        <v>80</v>
      </c>
      <c r="G2404">
        <v>0</v>
      </c>
    </row>
    <row r="2405" spans="1:7" x14ac:dyDescent="0.3">
      <c r="A2405">
        <v>2020</v>
      </c>
      <c r="B2405" t="s">
        <v>19</v>
      </c>
      <c r="C2405" t="s">
        <v>170</v>
      </c>
      <c r="D2405" t="s">
        <v>171</v>
      </c>
      <c r="E2405" t="s">
        <v>110</v>
      </c>
      <c r="F2405" t="s">
        <v>80</v>
      </c>
      <c r="G2405">
        <v>0</v>
      </c>
    </row>
    <row r="2406" spans="1:7" x14ac:dyDescent="0.3">
      <c r="A2406">
        <v>2020</v>
      </c>
      <c r="B2406" t="s">
        <v>20</v>
      </c>
      <c r="C2406" t="s">
        <v>170</v>
      </c>
      <c r="D2406" t="s">
        <v>171</v>
      </c>
      <c r="E2406" t="s">
        <v>108</v>
      </c>
      <c r="F2406" t="s">
        <v>80</v>
      </c>
    </row>
    <row r="2407" spans="1:7" x14ac:dyDescent="0.3">
      <c r="A2407">
        <v>2020</v>
      </c>
      <c r="B2407" t="s">
        <v>20</v>
      </c>
      <c r="C2407" t="s">
        <v>170</v>
      </c>
      <c r="D2407" t="s">
        <v>171</v>
      </c>
      <c r="E2407" t="s">
        <v>91</v>
      </c>
      <c r="F2407" t="s">
        <v>80</v>
      </c>
    </row>
    <row r="2408" spans="1:7" x14ac:dyDescent="0.3">
      <c r="A2408">
        <v>2020</v>
      </c>
      <c r="B2408" t="s">
        <v>20</v>
      </c>
      <c r="C2408" t="s">
        <v>170</v>
      </c>
      <c r="D2408" t="s">
        <v>171</v>
      </c>
      <c r="E2408" t="s">
        <v>109</v>
      </c>
      <c r="F2408" t="s">
        <v>80</v>
      </c>
    </row>
    <row r="2409" spans="1:7" x14ac:dyDescent="0.3">
      <c r="A2409">
        <v>2020</v>
      </c>
      <c r="B2409" t="s">
        <v>20</v>
      </c>
      <c r="C2409" t="s">
        <v>170</v>
      </c>
      <c r="D2409" t="s">
        <v>171</v>
      </c>
      <c r="E2409" t="s">
        <v>110</v>
      </c>
      <c r="F2409" t="s">
        <v>80</v>
      </c>
    </row>
    <row r="2410" spans="1:7" x14ac:dyDescent="0.3">
      <c r="A2410">
        <v>2020</v>
      </c>
      <c r="B2410" t="s">
        <v>21</v>
      </c>
      <c r="C2410" t="s">
        <v>170</v>
      </c>
      <c r="D2410" t="s">
        <v>171</v>
      </c>
      <c r="E2410" t="s">
        <v>108</v>
      </c>
      <c r="F2410" t="s">
        <v>80</v>
      </c>
    </row>
    <row r="2411" spans="1:7" x14ac:dyDescent="0.3">
      <c r="A2411">
        <v>2020</v>
      </c>
      <c r="B2411" t="s">
        <v>21</v>
      </c>
      <c r="C2411" t="s">
        <v>170</v>
      </c>
      <c r="D2411" t="s">
        <v>171</v>
      </c>
      <c r="E2411" t="s">
        <v>91</v>
      </c>
      <c r="F2411" t="s">
        <v>80</v>
      </c>
    </row>
    <row r="2412" spans="1:7" x14ac:dyDescent="0.3">
      <c r="A2412">
        <v>2020</v>
      </c>
      <c r="B2412" t="s">
        <v>21</v>
      </c>
      <c r="C2412" t="s">
        <v>170</v>
      </c>
      <c r="D2412" t="s">
        <v>171</v>
      </c>
      <c r="E2412" t="s">
        <v>109</v>
      </c>
      <c r="F2412" t="s">
        <v>80</v>
      </c>
    </row>
    <row r="2413" spans="1:7" x14ac:dyDescent="0.3">
      <c r="A2413">
        <v>2020</v>
      </c>
      <c r="B2413" t="s">
        <v>21</v>
      </c>
      <c r="C2413" t="s">
        <v>170</v>
      </c>
      <c r="D2413" t="s">
        <v>171</v>
      </c>
      <c r="E2413" t="s">
        <v>110</v>
      </c>
      <c r="F2413" t="s">
        <v>80</v>
      </c>
    </row>
    <row r="2414" spans="1:7" x14ac:dyDescent="0.3">
      <c r="A2414">
        <v>2020</v>
      </c>
      <c r="B2414" t="s">
        <v>22</v>
      </c>
      <c r="C2414" t="s">
        <v>170</v>
      </c>
      <c r="D2414" t="s">
        <v>171</v>
      </c>
      <c r="E2414" t="s">
        <v>108</v>
      </c>
      <c r="F2414" t="s">
        <v>80</v>
      </c>
      <c r="G2414">
        <v>0</v>
      </c>
    </row>
    <row r="2415" spans="1:7" x14ac:dyDescent="0.3">
      <c r="A2415">
        <v>2020</v>
      </c>
      <c r="B2415" t="s">
        <v>22</v>
      </c>
      <c r="C2415" t="s">
        <v>170</v>
      </c>
      <c r="D2415" t="s">
        <v>171</v>
      </c>
      <c r="E2415" t="s">
        <v>91</v>
      </c>
      <c r="F2415" t="s">
        <v>80</v>
      </c>
      <c r="G2415">
        <v>0</v>
      </c>
    </row>
    <row r="2416" spans="1:7" x14ac:dyDescent="0.3">
      <c r="A2416">
        <v>2020</v>
      </c>
      <c r="B2416" t="s">
        <v>22</v>
      </c>
      <c r="C2416" t="s">
        <v>170</v>
      </c>
      <c r="D2416" t="s">
        <v>171</v>
      </c>
      <c r="E2416" t="s">
        <v>109</v>
      </c>
      <c r="F2416" t="s">
        <v>80</v>
      </c>
      <c r="G2416">
        <v>0</v>
      </c>
    </row>
    <row r="2417" spans="1:7" x14ac:dyDescent="0.3">
      <c r="A2417">
        <v>2020</v>
      </c>
      <c r="B2417" t="s">
        <v>22</v>
      </c>
      <c r="C2417" t="s">
        <v>170</v>
      </c>
      <c r="D2417" t="s">
        <v>171</v>
      </c>
      <c r="E2417" t="s">
        <v>110</v>
      </c>
      <c r="F2417" t="s">
        <v>80</v>
      </c>
      <c r="G2417">
        <v>0</v>
      </c>
    </row>
    <row r="2418" spans="1:7" x14ac:dyDescent="0.3">
      <c r="A2418">
        <v>2020</v>
      </c>
      <c r="B2418" t="s">
        <v>23</v>
      </c>
      <c r="C2418" t="s">
        <v>170</v>
      </c>
      <c r="D2418" t="s">
        <v>171</v>
      </c>
      <c r="E2418" t="s">
        <v>108</v>
      </c>
      <c r="F2418" t="s">
        <v>80</v>
      </c>
      <c r="G2418">
        <v>0</v>
      </c>
    </row>
    <row r="2419" spans="1:7" x14ac:dyDescent="0.3">
      <c r="A2419">
        <v>2020</v>
      </c>
      <c r="B2419" t="s">
        <v>23</v>
      </c>
      <c r="C2419" t="s">
        <v>170</v>
      </c>
      <c r="D2419" t="s">
        <v>171</v>
      </c>
      <c r="E2419" t="s">
        <v>91</v>
      </c>
      <c r="F2419" t="s">
        <v>80</v>
      </c>
      <c r="G2419">
        <v>1</v>
      </c>
    </row>
    <row r="2420" spans="1:7" x14ac:dyDescent="0.3">
      <c r="A2420">
        <v>2020</v>
      </c>
      <c r="B2420" t="s">
        <v>23</v>
      </c>
      <c r="C2420" t="s">
        <v>170</v>
      </c>
      <c r="D2420" t="s">
        <v>171</v>
      </c>
      <c r="E2420" t="s">
        <v>109</v>
      </c>
      <c r="F2420" t="s">
        <v>80</v>
      </c>
      <c r="G2420">
        <v>0</v>
      </c>
    </row>
    <row r="2421" spans="1:7" x14ac:dyDescent="0.3">
      <c r="A2421">
        <v>2020</v>
      </c>
      <c r="B2421" t="s">
        <v>23</v>
      </c>
      <c r="C2421" t="s">
        <v>170</v>
      </c>
      <c r="D2421" t="s">
        <v>171</v>
      </c>
      <c r="E2421" t="s">
        <v>110</v>
      </c>
      <c r="F2421" t="s">
        <v>80</v>
      </c>
      <c r="G2421">
        <v>0</v>
      </c>
    </row>
    <row r="2422" spans="1:7" x14ac:dyDescent="0.3">
      <c r="A2422">
        <v>2020</v>
      </c>
      <c r="B2422" t="s">
        <v>24</v>
      </c>
      <c r="C2422" t="s">
        <v>170</v>
      </c>
      <c r="D2422" t="s">
        <v>171</v>
      </c>
      <c r="E2422" t="s">
        <v>108</v>
      </c>
      <c r="F2422" t="s">
        <v>80</v>
      </c>
    </row>
    <row r="2423" spans="1:7" x14ac:dyDescent="0.3">
      <c r="A2423">
        <v>2020</v>
      </c>
      <c r="B2423" t="s">
        <v>24</v>
      </c>
      <c r="C2423" t="s">
        <v>170</v>
      </c>
      <c r="D2423" t="s">
        <v>171</v>
      </c>
      <c r="E2423" t="s">
        <v>91</v>
      </c>
      <c r="F2423" t="s">
        <v>80</v>
      </c>
    </row>
    <row r="2424" spans="1:7" x14ac:dyDescent="0.3">
      <c r="A2424">
        <v>2020</v>
      </c>
      <c r="B2424" t="s">
        <v>24</v>
      </c>
      <c r="C2424" t="s">
        <v>170</v>
      </c>
      <c r="D2424" t="s">
        <v>171</v>
      </c>
      <c r="E2424" t="s">
        <v>109</v>
      </c>
      <c r="F2424" t="s">
        <v>80</v>
      </c>
    </row>
    <row r="2425" spans="1:7" x14ac:dyDescent="0.3">
      <c r="A2425">
        <v>2020</v>
      </c>
      <c r="B2425" t="s">
        <v>24</v>
      </c>
      <c r="C2425" t="s">
        <v>170</v>
      </c>
      <c r="D2425" t="s">
        <v>171</v>
      </c>
      <c r="E2425" t="s">
        <v>110</v>
      </c>
      <c r="F2425" t="s">
        <v>80</v>
      </c>
    </row>
    <row r="2426" spans="1:7" x14ac:dyDescent="0.3">
      <c r="A2426">
        <v>2020</v>
      </c>
      <c r="B2426" t="s">
        <v>25</v>
      </c>
      <c r="C2426" t="s">
        <v>170</v>
      </c>
      <c r="D2426" t="s">
        <v>171</v>
      </c>
      <c r="E2426" t="s">
        <v>108</v>
      </c>
      <c r="F2426" t="s">
        <v>80</v>
      </c>
    </row>
    <row r="2427" spans="1:7" x14ac:dyDescent="0.3">
      <c r="A2427">
        <v>2020</v>
      </c>
      <c r="B2427" t="s">
        <v>25</v>
      </c>
      <c r="C2427" t="s">
        <v>170</v>
      </c>
      <c r="D2427" t="s">
        <v>171</v>
      </c>
      <c r="E2427" t="s">
        <v>91</v>
      </c>
      <c r="F2427" t="s">
        <v>80</v>
      </c>
    </row>
    <row r="2428" spans="1:7" x14ac:dyDescent="0.3">
      <c r="A2428">
        <v>2020</v>
      </c>
      <c r="B2428" t="s">
        <v>25</v>
      </c>
      <c r="C2428" t="s">
        <v>170</v>
      </c>
      <c r="D2428" t="s">
        <v>171</v>
      </c>
      <c r="E2428" t="s">
        <v>109</v>
      </c>
      <c r="F2428" t="s">
        <v>80</v>
      </c>
    </row>
    <row r="2429" spans="1:7" x14ac:dyDescent="0.3">
      <c r="A2429">
        <v>2020</v>
      </c>
      <c r="B2429" t="s">
        <v>25</v>
      </c>
      <c r="C2429" t="s">
        <v>170</v>
      </c>
      <c r="D2429" t="s">
        <v>171</v>
      </c>
      <c r="E2429" t="s">
        <v>110</v>
      </c>
      <c r="F2429" t="s">
        <v>80</v>
      </c>
    </row>
    <row r="2430" spans="1:7" x14ac:dyDescent="0.3">
      <c r="A2430">
        <v>2020</v>
      </c>
      <c r="B2430" t="s">
        <v>26</v>
      </c>
      <c r="C2430" t="s">
        <v>170</v>
      </c>
      <c r="D2430" t="s">
        <v>171</v>
      </c>
      <c r="E2430" t="s">
        <v>108</v>
      </c>
      <c r="F2430" t="s">
        <v>80</v>
      </c>
    </row>
    <row r="2431" spans="1:7" x14ac:dyDescent="0.3">
      <c r="A2431">
        <v>2020</v>
      </c>
      <c r="B2431" t="s">
        <v>26</v>
      </c>
      <c r="C2431" t="s">
        <v>170</v>
      </c>
      <c r="D2431" t="s">
        <v>171</v>
      </c>
      <c r="E2431" t="s">
        <v>91</v>
      </c>
      <c r="F2431" t="s">
        <v>80</v>
      </c>
    </row>
    <row r="2432" spans="1:7" x14ac:dyDescent="0.3">
      <c r="A2432">
        <v>2020</v>
      </c>
      <c r="B2432" t="s">
        <v>26</v>
      </c>
      <c r="C2432" t="s">
        <v>170</v>
      </c>
      <c r="D2432" t="s">
        <v>171</v>
      </c>
      <c r="E2432" t="s">
        <v>109</v>
      </c>
      <c r="F2432" t="s">
        <v>80</v>
      </c>
    </row>
    <row r="2433" spans="1:7" x14ac:dyDescent="0.3">
      <c r="A2433">
        <v>2020</v>
      </c>
      <c r="B2433" t="s">
        <v>26</v>
      </c>
      <c r="C2433" t="s">
        <v>170</v>
      </c>
      <c r="D2433" t="s">
        <v>171</v>
      </c>
      <c r="E2433" t="s">
        <v>110</v>
      </c>
      <c r="F2433" t="s">
        <v>80</v>
      </c>
    </row>
    <row r="2434" spans="1:7" x14ac:dyDescent="0.3">
      <c r="A2434">
        <v>2020</v>
      </c>
      <c r="B2434" t="s">
        <v>27</v>
      </c>
      <c r="C2434" t="s">
        <v>170</v>
      </c>
      <c r="D2434" t="s">
        <v>171</v>
      </c>
      <c r="E2434" t="s">
        <v>108</v>
      </c>
      <c r="F2434" t="s">
        <v>80</v>
      </c>
      <c r="G2434">
        <v>0</v>
      </c>
    </row>
    <row r="2435" spans="1:7" x14ac:dyDescent="0.3">
      <c r="A2435">
        <v>2020</v>
      </c>
      <c r="B2435" t="s">
        <v>27</v>
      </c>
      <c r="C2435" t="s">
        <v>170</v>
      </c>
      <c r="D2435" t="s">
        <v>171</v>
      </c>
      <c r="E2435" t="s">
        <v>91</v>
      </c>
      <c r="F2435" t="s">
        <v>80</v>
      </c>
      <c r="G2435">
        <v>0</v>
      </c>
    </row>
    <row r="2436" spans="1:7" x14ac:dyDescent="0.3">
      <c r="A2436">
        <v>2020</v>
      </c>
      <c r="B2436" t="s">
        <v>27</v>
      </c>
      <c r="C2436" t="s">
        <v>170</v>
      </c>
      <c r="D2436" t="s">
        <v>171</v>
      </c>
      <c r="E2436" t="s">
        <v>109</v>
      </c>
      <c r="F2436" t="s">
        <v>80</v>
      </c>
      <c r="G2436">
        <v>0</v>
      </c>
    </row>
    <row r="2437" spans="1:7" x14ac:dyDescent="0.3">
      <c r="A2437">
        <v>2020</v>
      </c>
      <c r="B2437" t="s">
        <v>27</v>
      </c>
      <c r="C2437" t="s">
        <v>170</v>
      </c>
      <c r="D2437" t="s">
        <v>171</v>
      </c>
      <c r="E2437" t="s">
        <v>110</v>
      </c>
      <c r="F2437" t="s">
        <v>80</v>
      </c>
      <c r="G2437">
        <v>0</v>
      </c>
    </row>
    <row r="2438" spans="1:7" x14ac:dyDescent="0.3">
      <c r="A2438">
        <v>2020</v>
      </c>
      <c r="B2438" t="s">
        <v>29</v>
      </c>
      <c r="C2438" t="s">
        <v>170</v>
      </c>
      <c r="D2438" t="s">
        <v>171</v>
      </c>
      <c r="E2438" t="s">
        <v>108</v>
      </c>
      <c r="F2438" t="s">
        <v>80</v>
      </c>
    </row>
    <row r="2439" spans="1:7" x14ac:dyDescent="0.3">
      <c r="A2439">
        <v>2020</v>
      </c>
      <c r="B2439" t="s">
        <v>29</v>
      </c>
      <c r="C2439" t="s">
        <v>170</v>
      </c>
      <c r="D2439" t="s">
        <v>171</v>
      </c>
      <c r="E2439" t="s">
        <v>91</v>
      </c>
      <c r="F2439" t="s">
        <v>80</v>
      </c>
    </row>
    <row r="2440" spans="1:7" x14ac:dyDescent="0.3">
      <c r="A2440">
        <v>2020</v>
      </c>
      <c r="B2440" t="s">
        <v>29</v>
      </c>
      <c r="C2440" t="s">
        <v>170</v>
      </c>
      <c r="D2440" t="s">
        <v>171</v>
      </c>
      <c r="E2440" t="s">
        <v>109</v>
      </c>
      <c r="F2440" t="s">
        <v>80</v>
      </c>
    </row>
    <row r="2441" spans="1:7" x14ac:dyDescent="0.3">
      <c r="A2441">
        <v>2020</v>
      </c>
      <c r="B2441" t="s">
        <v>29</v>
      </c>
      <c r="C2441" t="s">
        <v>170</v>
      </c>
      <c r="D2441" t="s">
        <v>171</v>
      </c>
      <c r="E2441" t="s">
        <v>110</v>
      </c>
      <c r="F2441" t="s">
        <v>80</v>
      </c>
    </row>
    <row r="2442" spans="1:7" x14ac:dyDescent="0.3">
      <c r="A2442">
        <v>2020</v>
      </c>
      <c r="B2442" t="s">
        <v>30</v>
      </c>
      <c r="C2442" t="s">
        <v>170</v>
      </c>
      <c r="D2442" t="s">
        <v>171</v>
      </c>
      <c r="E2442" t="s">
        <v>108</v>
      </c>
      <c r="F2442" t="s">
        <v>80</v>
      </c>
      <c r="G2442">
        <v>0</v>
      </c>
    </row>
    <row r="2443" spans="1:7" x14ac:dyDescent="0.3">
      <c r="A2443">
        <v>2020</v>
      </c>
      <c r="B2443" t="s">
        <v>30</v>
      </c>
      <c r="C2443" t="s">
        <v>170</v>
      </c>
      <c r="D2443" t="s">
        <v>171</v>
      </c>
      <c r="E2443" t="s">
        <v>91</v>
      </c>
      <c r="F2443" t="s">
        <v>80</v>
      </c>
      <c r="G2443">
        <v>0</v>
      </c>
    </row>
    <row r="2444" spans="1:7" x14ac:dyDescent="0.3">
      <c r="A2444">
        <v>2020</v>
      </c>
      <c r="B2444" t="s">
        <v>30</v>
      </c>
      <c r="C2444" t="s">
        <v>170</v>
      </c>
      <c r="D2444" t="s">
        <v>171</v>
      </c>
      <c r="E2444" t="s">
        <v>109</v>
      </c>
      <c r="F2444" t="s">
        <v>80</v>
      </c>
      <c r="G2444">
        <v>0</v>
      </c>
    </row>
    <row r="2445" spans="1:7" x14ac:dyDescent="0.3">
      <c r="A2445">
        <v>2020</v>
      </c>
      <c r="B2445" t="s">
        <v>30</v>
      </c>
      <c r="C2445" t="s">
        <v>170</v>
      </c>
      <c r="D2445" t="s">
        <v>171</v>
      </c>
      <c r="E2445" t="s">
        <v>110</v>
      </c>
      <c r="F2445" t="s">
        <v>80</v>
      </c>
      <c r="G2445">
        <v>0</v>
      </c>
    </row>
    <row r="2446" spans="1:7" x14ac:dyDescent="0.3">
      <c r="A2446">
        <v>2020</v>
      </c>
      <c r="B2446" t="s">
        <v>31</v>
      </c>
      <c r="C2446" t="s">
        <v>170</v>
      </c>
      <c r="D2446" t="s">
        <v>171</v>
      </c>
      <c r="E2446" t="s">
        <v>108</v>
      </c>
      <c r="F2446" t="s">
        <v>80</v>
      </c>
      <c r="G2446">
        <v>0</v>
      </c>
    </row>
    <row r="2447" spans="1:7" x14ac:dyDescent="0.3">
      <c r="A2447">
        <v>2020</v>
      </c>
      <c r="B2447" t="s">
        <v>31</v>
      </c>
      <c r="C2447" t="s">
        <v>170</v>
      </c>
      <c r="D2447" t="s">
        <v>171</v>
      </c>
      <c r="E2447" t="s">
        <v>91</v>
      </c>
      <c r="F2447" t="s">
        <v>80</v>
      </c>
      <c r="G2447">
        <v>0</v>
      </c>
    </row>
    <row r="2448" spans="1:7" x14ac:dyDescent="0.3">
      <c r="A2448">
        <v>2020</v>
      </c>
      <c r="B2448" t="s">
        <v>31</v>
      </c>
      <c r="C2448" t="s">
        <v>170</v>
      </c>
      <c r="D2448" t="s">
        <v>171</v>
      </c>
      <c r="E2448" t="s">
        <v>109</v>
      </c>
      <c r="F2448" t="s">
        <v>80</v>
      </c>
      <c r="G2448">
        <v>0</v>
      </c>
    </row>
    <row r="2449" spans="1:7" x14ac:dyDescent="0.3">
      <c r="A2449">
        <v>2020</v>
      </c>
      <c r="B2449" t="s">
        <v>31</v>
      </c>
      <c r="C2449" t="s">
        <v>170</v>
      </c>
      <c r="D2449" t="s">
        <v>171</v>
      </c>
      <c r="E2449" t="s">
        <v>110</v>
      </c>
      <c r="F2449" t="s">
        <v>80</v>
      </c>
      <c r="G2449">
        <v>0</v>
      </c>
    </row>
    <row r="2450" spans="1:7" x14ac:dyDescent="0.3">
      <c r="A2450">
        <v>2020</v>
      </c>
      <c r="B2450" t="s">
        <v>32</v>
      </c>
      <c r="C2450" t="s">
        <v>170</v>
      </c>
      <c r="D2450" t="s">
        <v>171</v>
      </c>
      <c r="E2450" t="s">
        <v>108</v>
      </c>
      <c r="F2450" t="s">
        <v>80</v>
      </c>
    </row>
    <row r="2451" spans="1:7" x14ac:dyDescent="0.3">
      <c r="A2451">
        <v>2020</v>
      </c>
      <c r="B2451" t="s">
        <v>32</v>
      </c>
      <c r="C2451" t="s">
        <v>170</v>
      </c>
      <c r="D2451" t="s">
        <v>171</v>
      </c>
      <c r="E2451" t="s">
        <v>91</v>
      </c>
      <c r="F2451" t="s">
        <v>80</v>
      </c>
    </row>
    <row r="2452" spans="1:7" x14ac:dyDescent="0.3">
      <c r="A2452">
        <v>2020</v>
      </c>
      <c r="B2452" t="s">
        <v>32</v>
      </c>
      <c r="C2452" t="s">
        <v>170</v>
      </c>
      <c r="D2452" t="s">
        <v>171</v>
      </c>
      <c r="E2452" t="s">
        <v>109</v>
      </c>
      <c r="F2452" t="s">
        <v>80</v>
      </c>
    </row>
    <row r="2453" spans="1:7" x14ac:dyDescent="0.3">
      <c r="A2453">
        <v>2020</v>
      </c>
      <c r="B2453" t="s">
        <v>32</v>
      </c>
      <c r="C2453" t="s">
        <v>170</v>
      </c>
      <c r="D2453" t="s">
        <v>171</v>
      </c>
      <c r="E2453" t="s">
        <v>110</v>
      </c>
      <c r="F2453" t="s">
        <v>80</v>
      </c>
    </row>
    <row r="2454" spans="1:7" x14ac:dyDescent="0.3">
      <c r="A2454">
        <v>2020</v>
      </c>
      <c r="B2454" t="s">
        <v>63</v>
      </c>
      <c r="C2454" t="s">
        <v>170</v>
      </c>
      <c r="D2454" t="s">
        <v>171</v>
      </c>
      <c r="E2454" t="s">
        <v>108</v>
      </c>
      <c r="F2454" t="s">
        <v>80</v>
      </c>
      <c r="G2454">
        <v>0</v>
      </c>
    </row>
    <row r="2455" spans="1:7" x14ac:dyDescent="0.3">
      <c r="A2455">
        <v>2020</v>
      </c>
      <c r="B2455" t="s">
        <v>63</v>
      </c>
      <c r="C2455" t="s">
        <v>170</v>
      </c>
      <c r="D2455" t="s">
        <v>171</v>
      </c>
      <c r="E2455" t="s">
        <v>91</v>
      </c>
      <c r="F2455" t="s">
        <v>80</v>
      </c>
      <c r="G2455">
        <v>2</v>
      </c>
    </row>
    <row r="2456" spans="1:7" x14ac:dyDescent="0.3">
      <c r="A2456">
        <v>2020</v>
      </c>
      <c r="B2456" t="s">
        <v>63</v>
      </c>
      <c r="C2456" t="s">
        <v>170</v>
      </c>
      <c r="D2456" t="s">
        <v>171</v>
      </c>
      <c r="E2456" t="s">
        <v>109</v>
      </c>
      <c r="F2456" t="s">
        <v>80</v>
      </c>
      <c r="G2456">
        <v>0</v>
      </c>
    </row>
    <row r="2457" spans="1:7" x14ac:dyDescent="0.3">
      <c r="A2457">
        <v>2020</v>
      </c>
      <c r="B2457" t="s">
        <v>63</v>
      </c>
      <c r="C2457" t="s">
        <v>170</v>
      </c>
      <c r="D2457" t="s">
        <v>171</v>
      </c>
      <c r="E2457" t="s">
        <v>110</v>
      </c>
      <c r="F2457" t="s">
        <v>80</v>
      </c>
      <c r="G2457">
        <v>0</v>
      </c>
    </row>
    <row r="2458" spans="1:7" x14ac:dyDescent="0.3">
      <c r="A2458">
        <v>2020</v>
      </c>
      <c r="B2458" t="s">
        <v>57</v>
      </c>
      <c r="C2458" t="s">
        <v>170</v>
      </c>
      <c r="D2458" t="s">
        <v>171</v>
      </c>
      <c r="E2458" t="s">
        <v>108</v>
      </c>
      <c r="F2458" t="s">
        <v>80</v>
      </c>
    </row>
    <row r="2459" spans="1:7" x14ac:dyDescent="0.3">
      <c r="A2459">
        <v>2020</v>
      </c>
      <c r="B2459" t="s">
        <v>57</v>
      </c>
      <c r="C2459" t="s">
        <v>170</v>
      </c>
      <c r="D2459" t="s">
        <v>171</v>
      </c>
      <c r="E2459" t="s">
        <v>91</v>
      </c>
      <c r="F2459" t="s">
        <v>80</v>
      </c>
    </row>
    <row r="2460" spans="1:7" x14ac:dyDescent="0.3">
      <c r="A2460">
        <v>2020</v>
      </c>
      <c r="B2460" t="s">
        <v>57</v>
      </c>
      <c r="C2460" t="s">
        <v>170</v>
      </c>
      <c r="D2460" t="s">
        <v>171</v>
      </c>
      <c r="E2460" t="s">
        <v>109</v>
      </c>
      <c r="F2460" t="s">
        <v>80</v>
      </c>
    </row>
    <row r="2461" spans="1:7" x14ac:dyDescent="0.3">
      <c r="A2461">
        <v>2020</v>
      </c>
      <c r="B2461" t="s">
        <v>57</v>
      </c>
      <c r="C2461" t="s">
        <v>170</v>
      </c>
      <c r="D2461" t="s">
        <v>171</v>
      </c>
      <c r="E2461" t="s">
        <v>110</v>
      </c>
      <c r="F2461" t="s">
        <v>80</v>
      </c>
    </row>
    <row r="2462" spans="1:7" x14ac:dyDescent="0.3">
      <c r="A2462">
        <v>2020</v>
      </c>
      <c r="B2462" t="s">
        <v>33</v>
      </c>
      <c r="C2462" t="s">
        <v>170</v>
      </c>
      <c r="D2462" t="s">
        <v>171</v>
      </c>
      <c r="E2462" t="s">
        <v>108</v>
      </c>
      <c r="F2462" t="s">
        <v>80</v>
      </c>
    </row>
    <row r="2463" spans="1:7" x14ac:dyDescent="0.3">
      <c r="A2463">
        <v>2020</v>
      </c>
      <c r="B2463" t="s">
        <v>33</v>
      </c>
      <c r="C2463" t="s">
        <v>170</v>
      </c>
      <c r="D2463" t="s">
        <v>171</v>
      </c>
      <c r="E2463" t="s">
        <v>91</v>
      </c>
      <c r="F2463" t="s">
        <v>80</v>
      </c>
    </row>
    <row r="2464" spans="1:7" x14ac:dyDescent="0.3">
      <c r="A2464">
        <v>2020</v>
      </c>
      <c r="B2464" t="s">
        <v>33</v>
      </c>
      <c r="C2464" t="s">
        <v>170</v>
      </c>
      <c r="D2464" t="s">
        <v>171</v>
      </c>
      <c r="E2464" t="s">
        <v>109</v>
      </c>
      <c r="F2464" t="s">
        <v>80</v>
      </c>
    </row>
    <row r="2465" spans="1:7" x14ac:dyDescent="0.3">
      <c r="A2465">
        <v>2020</v>
      </c>
      <c r="B2465" t="s">
        <v>33</v>
      </c>
      <c r="C2465" t="s">
        <v>170</v>
      </c>
      <c r="D2465" t="s">
        <v>171</v>
      </c>
      <c r="E2465" t="s">
        <v>110</v>
      </c>
      <c r="F2465" t="s">
        <v>80</v>
      </c>
    </row>
    <row r="2466" spans="1:7" x14ac:dyDescent="0.3">
      <c r="A2466">
        <v>2020</v>
      </c>
      <c r="B2466" t="s">
        <v>34</v>
      </c>
      <c r="C2466" t="s">
        <v>170</v>
      </c>
      <c r="D2466" t="s">
        <v>171</v>
      </c>
      <c r="E2466" t="s">
        <v>108</v>
      </c>
      <c r="F2466" t="s">
        <v>80</v>
      </c>
      <c r="G2466">
        <v>0</v>
      </c>
    </row>
    <row r="2467" spans="1:7" x14ac:dyDescent="0.3">
      <c r="A2467">
        <v>2020</v>
      </c>
      <c r="B2467" t="s">
        <v>34</v>
      </c>
      <c r="C2467" t="s">
        <v>170</v>
      </c>
      <c r="D2467" t="s">
        <v>171</v>
      </c>
      <c r="E2467" t="s">
        <v>91</v>
      </c>
      <c r="F2467" t="s">
        <v>80</v>
      </c>
      <c r="G2467">
        <v>0</v>
      </c>
    </row>
    <row r="2468" spans="1:7" x14ac:dyDescent="0.3">
      <c r="A2468">
        <v>2020</v>
      </c>
      <c r="B2468" t="s">
        <v>34</v>
      </c>
      <c r="C2468" t="s">
        <v>170</v>
      </c>
      <c r="D2468" t="s">
        <v>171</v>
      </c>
      <c r="E2468" t="s">
        <v>109</v>
      </c>
      <c r="F2468" t="s">
        <v>80</v>
      </c>
      <c r="G2468">
        <v>0</v>
      </c>
    </row>
    <row r="2469" spans="1:7" x14ac:dyDescent="0.3">
      <c r="A2469">
        <v>2020</v>
      </c>
      <c r="B2469" t="s">
        <v>34</v>
      </c>
      <c r="C2469" t="s">
        <v>170</v>
      </c>
      <c r="D2469" t="s">
        <v>171</v>
      </c>
      <c r="E2469" t="s">
        <v>110</v>
      </c>
      <c r="F2469" t="s">
        <v>80</v>
      </c>
      <c r="G2469">
        <v>0</v>
      </c>
    </row>
    <row r="2470" spans="1:7" x14ac:dyDescent="0.3">
      <c r="A2470">
        <v>2020</v>
      </c>
      <c r="B2470" t="s">
        <v>35</v>
      </c>
      <c r="C2470" t="s">
        <v>170</v>
      </c>
      <c r="D2470" t="s">
        <v>171</v>
      </c>
      <c r="E2470" t="s">
        <v>108</v>
      </c>
      <c r="F2470" t="s">
        <v>80</v>
      </c>
      <c r="G2470">
        <v>0</v>
      </c>
    </row>
    <row r="2471" spans="1:7" x14ac:dyDescent="0.3">
      <c r="A2471">
        <v>2020</v>
      </c>
      <c r="B2471" t="s">
        <v>35</v>
      </c>
      <c r="C2471" t="s">
        <v>170</v>
      </c>
      <c r="D2471" t="s">
        <v>171</v>
      </c>
      <c r="E2471" t="s">
        <v>91</v>
      </c>
      <c r="F2471" t="s">
        <v>80</v>
      </c>
      <c r="G2471">
        <v>0</v>
      </c>
    </row>
    <row r="2472" spans="1:7" x14ac:dyDescent="0.3">
      <c r="A2472">
        <v>2020</v>
      </c>
      <c r="B2472" t="s">
        <v>35</v>
      </c>
      <c r="C2472" t="s">
        <v>170</v>
      </c>
      <c r="D2472" t="s">
        <v>171</v>
      </c>
      <c r="E2472" t="s">
        <v>109</v>
      </c>
      <c r="F2472" t="s">
        <v>80</v>
      </c>
      <c r="G2472">
        <v>0</v>
      </c>
    </row>
    <row r="2473" spans="1:7" x14ac:dyDescent="0.3">
      <c r="A2473">
        <v>2020</v>
      </c>
      <c r="B2473" t="s">
        <v>35</v>
      </c>
      <c r="C2473" t="s">
        <v>170</v>
      </c>
      <c r="D2473" t="s">
        <v>171</v>
      </c>
      <c r="E2473" t="s">
        <v>110</v>
      </c>
      <c r="F2473" t="s">
        <v>80</v>
      </c>
      <c r="G2473">
        <v>0</v>
      </c>
    </row>
    <row r="2474" spans="1:7" x14ac:dyDescent="0.3">
      <c r="A2474">
        <v>2020</v>
      </c>
      <c r="B2474" t="s">
        <v>36</v>
      </c>
      <c r="C2474" t="s">
        <v>170</v>
      </c>
      <c r="D2474" t="s">
        <v>171</v>
      </c>
      <c r="E2474" t="s">
        <v>108</v>
      </c>
      <c r="F2474" t="s">
        <v>80</v>
      </c>
    </row>
    <row r="2475" spans="1:7" x14ac:dyDescent="0.3">
      <c r="A2475">
        <v>2020</v>
      </c>
      <c r="B2475" t="s">
        <v>36</v>
      </c>
      <c r="C2475" t="s">
        <v>170</v>
      </c>
      <c r="D2475" t="s">
        <v>171</v>
      </c>
      <c r="E2475" t="s">
        <v>91</v>
      </c>
      <c r="F2475" t="s">
        <v>80</v>
      </c>
    </row>
    <row r="2476" spans="1:7" x14ac:dyDescent="0.3">
      <c r="A2476">
        <v>2020</v>
      </c>
      <c r="B2476" t="s">
        <v>36</v>
      </c>
      <c r="C2476" t="s">
        <v>170</v>
      </c>
      <c r="D2476" t="s">
        <v>171</v>
      </c>
      <c r="E2476" t="s">
        <v>109</v>
      </c>
      <c r="F2476" t="s">
        <v>80</v>
      </c>
    </row>
    <row r="2477" spans="1:7" x14ac:dyDescent="0.3">
      <c r="A2477">
        <v>2020</v>
      </c>
      <c r="B2477" t="s">
        <v>36</v>
      </c>
      <c r="C2477" t="s">
        <v>170</v>
      </c>
      <c r="D2477" t="s">
        <v>171</v>
      </c>
      <c r="E2477" t="s">
        <v>110</v>
      </c>
      <c r="F2477" t="s">
        <v>80</v>
      </c>
    </row>
    <row r="2478" spans="1:7" x14ac:dyDescent="0.3">
      <c r="A2478">
        <v>2020</v>
      </c>
      <c r="B2478" t="s">
        <v>37</v>
      </c>
      <c r="C2478" t="s">
        <v>170</v>
      </c>
      <c r="D2478" t="s">
        <v>171</v>
      </c>
      <c r="E2478" t="s">
        <v>108</v>
      </c>
      <c r="F2478" t="s">
        <v>80</v>
      </c>
    </row>
    <row r="2479" spans="1:7" x14ac:dyDescent="0.3">
      <c r="A2479">
        <v>2020</v>
      </c>
      <c r="B2479" t="s">
        <v>37</v>
      </c>
      <c r="C2479" t="s">
        <v>170</v>
      </c>
      <c r="D2479" t="s">
        <v>171</v>
      </c>
      <c r="E2479" t="s">
        <v>91</v>
      </c>
      <c r="F2479" t="s">
        <v>80</v>
      </c>
    </row>
    <row r="2480" spans="1:7" x14ac:dyDescent="0.3">
      <c r="A2480">
        <v>2020</v>
      </c>
      <c r="B2480" t="s">
        <v>37</v>
      </c>
      <c r="C2480" t="s">
        <v>170</v>
      </c>
      <c r="D2480" t="s">
        <v>171</v>
      </c>
      <c r="E2480" t="s">
        <v>109</v>
      </c>
      <c r="F2480" t="s">
        <v>80</v>
      </c>
    </row>
    <row r="2481" spans="1:7" x14ac:dyDescent="0.3">
      <c r="A2481">
        <v>2020</v>
      </c>
      <c r="B2481" t="s">
        <v>37</v>
      </c>
      <c r="C2481" t="s">
        <v>170</v>
      </c>
      <c r="D2481" t="s">
        <v>171</v>
      </c>
      <c r="E2481" t="s">
        <v>110</v>
      </c>
      <c r="F2481" t="s">
        <v>80</v>
      </c>
    </row>
    <row r="2482" spans="1:7" x14ac:dyDescent="0.3">
      <c r="A2482">
        <v>2020</v>
      </c>
      <c r="B2482" t="s">
        <v>55</v>
      </c>
      <c r="C2482" t="s">
        <v>170</v>
      </c>
      <c r="D2482" t="s">
        <v>171</v>
      </c>
      <c r="E2482" t="s">
        <v>108</v>
      </c>
      <c r="F2482" t="s">
        <v>80</v>
      </c>
      <c r="G2482">
        <v>0</v>
      </c>
    </row>
    <row r="2483" spans="1:7" x14ac:dyDescent="0.3">
      <c r="A2483">
        <v>2020</v>
      </c>
      <c r="B2483" t="s">
        <v>55</v>
      </c>
      <c r="C2483" t="s">
        <v>170</v>
      </c>
      <c r="D2483" t="s">
        <v>171</v>
      </c>
      <c r="E2483" t="s">
        <v>91</v>
      </c>
      <c r="F2483" t="s">
        <v>80</v>
      </c>
      <c r="G2483">
        <v>0</v>
      </c>
    </row>
    <row r="2484" spans="1:7" x14ac:dyDescent="0.3">
      <c r="A2484">
        <v>2020</v>
      </c>
      <c r="B2484" t="s">
        <v>55</v>
      </c>
      <c r="C2484" t="s">
        <v>170</v>
      </c>
      <c r="D2484" t="s">
        <v>171</v>
      </c>
      <c r="E2484" t="s">
        <v>109</v>
      </c>
      <c r="F2484" t="s">
        <v>80</v>
      </c>
      <c r="G2484">
        <v>0</v>
      </c>
    </row>
    <row r="2485" spans="1:7" x14ac:dyDescent="0.3">
      <c r="A2485">
        <v>2020</v>
      </c>
      <c r="B2485" t="s">
        <v>55</v>
      </c>
      <c r="C2485" t="s">
        <v>170</v>
      </c>
      <c r="D2485" t="s">
        <v>171</v>
      </c>
      <c r="E2485" t="s">
        <v>110</v>
      </c>
      <c r="F2485" t="s">
        <v>80</v>
      </c>
      <c r="G2485">
        <v>0</v>
      </c>
    </row>
    <row r="2486" spans="1:7" x14ac:dyDescent="0.3">
      <c r="A2486">
        <v>2020</v>
      </c>
      <c r="B2486" t="s">
        <v>38</v>
      </c>
      <c r="C2486" t="s">
        <v>170</v>
      </c>
      <c r="D2486" t="s">
        <v>171</v>
      </c>
      <c r="E2486" t="s">
        <v>108</v>
      </c>
      <c r="F2486" t="s">
        <v>80</v>
      </c>
    </row>
    <row r="2487" spans="1:7" x14ac:dyDescent="0.3">
      <c r="A2487">
        <v>2020</v>
      </c>
      <c r="B2487" t="s">
        <v>38</v>
      </c>
      <c r="C2487" t="s">
        <v>170</v>
      </c>
      <c r="D2487" t="s">
        <v>171</v>
      </c>
      <c r="E2487" t="s">
        <v>91</v>
      </c>
      <c r="F2487" t="s">
        <v>80</v>
      </c>
    </row>
    <row r="2488" spans="1:7" x14ac:dyDescent="0.3">
      <c r="A2488">
        <v>2020</v>
      </c>
      <c r="B2488" t="s">
        <v>38</v>
      </c>
      <c r="C2488" t="s">
        <v>170</v>
      </c>
      <c r="D2488" t="s">
        <v>171</v>
      </c>
      <c r="E2488" t="s">
        <v>109</v>
      </c>
      <c r="F2488" t="s">
        <v>80</v>
      </c>
    </row>
    <row r="2489" spans="1:7" x14ac:dyDescent="0.3">
      <c r="A2489">
        <v>2020</v>
      </c>
      <c r="B2489" t="s">
        <v>38</v>
      </c>
      <c r="C2489" t="s">
        <v>170</v>
      </c>
      <c r="D2489" t="s">
        <v>171</v>
      </c>
      <c r="E2489" t="s">
        <v>110</v>
      </c>
      <c r="F2489" t="s">
        <v>80</v>
      </c>
    </row>
    <row r="2490" spans="1:7" x14ac:dyDescent="0.3">
      <c r="A2490">
        <v>2020</v>
      </c>
      <c r="B2490" t="s">
        <v>39</v>
      </c>
      <c r="C2490" t="s">
        <v>170</v>
      </c>
      <c r="D2490" t="s">
        <v>171</v>
      </c>
      <c r="E2490" t="s">
        <v>108</v>
      </c>
      <c r="F2490" t="s">
        <v>80</v>
      </c>
    </row>
    <row r="2491" spans="1:7" x14ac:dyDescent="0.3">
      <c r="A2491">
        <v>2020</v>
      </c>
      <c r="B2491" t="s">
        <v>39</v>
      </c>
      <c r="C2491" t="s">
        <v>170</v>
      </c>
      <c r="D2491" t="s">
        <v>171</v>
      </c>
      <c r="E2491" t="s">
        <v>91</v>
      </c>
      <c r="F2491" t="s">
        <v>80</v>
      </c>
    </row>
    <row r="2492" spans="1:7" x14ac:dyDescent="0.3">
      <c r="A2492">
        <v>2020</v>
      </c>
      <c r="B2492" t="s">
        <v>39</v>
      </c>
      <c r="C2492" t="s">
        <v>170</v>
      </c>
      <c r="D2492" t="s">
        <v>171</v>
      </c>
      <c r="E2492" t="s">
        <v>109</v>
      </c>
      <c r="F2492" t="s">
        <v>80</v>
      </c>
    </row>
    <row r="2493" spans="1:7" x14ac:dyDescent="0.3">
      <c r="A2493">
        <v>2020</v>
      </c>
      <c r="B2493" t="s">
        <v>39</v>
      </c>
      <c r="C2493" t="s">
        <v>170</v>
      </c>
      <c r="D2493" t="s">
        <v>171</v>
      </c>
      <c r="E2493" t="s">
        <v>110</v>
      </c>
      <c r="F2493" t="s">
        <v>80</v>
      </c>
    </row>
    <row r="2494" spans="1:7" x14ac:dyDescent="0.3">
      <c r="A2494">
        <v>2020</v>
      </c>
      <c r="B2494" t="s">
        <v>40</v>
      </c>
      <c r="C2494" t="s">
        <v>170</v>
      </c>
      <c r="D2494" t="s">
        <v>171</v>
      </c>
      <c r="E2494" t="s">
        <v>108</v>
      </c>
      <c r="F2494" t="s">
        <v>80</v>
      </c>
      <c r="G2494">
        <v>0</v>
      </c>
    </row>
    <row r="2495" spans="1:7" x14ac:dyDescent="0.3">
      <c r="A2495">
        <v>2020</v>
      </c>
      <c r="B2495" t="s">
        <v>40</v>
      </c>
      <c r="C2495" t="s">
        <v>170</v>
      </c>
      <c r="D2495" t="s">
        <v>171</v>
      </c>
      <c r="E2495" t="s">
        <v>91</v>
      </c>
      <c r="F2495" t="s">
        <v>80</v>
      </c>
      <c r="G2495">
        <v>0</v>
      </c>
    </row>
    <row r="2496" spans="1:7" x14ac:dyDescent="0.3">
      <c r="A2496">
        <v>2020</v>
      </c>
      <c r="B2496" t="s">
        <v>40</v>
      </c>
      <c r="C2496" t="s">
        <v>170</v>
      </c>
      <c r="D2496" t="s">
        <v>171</v>
      </c>
      <c r="E2496" t="s">
        <v>109</v>
      </c>
      <c r="F2496" t="s">
        <v>80</v>
      </c>
      <c r="G2496">
        <v>0</v>
      </c>
    </row>
    <row r="2497" spans="1:7" x14ac:dyDescent="0.3">
      <c r="A2497">
        <v>2020</v>
      </c>
      <c r="B2497" t="s">
        <v>40</v>
      </c>
      <c r="C2497" t="s">
        <v>170</v>
      </c>
      <c r="D2497" t="s">
        <v>171</v>
      </c>
      <c r="E2497" t="s">
        <v>110</v>
      </c>
      <c r="F2497" t="s">
        <v>80</v>
      </c>
      <c r="G2497">
        <v>0</v>
      </c>
    </row>
    <row r="2498" spans="1:7" x14ac:dyDescent="0.3">
      <c r="A2498">
        <v>2020</v>
      </c>
      <c r="B2498" t="s">
        <v>41</v>
      </c>
      <c r="C2498" t="s">
        <v>170</v>
      </c>
      <c r="D2498" t="s">
        <v>171</v>
      </c>
      <c r="E2498" t="s">
        <v>108</v>
      </c>
      <c r="F2498" t="s">
        <v>80</v>
      </c>
    </row>
    <row r="2499" spans="1:7" x14ac:dyDescent="0.3">
      <c r="A2499">
        <v>2020</v>
      </c>
      <c r="B2499" t="s">
        <v>41</v>
      </c>
      <c r="C2499" t="s">
        <v>170</v>
      </c>
      <c r="D2499" t="s">
        <v>171</v>
      </c>
      <c r="E2499" t="s">
        <v>91</v>
      </c>
      <c r="F2499" t="s">
        <v>80</v>
      </c>
    </row>
    <row r="2500" spans="1:7" x14ac:dyDescent="0.3">
      <c r="A2500">
        <v>2020</v>
      </c>
      <c r="B2500" t="s">
        <v>41</v>
      </c>
      <c r="C2500" t="s">
        <v>170</v>
      </c>
      <c r="D2500" t="s">
        <v>171</v>
      </c>
      <c r="E2500" t="s">
        <v>109</v>
      </c>
      <c r="F2500" t="s">
        <v>80</v>
      </c>
    </row>
    <row r="2501" spans="1:7" x14ac:dyDescent="0.3">
      <c r="A2501">
        <v>2020</v>
      </c>
      <c r="B2501" t="s">
        <v>41</v>
      </c>
      <c r="C2501" t="s">
        <v>170</v>
      </c>
      <c r="D2501" t="s">
        <v>171</v>
      </c>
      <c r="E2501" t="s">
        <v>110</v>
      </c>
      <c r="F2501" t="s">
        <v>80</v>
      </c>
    </row>
    <row r="2502" spans="1:7" x14ac:dyDescent="0.3">
      <c r="A2502">
        <v>2020</v>
      </c>
      <c r="B2502" t="s">
        <v>58</v>
      </c>
      <c r="C2502" t="s">
        <v>170</v>
      </c>
      <c r="D2502" t="s">
        <v>171</v>
      </c>
      <c r="E2502" t="s">
        <v>108</v>
      </c>
      <c r="F2502" t="s">
        <v>80</v>
      </c>
    </row>
    <row r="2503" spans="1:7" x14ac:dyDescent="0.3">
      <c r="A2503">
        <v>2020</v>
      </c>
      <c r="B2503" t="s">
        <v>58</v>
      </c>
      <c r="C2503" t="s">
        <v>170</v>
      </c>
      <c r="D2503" t="s">
        <v>171</v>
      </c>
      <c r="E2503" t="s">
        <v>91</v>
      </c>
      <c r="F2503" t="s">
        <v>80</v>
      </c>
    </row>
    <row r="2504" spans="1:7" x14ac:dyDescent="0.3">
      <c r="A2504">
        <v>2020</v>
      </c>
      <c r="B2504" t="s">
        <v>58</v>
      </c>
      <c r="C2504" t="s">
        <v>170</v>
      </c>
      <c r="D2504" t="s">
        <v>171</v>
      </c>
      <c r="E2504" t="s">
        <v>109</v>
      </c>
      <c r="F2504" t="s">
        <v>80</v>
      </c>
    </row>
    <row r="2505" spans="1:7" x14ac:dyDescent="0.3">
      <c r="A2505">
        <v>2020</v>
      </c>
      <c r="B2505" t="s">
        <v>58</v>
      </c>
      <c r="C2505" t="s">
        <v>170</v>
      </c>
      <c r="D2505" t="s">
        <v>171</v>
      </c>
      <c r="E2505" t="s">
        <v>110</v>
      </c>
      <c r="F2505" t="s">
        <v>80</v>
      </c>
    </row>
    <row r="2506" spans="1:7" x14ac:dyDescent="0.3">
      <c r="A2506">
        <v>2020</v>
      </c>
      <c r="B2506" t="s">
        <v>42</v>
      </c>
      <c r="C2506" t="s">
        <v>170</v>
      </c>
      <c r="D2506" t="s">
        <v>171</v>
      </c>
      <c r="E2506" t="s">
        <v>108</v>
      </c>
      <c r="F2506" t="s">
        <v>80</v>
      </c>
      <c r="G2506">
        <v>0</v>
      </c>
    </row>
    <row r="2507" spans="1:7" x14ac:dyDescent="0.3">
      <c r="A2507">
        <v>2020</v>
      </c>
      <c r="B2507" t="s">
        <v>42</v>
      </c>
      <c r="C2507" t="s">
        <v>170</v>
      </c>
      <c r="D2507" t="s">
        <v>171</v>
      </c>
      <c r="E2507" t="s">
        <v>91</v>
      </c>
      <c r="F2507" t="s">
        <v>80</v>
      </c>
      <c r="G2507">
        <v>0</v>
      </c>
    </row>
    <row r="2508" spans="1:7" x14ac:dyDescent="0.3">
      <c r="A2508">
        <v>2020</v>
      </c>
      <c r="B2508" t="s">
        <v>42</v>
      </c>
      <c r="C2508" t="s">
        <v>170</v>
      </c>
      <c r="D2508" t="s">
        <v>171</v>
      </c>
      <c r="E2508" t="s">
        <v>109</v>
      </c>
      <c r="F2508" t="s">
        <v>80</v>
      </c>
      <c r="G2508">
        <v>0</v>
      </c>
    </row>
    <row r="2509" spans="1:7" x14ac:dyDescent="0.3">
      <c r="A2509">
        <v>2020</v>
      </c>
      <c r="B2509" t="s">
        <v>42</v>
      </c>
      <c r="C2509" t="s">
        <v>170</v>
      </c>
      <c r="D2509" t="s">
        <v>171</v>
      </c>
      <c r="E2509" t="s">
        <v>110</v>
      </c>
      <c r="F2509" t="s">
        <v>80</v>
      </c>
      <c r="G2509">
        <v>0</v>
      </c>
    </row>
    <row r="2510" spans="1:7" x14ac:dyDescent="0.3">
      <c r="A2510">
        <v>2020</v>
      </c>
      <c r="B2510" t="s">
        <v>44</v>
      </c>
      <c r="C2510" t="s">
        <v>170</v>
      </c>
      <c r="D2510" t="s">
        <v>171</v>
      </c>
      <c r="E2510" t="s">
        <v>108</v>
      </c>
      <c r="F2510" t="s">
        <v>80</v>
      </c>
    </row>
    <row r="2511" spans="1:7" x14ac:dyDescent="0.3">
      <c r="A2511">
        <v>2020</v>
      </c>
      <c r="B2511" t="s">
        <v>44</v>
      </c>
      <c r="C2511" t="s">
        <v>170</v>
      </c>
      <c r="D2511" t="s">
        <v>171</v>
      </c>
      <c r="E2511" t="s">
        <v>91</v>
      </c>
      <c r="F2511" t="s">
        <v>80</v>
      </c>
    </row>
    <row r="2512" spans="1:7" x14ac:dyDescent="0.3">
      <c r="A2512">
        <v>2020</v>
      </c>
      <c r="B2512" t="s">
        <v>44</v>
      </c>
      <c r="C2512" t="s">
        <v>170</v>
      </c>
      <c r="D2512" t="s">
        <v>171</v>
      </c>
      <c r="E2512" t="s">
        <v>109</v>
      </c>
      <c r="F2512" t="s">
        <v>80</v>
      </c>
    </row>
    <row r="2513" spans="1:6" x14ac:dyDescent="0.3">
      <c r="A2513">
        <v>2020</v>
      </c>
      <c r="B2513" t="s">
        <v>44</v>
      </c>
      <c r="C2513" t="s">
        <v>170</v>
      </c>
      <c r="D2513" t="s">
        <v>171</v>
      </c>
      <c r="E2513" t="s">
        <v>110</v>
      </c>
      <c r="F2513" t="s">
        <v>80</v>
      </c>
    </row>
    <row r="2514" spans="1:6" x14ac:dyDescent="0.3">
      <c r="A2514">
        <v>2020</v>
      </c>
      <c r="B2514" t="s">
        <v>45</v>
      </c>
      <c r="C2514" t="s">
        <v>170</v>
      </c>
      <c r="D2514" t="s">
        <v>171</v>
      </c>
      <c r="E2514" t="s">
        <v>108</v>
      </c>
      <c r="F2514" t="s">
        <v>80</v>
      </c>
    </row>
    <row r="2515" spans="1:6" x14ac:dyDescent="0.3">
      <c r="A2515">
        <v>2020</v>
      </c>
      <c r="B2515" t="s">
        <v>45</v>
      </c>
      <c r="C2515" t="s">
        <v>170</v>
      </c>
      <c r="D2515" t="s">
        <v>171</v>
      </c>
      <c r="E2515" t="s">
        <v>91</v>
      </c>
      <c r="F2515" t="s">
        <v>80</v>
      </c>
    </row>
    <row r="2516" spans="1:6" x14ac:dyDescent="0.3">
      <c r="A2516">
        <v>2020</v>
      </c>
      <c r="B2516" t="s">
        <v>45</v>
      </c>
      <c r="C2516" t="s">
        <v>170</v>
      </c>
      <c r="D2516" t="s">
        <v>171</v>
      </c>
      <c r="E2516" t="s">
        <v>109</v>
      </c>
      <c r="F2516" t="s">
        <v>80</v>
      </c>
    </row>
    <row r="2517" spans="1:6" x14ac:dyDescent="0.3">
      <c r="A2517">
        <v>2020</v>
      </c>
      <c r="B2517" t="s">
        <v>45</v>
      </c>
      <c r="C2517" t="s">
        <v>170</v>
      </c>
      <c r="D2517" t="s">
        <v>171</v>
      </c>
      <c r="E2517" t="s">
        <v>110</v>
      </c>
      <c r="F2517" t="s">
        <v>80</v>
      </c>
    </row>
    <row r="2518" spans="1:6" x14ac:dyDescent="0.3">
      <c r="A2518">
        <v>2020</v>
      </c>
      <c r="B2518" t="s">
        <v>46</v>
      </c>
      <c r="C2518" t="s">
        <v>170</v>
      </c>
      <c r="D2518" t="s">
        <v>171</v>
      </c>
      <c r="E2518" t="s">
        <v>108</v>
      </c>
      <c r="F2518" t="s">
        <v>80</v>
      </c>
    </row>
    <row r="2519" spans="1:6" x14ac:dyDescent="0.3">
      <c r="A2519">
        <v>2020</v>
      </c>
      <c r="B2519" t="s">
        <v>46</v>
      </c>
      <c r="C2519" t="s">
        <v>170</v>
      </c>
      <c r="D2519" t="s">
        <v>171</v>
      </c>
      <c r="E2519" t="s">
        <v>91</v>
      </c>
      <c r="F2519" t="s">
        <v>80</v>
      </c>
    </row>
    <row r="2520" spans="1:6" x14ac:dyDescent="0.3">
      <c r="A2520">
        <v>2020</v>
      </c>
      <c r="B2520" t="s">
        <v>46</v>
      </c>
      <c r="C2520" t="s">
        <v>170</v>
      </c>
      <c r="D2520" t="s">
        <v>171</v>
      </c>
      <c r="E2520" t="s">
        <v>109</v>
      </c>
      <c r="F2520" t="s">
        <v>80</v>
      </c>
    </row>
    <row r="2521" spans="1:6" x14ac:dyDescent="0.3">
      <c r="A2521">
        <v>2020</v>
      </c>
      <c r="B2521" t="s">
        <v>46</v>
      </c>
      <c r="C2521" t="s">
        <v>170</v>
      </c>
      <c r="D2521" t="s">
        <v>171</v>
      </c>
      <c r="E2521" t="s">
        <v>110</v>
      </c>
      <c r="F2521" t="s">
        <v>80</v>
      </c>
    </row>
    <row r="2522" spans="1:6" x14ac:dyDescent="0.3">
      <c r="A2522">
        <v>2020</v>
      </c>
      <c r="B2522" t="s">
        <v>47</v>
      </c>
      <c r="C2522" t="s">
        <v>170</v>
      </c>
      <c r="D2522" t="s">
        <v>171</v>
      </c>
      <c r="E2522" t="s">
        <v>108</v>
      </c>
      <c r="F2522" t="s">
        <v>80</v>
      </c>
    </row>
    <row r="2523" spans="1:6" x14ac:dyDescent="0.3">
      <c r="A2523">
        <v>2020</v>
      </c>
      <c r="B2523" t="s">
        <v>47</v>
      </c>
      <c r="C2523" t="s">
        <v>170</v>
      </c>
      <c r="D2523" t="s">
        <v>171</v>
      </c>
      <c r="E2523" t="s">
        <v>91</v>
      </c>
      <c r="F2523" t="s">
        <v>80</v>
      </c>
    </row>
    <row r="2524" spans="1:6" x14ac:dyDescent="0.3">
      <c r="A2524">
        <v>2020</v>
      </c>
      <c r="B2524" t="s">
        <v>47</v>
      </c>
      <c r="C2524" t="s">
        <v>170</v>
      </c>
      <c r="D2524" t="s">
        <v>171</v>
      </c>
      <c r="E2524" t="s">
        <v>109</v>
      </c>
      <c r="F2524" t="s">
        <v>80</v>
      </c>
    </row>
    <row r="2525" spans="1:6" x14ac:dyDescent="0.3">
      <c r="A2525">
        <v>2020</v>
      </c>
      <c r="B2525" t="s">
        <v>47</v>
      </c>
      <c r="C2525" t="s">
        <v>170</v>
      </c>
      <c r="D2525" t="s">
        <v>171</v>
      </c>
      <c r="E2525" t="s">
        <v>110</v>
      </c>
      <c r="F2525" t="s">
        <v>80</v>
      </c>
    </row>
    <row r="2526" spans="1:6" x14ac:dyDescent="0.3">
      <c r="A2526">
        <v>2020</v>
      </c>
      <c r="B2526" t="s">
        <v>48</v>
      </c>
      <c r="C2526" t="s">
        <v>170</v>
      </c>
      <c r="D2526" t="s">
        <v>171</v>
      </c>
      <c r="E2526" t="s">
        <v>108</v>
      </c>
      <c r="F2526" t="s">
        <v>80</v>
      </c>
    </row>
    <row r="2527" spans="1:6" x14ac:dyDescent="0.3">
      <c r="A2527">
        <v>2020</v>
      </c>
      <c r="B2527" t="s">
        <v>48</v>
      </c>
      <c r="C2527" t="s">
        <v>170</v>
      </c>
      <c r="D2527" t="s">
        <v>171</v>
      </c>
      <c r="E2527" t="s">
        <v>91</v>
      </c>
      <c r="F2527" t="s">
        <v>80</v>
      </c>
    </row>
    <row r="2528" spans="1:6" x14ac:dyDescent="0.3">
      <c r="A2528">
        <v>2020</v>
      </c>
      <c r="B2528" t="s">
        <v>48</v>
      </c>
      <c r="C2528" t="s">
        <v>170</v>
      </c>
      <c r="D2528" t="s">
        <v>171</v>
      </c>
      <c r="E2528" t="s">
        <v>109</v>
      </c>
      <c r="F2528" t="s">
        <v>80</v>
      </c>
    </row>
    <row r="2529" spans="1:7" x14ac:dyDescent="0.3">
      <c r="A2529">
        <v>2020</v>
      </c>
      <c r="B2529" t="s">
        <v>48</v>
      </c>
      <c r="C2529" t="s">
        <v>170</v>
      </c>
      <c r="D2529" t="s">
        <v>171</v>
      </c>
      <c r="E2529" t="s">
        <v>110</v>
      </c>
      <c r="F2529" t="s">
        <v>80</v>
      </c>
    </row>
    <row r="2530" spans="1:7" x14ac:dyDescent="0.3">
      <c r="A2530">
        <v>2020</v>
      </c>
      <c r="B2530" t="s">
        <v>49</v>
      </c>
      <c r="C2530" t="s">
        <v>170</v>
      </c>
      <c r="D2530" t="s">
        <v>171</v>
      </c>
      <c r="E2530" t="s">
        <v>108</v>
      </c>
      <c r="F2530" t="s">
        <v>80</v>
      </c>
      <c r="G2530">
        <v>0</v>
      </c>
    </row>
    <row r="2531" spans="1:7" x14ac:dyDescent="0.3">
      <c r="A2531">
        <v>2020</v>
      </c>
      <c r="B2531" t="s">
        <v>49</v>
      </c>
      <c r="C2531" t="s">
        <v>170</v>
      </c>
      <c r="D2531" t="s">
        <v>171</v>
      </c>
      <c r="E2531" t="s">
        <v>91</v>
      </c>
      <c r="F2531" t="s">
        <v>80</v>
      </c>
      <c r="G2531">
        <v>0</v>
      </c>
    </row>
    <row r="2532" spans="1:7" x14ac:dyDescent="0.3">
      <c r="A2532">
        <v>2020</v>
      </c>
      <c r="B2532" t="s">
        <v>49</v>
      </c>
      <c r="C2532" t="s">
        <v>170</v>
      </c>
      <c r="D2532" t="s">
        <v>171</v>
      </c>
      <c r="E2532" t="s">
        <v>109</v>
      </c>
      <c r="F2532" t="s">
        <v>80</v>
      </c>
      <c r="G2532">
        <v>0</v>
      </c>
    </row>
    <row r="2533" spans="1:7" x14ac:dyDescent="0.3">
      <c r="A2533">
        <v>2020</v>
      </c>
      <c r="B2533" t="s">
        <v>49</v>
      </c>
      <c r="C2533" t="s">
        <v>170</v>
      </c>
      <c r="D2533" t="s">
        <v>171</v>
      </c>
      <c r="E2533" t="s">
        <v>110</v>
      </c>
      <c r="F2533" t="s">
        <v>80</v>
      </c>
      <c r="G2533">
        <v>0</v>
      </c>
    </row>
    <row r="2534" spans="1:7" x14ac:dyDescent="0.3">
      <c r="A2534">
        <v>2020</v>
      </c>
      <c r="B2534" t="s">
        <v>59</v>
      </c>
      <c r="C2534" t="s">
        <v>170</v>
      </c>
      <c r="D2534" t="s">
        <v>171</v>
      </c>
      <c r="E2534" t="s">
        <v>108</v>
      </c>
      <c r="F2534" t="s">
        <v>80</v>
      </c>
      <c r="G2534">
        <v>0</v>
      </c>
    </row>
    <row r="2535" spans="1:7" x14ac:dyDescent="0.3">
      <c r="A2535">
        <v>2020</v>
      </c>
      <c r="B2535" t="s">
        <v>59</v>
      </c>
      <c r="C2535" t="s">
        <v>170</v>
      </c>
      <c r="D2535" t="s">
        <v>171</v>
      </c>
      <c r="E2535" t="s">
        <v>91</v>
      </c>
      <c r="F2535" t="s">
        <v>80</v>
      </c>
      <c r="G2535">
        <v>0</v>
      </c>
    </row>
    <row r="2536" spans="1:7" x14ac:dyDescent="0.3">
      <c r="A2536">
        <v>2020</v>
      </c>
      <c r="B2536" t="s">
        <v>59</v>
      </c>
      <c r="C2536" t="s">
        <v>170</v>
      </c>
      <c r="D2536" t="s">
        <v>171</v>
      </c>
      <c r="E2536" t="s">
        <v>109</v>
      </c>
      <c r="F2536" t="s">
        <v>80</v>
      </c>
      <c r="G2536">
        <v>0</v>
      </c>
    </row>
    <row r="2537" spans="1:7" x14ac:dyDescent="0.3">
      <c r="A2537">
        <v>2020</v>
      </c>
      <c r="B2537" t="s">
        <v>59</v>
      </c>
      <c r="C2537" t="s">
        <v>170</v>
      </c>
      <c r="D2537" t="s">
        <v>171</v>
      </c>
      <c r="E2537" t="s">
        <v>110</v>
      </c>
      <c r="F2537" t="s">
        <v>80</v>
      </c>
      <c r="G2537">
        <v>0</v>
      </c>
    </row>
    <row r="2538" spans="1:7" x14ac:dyDescent="0.3">
      <c r="A2538">
        <v>2020</v>
      </c>
      <c r="B2538" t="s">
        <v>50</v>
      </c>
      <c r="C2538" t="s">
        <v>170</v>
      </c>
      <c r="D2538" t="s">
        <v>171</v>
      </c>
      <c r="E2538" t="s">
        <v>108</v>
      </c>
      <c r="F2538" t="s">
        <v>80</v>
      </c>
    </row>
    <row r="2539" spans="1:7" x14ac:dyDescent="0.3">
      <c r="A2539">
        <v>2020</v>
      </c>
      <c r="B2539" t="s">
        <v>50</v>
      </c>
      <c r="C2539" t="s">
        <v>170</v>
      </c>
      <c r="D2539" t="s">
        <v>171</v>
      </c>
      <c r="E2539" t="s">
        <v>91</v>
      </c>
      <c r="F2539" t="s">
        <v>80</v>
      </c>
    </row>
    <row r="2540" spans="1:7" x14ac:dyDescent="0.3">
      <c r="A2540">
        <v>2020</v>
      </c>
      <c r="B2540" t="s">
        <v>50</v>
      </c>
      <c r="C2540" t="s">
        <v>170</v>
      </c>
      <c r="D2540" t="s">
        <v>171</v>
      </c>
      <c r="E2540" t="s">
        <v>109</v>
      </c>
      <c r="F2540" t="s">
        <v>80</v>
      </c>
    </row>
    <row r="2541" spans="1:7" x14ac:dyDescent="0.3">
      <c r="A2541">
        <v>2020</v>
      </c>
      <c r="B2541" t="s">
        <v>50</v>
      </c>
      <c r="C2541" t="s">
        <v>170</v>
      </c>
      <c r="D2541" t="s">
        <v>171</v>
      </c>
      <c r="E2541" t="s">
        <v>110</v>
      </c>
      <c r="F2541" t="s">
        <v>80</v>
      </c>
    </row>
    <row r="2542" spans="1:7" x14ac:dyDescent="0.3">
      <c r="A2542">
        <v>2020</v>
      </c>
      <c r="B2542" t="s">
        <v>51</v>
      </c>
      <c r="C2542" t="s">
        <v>170</v>
      </c>
      <c r="D2542" t="s">
        <v>171</v>
      </c>
      <c r="E2542" t="s">
        <v>108</v>
      </c>
      <c r="F2542" t="s">
        <v>80</v>
      </c>
    </row>
    <row r="2543" spans="1:7" x14ac:dyDescent="0.3">
      <c r="A2543">
        <v>2020</v>
      </c>
      <c r="B2543" t="s">
        <v>51</v>
      </c>
      <c r="C2543" t="s">
        <v>170</v>
      </c>
      <c r="D2543" t="s">
        <v>171</v>
      </c>
      <c r="E2543" t="s">
        <v>91</v>
      </c>
      <c r="F2543" t="s">
        <v>80</v>
      </c>
    </row>
    <row r="2544" spans="1:7" x14ac:dyDescent="0.3">
      <c r="A2544">
        <v>2020</v>
      </c>
      <c r="B2544" t="s">
        <v>51</v>
      </c>
      <c r="C2544" t="s">
        <v>170</v>
      </c>
      <c r="D2544" t="s">
        <v>171</v>
      </c>
      <c r="E2544" t="s">
        <v>109</v>
      </c>
      <c r="F2544" t="s">
        <v>80</v>
      </c>
    </row>
    <row r="2545" spans="1:7" x14ac:dyDescent="0.3">
      <c r="A2545">
        <v>2020</v>
      </c>
      <c r="B2545" t="s">
        <v>51</v>
      </c>
      <c r="C2545" t="s">
        <v>170</v>
      </c>
      <c r="D2545" t="s">
        <v>171</v>
      </c>
      <c r="E2545" t="s">
        <v>110</v>
      </c>
      <c r="F2545" t="s">
        <v>80</v>
      </c>
    </row>
    <row r="2546" spans="1:7" x14ac:dyDescent="0.3">
      <c r="A2546">
        <v>2020</v>
      </c>
      <c r="B2546" t="s">
        <v>52</v>
      </c>
      <c r="C2546" t="s">
        <v>170</v>
      </c>
      <c r="D2546" t="s">
        <v>171</v>
      </c>
      <c r="E2546" t="s">
        <v>108</v>
      </c>
      <c r="F2546" t="s">
        <v>80</v>
      </c>
    </row>
    <row r="2547" spans="1:7" x14ac:dyDescent="0.3">
      <c r="A2547">
        <v>2020</v>
      </c>
      <c r="B2547" t="s">
        <v>52</v>
      </c>
      <c r="C2547" t="s">
        <v>170</v>
      </c>
      <c r="D2547" t="s">
        <v>171</v>
      </c>
      <c r="E2547" t="s">
        <v>91</v>
      </c>
      <c r="F2547" t="s">
        <v>80</v>
      </c>
    </row>
    <row r="2548" spans="1:7" x14ac:dyDescent="0.3">
      <c r="A2548">
        <v>2020</v>
      </c>
      <c r="B2548" t="s">
        <v>52</v>
      </c>
      <c r="C2548" t="s">
        <v>170</v>
      </c>
      <c r="D2548" t="s">
        <v>171</v>
      </c>
      <c r="E2548" t="s">
        <v>109</v>
      </c>
      <c r="F2548" t="s">
        <v>80</v>
      </c>
    </row>
    <row r="2549" spans="1:7" x14ac:dyDescent="0.3">
      <c r="A2549">
        <v>2020</v>
      </c>
      <c r="B2549" t="s">
        <v>52</v>
      </c>
      <c r="C2549" t="s">
        <v>170</v>
      </c>
      <c r="D2549" t="s">
        <v>171</v>
      </c>
      <c r="E2549" t="s">
        <v>110</v>
      </c>
      <c r="F2549" t="s">
        <v>80</v>
      </c>
    </row>
    <row r="2550" spans="1:7" x14ac:dyDescent="0.3">
      <c r="A2550">
        <v>2020</v>
      </c>
      <c r="B2550" t="s">
        <v>60</v>
      </c>
      <c r="C2550" t="s">
        <v>170</v>
      </c>
      <c r="D2550" t="s">
        <v>171</v>
      </c>
      <c r="E2550" t="s">
        <v>108</v>
      </c>
      <c r="F2550" t="s">
        <v>80</v>
      </c>
      <c r="G2550">
        <v>0</v>
      </c>
    </row>
    <row r="2551" spans="1:7" x14ac:dyDescent="0.3">
      <c r="A2551">
        <v>2020</v>
      </c>
      <c r="B2551" t="s">
        <v>60</v>
      </c>
      <c r="C2551" t="s">
        <v>170</v>
      </c>
      <c r="D2551" t="s">
        <v>171</v>
      </c>
      <c r="E2551" t="s">
        <v>91</v>
      </c>
      <c r="F2551" t="s">
        <v>80</v>
      </c>
      <c r="G2551">
        <v>0</v>
      </c>
    </row>
    <row r="2552" spans="1:7" x14ac:dyDescent="0.3">
      <c r="A2552">
        <v>2020</v>
      </c>
      <c r="B2552" t="s">
        <v>60</v>
      </c>
      <c r="C2552" t="s">
        <v>170</v>
      </c>
      <c r="D2552" t="s">
        <v>171</v>
      </c>
      <c r="E2552" t="s">
        <v>109</v>
      </c>
      <c r="F2552" t="s">
        <v>80</v>
      </c>
      <c r="G2552">
        <v>0</v>
      </c>
    </row>
    <row r="2553" spans="1:7" x14ac:dyDescent="0.3">
      <c r="A2553">
        <v>2020</v>
      </c>
      <c r="B2553" t="s">
        <v>60</v>
      </c>
      <c r="C2553" t="s">
        <v>170</v>
      </c>
      <c r="D2553" t="s">
        <v>171</v>
      </c>
      <c r="E2553" t="s">
        <v>110</v>
      </c>
      <c r="F2553" t="s">
        <v>80</v>
      </c>
      <c r="G2553">
        <v>0</v>
      </c>
    </row>
    <row r="2554" spans="1:7" x14ac:dyDescent="0.3">
      <c r="A2554">
        <v>2020</v>
      </c>
      <c r="B2554" t="s">
        <v>53</v>
      </c>
      <c r="C2554" t="s">
        <v>170</v>
      </c>
      <c r="D2554" t="s">
        <v>171</v>
      </c>
      <c r="E2554" t="s">
        <v>108</v>
      </c>
      <c r="F2554" t="s">
        <v>80</v>
      </c>
      <c r="G2554">
        <v>0</v>
      </c>
    </row>
    <row r="2555" spans="1:7" x14ac:dyDescent="0.3">
      <c r="A2555">
        <v>2020</v>
      </c>
      <c r="B2555" t="s">
        <v>53</v>
      </c>
      <c r="C2555" t="s">
        <v>170</v>
      </c>
      <c r="D2555" t="s">
        <v>171</v>
      </c>
      <c r="E2555" t="s">
        <v>91</v>
      </c>
      <c r="F2555" t="s">
        <v>80</v>
      </c>
      <c r="G2555">
        <v>0</v>
      </c>
    </row>
    <row r="2556" spans="1:7" x14ac:dyDescent="0.3">
      <c r="A2556">
        <v>2020</v>
      </c>
      <c r="B2556" t="s">
        <v>53</v>
      </c>
      <c r="C2556" t="s">
        <v>170</v>
      </c>
      <c r="D2556" t="s">
        <v>171</v>
      </c>
      <c r="E2556" t="s">
        <v>109</v>
      </c>
      <c r="F2556" t="s">
        <v>80</v>
      </c>
      <c r="G2556">
        <v>0</v>
      </c>
    </row>
    <row r="2557" spans="1:7" x14ac:dyDescent="0.3">
      <c r="A2557">
        <v>2020</v>
      </c>
      <c r="B2557" t="s">
        <v>53</v>
      </c>
      <c r="C2557" t="s">
        <v>170</v>
      </c>
      <c r="D2557" t="s">
        <v>171</v>
      </c>
      <c r="E2557" t="s">
        <v>110</v>
      </c>
      <c r="F2557" t="s">
        <v>80</v>
      </c>
      <c r="G2557">
        <v>0</v>
      </c>
    </row>
    <row r="2558" spans="1:7" x14ac:dyDescent="0.3">
      <c r="A2558">
        <v>2020</v>
      </c>
      <c r="B2558" t="s">
        <v>61</v>
      </c>
      <c r="C2558" t="s">
        <v>170</v>
      </c>
      <c r="D2558" t="s">
        <v>171</v>
      </c>
      <c r="E2558" t="s">
        <v>108</v>
      </c>
      <c r="F2558" t="s">
        <v>80</v>
      </c>
    </row>
    <row r="2559" spans="1:7" x14ac:dyDescent="0.3">
      <c r="A2559">
        <v>2020</v>
      </c>
      <c r="B2559" t="s">
        <v>61</v>
      </c>
      <c r="C2559" t="s">
        <v>170</v>
      </c>
      <c r="D2559" t="s">
        <v>171</v>
      </c>
      <c r="E2559" t="s">
        <v>91</v>
      </c>
      <c r="F2559" t="s">
        <v>80</v>
      </c>
    </row>
    <row r="2560" spans="1:7" x14ac:dyDescent="0.3">
      <c r="A2560">
        <v>2020</v>
      </c>
      <c r="B2560" t="s">
        <v>61</v>
      </c>
      <c r="C2560" t="s">
        <v>170</v>
      </c>
      <c r="D2560" t="s">
        <v>171</v>
      </c>
      <c r="E2560" t="s">
        <v>109</v>
      </c>
      <c r="F2560" t="s">
        <v>80</v>
      </c>
    </row>
    <row r="2561" spans="1:7" x14ac:dyDescent="0.3">
      <c r="A2561">
        <v>2020</v>
      </c>
      <c r="B2561" t="s">
        <v>61</v>
      </c>
      <c r="C2561" t="s">
        <v>170</v>
      </c>
      <c r="D2561" t="s">
        <v>171</v>
      </c>
      <c r="E2561" t="s">
        <v>110</v>
      </c>
      <c r="F2561" t="s">
        <v>80</v>
      </c>
    </row>
    <row r="2562" spans="1:7" x14ac:dyDescent="0.3">
      <c r="A2562">
        <v>2020</v>
      </c>
      <c r="B2562" t="s">
        <v>54</v>
      </c>
      <c r="C2562" t="s">
        <v>170</v>
      </c>
      <c r="D2562" t="s">
        <v>171</v>
      </c>
      <c r="E2562" t="s">
        <v>108</v>
      </c>
      <c r="F2562" t="s">
        <v>80</v>
      </c>
      <c r="G2562">
        <v>0</v>
      </c>
    </row>
    <row r="2563" spans="1:7" x14ac:dyDescent="0.3">
      <c r="A2563">
        <v>2020</v>
      </c>
      <c r="B2563" t="s">
        <v>54</v>
      </c>
      <c r="C2563" t="s">
        <v>170</v>
      </c>
      <c r="D2563" t="s">
        <v>171</v>
      </c>
      <c r="E2563" t="s">
        <v>91</v>
      </c>
      <c r="F2563" t="s">
        <v>80</v>
      </c>
      <c r="G2563">
        <v>0</v>
      </c>
    </row>
    <row r="2564" spans="1:7" x14ac:dyDescent="0.3">
      <c r="A2564">
        <v>2020</v>
      </c>
      <c r="B2564" t="s">
        <v>54</v>
      </c>
      <c r="C2564" t="s">
        <v>170</v>
      </c>
      <c r="D2564" t="s">
        <v>171</v>
      </c>
      <c r="E2564" t="s">
        <v>109</v>
      </c>
      <c r="F2564" t="s">
        <v>80</v>
      </c>
      <c r="G2564">
        <v>0</v>
      </c>
    </row>
    <row r="2565" spans="1:7" x14ac:dyDescent="0.3">
      <c r="A2565">
        <v>2020</v>
      </c>
      <c r="B2565" t="s">
        <v>54</v>
      </c>
      <c r="C2565" t="s">
        <v>170</v>
      </c>
      <c r="D2565" t="s">
        <v>171</v>
      </c>
      <c r="E2565" t="s">
        <v>110</v>
      </c>
      <c r="F2565" t="s">
        <v>80</v>
      </c>
      <c r="G2565">
        <v>0</v>
      </c>
    </row>
    <row r="2566" spans="1:7" x14ac:dyDescent="0.3">
      <c r="A2566">
        <v>2020</v>
      </c>
      <c r="B2566" t="s">
        <v>62</v>
      </c>
      <c r="C2566" t="s">
        <v>170</v>
      </c>
      <c r="D2566" t="s">
        <v>171</v>
      </c>
      <c r="E2566" t="s">
        <v>108</v>
      </c>
      <c r="F2566" t="s">
        <v>80</v>
      </c>
      <c r="G2566">
        <v>0</v>
      </c>
    </row>
    <row r="2567" spans="1:7" x14ac:dyDescent="0.3">
      <c r="A2567">
        <v>2020</v>
      </c>
      <c r="B2567" t="s">
        <v>62</v>
      </c>
      <c r="C2567" t="s">
        <v>170</v>
      </c>
      <c r="D2567" t="s">
        <v>171</v>
      </c>
      <c r="E2567" t="s">
        <v>91</v>
      </c>
      <c r="F2567" t="s">
        <v>80</v>
      </c>
      <c r="G2567">
        <v>0</v>
      </c>
    </row>
    <row r="2568" spans="1:7" x14ac:dyDescent="0.3">
      <c r="A2568">
        <v>2020</v>
      </c>
      <c r="B2568" t="s">
        <v>62</v>
      </c>
      <c r="C2568" t="s">
        <v>170</v>
      </c>
      <c r="D2568" t="s">
        <v>171</v>
      </c>
      <c r="E2568" t="s">
        <v>109</v>
      </c>
      <c r="F2568" t="s">
        <v>80</v>
      </c>
      <c r="G2568">
        <v>0</v>
      </c>
    </row>
    <row r="2569" spans="1:7" x14ac:dyDescent="0.3">
      <c r="A2569">
        <v>2020</v>
      </c>
      <c r="B2569" t="s">
        <v>62</v>
      </c>
      <c r="C2569" t="s">
        <v>170</v>
      </c>
      <c r="D2569" t="s">
        <v>171</v>
      </c>
      <c r="E2569" t="s">
        <v>110</v>
      </c>
      <c r="F2569" t="s">
        <v>80</v>
      </c>
      <c r="G2569">
        <v>0</v>
      </c>
    </row>
    <row r="2570" spans="1:7" x14ac:dyDescent="0.3">
      <c r="A2570">
        <v>2020</v>
      </c>
      <c r="B2570" t="s">
        <v>28</v>
      </c>
      <c r="C2570" t="s">
        <v>170</v>
      </c>
      <c r="D2570" t="s">
        <v>171</v>
      </c>
      <c r="E2570" t="s">
        <v>108</v>
      </c>
      <c r="F2570" t="s">
        <v>80</v>
      </c>
      <c r="G2570">
        <v>0</v>
      </c>
    </row>
    <row r="2571" spans="1:7" x14ac:dyDescent="0.3">
      <c r="A2571">
        <v>2020</v>
      </c>
      <c r="B2571" t="s">
        <v>28</v>
      </c>
      <c r="C2571" t="s">
        <v>170</v>
      </c>
      <c r="D2571" t="s">
        <v>171</v>
      </c>
      <c r="E2571" t="s">
        <v>91</v>
      </c>
      <c r="F2571" t="s">
        <v>80</v>
      </c>
      <c r="G2571">
        <v>0</v>
      </c>
    </row>
    <row r="2572" spans="1:7" x14ac:dyDescent="0.3">
      <c r="A2572">
        <v>2020</v>
      </c>
      <c r="B2572" t="s">
        <v>28</v>
      </c>
      <c r="C2572" t="s">
        <v>170</v>
      </c>
      <c r="D2572" t="s">
        <v>171</v>
      </c>
      <c r="E2572" t="s">
        <v>109</v>
      </c>
      <c r="F2572" t="s">
        <v>80</v>
      </c>
      <c r="G2572">
        <v>0</v>
      </c>
    </row>
    <row r="2573" spans="1:7" x14ac:dyDescent="0.3">
      <c r="A2573">
        <v>2020</v>
      </c>
      <c r="B2573" t="s">
        <v>28</v>
      </c>
      <c r="C2573" t="s">
        <v>170</v>
      </c>
      <c r="D2573" t="s">
        <v>171</v>
      </c>
      <c r="E2573" t="s">
        <v>110</v>
      </c>
      <c r="F2573" t="s">
        <v>80</v>
      </c>
      <c r="G2573">
        <v>0</v>
      </c>
    </row>
    <row r="2574" spans="1:7" x14ac:dyDescent="0.3">
      <c r="A2574">
        <v>2020</v>
      </c>
      <c r="B2574" t="s">
        <v>43</v>
      </c>
      <c r="C2574" t="s">
        <v>170</v>
      </c>
      <c r="D2574" t="s">
        <v>171</v>
      </c>
      <c r="E2574" t="s">
        <v>108</v>
      </c>
      <c r="F2574" t="s">
        <v>80</v>
      </c>
    </row>
    <row r="2575" spans="1:7" x14ac:dyDescent="0.3">
      <c r="A2575">
        <v>2020</v>
      </c>
      <c r="B2575" t="s">
        <v>43</v>
      </c>
      <c r="C2575" t="s">
        <v>170</v>
      </c>
      <c r="D2575" t="s">
        <v>171</v>
      </c>
      <c r="E2575" t="s">
        <v>91</v>
      </c>
      <c r="F2575" t="s">
        <v>80</v>
      </c>
    </row>
    <row r="2576" spans="1:7" x14ac:dyDescent="0.3">
      <c r="A2576">
        <v>2020</v>
      </c>
      <c r="B2576" t="s">
        <v>43</v>
      </c>
      <c r="C2576" t="s">
        <v>170</v>
      </c>
      <c r="D2576" t="s">
        <v>171</v>
      </c>
      <c r="E2576" t="s">
        <v>109</v>
      </c>
      <c r="F2576" t="s">
        <v>80</v>
      </c>
    </row>
    <row r="2577" spans="1:7" x14ac:dyDescent="0.3">
      <c r="A2577">
        <v>2020</v>
      </c>
      <c r="B2577" t="s">
        <v>43</v>
      </c>
      <c r="C2577" t="s">
        <v>170</v>
      </c>
      <c r="D2577" t="s">
        <v>171</v>
      </c>
      <c r="E2577" t="s">
        <v>110</v>
      </c>
      <c r="F2577" t="s">
        <v>80</v>
      </c>
    </row>
    <row r="2578" spans="1:7" x14ac:dyDescent="0.3">
      <c r="A2578">
        <v>2020</v>
      </c>
      <c r="B2578" t="s">
        <v>17</v>
      </c>
      <c r="C2578" t="s">
        <v>170</v>
      </c>
      <c r="D2578" t="s">
        <v>171</v>
      </c>
      <c r="E2578" t="s">
        <v>108</v>
      </c>
      <c r="F2578" t="s">
        <v>117</v>
      </c>
    </row>
    <row r="2579" spans="1:7" x14ac:dyDescent="0.3">
      <c r="A2579">
        <v>2020</v>
      </c>
      <c r="B2579" t="s">
        <v>17</v>
      </c>
      <c r="C2579" t="s">
        <v>170</v>
      </c>
      <c r="D2579" t="s">
        <v>171</v>
      </c>
      <c r="E2579" t="s">
        <v>91</v>
      </c>
      <c r="F2579" t="s">
        <v>117</v>
      </c>
    </row>
    <row r="2580" spans="1:7" x14ac:dyDescent="0.3">
      <c r="A2580">
        <v>2020</v>
      </c>
      <c r="B2580" t="s">
        <v>17</v>
      </c>
      <c r="C2580" t="s">
        <v>170</v>
      </c>
      <c r="D2580" t="s">
        <v>171</v>
      </c>
      <c r="E2580" t="s">
        <v>109</v>
      </c>
      <c r="F2580" t="s">
        <v>117</v>
      </c>
    </row>
    <row r="2581" spans="1:7" x14ac:dyDescent="0.3">
      <c r="A2581">
        <v>2020</v>
      </c>
      <c r="B2581" t="s">
        <v>17</v>
      </c>
      <c r="C2581" t="s">
        <v>170</v>
      </c>
      <c r="D2581" t="s">
        <v>171</v>
      </c>
      <c r="E2581" t="s">
        <v>110</v>
      </c>
      <c r="F2581" t="s">
        <v>117</v>
      </c>
    </row>
    <row r="2582" spans="1:7" x14ac:dyDescent="0.3">
      <c r="A2582">
        <v>2020</v>
      </c>
      <c r="B2582" t="s">
        <v>18</v>
      </c>
      <c r="C2582" t="s">
        <v>170</v>
      </c>
      <c r="D2582" t="s">
        <v>171</v>
      </c>
      <c r="E2582" t="s">
        <v>108</v>
      </c>
      <c r="F2582" t="s">
        <v>117</v>
      </c>
      <c r="G2582">
        <v>0</v>
      </c>
    </row>
    <row r="2583" spans="1:7" x14ac:dyDescent="0.3">
      <c r="A2583">
        <v>2020</v>
      </c>
      <c r="B2583" t="s">
        <v>18</v>
      </c>
      <c r="C2583" t="s">
        <v>170</v>
      </c>
      <c r="D2583" t="s">
        <v>171</v>
      </c>
      <c r="E2583" t="s">
        <v>91</v>
      </c>
      <c r="F2583" t="s">
        <v>117</v>
      </c>
      <c r="G2583">
        <v>0</v>
      </c>
    </row>
    <row r="2584" spans="1:7" x14ac:dyDescent="0.3">
      <c r="A2584">
        <v>2020</v>
      </c>
      <c r="B2584" t="s">
        <v>18</v>
      </c>
      <c r="C2584" t="s">
        <v>170</v>
      </c>
      <c r="D2584" t="s">
        <v>171</v>
      </c>
      <c r="E2584" t="s">
        <v>109</v>
      </c>
      <c r="F2584" t="s">
        <v>117</v>
      </c>
      <c r="G2584">
        <v>0</v>
      </c>
    </row>
    <row r="2585" spans="1:7" x14ac:dyDescent="0.3">
      <c r="A2585">
        <v>2020</v>
      </c>
      <c r="B2585" t="s">
        <v>18</v>
      </c>
      <c r="C2585" t="s">
        <v>170</v>
      </c>
      <c r="D2585" t="s">
        <v>171</v>
      </c>
      <c r="E2585" t="s">
        <v>110</v>
      </c>
      <c r="F2585" t="s">
        <v>117</v>
      </c>
      <c r="G2585">
        <v>0</v>
      </c>
    </row>
    <row r="2586" spans="1:7" x14ac:dyDescent="0.3">
      <c r="A2586">
        <v>2020</v>
      </c>
      <c r="B2586" t="s">
        <v>19</v>
      </c>
      <c r="C2586" t="s">
        <v>170</v>
      </c>
      <c r="D2586" t="s">
        <v>171</v>
      </c>
      <c r="E2586" t="s">
        <v>108</v>
      </c>
      <c r="F2586" t="s">
        <v>117</v>
      </c>
      <c r="G2586">
        <v>0</v>
      </c>
    </row>
    <row r="2587" spans="1:7" x14ac:dyDescent="0.3">
      <c r="A2587">
        <v>2020</v>
      </c>
      <c r="B2587" t="s">
        <v>19</v>
      </c>
      <c r="C2587" t="s">
        <v>170</v>
      </c>
      <c r="D2587" t="s">
        <v>171</v>
      </c>
      <c r="E2587" t="s">
        <v>91</v>
      </c>
      <c r="F2587" t="s">
        <v>117</v>
      </c>
      <c r="G2587">
        <v>0</v>
      </c>
    </row>
    <row r="2588" spans="1:7" x14ac:dyDescent="0.3">
      <c r="A2588">
        <v>2020</v>
      </c>
      <c r="B2588" t="s">
        <v>19</v>
      </c>
      <c r="C2588" t="s">
        <v>170</v>
      </c>
      <c r="D2588" t="s">
        <v>171</v>
      </c>
      <c r="E2588" t="s">
        <v>109</v>
      </c>
      <c r="F2588" t="s">
        <v>117</v>
      </c>
      <c r="G2588">
        <v>0</v>
      </c>
    </row>
    <row r="2589" spans="1:7" x14ac:dyDescent="0.3">
      <c r="A2589">
        <v>2020</v>
      </c>
      <c r="B2589" t="s">
        <v>19</v>
      </c>
      <c r="C2589" t="s">
        <v>170</v>
      </c>
      <c r="D2589" t="s">
        <v>171</v>
      </c>
      <c r="E2589" t="s">
        <v>110</v>
      </c>
      <c r="F2589" t="s">
        <v>117</v>
      </c>
      <c r="G2589">
        <v>0</v>
      </c>
    </row>
    <row r="2590" spans="1:7" x14ac:dyDescent="0.3">
      <c r="A2590">
        <v>2020</v>
      </c>
      <c r="B2590" t="s">
        <v>20</v>
      </c>
      <c r="C2590" t="s">
        <v>170</v>
      </c>
      <c r="D2590" t="s">
        <v>171</v>
      </c>
      <c r="E2590" t="s">
        <v>108</v>
      </c>
      <c r="F2590" t="s">
        <v>117</v>
      </c>
    </row>
    <row r="2591" spans="1:7" x14ac:dyDescent="0.3">
      <c r="A2591">
        <v>2020</v>
      </c>
      <c r="B2591" t="s">
        <v>20</v>
      </c>
      <c r="C2591" t="s">
        <v>170</v>
      </c>
      <c r="D2591" t="s">
        <v>171</v>
      </c>
      <c r="E2591" t="s">
        <v>91</v>
      </c>
      <c r="F2591" t="s">
        <v>117</v>
      </c>
    </row>
    <row r="2592" spans="1:7" x14ac:dyDescent="0.3">
      <c r="A2592">
        <v>2020</v>
      </c>
      <c r="B2592" t="s">
        <v>20</v>
      </c>
      <c r="C2592" t="s">
        <v>170</v>
      </c>
      <c r="D2592" t="s">
        <v>171</v>
      </c>
      <c r="E2592" t="s">
        <v>109</v>
      </c>
      <c r="F2592" t="s">
        <v>117</v>
      </c>
    </row>
    <row r="2593" spans="1:7" x14ac:dyDescent="0.3">
      <c r="A2593">
        <v>2020</v>
      </c>
      <c r="B2593" t="s">
        <v>20</v>
      </c>
      <c r="C2593" t="s">
        <v>170</v>
      </c>
      <c r="D2593" t="s">
        <v>171</v>
      </c>
      <c r="E2593" t="s">
        <v>110</v>
      </c>
      <c r="F2593" t="s">
        <v>117</v>
      </c>
    </row>
    <row r="2594" spans="1:7" x14ac:dyDescent="0.3">
      <c r="A2594">
        <v>2020</v>
      </c>
      <c r="B2594" t="s">
        <v>21</v>
      </c>
      <c r="C2594" t="s">
        <v>170</v>
      </c>
      <c r="D2594" t="s">
        <v>171</v>
      </c>
      <c r="E2594" t="s">
        <v>108</v>
      </c>
      <c r="F2594" t="s">
        <v>117</v>
      </c>
      <c r="G2594">
        <v>1</v>
      </c>
    </row>
    <row r="2595" spans="1:7" x14ac:dyDescent="0.3">
      <c r="A2595">
        <v>2020</v>
      </c>
      <c r="B2595" t="s">
        <v>21</v>
      </c>
      <c r="C2595" t="s">
        <v>170</v>
      </c>
      <c r="D2595" t="s">
        <v>171</v>
      </c>
      <c r="E2595" t="s">
        <v>91</v>
      </c>
      <c r="F2595" t="s">
        <v>117</v>
      </c>
    </row>
    <row r="2596" spans="1:7" x14ac:dyDescent="0.3">
      <c r="A2596">
        <v>2020</v>
      </c>
      <c r="B2596" t="s">
        <v>21</v>
      </c>
      <c r="C2596" t="s">
        <v>170</v>
      </c>
      <c r="D2596" t="s">
        <v>171</v>
      </c>
      <c r="E2596" t="s">
        <v>109</v>
      </c>
      <c r="F2596" t="s">
        <v>117</v>
      </c>
    </row>
    <row r="2597" spans="1:7" x14ac:dyDescent="0.3">
      <c r="A2597">
        <v>2020</v>
      </c>
      <c r="B2597" t="s">
        <v>21</v>
      </c>
      <c r="C2597" t="s">
        <v>170</v>
      </c>
      <c r="D2597" t="s">
        <v>171</v>
      </c>
      <c r="E2597" t="s">
        <v>110</v>
      </c>
      <c r="F2597" t="s">
        <v>117</v>
      </c>
    </row>
    <row r="2598" spans="1:7" x14ac:dyDescent="0.3">
      <c r="A2598">
        <v>2020</v>
      </c>
      <c r="B2598" t="s">
        <v>22</v>
      </c>
      <c r="C2598" t="s">
        <v>170</v>
      </c>
      <c r="D2598" t="s">
        <v>171</v>
      </c>
      <c r="E2598" t="s">
        <v>108</v>
      </c>
      <c r="F2598" t="s">
        <v>117</v>
      </c>
      <c r="G2598">
        <v>0</v>
      </c>
    </row>
    <row r="2599" spans="1:7" x14ac:dyDescent="0.3">
      <c r="A2599">
        <v>2020</v>
      </c>
      <c r="B2599" t="s">
        <v>22</v>
      </c>
      <c r="C2599" t="s">
        <v>170</v>
      </c>
      <c r="D2599" t="s">
        <v>171</v>
      </c>
      <c r="E2599" t="s">
        <v>91</v>
      </c>
      <c r="F2599" t="s">
        <v>117</v>
      </c>
      <c r="G2599">
        <v>0</v>
      </c>
    </row>
    <row r="2600" spans="1:7" x14ac:dyDescent="0.3">
      <c r="A2600">
        <v>2020</v>
      </c>
      <c r="B2600" t="s">
        <v>22</v>
      </c>
      <c r="C2600" t="s">
        <v>170</v>
      </c>
      <c r="D2600" t="s">
        <v>171</v>
      </c>
      <c r="E2600" t="s">
        <v>109</v>
      </c>
      <c r="F2600" t="s">
        <v>117</v>
      </c>
      <c r="G2600">
        <v>0</v>
      </c>
    </row>
    <row r="2601" spans="1:7" x14ac:dyDescent="0.3">
      <c r="A2601">
        <v>2020</v>
      </c>
      <c r="B2601" t="s">
        <v>22</v>
      </c>
      <c r="C2601" t="s">
        <v>170</v>
      </c>
      <c r="D2601" t="s">
        <v>171</v>
      </c>
      <c r="E2601" t="s">
        <v>110</v>
      </c>
      <c r="F2601" t="s">
        <v>117</v>
      </c>
      <c r="G2601">
        <v>0</v>
      </c>
    </row>
    <row r="2602" spans="1:7" x14ac:dyDescent="0.3">
      <c r="A2602">
        <v>2020</v>
      </c>
      <c r="B2602" t="s">
        <v>23</v>
      </c>
      <c r="C2602" t="s">
        <v>170</v>
      </c>
      <c r="D2602" t="s">
        <v>171</v>
      </c>
      <c r="E2602" t="s">
        <v>108</v>
      </c>
      <c r="F2602" t="s">
        <v>117</v>
      </c>
      <c r="G2602">
        <v>0</v>
      </c>
    </row>
    <row r="2603" spans="1:7" x14ac:dyDescent="0.3">
      <c r="A2603">
        <v>2020</v>
      </c>
      <c r="B2603" t="s">
        <v>23</v>
      </c>
      <c r="C2603" t="s">
        <v>170</v>
      </c>
      <c r="D2603" t="s">
        <v>171</v>
      </c>
      <c r="E2603" t="s">
        <v>91</v>
      </c>
      <c r="F2603" t="s">
        <v>117</v>
      </c>
      <c r="G2603">
        <v>0</v>
      </c>
    </row>
    <row r="2604" spans="1:7" x14ac:dyDescent="0.3">
      <c r="A2604">
        <v>2020</v>
      </c>
      <c r="B2604" t="s">
        <v>23</v>
      </c>
      <c r="C2604" t="s">
        <v>170</v>
      </c>
      <c r="D2604" t="s">
        <v>171</v>
      </c>
      <c r="E2604" t="s">
        <v>109</v>
      </c>
      <c r="F2604" t="s">
        <v>117</v>
      </c>
      <c r="G2604">
        <v>0</v>
      </c>
    </row>
    <row r="2605" spans="1:7" x14ac:dyDescent="0.3">
      <c r="A2605">
        <v>2020</v>
      </c>
      <c r="B2605" t="s">
        <v>23</v>
      </c>
      <c r="C2605" t="s">
        <v>170</v>
      </c>
      <c r="D2605" t="s">
        <v>171</v>
      </c>
      <c r="E2605" t="s">
        <v>110</v>
      </c>
      <c r="F2605" t="s">
        <v>117</v>
      </c>
      <c r="G2605">
        <v>0</v>
      </c>
    </row>
    <row r="2606" spans="1:7" x14ac:dyDescent="0.3">
      <c r="A2606">
        <v>2020</v>
      </c>
      <c r="B2606" t="s">
        <v>24</v>
      </c>
      <c r="C2606" t="s">
        <v>170</v>
      </c>
      <c r="D2606" t="s">
        <v>171</v>
      </c>
      <c r="E2606" t="s">
        <v>108</v>
      </c>
      <c r="F2606" t="s">
        <v>117</v>
      </c>
    </row>
    <row r="2607" spans="1:7" x14ac:dyDescent="0.3">
      <c r="A2607">
        <v>2020</v>
      </c>
      <c r="B2607" t="s">
        <v>24</v>
      </c>
      <c r="C2607" t="s">
        <v>170</v>
      </c>
      <c r="D2607" t="s">
        <v>171</v>
      </c>
      <c r="E2607" t="s">
        <v>91</v>
      </c>
      <c r="F2607" t="s">
        <v>117</v>
      </c>
    </row>
    <row r="2608" spans="1:7" x14ac:dyDescent="0.3">
      <c r="A2608">
        <v>2020</v>
      </c>
      <c r="B2608" t="s">
        <v>24</v>
      </c>
      <c r="C2608" t="s">
        <v>170</v>
      </c>
      <c r="D2608" t="s">
        <v>171</v>
      </c>
      <c r="E2608" t="s">
        <v>109</v>
      </c>
      <c r="F2608" t="s">
        <v>117</v>
      </c>
    </row>
    <row r="2609" spans="1:7" x14ac:dyDescent="0.3">
      <c r="A2609">
        <v>2020</v>
      </c>
      <c r="B2609" t="s">
        <v>24</v>
      </c>
      <c r="C2609" t="s">
        <v>170</v>
      </c>
      <c r="D2609" t="s">
        <v>171</v>
      </c>
      <c r="E2609" t="s">
        <v>110</v>
      </c>
      <c r="F2609" t="s">
        <v>117</v>
      </c>
    </row>
    <row r="2610" spans="1:7" x14ac:dyDescent="0.3">
      <c r="A2610">
        <v>2020</v>
      </c>
      <c r="B2610" t="s">
        <v>25</v>
      </c>
      <c r="C2610" t="s">
        <v>170</v>
      </c>
      <c r="D2610" t="s">
        <v>171</v>
      </c>
      <c r="E2610" t="s">
        <v>108</v>
      </c>
      <c r="F2610" t="s">
        <v>117</v>
      </c>
    </row>
    <row r="2611" spans="1:7" x14ac:dyDescent="0.3">
      <c r="A2611">
        <v>2020</v>
      </c>
      <c r="B2611" t="s">
        <v>25</v>
      </c>
      <c r="C2611" t="s">
        <v>170</v>
      </c>
      <c r="D2611" t="s">
        <v>171</v>
      </c>
      <c r="E2611" t="s">
        <v>91</v>
      </c>
      <c r="F2611" t="s">
        <v>117</v>
      </c>
    </row>
    <row r="2612" spans="1:7" x14ac:dyDescent="0.3">
      <c r="A2612">
        <v>2020</v>
      </c>
      <c r="B2612" t="s">
        <v>25</v>
      </c>
      <c r="C2612" t="s">
        <v>170</v>
      </c>
      <c r="D2612" t="s">
        <v>171</v>
      </c>
      <c r="E2612" t="s">
        <v>109</v>
      </c>
      <c r="F2612" t="s">
        <v>117</v>
      </c>
    </row>
    <row r="2613" spans="1:7" x14ac:dyDescent="0.3">
      <c r="A2613">
        <v>2020</v>
      </c>
      <c r="B2613" t="s">
        <v>25</v>
      </c>
      <c r="C2613" t="s">
        <v>170</v>
      </c>
      <c r="D2613" t="s">
        <v>171</v>
      </c>
      <c r="E2613" t="s">
        <v>110</v>
      </c>
      <c r="F2613" t="s">
        <v>117</v>
      </c>
    </row>
    <row r="2614" spans="1:7" x14ac:dyDescent="0.3">
      <c r="A2614">
        <v>2020</v>
      </c>
      <c r="B2614" t="s">
        <v>26</v>
      </c>
      <c r="C2614" t="s">
        <v>170</v>
      </c>
      <c r="D2614" t="s">
        <v>171</v>
      </c>
      <c r="E2614" t="s">
        <v>108</v>
      </c>
      <c r="F2614" t="s">
        <v>117</v>
      </c>
    </row>
    <row r="2615" spans="1:7" x14ac:dyDescent="0.3">
      <c r="A2615">
        <v>2020</v>
      </c>
      <c r="B2615" t="s">
        <v>26</v>
      </c>
      <c r="C2615" t="s">
        <v>170</v>
      </c>
      <c r="D2615" t="s">
        <v>171</v>
      </c>
      <c r="E2615" t="s">
        <v>91</v>
      </c>
      <c r="F2615" t="s">
        <v>117</v>
      </c>
    </row>
    <row r="2616" spans="1:7" x14ac:dyDescent="0.3">
      <c r="A2616">
        <v>2020</v>
      </c>
      <c r="B2616" t="s">
        <v>26</v>
      </c>
      <c r="C2616" t="s">
        <v>170</v>
      </c>
      <c r="D2616" t="s">
        <v>171</v>
      </c>
      <c r="E2616" t="s">
        <v>109</v>
      </c>
      <c r="F2616" t="s">
        <v>117</v>
      </c>
    </row>
    <row r="2617" spans="1:7" x14ac:dyDescent="0.3">
      <c r="A2617">
        <v>2020</v>
      </c>
      <c r="B2617" t="s">
        <v>26</v>
      </c>
      <c r="C2617" t="s">
        <v>170</v>
      </c>
      <c r="D2617" t="s">
        <v>171</v>
      </c>
      <c r="E2617" t="s">
        <v>110</v>
      </c>
      <c r="F2617" t="s">
        <v>117</v>
      </c>
    </row>
    <row r="2618" spans="1:7" x14ac:dyDescent="0.3">
      <c r="A2618">
        <v>2020</v>
      </c>
      <c r="B2618" t="s">
        <v>27</v>
      </c>
      <c r="C2618" t="s">
        <v>170</v>
      </c>
      <c r="D2618" t="s">
        <v>171</v>
      </c>
      <c r="E2618" t="s">
        <v>108</v>
      </c>
      <c r="F2618" t="s">
        <v>117</v>
      </c>
      <c r="G2618">
        <v>0</v>
      </c>
    </row>
    <row r="2619" spans="1:7" x14ac:dyDescent="0.3">
      <c r="A2619">
        <v>2020</v>
      </c>
      <c r="B2619" t="s">
        <v>27</v>
      </c>
      <c r="C2619" t="s">
        <v>170</v>
      </c>
      <c r="D2619" t="s">
        <v>171</v>
      </c>
      <c r="E2619" t="s">
        <v>91</v>
      </c>
      <c r="F2619" t="s">
        <v>117</v>
      </c>
      <c r="G2619">
        <v>0</v>
      </c>
    </row>
    <row r="2620" spans="1:7" x14ac:dyDescent="0.3">
      <c r="A2620">
        <v>2020</v>
      </c>
      <c r="B2620" t="s">
        <v>27</v>
      </c>
      <c r="C2620" t="s">
        <v>170</v>
      </c>
      <c r="D2620" t="s">
        <v>171</v>
      </c>
      <c r="E2620" t="s">
        <v>109</v>
      </c>
      <c r="F2620" t="s">
        <v>117</v>
      </c>
      <c r="G2620">
        <v>0</v>
      </c>
    </row>
    <row r="2621" spans="1:7" x14ac:dyDescent="0.3">
      <c r="A2621">
        <v>2020</v>
      </c>
      <c r="B2621" t="s">
        <v>27</v>
      </c>
      <c r="C2621" t="s">
        <v>170</v>
      </c>
      <c r="D2621" t="s">
        <v>171</v>
      </c>
      <c r="E2621" t="s">
        <v>110</v>
      </c>
      <c r="F2621" t="s">
        <v>117</v>
      </c>
      <c r="G2621">
        <v>0</v>
      </c>
    </row>
    <row r="2622" spans="1:7" x14ac:dyDescent="0.3">
      <c r="A2622">
        <v>2020</v>
      </c>
      <c r="B2622" t="s">
        <v>29</v>
      </c>
      <c r="C2622" t="s">
        <v>170</v>
      </c>
      <c r="D2622" t="s">
        <v>171</v>
      </c>
      <c r="E2622" t="s">
        <v>108</v>
      </c>
      <c r="F2622" t="s">
        <v>117</v>
      </c>
    </row>
    <row r="2623" spans="1:7" x14ac:dyDescent="0.3">
      <c r="A2623">
        <v>2020</v>
      </c>
      <c r="B2623" t="s">
        <v>29</v>
      </c>
      <c r="C2623" t="s">
        <v>170</v>
      </c>
      <c r="D2623" t="s">
        <v>171</v>
      </c>
      <c r="E2623" t="s">
        <v>91</v>
      </c>
      <c r="F2623" t="s">
        <v>117</v>
      </c>
    </row>
    <row r="2624" spans="1:7" x14ac:dyDescent="0.3">
      <c r="A2624">
        <v>2020</v>
      </c>
      <c r="B2624" t="s">
        <v>29</v>
      </c>
      <c r="C2624" t="s">
        <v>170</v>
      </c>
      <c r="D2624" t="s">
        <v>171</v>
      </c>
      <c r="E2624" t="s">
        <v>109</v>
      </c>
      <c r="F2624" t="s">
        <v>117</v>
      </c>
    </row>
    <row r="2625" spans="1:7" x14ac:dyDescent="0.3">
      <c r="A2625">
        <v>2020</v>
      </c>
      <c r="B2625" t="s">
        <v>29</v>
      </c>
      <c r="C2625" t="s">
        <v>170</v>
      </c>
      <c r="D2625" t="s">
        <v>171</v>
      </c>
      <c r="E2625" t="s">
        <v>110</v>
      </c>
      <c r="F2625" t="s">
        <v>117</v>
      </c>
    </row>
    <row r="2626" spans="1:7" x14ac:dyDescent="0.3">
      <c r="A2626">
        <v>2020</v>
      </c>
      <c r="B2626" t="s">
        <v>30</v>
      </c>
      <c r="C2626" t="s">
        <v>170</v>
      </c>
      <c r="D2626" t="s">
        <v>171</v>
      </c>
      <c r="E2626" t="s">
        <v>108</v>
      </c>
      <c r="F2626" t="s">
        <v>117</v>
      </c>
      <c r="G2626">
        <v>0</v>
      </c>
    </row>
    <row r="2627" spans="1:7" x14ac:dyDescent="0.3">
      <c r="A2627">
        <v>2020</v>
      </c>
      <c r="B2627" t="s">
        <v>30</v>
      </c>
      <c r="C2627" t="s">
        <v>170</v>
      </c>
      <c r="D2627" t="s">
        <v>171</v>
      </c>
      <c r="E2627" t="s">
        <v>91</v>
      </c>
      <c r="F2627" t="s">
        <v>117</v>
      </c>
      <c r="G2627">
        <v>0</v>
      </c>
    </row>
    <row r="2628" spans="1:7" x14ac:dyDescent="0.3">
      <c r="A2628">
        <v>2020</v>
      </c>
      <c r="B2628" t="s">
        <v>30</v>
      </c>
      <c r="C2628" t="s">
        <v>170</v>
      </c>
      <c r="D2628" t="s">
        <v>171</v>
      </c>
      <c r="E2628" t="s">
        <v>109</v>
      </c>
      <c r="F2628" t="s">
        <v>117</v>
      </c>
      <c r="G2628">
        <v>0</v>
      </c>
    </row>
    <row r="2629" spans="1:7" x14ac:dyDescent="0.3">
      <c r="A2629">
        <v>2020</v>
      </c>
      <c r="B2629" t="s">
        <v>30</v>
      </c>
      <c r="C2629" t="s">
        <v>170</v>
      </c>
      <c r="D2629" t="s">
        <v>171</v>
      </c>
      <c r="E2629" t="s">
        <v>110</v>
      </c>
      <c r="F2629" t="s">
        <v>117</v>
      </c>
      <c r="G2629">
        <v>0</v>
      </c>
    </row>
    <row r="2630" spans="1:7" x14ac:dyDescent="0.3">
      <c r="A2630">
        <v>2020</v>
      </c>
      <c r="B2630" t="s">
        <v>31</v>
      </c>
      <c r="C2630" t="s">
        <v>170</v>
      </c>
      <c r="D2630" t="s">
        <v>171</v>
      </c>
      <c r="E2630" t="s">
        <v>108</v>
      </c>
      <c r="F2630" t="s">
        <v>117</v>
      </c>
      <c r="G2630">
        <v>0</v>
      </c>
    </row>
    <row r="2631" spans="1:7" x14ac:dyDescent="0.3">
      <c r="A2631">
        <v>2020</v>
      </c>
      <c r="B2631" t="s">
        <v>31</v>
      </c>
      <c r="C2631" t="s">
        <v>170</v>
      </c>
      <c r="D2631" t="s">
        <v>171</v>
      </c>
      <c r="E2631" t="s">
        <v>91</v>
      </c>
      <c r="F2631" t="s">
        <v>117</v>
      </c>
      <c r="G2631">
        <v>0</v>
      </c>
    </row>
    <row r="2632" spans="1:7" x14ac:dyDescent="0.3">
      <c r="A2632">
        <v>2020</v>
      </c>
      <c r="B2632" t="s">
        <v>31</v>
      </c>
      <c r="C2632" t="s">
        <v>170</v>
      </c>
      <c r="D2632" t="s">
        <v>171</v>
      </c>
      <c r="E2632" t="s">
        <v>109</v>
      </c>
      <c r="F2632" t="s">
        <v>117</v>
      </c>
      <c r="G2632">
        <v>1</v>
      </c>
    </row>
    <row r="2633" spans="1:7" x14ac:dyDescent="0.3">
      <c r="A2633">
        <v>2020</v>
      </c>
      <c r="B2633" t="s">
        <v>31</v>
      </c>
      <c r="C2633" t="s">
        <v>170</v>
      </c>
      <c r="D2633" t="s">
        <v>171</v>
      </c>
      <c r="E2633" t="s">
        <v>110</v>
      </c>
      <c r="F2633" t="s">
        <v>117</v>
      </c>
      <c r="G2633">
        <v>0</v>
      </c>
    </row>
    <row r="2634" spans="1:7" x14ac:dyDescent="0.3">
      <c r="A2634">
        <v>2020</v>
      </c>
      <c r="B2634" t="s">
        <v>32</v>
      </c>
      <c r="C2634" t="s">
        <v>170</v>
      </c>
      <c r="D2634" t="s">
        <v>171</v>
      </c>
      <c r="E2634" t="s">
        <v>108</v>
      </c>
      <c r="F2634" t="s">
        <v>117</v>
      </c>
    </row>
    <row r="2635" spans="1:7" x14ac:dyDescent="0.3">
      <c r="A2635">
        <v>2020</v>
      </c>
      <c r="B2635" t="s">
        <v>32</v>
      </c>
      <c r="C2635" t="s">
        <v>170</v>
      </c>
      <c r="D2635" t="s">
        <v>171</v>
      </c>
      <c r="E2635" t="s">
        <v>91</v>
      </c>
      <c r="F2635" t="s">
        <v>117</v>
      </c>
    </row>
    <row r="2636" spans="1:7" x14ac:dyDescent="0.3">
      <c r="A2636">
        <v>2020</v>
      </c>
      <c r="B2636" t="s">
        <v>32</v>
      </c>
      <c r="C2636" t="s">
        <v>170</v>
      </c>
      <c r="D2636" t="s">
        <v>171</v>
      </c>
      <c r="E2636" t="s">
        <v>109</v>
      </c>
      <c r="F2636" t="s">
        <v>117</v>
      </c>
    </row>
    <row r="2637" spans="1:7" x14ac:dyDescent="0.3">
      <c r="A2637">
        <v>2020</v>
      </c>
      <c r="B2637" t="s">
        <v>32</v>
      </c>
      <c r="C2637" t="s">
        <v>170</v>
      </c>
      <c r="D2637" t="s">
        <v>171</v>
      </c>
      <c r="E2637" t="s">
        <v>110</v>
      </c>
      <c r="F2637" t="s">
        <v>117</v>
      </c>
    </row>
    <row r="2638" spans="1:7" x14ac:dyDescent="0.3">
      <c r="A2638">
        <v>2020</v>
      </c>
      <c r="B2638" t="s">
        <v>63</v>
      </c>
      <c r="C2638" t="s">
        <v>170</v>
      </c>
      <c r="D2638" t="s">
        <v>171</v>
      </c>
      <c r="E2638" t="s">
        <v>108</v>
      </c>
      <c r="F2638" t="s">
        <v>117</v>
      </c>
      <c r="G2638">
        <v>0</v>
      </c>
    </row>
    <row r="2639" spans="1:7" x14ac:dyDescent="0.3">
      <c r="A2639">
        <v>2020</v>
      </c>
      <c r="B2639" t="s">
        <v>63</v>
      </c>
      <c r="C2639" t="s">
        <v>170</v>
      </c>
      <c r="D2639" t="s">
        <v>171</v>
      </c>
      <c r="E2639" t="s">
        <v>91</v>
      </c>
      <c r="F2639" t="s">
        <v>117</v>
      </c>
      <c r="G2639">
        <v>6</v>
      </c>
    </row>
    <row r="2640" spans="1:7" x14ac:dyDescent="0.3">
      <c r="A2640">
        <v>2020</v>
      </c>
      <c r="B2640" t="s">
        <v>63</v>
      </c>
      <c r="C2640" t="s">
        <v>170</v>
      </c>
      <c r="D2640" t="s">
        <v>171</v>
      </c>
      <c r="E2640" t="s">
        <v>109</v>
      </c>
      <c r="F2640" t="s">
        <v>117</v>
      </c>
      <c r="G2640">
        <v>4</v>
      </c>
    </row>
    <row r="2641" spans="1:7" x14ac:dyDescent="0.3">
      <c r="A2641">
        <v>2020</v>
      </c>
      <c r="B2641" t="s">
        <v>63</v>
      </c>
      <c r="C2641" t="s">
        <v>170</v>
      </c>
      <c r="D2641" t="s">
        <v>171</v>
      </c>
      <c r="E2641" t="s">
        <v>110</v>
      </c>
      <c r="F2641" t="s">
        <v>117</v>
      </c>
      <c r="G2641">
        <v>1</v>
      </c>
    </row>
    <row r="2642" spans="1:7" x14ac:dyDescent="0.3">
      <c r="A2642">
        <v>2020</v>
      </c>
      <c r="B2642" t="s">
        <v>57</v>
      </c>
      <c r="C2642" t="s">
        <v>170</v>
      </c>
      <c r="D2642" t="s">
        <v>171</v>
      </c>
      <c r="E2642" t="s">
        <v>108</v>
      </c>
      <c r="F2642" t="s">
        <v>117</v>
      </c>
    </row>
    <row r="2643" spans="1:7" x14ac:dyDescent="0.3">
      <c r="A2643">
        <v>2020</v>
      </c>
      <c r="B2643" t="s">
        <v>57</v>
      </c>
      <c r="C2643" t="s">
        <v>170</v>
      </c>
      <c r="D2643" t="s">
        <v>171</v>
      </c>
      <c r="E2643" t="s">
        <v>91</v>
      </c>
      <c r="F2643" t="s">
        <v>117</v>
      </c>
      <c r="G2643">
        <v>1</v>
      </c>
    </row>
    <row r="2644" spans="1:7" x14ac:dyDescent="0.3">
      <c r="A2644">
        <v>2020</v>
      </c>
      <c r="B2644" t="s">
        <v>57</v>
      </c>
      <c r="C2644" t="s">
        <v>170</v>
      </c>
      <c r="D2644" t="s">
        <v>171</v>
      </c>
      <c r="E2644" t="s">
        <v>109</v>
      </c>
      <c r="F2644" t="s">
        <v>117</v>
      </c>
    </row>
    <row r="2645" spans="1:7" x14ac:dyDescent="0.3">
      <c r="A2645">
        <v>2020</v>
      </c>
      <c r="B2645" t="s">
        <v>57</v>
      </c>
      <c r="C2645" t="s">
        <v>170</v>
      </c>
      <c r="D2645" t="s">
        <v>171</v>
      </c>
      <c r="E2645" t="s">
        <v>110</v>
      </c>
      <c r="F2645" t="s">
        <v>117</v>
      </c>
    </row>
    <row r="2646" spans="1:7" x14ac:dyDescent="0.3">
      <c r="A2646">
        <v>2020</v>
      </c>
      <c r="B2646" t="s">
        <v>33</v>
      </c>
      <c r="C2646" t="s">
        <v>170</v>
      </c>
      <c r="D2646" t="s">
        <v>171</v>
      </c>
      <c r="E2646" t="s">
        <v>108</v>
      </c>
      <c r="F2646" t="s">
        <v>117</v>
      </c>
      <c r="G2646">
        <v>1</v>
      </c>
    </row>
    <row r="2647" spans="1:7" x14ac:dyDescent="0.3">
      <c r="A2647">
        <v>2020</v>
      </c>
      <c r="B2647" t="s">
        <v>33</v>
      </c>
      <c r="C2647" t="s">
        <v>170</v>
      </c>
      <c r="D2647" t="s">
        <v>171</v>
      </c>
      <c r="E2647" t="s">
        <v>91</v>
      </c>
      <c r="F2647" t="s">
        <v>117</v>
      </c>
      <c r="G2647">
        <v>1</v>
      </c>
    </row>
    <row r="2648" spans="1:7" x14ac:dyDescent="0.3">
      <c r="A2648">
        <v>2020</v>
      </c>
      <c r="B2648" t="s">
        <v>33</v>
      </c>
      <c r="C2648" t="s">
        <v>170</v>
      </c>
      <c r="D2648" t="s">
        <v>171</v>
      </c>
      <c r="E2648" t="s">
        <v>109</v>
      </c>
      <c r="F2648" t="s">
        <v>117</v>
      </c>
      <c r="G2648">
        <v>1</v>
      </c>
    </row>
    <row r="2649" spans="1:7" x14ac:dyDescent="0.3">
      <c r="A2649">
        <v>2020</v>
      </c>
      <c r="B2649" t="s">
        <v>33</v>
      </c>
      <c r="C2649" t="s">
        <v>170</v>
      </c>
      <c r="D2649" t="s">
        <v>171</v>
      </c>
      <c r="E2649" t="s">
        <v>110</v>
      </c>
      <c r="F2649" t="s">
        <v>117</v>
      </c>
    </row>
    <row r="2650" spans="1:7" x14ac:dyDescent="0.3">
      <c r="A2650">
        <v>2020</v>
      </c>
      <c r="B2650" t="s">
        <v>34</v>
      </c>
      <c r="C2650" t="s">
        <v>170</v>
      </c>
      <c r="D2650" t="s">
        <v>171</v>
      </c>
      <c r="E2650" t="s">
        <v>108</v>
      </c>
      <c r="F2650" t="s">
        <v>117</v>
      </c>
      <c r="G2650">
        <v>1</v>
      </c>
    </row>
    <row r="2651" spans="1:7" x14ac:dyDescent="0.3">
      <c r="A2651">
        <v>2020</v>
      </c>
      <c r="B2651" t="s">
        <v>34</v>
      </c>
      <c r="C2651" t="s">
        <v>170</v>
      </c>
      <c r="D2651" t="s">
        <v>171</v>
      </c>
      <c r="E2651" t="s">
        <v>91</v>
      </c>
      <c r="F2651" t="s">
        <v>117</v>
      </c>
      <c r="G2651">
        <v>0</v>
      </c>
    </row>
    <row r="2652" spans="1:7" x14ac:dyDescent="0.3">
      <c r="A2652">
        <v>2020</v>
      </c>
      <c r="B2652" t="s">
        <v>34</v>
      </c>
      <c r="C2652" t="s">
        <v>170</v>
      </c>
      <c r="D2652" t="s">
        <v>171</v>
      </c>
      <c r="E2652" t="s">
        <v>109</v>
      </c>
      <c r="F2652" t="s">
        <v>117</v>
      </c>
      <c r="G2652">
        <v>0</v>
      </c>
    </row>
    <row r="2653" spans="1:7" x14ac:dyDescent="0.3">
      <c r="A2653">
        <v>2020</v>
      </c>
      <c r="B2653" t="s">
        <v>34</v>
      </c>
      <c r="C2653" t="s">
        <v>170</v>
      </c>
      <c r="D2653" t="s">
        <v>171</v>
      </c>
      <c r="E2653" t="s">
        <v>110</v>
      </c>
      <c r="F2653" t="s">
        <v>117</v>
      </c>
      <c r="G2653">
        <v>0</v>
      </c>
    </row>
    <row r="2654" spans="1:7" x14ac:dyDescent="0.3">
      <c r="A2654">
        <v>2020</v>
      </c>
      <c r="B2654" t="s">
        <v>35</v>
      </c>
      <c r="C2654" t="s">
        <v>170</v>
      </c>
      <c r="D2654" t="s">
        <v>171</v>
      </c>
      <c r="E2654" t="s">
        <v>108</v>
      </c>
      <c r="F2654" t="s">
        <v>117</v>
      </c>
      <c r="G2654">
        <v>0</v>
      </c>
    </row>
    <row r="2655" spans="1:7" x14ac:dyDescent="0.3">
      <c r="A2655">
        <v>2020</v>
      </c>
      <c r="B2655" t="s">
        <v>35</v>
      </c>
      <c r="C2655" t="s">
        <v>170</v>
      </c>
      <c r="D2655" t="s">
        <v>171</v>
      </c>
      <c r="E2655" t="s">
        <v>91</v>
      </c>
      <c r="F2655" t="s">
        <v>117</v>
      </c>
      <c r="G2655">
        <v>0</v>
      </c>
    </row>
    <row r="2656" spans="1:7" x14ac:dyDescent="0.3">
      <c r="A2656">
        <v>2020</v>
      </c>
      <c r="B2656" t="s">
        <v>35</v>
      </c>
      <c r="C2656" t="s">
        <v>170</v>
      </c>
      <c r="D2656" t="s">
        <v>171</v>
      </c>
      <c r="E2656" t="s">
        <v>109</v>
      </c>
      <c r="F2656" t="s">
        <v>117</v>
      </c>
      <c r="G2656">
        <v>0</v>
      </c>
    </row>
    <row r="2657" spans="1:7" x14ac:dyDescent="0.3">
      <c r="A2657">
        <v>2020</v>
      </c>
      <c r="B2657" t="s">
        <v>35</v>
      </c>
      <c r="C2657" t="s">
        <v>170</v>
      </c>
      <c r="D2657" t="s">
        <v>171</v>
      </c>
      <c r="E2657" t="s">
        <v>110</v>
      </c>
      <c r="F2657" t="s">
        <v>117</v>
      </c>
      <c r="G2657">
        <v>0</v>
      </c>
    </row>
    <row r="2658" spans="1:7" x14ac:dyDescent="0.3">
      <c r="A2658">
        <v>2020</v>
      </c>
      <c r="B2658" t="s">
        <v>36</v>
      </c>
      <c r="C2658" t="s">
        <v>170</v>
      </c>
      <c r="D2658" t="s">
        <v>171</v>
      </c>
      <c r="E2658" t="s">
        <v>108</v>
      </c>
      <c r="F2658" t="s">
        <v>117</v>
      </c>
    </row>
    <row r="2659" spans="1:7" x14ac:dyDescent="0.3">
      <c r="A2659">
        <v>2020</v>
      </c>
      <c r="B2659" t="s">
        <v>36</v>
      </c>
      <c r="C2659" t="s">
        <v>170</v>
      </c>
      <c r="D2659" t="s">
        <v>171</v>
      </c>
      <c r="E2659" t="s">
        <v>91</v>
      </c>
      <c r="F2659" t="s">
        <v>117</v>
      </c>
    </row>
    <row r="2660" spans="1:7" x14ac:dyDescent="0.3">
      <c r="A2660">
        <v>2020</v>
      </c>
      <c r="B2660" t="s">
        <v>36</v>
      </c>
      <c r="C2660" t="s">
        <v>170</v>
      </c>
      <c r="D2660" t="s">
        <v>171</v>
      </c>
      <c r="E2660" t="s">
        <v>109</v>
      </c>
      <c r="F2660" t="s">
        <v>117</v>
      </c>
    </row>
    <row r="2661" spans="1:7" x14ac:dyDescent="0.3">
      <c r="A2661">
        <v>2020</v>
      </c>
      <c r="B2661" t="s">
        <v>36</v>
      </c>
      <c r="C2661" t="s">
        <v>170</v>
      </c>
      <c r="D2661" t="s">
        <v>171</v>
      </c>
      <c r="E2661" t="s">
        <v>110</v>
      </c>
      <c r="F2661" t="s">
        <v>117</v>
      </c>
    </row>
    <row r="2662" spans="1:7" x14ac:dyDescent="0.3">
      <c r="A2662">
        <v>2020</v>
      </c>
      <c r="B2662" t="s">
        <v>37</v>
      </c>
      <c r="C2662" t="s">
        <v>170</v>
      </c>
      <c r="D2662" t="s">
        <v>171</v>
      </c>
      <c r="E2662" t="s">
        <v>108</v>
      </c>
      <c r="F2662" t="s">
        <v>117</v>
      </c>
    </row>
    <row r="2663" spans="1:7" x14ac:dyDescent="0.3">
      <c r="A2663">
        <v>2020</v>
      </c>
      <c r="B2663" t="s">
        <v>37</v>
      </c>
      <c r="C2663" t="s">
        <v>170</v>
      </c>
      <c r="D2663" t="s">
        <v>171</v>
      </c>
      <c r="E2663" t="s">
        <v>91</v>
      </c>
      <c r="F2663" t="s">
        <v>117</v>
      </c>
    </row>
    <row r="2664" spans="1:7" x14ac:dyDescent="0.3">
      <c r="A2664">
        <v>2020</v>
      </c>
      <c r="B2664" t="s">
        <v>37</v>
      </c>
      <c r="C2664" t="s">
        <v>170</v>
      </c>
      <c r="D2664" t="s">
        <v>171</v>
      </c>
      <c r="E2664" t="s">
        <v>109</v>
      </c>
      <c r="F2664" t="s">
        <v>117</v>
      </c>
    </row>
    <row r="2665" spans="1:7" x14ac:dyDescent="0.3">
      <c r="A2665">
        <v>2020</v>
      </c>
      <c r="B2665" t="s">
        <v>37</v>
      </c>
      <c r="C2665" t="s">
        <v>170</v>
      </c>
      <c r="D2665" t="s">
        <v>171</v>
      </c>
      <c r="E2665" t="s">
        <v>110</v>
      </c>
      <c r="F2665" t="s">
        <v>117</v>
      </c>
    </row>
    <row r="2666" spans="1:7" x14ac:dyDescent="0.3">
      <c r="A2666">
        <v>2020</v>
      </c>
      <c r="B2666" t="s">
        <v>55</v>
      </c>
      <c r="C2666" t="s">
        <v>170</v>
      </c>
      <c r="D2666" t="s">
        <v>171</v>
      </c>
      <c r="E2666" t="s">
        <v>108</v>
      </c>
      <c r="F2666" t="s">
        <v>117</v>
      </c>
      <c r="G2666">
        <v>0</v>
      </c>
    </row>
    <row r="2667" spans="1:7" x14ac:dyDescent="0.3">
      <c r="A2667">
        <v>2020</v>
      </c>
      <c r="B2667" t="s">
        <v>55</v>
      </c>
      <c r="C2667" t="s">
        <v>170</v>
      </c>
      <c r="D2667" t="s">
        <v>171</v>
      </c>
      <c r="E2667" t="s">
        <v>91</v>
      </c>
      <c r="F2667" t="s">
        <v>117</v>
      </c>
      <c r="G2667">
        <v>0</v>
      </c>
    </row>
    <row r="2668" spans="1:7" x14ac:dyDescent="0.3">
      <c r="A2668">
        <v>2020</v>
      </c>
      <c r="B2668" t="s">
        <v>55</v>
      </c>
      <c r="C2668" t="s">
        <v>170</v>
      </c>
      <c r="D2668" t="s">
        <v>171</v>
      </c>
      <c r="E2668" t="s">
        <v>109</v>
      </c>
      <c r="F2668" t="s">
        <v>117</v>
      </c>
      <c r="G2668">
        <v>0</v>
      </c>
    </row>
    <row r="2669" spans="1:7" x14ac:dyDescent="0.3">
      <c r="A2669">
        <v>2020</v>
      </c>
      <c r="B2669" t="s">
        <v>55</v>
      </c>
      <c r="C2669" t="s">
        <v>170</v>
      </c>
      <c r="D2669" t="s">
        <v>171</v>
      </c>
      <c r="E2669" t="s">
        <v>110</v>
      </c>
      <c r="F2669" t="s">
        <v>117</v>
      </c>
      <c r="G2669">
        <v>0</v>
      </c>
    </row>
    <row r="2670" spans="1:7" x14ac:dyDescent="0.3">
      <c r="A2670">
        <v>2020</v>
      </c>
      <c r="B2670" t="s">
        <v>38</v>
      </c>
      <c r="C2670" t="s">
        <v>170</v>
      </c>
      <c r="D2670" t="s">
        <v>171</v>
      </c>
      <c r="E2670" t="s">
        <v>108</v>
      </c>
      <c r="F2670" t="s">
        <v>117</v>
      </c>
    </row>
    <row r="2671" spans="1:7" x14ac:dyDescent="0.3">
      <c r="A2671">
        <v>2020</v>
      </c>
      <c r="B2671" t="s">
        <v>38</v>
      </c>
      <c r="C2671" t="s">
        <v>170</v>
      </c>
      <c r="D2671" t="s">
        <v>171</v>
      </c>
      <c r="E2671" t="s">
        <v>91</v>
      </c>
      <c r="F2671" t="s">
        <v>117</v>
      </c>
    </row>
    <row r="2672" spans="1:7" x14ac:dyDescent="0.3">
      <c r="A2672">
        <v>2020</v>
      </c>
      <c r="B2672" t="s">
        <v>38</v>
      </c>
      <c r="C2672" t="s">
        <v>170</v>
      </c>
      <c r="D2672" t="s">
        <v>171</v>
      </c>
      <c r="E2672" t="s">
        <v>109</v>
      </c>
      <c r="F2672" t="s">
        <v>117</v>
      </c>
    </row>
    <row r="2673" spans="1:7" x14ac:dyDescent="0.3">
      <c r="A2673">
        <v>2020</v>
      </c>
      <c r="B2673" t="s">
        <v>38</v>
      </c>
      <c r="C2673" t="s">
        <v>170</v>
      </c>
      <c r="D2673" t="s">
        <v>171</v>
      </c>
      <c r="E2673" t="s">
        <v>110</v>
      </c>
      <c r="F2673" t="s">
        <v>117</v>
      </c>
    </row>
    <row r="2674" spans="1:7" x14ac:dyDescent="0.3">
      <c r="A2674">
        <v>2020</v>
      </c>
      <c r="B2674" t="s">
        <v>39</v>
      </c>
      <c r="C2674" t="s">
        <v>170</v>
      </c>
      <c r="D2674" t="s">
        <v>171</v>
      </c>
      <c r="E2674" t="s">
        <v>108</v>
      </c>
      <c r="F2674" t="s">
        <v>117</v>
      </c>
    </row>
    <row r="2675" spans="1:7" x14ac:dyDescent="0.3">
      <c r="A2675">
        <v>2020</v>
      </c>
      <c r="B2675" t="s">
        <v>39</v>
      </c>
      <c r="C2675" t="s">
        <v>170</v>
      </c>
      <c r="D2675" t="s">
        <v>171</v>
      </c>
      <c r="E2675" t="s">
        <v>91</v>
      </c>
      <c r="F2675" t="s">
        <v>117</v>
      </c>
    </row>
    <row r="2676" spans="1:7" x14ac:dyDescent="0.3">
      <c r="A2676">
        <v>2020</v>
      </c>
      <c r="B2676" t="s">
        <v>39</v>
      </c>
      <c r="C2676" t="s">
        <v>170</v>
      </c>
      <c r="D2676" t="s">
        <v>171</v>
      </c>
      <c r="E2676" t="s">
        <v>109</v>
      </c>
      <c r="F2676" t="s">
        <v>117</v>
      </c>
    </row>
    <row r="2677" spans="1:7" x14ac:dyDescent="0.3">
      <c r="A2677">
        <v>2020</v>
      </c>
      <c r="B2677" t="s">
        <v>39</v>
      </c>
      <c r="C2677" t="s">
        <v>170</v>
      </c>
      <c r="D2677" t="s">
        <v>171</v>
      </c>
      <c r="E2677" t="s">
        <v>110</v>
      </c>
      <c r="F2677" t="s">
        <v>117</v>
      </c>
    </row>
    <row r="2678" spans="1:7" x14ac:dyDescent="0.3">
      <c r="A2678">
        <v>2020</v>
      </c>
      <c r="B2678" t="s">
        <v>40</v>
      </c>
      <c r="C2678" t="s">
        <v>170</v>
      </c>
      <c r="D2678" t="s">
        <v>171</v>
      </c>
      <c r="E2678" t="s">
        <v>108</v>
      </c>
      <c r="F2678" t="s">
        <v>117</v>
      </c>
      <c r="G2678">
        <v>0</v>
      </c>
    </row>
    <row r="2679" spans="1:7" x14ac:dyDescent="0.3">
      <c r="A2679">
        <v>2020</v>
      </c>
      <c r="B2679" t="s">
        <v>40</v>
      </c>
      <c r="C2679" t="s">
        <v>170</v>
      </c>
      <c r="D2679" t="s">
        <v>171</v>
      </c>
      <c r="E2679" t="s">
        <v>91</v>
      </c>
      <c r="F2679" t="s">
        <v>117</v>
      </c>
      <c r="G2679">
        <v>0</v>
      </c>
    </row>
    <row r="2680" spans="1:7" x14ac:dyDescent="0.3">
      <c r="A2680">
        <v>2020</v>
      </c>
      <c r="B2680" t="s">
        <v>40</v>
      </c>
      <c r="C2680" t="s">
        <v>170</v>
      </c>
      <c r="D2680" t="s">
        <v>171</v>
      </c>
      <c r="E2680" t="s">
        <v>109</v>
      </c>
      <c r="F2680" t="s">
        <v>117</v>
      </c>
      <c r="G2680">
        <v>0</v>
      </c>
    </row>
    <row r="2681" spans="1:7" x14ac:dyDescent="0.3">
      <c r="A2681">
        <v>2020</v>
      </c>
      <c r="B2681" t="s">
        <v>40</v>
      </c>
      <c r="C2681" t="s">
        <v>170</v>
      </c>
      <c r="D2681" t="s">
        <v>171</v>
      </c>
      <c r="E2681" t="s">
        <v>110</v>
      </c>
      <c r="F2681" t="s">
        <v>117</v>
      </c>
      <c r="G2681">
        <v>0</v>
      </c>
    </row>
    <row r="2682" spans="1:7" x14ac:dyDescent="0.3">
      <c r="A2682">
        <v>2020</v>
      </c>
      <c r="B2682" t="s">
        <v>41</v>
      </c>
      <c r="C2682" t="s">
        <v>170</v>
      </c>
      <c r="D2682" t="s">
        <v>171</v>
      </c>
      <c r="E2682" t="s">
        <v>108</v>
      </c>
      <c r="F2682" t="s">
        <v>117</v>
      </c>
    </row>
    <row r="2683" spans="1:7" x14ac:dyDescent="0.3">
      <c r="A2683">
        <v>2020</v>
      </c>
      <c r="B2683" t="s">
        <v>41</v>
      </c>
      <c r="C2683" t="s">
        <v>170</v>
      </c>
      <c r="D2683" t="s">
        <v>171</v>
      </c>
      <c r="E2683" t="s">
        <v>91</v>
      </c>
      <c r="F2683" t="s">
        <v>117</v>
      </c>
    </row>
    <row r="2684" spans="1:7" x14ac:dyDescent="0.3">
      <c r="A2684">
        <v>2020</v>
      </c>
      <c r="B2684" t="s">
        <v>41</v>
      </c>
      <c r="C2684" t="s">
        <v>170</v>
      </c>
      <c r="D2684" t="s">
        <v>171</v>
      </c>
      <c r="E2684" t="s">
        <v>109</v>
      </c>
      <c r="F2684" t="s">
        <v>117</v>
      </c>
    </row>
    <row r="2685" spans="1:7" x14ac:dyDescent="0.3">
      <c r="A2685">
        <v>2020</v>
      </c>
      <c r="B2685" t="s">
        <v>41</v>
      </c>
      <c r="C2685" t="s">
        <v>170</v>
      </c>
      <c r="D2685" t="s">
        <v>171</v>
      </c>
      <c r="E2685" t="s">
        <v>110</v>
      </c>
      <c r="F2685" t="s">
        <v>117</v>
      </c>
    </row>
    <row r="2686" spans="1:7" x14ac:dyDescent="0.3">
      <c r="A2686">
        <v>2020</v>
      </c>
      <c r="B2686" t="s">
        <v>58</v>
      </c>
      <c r="C2686" t="s">
        <v>170</v>
      </c>
      <c r="D2686" t="s">
        <v>171</v>
      </c>
      <c r="E2686" t="s">
        <v>108</v>
      </c>
      <c r="F2686" t="s">
        <v>117</v>
      </c>
    </row>
    <row r="2687" spans="1:7" x14ac:dyDescent="0.3">
      <c r="A2687">
        <v>2020</v>
      </c>
      <c r="B2687" t="s">
        <v>58</v>
      </c>
      <c r="C2687" t="s">
        <v>170</v>
      </c>
      <c r="D2687" t="s">
        <v>171</v>
      </c>
      <c r="E2687" t="s">
        <v>91</v>
      </c>
      <c r="F2687" t="s">
        <v>117</v>
      </c>
    </row>
    <row r="2688" spans="1:7" x14ac:dyDescent="0.3">
      <c r="A2688">
        <v>2020</v>
      </c>
      <c r="B2688" t="s">
        <v>58</v>
      </c>
      <c r="C2688" t="s">
        <v>170</v>
      </c>
      <c r="D2688" t="s">
        <v>171</v>
      </c>
      <c r="E2688" t="s">
        <v>109</v>
      </c>
      <c r="F2688" t="s">
        <v>117</v>
      </c>
    </row>
    <row r="2689" spans="1:7" x14ac:dyDescent="0.3">
      <c r="A2689">
        <v>2020</v>
      </c>
      <c r="B2689" t="s">
        <v>58</v>
      </c>
      <c r="C2689" t="s">
        <v>170</v>
      </c>
      <c r="D2689" t="s">
        <v>171</v>
      </c>
      <c r="E2689" t="s">
        <v>110</v>
      </c>
      <c r="F2689" t="s">
        <v>117</v>
      </c>
    </row>
    <row r="2690" spans="1:7" x14ac:dyDescent="0.3">
      <c r="A2690">
        <v>2020</v>
      </c>
      <c r="B2690" t="s">
        <v>42</v>
      </c>
      <c r="C2690" t="s">
        <v>170</v>
      </c>
      <c r="D2690" t="s">
        <v>171</v>
      </c>
      <c r="E2690" t="s">
        <v>108</v>
      </c>
      <c r="F2690" t="s">
        <v>117</v>
      </c>
      <c r="G2690">
        <v>0</v>
      </c>
    </row>
    <row r="2691" spans="1:7" x14ac:dyDescent="0.3">
      <c r="A2691">
        <v>2020</v>
      </c>
      <c r="B2691" t="s">
        <v>42</v>
      </c>
      <c r="C2691" t="s">
        <v>170</v>
      </c>
      <c r="D2691" t="s">
        <v>171</v>
      </c>
      <c r="E2691" t="s">
        <v>91</v>
      </c>
      <c r="F2691" t="s">
        <v>117</v>
      </c>
      <c r="G2691">
        <v>0</v>
      </c>
    </row>
    <row r="2692" spans="1:7" x14ac:dyDescent="0.3">
      <c r="A2692">
        <v>2020</v>
      </c>
      <c r="B2692" t="s">
        <v>42</v>
      </c>
      <c r="C2692" t="s">
        <v>170</v>
      </c>
      <c r="D2692" t="s">
        <v>171</v>
      </c>
      <c r="E2692" t="s">
        <v>109</v>
      </c>
      <c r="F2692" t="s">
        <v>117</v>
      </c>
      <c r="G2692">
        <v>0</v>
      </c>
    </row>
    <row r="2693" spans="1:7" x14ac:dyDescent="0.3">
      <c r="A2693">
        <v>2020</v>
      </c>
      <c r="B2693" t="s">
        <v>42</v>
      </c>
      <c r="C2693" t="s">
        <v>170</v>
      </c>
      <c r="D2693" t="s">
        <v>171</v>
      </c>
      <c r="E2693" t="s">
        <v>110</v>
      </c>
      <c r="F2693" t="s">
        <v>117</v>
      </c>
      <c r="G2693">
        <v>0</v>
      </c>
    </row>
    <row r="2694" spans="1:7" x14ac:dyDescent="0.3">
      <c r="A2694">
        <v>2020</v>
      </c>
      <c r="B2694" t="s">
        <v>44</v>
      </c>
      <c r="C2694" t="s">
        <v>170</v>
      </c>
      <c r="D2694" t="s">
        <v>171</v>
      </c>
      <c r="E2694" t="s">
        <v>108</v>
      </c>
      <c r="F2694" t="s">
        <v>117</v>
      </c>
    </row>
    <row r="2695" spans="1:7" x14ac:dyDescent="0.3">
      <c r="A2695">
        <v>2020</v>
      </c>
      <c r="B2695" t="s">
        <v>44</v>
      </c>
      <c r="C2695" t="s">
        <v>170</v>
      </c>
      <c r="D2695" t="s">
        <v>171</v>
      </c>
      <c r="E2695" t="s">
        <v>91</v>
      </c>
      <c r="F2695" t="s">
        <v>117</v>
      </c>
    </row>
    <row r="2696" spans="1:7" x14ac:dyDescent="0.3">
      <c r="A2696">
        <v>2020</v>
      </c>
      <c r="B2696" t="s">
        <v>44</v>
      </c>
      <c r="C2696" t="s">
        <v>170</v>
      </c>
      <c r="D2696" t="s">
        <v>171</v>
      </c>
      <c r="E2696" t="s">
        <v>109</v>
      </c>
      <c r="F2696" t="s">
        <v>117</v>
      </c>
    </row>
    <row r="2697" spans="1:7" x14ac:dyDescent="0.3">
      <c r="A2697">
        <v>2020</v>
      </c>
      <c r="B2697" t="s">
        <v>44</v>
      </c>
      <c r="C2697" t="s">
        <v>170</v>
      </c>
      <c r="D2697" t="s">
        <v>171</v>
      </c>
      <c r="E2697" t="s">
        <v>110</v>
      </c>
      <c r="F2697" t="s">
        <v>117</v>
      </c>
    </row>
    <row r="2698" spans="1:7" x14ac:dyDescent="0.3">
      <c r="A2698">
        <v>2020</v>
      </c>
      <c r="B2698" t="s">
        <v>45</v>
      </c>
      <c r="C2698" t="s">
        <v>170</v>
      </c>
      <c r="D2698" t="s">
        <v>171</v>
      </c>
      <c r="E2698" t="s">
        <v>108</v>
      </c>
      <c r="F2698" t="s">
        <v>117</v>
      </c>
    </row>
    <row r="2699" spans="1:7" x14ac:dyDescent="0.3">
      <c r="A2699">
        <v>2020</v>
      </c>
      <c r="B2699" t="s">
        <v>45</v>
      </c>
      <c r="C2699" t="s">
        <v>170</v>
      </c>
      <c r="D2699" t="s">
        <v>171</v>
      </c>
      <c r="E2699" t="s">
        <v>91</v>
      </c>
      <c r="F2699" t="s">
        <v>117</v>
      </c>
    </row>
    <row r="2700" spans="1:7" x14ac:dyDescent="0.3">
      <c r="A2700">
        <v>2020</v>
      </c>
      <c r="B2700" t="s">
        <v>45</v>
      </c>
      <c r="C2700" t="s">
        <v>170</v>
      </c>
      <c r="D2700" t="s">
        <v>171</v>
      </c>
      <c r="E2700" t="s">
        <v>109</v>
      </c>
      <c r="F2700" t="s">
        <v>117</v>
      </c>
    </row>
    <row r="2701" spans="1:7" x14ac:dyDescent="0.3">
      <c r="A2701">
        <v>2020</v>
      </c>
      <c r="B2701" t="s">
        <v>45</v>
      </c>
      <c r="C2701" t="s">
        <v>170</v>
      </c>
      <c r="D2701" t="s">
        <v>171</v>
      </c>
      <c r="E2701" t="s">
        <v>110</v>
      </c>
      <c r="F2701" t="s">
        <v>117</v>
      </c>
    </row>
    <row r="2702" spans="1:7" x14ac:dyDescent="0.3">
      <c r="A2702">
        <v>2020</v>
      </c>
      <c r="B2702" t="s">
        <v>46</v>
      </c>
      <c r="C2702" t="s">
        <v>170</v>
      </c>
      <c r="D2702" t="s">
        <v>171</v>
      </c>
      <c r="E2702" t="s">
        <v>108</v>
      </c>
      <c r="F2702" t="s">
        <v>117</v>
      </c>
    </row>
    <row r="2703" spans="1:7" x14ac:dyDescent="0.3">
      <c r="A2703">
        <v>2020</v>
      </c>
      <c r="B2703" t="s">
        <v>46</v>
      </c>
      <c r="C2703" t="s">
        <v>170</v>
      </c>
      <c r="D2703" t="s">
        <v>171</v>
      </c>
      <c r="E2703" t="s">
        <v>91</v>
      </c>
      <c r="F2703" t="s">
        <v>117</v>
      </c>
    </row>
    <row r="2704" spans="1:7" x14ac:dyDescent="0.3">
      <c r="A2704">
        <v>2020</v>
      </c>
      <c r="B2704" t="s">
        <v>46</v>
      </c>
      <c r="C2704" t="s">
        <v>170</v>
      </c>
      <c r="D2704" t="s">
        <v>171</v>
      </c>
      <c r="E2704" t="s">
        <v>109</v>
      </c>
      <c r="F2704" t="s">
        <v>117</v>
      </c>
    </row>
    <row r="2705" spans="1:7" x14ac:dyDescent="0.3">
      <c r="A2705">
        <v>2020</v>
      </c>
      <c r="B2705" t="s">
        <v>46</v>
      </c>
      <c r="C2705" t="s">
        <v>170</v>
      </c>
      <c r="D2705" t="s">
        <v>171</v>
      </c>
      <c r="E2705" t="s">
        <v>110</v>
      </c>
      <c r="F2705" t="s">
        <v>117</v>
      </c>
    </row>
    <row r="2706" spans="1:7" x14ac:dyDescent="0.3">
      <c r="A2706">
        <v>2020</v>
      </c>
      <c r="B2706" t="s">
        <v>47</v>
      </c>
      <c r="C2706" t="s">
        <v>170</v>
      </c>
      <c r="D2706" t="s">
        <v>171</v>
      </c>
      <c r="E2706" t="s">
        <v>108</v>
      </c>
      <c r="F2706" t="s">
        <v>117</v>
      </c>
    </row>
    <row r="2707" spans="1:7" x14ac:dyDescent="0.3">
      <c r="A2707">
        <v>2020</v>
      </c>
      <c r="B2707" t="s">
        <v>47</v>
      </c>
      <c r="C2707" t="s">
        <v>170</v>
      </c>
      <c r="D2707" t="s">
        <v>171</v>
      </c>
      <c r="E2707" t="s">
        <v>91</v>
      </c>
      <c r="F2707" t="s">
        <v>117</v>
      </c>
    </row>
    <row r="2708" spans="1:7" x14ac:dyDescent="0.3">
      <c r="A2708">
        <v>2020</v>
      </c>
      <c r="B2708" t="s">
        <v>47</v>
      </c>
      <c r="C2708" t="s">
        <v>170</v>
      </c>
      <c r="D2708" t="s">
        <v>171</v>
      </c>
      <c r="E2708" t="s">
        <v>109</v>
      </c>
      <c r="F2708" t="s">
        <v>117</v>
      </c>
    </row>
    <row r="2709" spans="1:7" x14ac:dyDescent="0.3">
      <c r="A2709">
        <v>2020</v>
      </c>
      <c r="B2709" t="s">
        <v>47</v>
      </c>
      <c r="C2709" t="s">
        <v>170</v>
      </c>
      <c r="D2709" t="s">
        <v>171</v>
      </c>
      <c r="E2709" t="s">
        <v>110</v>
      </c>
      <c r="F2709" t="s">
        <v>117</v>
      </c>
    </row>
    <row r="2710" spans="1:7" x14ac:dyDescent="0.3">
      <c r="A2710">
        <v>2020</v>
      </c>
      <c r="B2710" t="s">
        <v>48</v>
      </c>
      <c r="C2710" t="s">
        <v>170</v>
      </c>
      <c r="D2710" t="s">
        <v>171</v>
      </c>
      <c r="E2710" t="s">
        <v>108</v>
      </c>
      <c r="F2710" t="s">
        <v>117</v>
      </c>
      <c r="G2710">
        <v>1</v>
      </c>
    </row>
    <row r="2711" spans="1:7" x14ac:dyDescent="0.3">
      <c r="A2711">
        <v>2020</v>
      </c>
      <c r="B2711" t="s">
        <v>48</v>
      </c>
      <c r="C2711" t="s">
        <v>170</v>
      </c>
      <c r="D2711" t="s">
        <v>171</v>
      </c>
      <c r="E2711" t="s">
        <v>91</v>
      </c>
      <c r="F2711" t="s">
        <v>117</v>
      </c>
    </row>
    <row r="2712" spans="1:7" x14ac:dyDescent="0.3">
      <c r="A2712">
        <v>2020</v>
      </c>
      <c r="B2712" t="s">
        <v>48</v>
      </c>
      <c r="C2712" t="s">
        <v>170</v>
      </c>
      <c r="D2712" t="s">
        <v>171</v>
      </c>
      <c r="E2712" t="s">
        <v>109</v>
      </c>
      <c r="F2712" t="s">
        <v>117</v>
      </c>
    </row>
    <row r="2713" spans="1:7" x14ac:dyDescent="0.3">
      <c r="A2713">
        <v>2020</v>
      </c>
      <c r="B2713" t="s">
        <v>48</v>
      </c>
      <c r="C2713" t="s">
        <v>170</v>
      </c>
      <c r="D2713" t="s">
        <v>171</v>
      </c>
      <c r="E2713" t="s">
        <v>110</v>
      </c>
      <c r="F2713" t="s">
        <v>117</v>
      </c>
    </row>
    <row r="2714" spans="1:7" x14ac:dyDescent="0.3">
      <c r="A2714">
        <v>2020</v>
      </c>
      <c r="B2714" t="s">
        <v>49</v>
      </c>
      <c r="C2714" t="s">
        <v>170</v>
      </c>
      <c r="D2714" t="s">
        <v>171</v>
      </c>
      <c r="E2714" t="s">
        <v>108</v>
      </c>
      <c r="F2714" t="s">
        <v>117</v>
      </c>
      <c r="G2714">
        <v>1</v>
      </c>
    </row>
    <row r="2715" spans="1:7" x14ac:dyDescent="0.3">
      <c r="A2715">
        <v>2020</v>
      </c>
      <c r="B2715" t="s">
        <v>49</v>
      </c>
      <c r="C2715" t="s">
        <v>170</v>
      </c>
      <c r="D2715" t="s">
        <v>171</v>
      </c>
      <c r="E2715" t="s">
        <v>91</v>
      </c>
      <c r="F2715" t="s">
        <v>117</v>
      </c>
      <c r="G2715">
        <v>0</v>
      </c>
    </row>
    <row r="2716" spans="1:7" x14ac:dyDescent="0.3">
      <c r="A2716">
        <v>2020</v>
      </c>
      <c r="B2716" t="s">
        <v>49</v>
      </c>
      <c r="C2716" t="s">
        <v>170</v>
      </c>
      <c r="D2716" t="s">
        <v>171</v>
      </c>
      <c r="E2716" t="s">
        <v>109</v>
      </c>
      <c r="F2716" t="s">
        <v>117</v>
      </c>
      <c r="G2716">
        <v>0</v>
      </c>
    </row>
    <row r="2717" spans="1:7" x14ac:dyDescent="0.3">
      <c r="A2717">
        <v>2020</v>
      </c>
      <c r="B2717" t="s">
        <v>49</v>
      </c>
      <c r="C2717" t="s">
        <v>170</v>
      </c>
      <c r="D2717" t="s">
        <v>171</v>
      </c>
      <c r="E2717" t="s">
        <v>110</v>
      </c>
      <c r="F2717" t="s">
        <v>117</v>
      </c>
      <c r="G2717">
        <v>0</v>
      </c>
    </row>
    <row r="2718" spans="1:7" x14ac:dyDescent="0.3">
      <c r="A2718">
        <v>2020</v>
      </c>
      <c r="B2718" t="s">
        <v>59</v>
      </c>
      <c r="C2718" t="s">
        <v>170</v>
      </c>
      <c r="D2718" t="s">
        <v>171</v>
      </c>
      <c r="E2718" t="s">
        <v>108</v>
      </c>
      <c r="F2718" t="s">
        <v>117</v>
      </c>
      <c r="G2718">
        <v>0</v>
      </c>
    </row>
    <row r="2719" spans="1:7" x14ac:dyDescent="0.3">
      <c r="A2719">
        <v>2020</v>
      </c>
      <c r="B2719" t="s">
        <v>59</v>
      </c>
      <c r="C2719" t="s">
        <v>170</v>
      </c>
      <c r="D2719" t="s">
        <v>171</v>
      </c>
      <c r="E2719" t="s">
        <v>91</v>
      </c>
      <c r="F2719" t="s">
        <v>117</v>
      </c>
      <c r="G2719">
        <v>0</v>
      </c>
    </row>
    <row r="2720" spans="1:7" x14ac:dyDescent="0.3">
      <c r="A2720">
        <v>2020</v>
      </c>
      <c r="B2720" t="s">
        <v>59</v>
      </c>
      <c r="C2720" t="s">
        <v>170</v>
      </c>
      <c r="D2720" t="s">
        <v>171</v>
      </c>
      <c r="E2720" t="s">
        <v>109</v>
      </c>
      <c r="F2720" t="s">
        <v>117</v>
      </c>
      <c r="G2720">
        <v>0</v>
      </c>
    </row>
    <row r="2721" spans="1:7" x14ac:dyDescent="0.3">
      <c r="A2721">
        <v>2020</v>
      </c>
      <c r="B2721" t="s">
        <v>59</v>
      </c>
      <c r="C2721" t="s">
        <v>170</v>
      </c>
      <c r="D2721" t="s">
        <v>171</v>
      </c>
      <c r="E2721" t="s">
        <v>110</v>
      </c>
      <c r="F2721" t="s">
        <v>117</v>
      </c>
      <c r="G2721">
        <v>0</v>
      </c>
    </row>
    <row r="2722" spans="1:7" x14ac:dyDescent="0.3">
      <c r="A2722">
        <v>2020</v>
      </c>
      <c r="B2722" t="s">
        <v>50</v>
      </c>
      <c r="C2722" t="s">
        <v>170</v>
      </c>
      <c r="D2722" t="s">
        <v>171</v>
      </c>
      <c r="E2722" t="s">
        <v>108</v>
      </c>
      <c r="F2722" t="s">
        <v>117</v>
      </c>
    </row>
    <row r="2723" spans="1:7" x14ac:dyDescent="0.3">
      <c r="A2723">
        <v>2020</v>
      </c>
      <c r="B2723" t="s">
        <v>50</v>
      </c>
      <c r="C2723" t="s">
        <v>170</v>
      </c>
      <c r="D2723" t="s">
        <v>171</v>
      </c>
      <c r="E2723" t="s">
        <v>91</v>
      </c>
      <c r="F2723" t="s">
        <v>117</v>
      </c>
    </row>
    <row r="2724" spans="1:7" x14ac:dyDescent="0.3">
      <c r="A2724">
        <v>2020</v>
      </c>
      <c r="B2724" t="s">
        <v>50</v>
      </c>
      <c r="C2724" t="s">
        <v>170</v>
      </c>
      <c r="D2724" t="s">
        <v>171</v>
      </c>
      <c r="E2724" t="s">
        <v>109</v>
      </c>
      <c r="F2724" t="s">
        <v>117</v>
      </c>
    </row>
    <row r="2725" spans="1:7" x14ac:dyDescent="0.3">
      <c r="A2725">
        <v>2020</v>
      </c>
      <c r="B2725" t="s">
        <v>50</v>
      </c>
      <c r="C2725" t="s">
        <v>170</v>
      </c>
      <c r="D2725" t="s">
        <v>171</v>
      </c>
      <c r="E2725" t="s">
        <v>110</v>
      </c>
      <c r="F2725" t="s">
        <v>117</v>
      </c>
    </row>
    <row r="2726" spans="1:7" x14ac:dyDescent="0.3">
      <c r="A2726">
        <v>2020</v>
      </c>
      <c r="B2726" t="s">
        <v>51</v>
      </c>
      <c r="C2726" t="s">
        <v>170</v>
      </c>
      <c r="D2726" t="s">
        <v>171</v>
      </c>
      <c r="E2726" t="s">
        <v>108</v>
      </c>
      <c r="F2726" t="s">
        <v>117</v>
      </c>
    </row>
    <row r="2727" spans="1:7" x14ac:dyDescent="0.3">
      <c r="A2727">
        <v>2020</v>
      </c>
      <c r="B2727" t="s">
        <v>51</v>
      </c>
      <c r="C2727" t="s">
        <v>170</v>
      </c>
      <c r="D2727" t="s">
        <v>171</v>
      </c>
      <c r="E2727" t="s">
        <v>91</v>
      </c>
      <c r="F2727" t="s">
        <v>117</v>
      </c>
    </row>
    <row r="2728" spans="1:7" x14ac:dyDescent="0.3">
      <c r="A2728">
        <v>2020</v>
      </c>
      <c r="B2728" t="s">
        <v>51</v>
      </c>
      <c r="C2728" t="s">
        <v>170</v>
      </c>
      <c r="D2728" t="s">
        <v>171</v>
      </c>
      <c r="E2728" t="s">
        <v>109</v>
      </c>
      <c r="F2728" t="s">
        <v>117</v>
      </c>
    </row>
    <row r="2729" spans="1:7" x14ac:dyDescent="0.3">
      <c r="A2729">
        <v>2020</v>
      </c>
      <c r="B2729" t="s">
        <v>51</v>
      </c>
      <c r="C2729" t="s">
        <v>170</v>
      </c>
      <c r="D2729" t="s">
        <v>171</v>
      </c>
      <c r="E2729" t="s">
        <v>110</v>
      </c>
      <c r="F2729" t="s">
        <v>117</v>
      </c>
    </row>
    <row r="2730" spans="1:7" x14ac:dyDescent="0.3">
      <c r="A2730">
        <v>2020</v>
      </c>
      <c r="B2730" t="s">
        <v>52</v>
      </c>
      <c r="C2730" t="s">
        <v>170</v>
      </c>
      <c r="D2730" t="s">
        <v>171</v>
      </c>
      <c r="E2730" t="s">
        <v>108</v>
      </c>
      <c r="F2730" t="s">
        <v>117</v>
      </c>
    </row>
    <row r="2731" spans="1:7" x14ac:dyDescent="0.3">
      <c r="A2731">
        <v>2020</v>
      </c>
      <c r="B2731" t="s">
        <v>52</v>
      </c>
      <c r="C2731" t="s">
        <v>170</v>
      </c>
      <c r="D2731" t="s">
        <v>171</v>
      </c>
      <c r="E2731" t="s">
        <v>91</v>
      </c>
      <c r="F2731" t="s">
        <v>117</v>
      </c>
    </row>
    <row r="2732" spans="1:7" x14ac:dyDescent="0.3">
      <c r="A2732">
        <v>2020</v>
      </c>
      <c r="B2732" t="s">
        <v>52</v>
      </c>
      <c r="C2732" t="s">
        <v>170</v>
      </c>
      <c r="D2732" t="s">
        <v>171</v>
      </c>
      <c r="E2732" t="s">
        <v>109</v>
      </c>
      <c r="F2732" t="s">
        <v>117</v>
      </c>
    </row>
    <row r="2733" spans="1:7" x14ac:dyDescent="0.3">
      <c r="A2733">
        <v>2020</v>
      </c>
      <c r="B2733" t="s">
        <v>52</v>
      </c>
      <c r="C2733" t="s">
        <v>170</v>
      </c>
      <c r="D2733" t="s">
        <v>171</v>
      </c>
      <c r="E2733" t="s">
        <v>110</v>
      </c>
      <c r="F2733" t="s">
        <v>117</v>
      </c>
    </row>
    <row r="2734" spans="1:7" x14ac:dyDescent="0.3">
      <c r="A2734">
        <v>2020</v>
      </c>
      <c r="B2734" t="s">
        <v>60</v>
      </c>
      <c r="C2734" t="s">
        <v>170</v>
      </c>
      <c r="D2734" t="s">
        <v>171</v>
      </c>
      <c r="E2734" t="s">
        <v>108</v>
      </c>
      <c r="F2734" t="s">
        <v>117</v>
      </c>
      <c r="G2734">
        <v>0</v>
      </c>
    </row>
    <row r="2735" spans="1:7" x14ac:dyDescent="0.3">
      <c r="A2735">
        <v>2020</v>
      </c>
      <c r="B2735" t="s">
        <v>60</v>
      </c>
      <c r="C2735" t="s">
        <v>170</v>
      </c>
      <c r="D2735" t="s">
        <v>171</v>
      </c>
      <c r="E2735" t="s">
        <v>91</v>
      </c>
      <c r="F2735" t="s">
        <v>117</v>
      </c>
      <c r="G2735">
        <v>0</v>
      </c>
    </row>
    <row r="2736" spans="1:7" x14ac:dyDescent="0.3">
      <c r="A2736">
        <v>2020</v>
      </c>
      <c r="B2736" t="s">
        <v>60</v>
      </c>
      <c r="C2736" t="s">
        <v>170</v>
      </c>
      <c r="D2736" t="s">
        <v>171</v>
      </c>
      <c r="E2736" t="s">
        <v>109</v>
      </c>
      <c r="F2736" t="s">
        <v>117</v>
      </c>
      <c r="G2736">
        <v>0</v>
      </c>
    </row>
    <row r="2737" spans="1:7" x14ac:dyDescent="0.3">
      <c r="A2737">
        <v>2020</v>
      </c>
      <c r="B2737" t="s">
        <v>60</v>
      </c>
      <c r="C2737" t="s">
        <v>170</v>
      </c>
      <c r="D2737" t="s">
        <v>171</v>
      </c>
      <c r="E2737" t="s">
        <v>110</v>
      </c>
      <c r="F2737" t="s">
        <v>117</v>
      </c>
      <c r="G2737">
        <v>0</v>
      </c>
    </row>
    <row r="2738" spans="1:7" x14ac:dyDescent="0.3">
      <c r="A2738">
        <v>2020</v>
      </c>
      <c r="B2738" t="s">
        <v>53</v>
      </c>
      <c r="C2738" t="s">
        <v>170</v>
      </c>
      <c r="D2738" t="s">
        <v>171</v>
      </c>
      <c r="E2738" t="s">
        <v>108</v>
      </c>
      <c r="F2738" t="s">
        <v>117</v>
      </c>
      <c r="G2738">
        <v>0</v>
      </c>
    </row>
    <row r="2739" spans="1:7" x14ac:dyDescent="0.3">
      <c r="A2739">
        <v>2020</v>
      </c>
      <c r="B2739" t="s">
        <v>53</v>
      </c>
      <c r="C2739" t="s">
        <v>170</v>
      </c>
      <c r="D2739" t="s">
        <v>171</v>
      </c>
      <c r="E2739" t="s">
        <v>91</v>
      </c>
      <c r="F2739" t="s">
        <v>117</v>
      </c>
      <c r="G2739">
        <v>0</v>
      </c>
    </row>
    <row r="2740" spans="1:7" x14ac:dyDescent="0.3">
      <c r="A2740">
        <v>2020</v>
      </c>
      <c r="B2740" t="s">
        <v>53</v>
      </c>
      <c r="C2740" t="s">
        <v>170</v>
      </c>
      <c r="D2740" t="s">
        <v>171</v>
      </c>
      <c r="E2740" t="s">
        <v>109</v>
      </c>
      <c r="F2740" t="s">
        <v>117</v>
      </c>
      <c r="G2740">
        <v>0</v>
      </c>
    </row>
    <row r="2741" spans="1:7" x14ac:dyDescent="0.3">
      <c r="A2741">
        <v>2020</v>
      </c>
      <c r="B2741" t="s">
        <v>53</v>
      </c>
      <c r="C2741" t="s">
        <v>170</v>
      </c>
      <c r="D2741" t="s">
        <v>171</v>
      </c>
      <c r="E2741" t="s">
        <v>110</v>
      </c>
      <c r="F2741" t="s">
        <v>117</v>
      </c>
      <c r="G2741">
        <v>0</v>
      </c>
    </row>
    <row r="2742" spans="1:7" x14ac:dyDescent="0.3">
      <c r="A2742">
        <v>2020</v>
      </c>
      <c r="B2742" t="s">
        <v>61</v>
      </c>
      <c r="C2742" t="s">
        <v>170</v>
      </c>
      <c r="D2742" t="s">
        <v>171</v>
      </c>
      <c r="E2742" t="s">
        <v>108</v>
      </c>
      <c r="F2742" t="s">
        <v>117</v>
      </c>
    </row>
    <row r="2743" spans="1:7" x14ac:dyDescent="0.3">
      <c r="A2743">
        <v>2020</v>
      </c>
      <c r="B2743" t="s">
        <v>61</v>
      </c>
      <c r="C2743" t="s">
        <v>170</v>
      </c>
      <c r="D2743" t="s">
        <v>171</v>
      </c>
      <c r="E2743" t="s">
        <v>91</v>
      </c>
      <c r="F2743" t="s">
        <v>117</v>
      </c>
      <c r="G2743">
        <v>1</v>
      </c>
    </row>
    <row r="2744" spans="1:7" x14ac:dyDescent="0.3">
      <c r="A2744">
        <v>2020</v>
      </c>
      <c r="B2744" t="s">
        <v>61</v>
      </c>
      <c r="C2744" t="s">
        <v>170</v>
      </c>
      <c r="D2744" t="s">
        <v>171</v>
      </c>
      <c r="E2744" t="s">
        <v>109</v>
      </c>
      <c r="F2744" t="s">
        <v>117</v>
      </c>
    </row>
    <row r="2745" spans="1:7" x14ac:dyDescent="0.3">
      <c r="A2745">
        <v>2020</v>
      </c>
      <c r="B2745" t="s">
        <v>61</v>
      </c>
      <c r="C2745" t="s">
        <v>170</v>
      </c>
      <c r="D2745" t="s">
        <v>171</v>
      </c>
      <c r="E2745" t="s">
        <v>110</v>
      </c>
      <c r="F2745" t="s">
        <v>117</v>
      </c>
    </row>
    <row r="2746" spans="1:7" x14ac:dyDescent="0.3">
      <c r="A2746">
        <v>2020</v>
      </c>
      <c r="B2746" t="s">
        <v>54</v>
      </c>
      <c r="C2746" t="s">
        <v>170</v>
      </c>
      <c r="D2746" t="s">
        <v>171</v>
      </c>
      <c r="E2746" t="s">
        <v>108</v>
      </c>
      <c r="F2746" t="s">
        <v>117</v>
      </c>
      <c r="G2746">
        <v>1</v>
      </c>
    </row>
    <row r="2747" spans="1:7" x14ac:dyDescent="0.3">
      <c r="A2747">
        <v>2020</v>
      </c>
      <c r="B2747" t="s">
        <v>54</v>
      </c>
      <c r="C2747" t="s">
        <v>170</v>
      </c>
      <c r="D2747" t="s">
        <v>171</v>
      </c>
      <c r="E2747" t="s">
        <v>91</v>
      </c>
      <c r="F2747" t="s">
        <v>117</v>
      </c>
      <c r="G2747">
        <v>0</v>
      </c>
    </row>
    <row r="2748" spans="1:7" x14ac:dyDescent="0.3">
      <c r="A2748">
        <v>2020</v>
      </c>
      <c r="B2748" t="s">
        <v>54</v>
      </c>
      <c r="C2748" t="s">
        <v>170</v>
      </c>
      <c r="D2748" t="s">
        <v>171</v>
      </c>
      <c r="E2748" t="s">
        <v>109</v>
      </c>
      <c r="F2748" t="s">
        <v>117</v>
      </c>
      <c r="G2748">
        <v>0</v>
      </c>
    </row>
    <row r="2749" spans="1:7" x14ac:dyDescent="0.3">
      <c r="A2749">
        <v>2020</v>
      </c>
      <c r="B2749" t="s">
        <v>54</v>
      </c>
      <c r="C2749" t="s">
        <v>170</v>
      </c>
      <c r="D2749" t="s">
        <v>171</v>
      </c>
      <c r="E2749" t="s">
        <v>110</v>
      </c>
      <c r="F2749" t="s">
        <v>117</v>
      </c>
      <c r="G2749">
        <v>0</v>
      </c>
    </row>
    <row r="2750" spans="1:7" x14ac:dyDescent="0.3">
      <c r="A2750">
        <v>2020</v>
      </c>
      <c r="B2750" t="s">
        <v>62</v>
      </c>
      <c r="C2750" t="s">
        <v>170</v>
      </c>
      <c r="D2750" t="s">
        <v>171</v>
      </c>
      <c r="E2750" t="s">
        <v>108</v>
      </c>
      <c r="F2750" t="s">
        <v>117</v>
      </c>
      <c r="G2750">
        <v>0</v>
      </c>
    </row>
    <row r="2751" spans="1:7" x14ac:dyDescent="0.3">
      <c r="A2751">
        <v>2020</v>
      </c>
      <c r="B2751" t="s">
        <v>62</v>
      </c>
      <c r="C2751" t="s">
        <v>170</v>
      </c>
      <c r="D2751" t="s">
        <v>171</v>
      </c>
      <c r="E2751" t="s">
        <v>91</v>
      </c>
      <c r="F2751" t="s">
        <v>117</v>
      </c>
      <c r="G2751">
        <v>2</v>
      </c>
    </row>
    <row r="2752" spans="1:7" x14ac:dyDescent="0.3">
      <c r="A2752">
        <v>2020</v>
      </c>
      <c r="B2752" t="s">
        <v>62</v>
      </c>
      <c r="C2752" t="s">
        <v>170</v>
      </c>
      <c r="D2752" t="s">
        <v>171</v>
      </c>
      <c r="E2752" t="s">
        <v>109</v>
      </c>
      <c r="F2752" t="s">
        <v>117</v>
      </c>
      <c r="G2752">
        <v>0</v>
      </c>
    </row>
    <row r="2753" spans="1:7" x14ac:dyDescent="0.3">
      <c r="A2753">
        <v>2020</v>
      </c>
      <c r="B2753" t="s">
        <v>62</v>
      </c>
      <c r="C2753" t="s">
        <v>170</v>
      </c>
      <c r="D2753" t="s">
        <v>171</v>
      </c>
      <c r="E2753" t="s">
        <v>110</v>
      </c>
      <c r="F2753" t="s">
        <v>117</v>
      </c>
      <c r="G2753">
        <v>0</v>
      </c>
    </row>
    <row r="2754" spans="1:7" x14ac:dyDescent="0.3">
      <c r="A2754">
        <v>2020</v>
      </c>
      <c r="B2754" t="s">
        <v>28</v>
      </c>
      <c r="C2754" t="s">
        <v>170</v>
      </c>
      <c r="D2754" t="s">
        <v>171</v>
      </c>
      <c r="E2754" t="s">
        <v>108</v>
      </c>
      <c r="F2754" t="s">
        <v>117</v>
      </c>
      <c r="G2754">
        <v>0</v>
      </c>
    </row>
    <row r="2755" spans="1:7" x14ac:dyDescent="0.3">
      <c r="A2755">
        <v>2020</v>
      </c>
      <c r="B2755" t="s">
        <v>28</v>
      </c>
      <c r="C2755" t="s">
        <v>170</v>
      </c>
      <c r="D2755" t="s">
        <v>171</v>
      </c>
      <c r="E2755" t="s">
        <v>91</v>
      </c>
      <c r="F2755" t="s">
        <v>117</v>
      </c>
      <c r="G2755">
        <v>0</v>
      </c>
    </row>
    <row r="2756" spans="1:7" x14ac:dyDescent="0.3">
      <c r="A2756">
        <v>2020</v>
      </c>
      <c r="B2756" t="s">
        <v>28</v>
      </c>
      <c r="C2756" t="s">
        <v>170</v>
      </c>
      <c r="D2756" t="s">
        <v>171</v>
      </c>
      <c r="E2756" t="s">
        <v>109</v>
      </c>
      <c r="F2756" t="s">
        <v>117</v>
      </c>
      <c r="G2756">
        <v>0</v>
      </c>
    </row>
    <row r="2757" spans="1:7" x14ac:dyDescent="0.3">
      <c r="A2757">
        <v>2020</v>
      </c>
      <c r="B2757" t="s">
        <v>28</v>
      </c>
      <c r="C2757" t="s">
        <v>170</v>
      </c>
      <c r="D2757" t="s">
        <v>171</v>
      </c>
      <c r="E2757" t="s">
        <v>110</v>
      </c>
      <c r="F2757" t="s">
        <v>117</v>
      </c>
      <c r="G2757">
        <v>0</v>
      </c>
    </row>
    <row r="2758" spans="1:7" x14ac:dyDescent="0.3">
      <c r="A2758">
        <v>2020</v>
      </c>
      <c r="B2758" t="s">
        <v>43</v>
      </c>
      <c r="C2758" t="s">
        <v>170</v>
      </c>
      <c r="D2758" t="s">
        <v>171</v>
      </c>
      <c r="E2758" t="s">
        <v>108</v>
      </c>
      <c r="F2758" t="s">
        <v>117</v>
      </c>
    </row>
    <row r="2759" spans="1:7" x14ac:dyDescent="0.3">
      <c r="A2759">
        <v>2020</v>
      </c>
      <c r="B2759" t="s">
        <v>43</v>
      </c>
      <c r="C2759" t="s">
        <v>170</v>
      </c>
      <c r="D2759" t="s">
        <v>171</v>
      </c>
      <c r="E2759" t="s">
        <v>91</v>
      </c>
      <c r="F2759" t="s">
        <v>117</v>
      </c>
    </row>
    <row r="2760" spans="1:7" x14ac:dyDescent="0.3">
      <c r="A2760">
        <v>2020</v>
      </c>
      <c r="B2760" t="s">
        <v>43</v>
      </c>
      <c r="C2760" t="s">
        <v>170</v>
      </c>
      <c r="D2760" t="s">
        <v>171</v>
      </c>
      <c r="E2760" t="s">
        <v>109</v>
      </c>
      <c r="F2760" t="s">
        <v>117</v>
      </c>
    </row>
    <row r="2761" spans="1:7" x14ac:dyDescent="0.3">
      <c r="A2761">
        <v>2020</v>
      </c>
      <c r="B2761" t="s">
        <v>43</v>
      </c>
      <c r="C2761" t="s">
        <v>170</v>
      </c>
      <c r="D2761" t="s">
        <v>171</v>
      </c>
      <c r="E2761" t="s">
        <v>110</v>
      </c>
      <c r="F2761" t="s">
        <v>117</v>
      </c>
    </row>
    <row r="2762" spans="1:7" x14ac:dyDescent="0.3">
      <c r="A2762">
        <v>2020</v>
      </c>
      <c r="B2762" t="s">
        <v>17</v>
      </c>
      <c r="C2762" t="s">
        <v>170</v>
      </c>
      <c r="D2762" t="s">
        <v>171</v>
      </c>
      <c r="E2762" t="s">
        <v>108</v>
      </c>
      <c r="F2762" t="s">
        <v>118</v>
      </c>
      <c r="G2762">
        <v>9</v>
      </c>
    </row>
    <row r="2763" spans="1:7" x14ac:dyDescent="0.3">
      <c r="A2763">
        <v>2020</v>
      </c>
      <c r="B2763" t="s">
        <v>17</v>
      </c>
      <c r="C2763" t="s">
        <v>170</v>
      </c>
      <c r="D2763" t="s">
        <v>171</v>
      </c>
      <c r="E2763" t="s">
        <v>91</v>
      </c>
      <c r="F2763" t="s">
        <v>118</v>
      </c>
    </row>
    <row r="2764" spans="1:7" x14ac:dyDescent="0.3">
      <c r="A2764">
        <v>2020</v>
      </c>
      <c r="B2764" t="s">
        <v>17</v>
      </c>
      <c r="C2764" t="s">
        <v>170</v>
      </c>
      <c r="D2764" t="s">
        <v>171</v>
      </c>
      <c r="E2764" t="s">
        <v>109</v>
      </c>
      <c r="F2764" t="s">
        <v>118</v>
      </c>
      <c r="G2764">
        <v>8</v>
      </c>
    </row>
    <row r="2765" spans="1:7" x14ac:dyDescent="0.3">
      <c r="A2765">
        <v>2020</v>
      </c>
      <c r="B2765" t="s">
        <v>17</v>
      </c>
      <c r="C2765" t="s">
        <v>170</v>
      </c>
      <c r="D2765" t="s">
        <v>171</v>
      </c>
      <c r="E2765" t="s">
        <v>110</v>
      </c>
      <c r="F2765" t="s">
        <v>118</v>
      </c>
    </row>
    <row r="2766" spans="1:7" x14ac:dyDescent="0.3">
      <c r="A2766">
        <v>2020</v>
      </c>
      <c r="B2766" t="s">
        <v>18</v>
      </c>
      <c r="C2766" t="s">
        <v>170</v>
      </c>
      <c r="D2766" t="s">
        <v>171</v>
      </c>
      <c r="E2766" t="s">
        <v>108</v>
      </c>
      <c r="F2766" t="s">
        <v>118</v>
      </c>
      <c r="G2766">
        <v>2</v>
      </c>
    </row>
    <row r="2767" spans="1:7" x14ac:dyDescent="0.3">
      <c r="A2767">
        <v>2020</v>
      </c>
      <c r="B2767" t="s">
        <v>18</v>
      </c>
      <c r="C2767" t="s">
        <v>170</v>
      </c>
      <c r="D2767" t="s">
        <v>171</v>
      </c>
      <c r="E2767" t="s">
        <v>91</v>
      </c>
      <c r="F2767" t="s">
        <v>118</v>
      </c>
      <c r="G2767">
        <v>0</v>
      </c>
    </row>
    <row r="2768" spans="1:7" x14ac:dyDescent="0.3">
      <c r="A2768">
        <v>2020</v>
      </c>
      <c r="B2768" t="s">
        <v>18</v>
      </c>
      <c r="C2768" t="s">
        <v>170</v>
      </c>
      <c r="D2768" t="s">
        <v>171</v>
      </c>
      <c r="E2768" t="s">
        <v>109</v>
      </c>
      <c r="F2768" t="s">
        <v>118</v>
      </c>
      <c r="G2768">
        <v>1</v>
      </c>
    </row>
    <row r="2769" spans="1:7" x14ac:dyDescent="0.3">
      <c r="A2769">
        <v>2020</v>
      </c>
      <c r="B2769" t="s">
        <v>18</v>
      </c>
      <c r="C2769" t="s">
        <v>170</v>
      </c>
      <c r="D2769" t="s">
        <v>171</v>
      </c>
      <c r="E2769" t="s">
        <v>110</v>
      </c>
      <c r="F2769" t="s">
        <v>118</v>
      </c>
      <c r="G2769">
        <v>1</v>
      </c>
    </row>
    <row r="2770" spans="1:7" x14ac:dyDescent="0.3">
      <c r="A2770">
        <v>2020</v>
      </c>
      <c r="B2770" t="s">
        <v>19</v>
      </c>
      <c r="C2770" t="s">
        <v>170</v>
      </c>
      <c r="D2770" t="s">
        <v>171</v>
      </c>
      <c r="E2770" t="s">
        <v>108</v>
      </c>
      <c r="F2770" t="s">
        <v>118</v>
      </c>
      <c r="G2770">
        <v>0</v>
      </c>
    </row>
    <row r="2771" spans="1:7" x14ac:dyDescent="0.3">
      <c r="A2771">
        <v>2020</v>
      </c>
      <c r="B2771" t="s">
        <v>19</v>
      </c>
      <c r="C2771" t="s">
        <v>170</v>
      </c>
      <c r="D2771" t="s">
        <v>171</v>
      </c>
      <c r="E2771" t="s">
        <v>91</v>
      </c>
      <c r="F2771" t="s">
        <v>118</v>
      </c>
      <c r="G2771">
        <v>0</v>
      </c>
    </row>
    <row r="2772" spans="1:7" x14ac:dyDescent="0.3">
      <c r="A2772">
        <v>2020</v>
      </c>
      <c r="B2772" t="s">
        <v>19</v>
      </c>
      <c r="C2772" t="s">
        <v>170</v>
      </c>
      <c r="D2772" t="s">
        <v>171</v>
      </c>
      <c r="E2772" t="s">
        <v>109</v>
      </c>
      <c r="F2772" t="s">
        <v>118</v>
      </c>
      <c r="G2772">
        <v>0</v>
      </c>
    </row>
    <row r="2773" spans="1:7" x14ac:dyDescent="0.3">
      <c r="A2773">
        <v>2020</v>
      </c>
      <c r="B2773" t="s">
        <v>19</v>
      </c>
      <c r="C2773" t="s">
        <v>170</v>
      </c>
      <c r="D2773" t="s">
        <v>171</v>
      </c>
      <c r="E2773" t="s">
        <v>110</v>
      </c>
      <c r="F2773" t="s">
        <v>118</v>
      </c>
      <c r="G2773">
        <v>1</v>
      </c>
    </row>
    <row r="2774" spans="1:7" x14ac:dyDescent="0.3">
      <c r="A2774">
        <v>2020</v>
      </c>
      <c r="B2774" t="s">
        <v>20</v>
      </c>
      <c r="C2774" t="s">
        <v>170</v>
      </c>
      <c r="D2774" t="s">
        <v>171</v>
      </c>
      <c r="E2774" t="s">
        <v>108</v>
      </c>
      <c r="F2774" t="s">
        <v>118</v>
      </c>
      <c r="G2774">
        <v>2</v>
      </c>
    </row>
    <row r="2775" spans="1:7" x14ac:dyDescent="0.3">
      <c r="A2775">
        <v>2020</v>
      </c>
      <c r="B2775" t="s">
        <v>20</v>
      </c>
      <c r="C2775" t="s">
        <v>170</v>
      </c>
      <c r="D2775" t="s">
        <v>171</v>
      </c>
      <c r="E2775" t="s">
        <v>91</v>
      </c>
      <c r="F2775" t="s">
        <v>118</v>
      </c>
      <c r="G2775">
        <v>4</v>
      </c>
    </row>
    <row r="2776" spans="1:7" x14ac:dyDescent="0.3">
      <c r="A2776">
        <v>2020</v>
      </c>
      <c r="B2776" t="s">
        <v>20</v>
      </c>
      <c r="C2776" t="s">
        <v>170</v>
      </c>
      <c r="D2776" t="s">
        <v>171</v>
      </c>
      <c r="E2776" t="s">
        <v>109</v>
      </c>
      <c r="F2776" t="s">
        <v>118</v>
      </c>
      <c r="G2776">
        <v>4</v>
      </c>
    </row>
    <row r="2777" spans="1:7" x14ac:dyDescent="0.3">
      <c r="A2777">
        <v>2020</v>
      </c>
      <c r="B2777" t="s">
        <v>20</v>
      </c>
      <c r="C2777" t="s">
        <v>170</v>
      </c>
      <c r="D2777" t="s">
        <v>171</v>
      </c>
      <c r="E2777" t="s">
        <v>110</v>
      </c>
      <c r="F2777" t="s">
        <v>118</v>
      </c>
    </row>
    <row r="2778" spans="1:7" x14ac:dyDescent="0.3">
      <c r="A2778">
        <v>2020</v>
      </c>
      <c r="B2778" t="s">
        <v>21</v>
      </c>
      <c r="C2778" t="s">
        <v>170</v>
      </c>
      <c r="D2778" t="s">
        <v>171</v>
      </c>
      <c r="E2778" t="s">
        <v>108</v>
      </c>
      <c r="F2778" t="s">
        <v>118</v>
      </c>
      <c r="G2778">
        <v>0</v>
      </c>
    </row>
    <row r="2779" spans="1:7" x14ac:dyDescent="0.3">
      <c r="A2779">
        <v>2020</v>
      </c>
      <c r="B2779" t="s">
        <v>21</v>
      </c>
      <c r="C2779" t="s">
        <v>170</v>
      </c>
      <c r="D2779" t="s">
        <v>171</v>
      </c>
      <c r="E2779" t="s">
        <v>91</v>
      </c>
      <c r="F2779" t="s">
        <v>118</v>
      </c>
      <c r="G2779">
        <v>0</v>
      </c>
    </row>
    <row r="2780" spans="1:7" x14ac:dyDescent="0.3">
      <c r="A2780">
        <v>2020</v>
      </c>
      <c r="B2780" t="s">
        <v>21</v>
      </c>
      <c r="C2780" t="s">
        <v>170</v>
      </c>
      <c r="D2780" t="s">
        <v>171</v>
      </c>
      <c r="E2780" t="s">
        <v>109</v>
      </c>
      <c r="F2780" t="s">
        <v>118</v>
      </c>
      <c r="G2780">
        <v>3</v>
      </c>
    </row>
    <row r="2781" spans="1:7" x14ac:dyDescent="0.3">
      <c r="A2781">
        <v>2020</v>
      </c>
      <c r="B2781" t="s">
        <v>21</v>
      </c>
      <c r="C2781" t="s">
        <v>170</v>
      </c>
      <c r="D2781" t="s">
        <v>171</v>
      </c>
      <c r="E2781" t="s">
        <v>110</v>
      </c>
      <c r="F2781" t="s">
        <v>118</v>
      </c>
      <c r="G2781">
        <v>1</v>
      </c>
    </row>
    <row r="2782" spans="1:7" x14ac:dyDescent="0.3">
      <c r="A2782">
        <v>2020</v>
      </c>
      <c r="B2782" t="s">
        <v>22</v>
      </c>
      <c r="C2782" t="s">
        <v>170</v>
      </c>
      <c r="D2782" t="s">
        <v>171</v>
      </c>
      <c r="E2782" t="s">
        <v>108</v>
      </c>
      <c r="F2782" t="s">
        <v>118</v>
      </c>
      <c r="G2782">
        <v>4</v>
      </c>
    </row>
    <row r="2783" spans="1:7" x14ac:dyDescent="0.3">
      <c r="A2783">
        <v>2020</v>
      </c>
      <c r="B2783" t="s">
        <v>22</v>
      </c>
      <c r="C2783" t="s">
        <v>170</v>
      </c>
      <c r="D2783" t="s">
        <v>171</v>
      </c>
      <c r="E2783" t="s">
        <v>91</v>
      </c>
      <c r="F2783" t="s">
        <v>118</v>
      </c>
      <c r="G2783">
        <v>0</v>
      </c>
    </row>
    <row r="2784" spans="1:7" x14ac:dyDescent="0.3">
      <c r="A2784">
        <v>2020</v>
      </c>
      <c r="B2784" t="s">
        <v>22</v>
      </c>
      <c r="C2784" t="s">
        <v>170</v>
      </c>
      <c r="D2784" t="s">
        <v>171</v>
      </c>
      <c r="E2784" t="s">
        <v>109</v>
      </c>
      <c r="F2784" t="s">
        <v>118</v>
      </c>
      <c r="G2784">
        <v>0</v>
      </c>
    </row>
    <row r="2785" spans="1:7" x14ac:dyDescent="0.3">
      <c r="A2785">
        <v>2020</v>
      </c>
      <c r="B2785" t="s">
        <v>22</v>
      </c>
      <c r="C2785" t="s">
        <v>170</v>
      </c>
      <c r="D2785" t="s">
        <v>171</v>
      </c>
      <c r="E2785" t="s">
        <v>110</v>
      </c>
      <c r="F2785" t="s">
        <v>118</v>
      </c>
      <c r="G2785">
        <v>0</v>
      </c>
    </row>
    <row r="2786" spans="1:7" x14ac:dyDescent="0.3">
      <c r="A2786">
        <v>2020</v>
      </c>
      <c r="B2786" t="s">
        <v>23</v>
      </c>
      <c r="C2786" t="s">
        <v>170</v>
      </c>
      <c r="D2786" t="s">
        <v>171</v>
      </c>
      <c r="E2786" t="s">
        <v>108</v>
      </c>
      <c r="F2786" t="s">
        <v>118</v>
      </c>
      <c r="G2786">
        <v>0</v>
      </c>
    </row>
    <row r="2787" spans="1:7" x14ac:dyDescent="0.3">
      <c r="A2787">
        <v>2020</v>
      </c>
      <c r="B2787" t="s">
        <v>23</v>
      </c>
      <c r="C2787" t="s">
        <v>170</v>
      </c>
      <c r="D2787" t="s">
        <v>171</v>
      </c>
      <c r="E2787" t="s">
        <v>91</v>
      </c>
      <c r="F2787" t="s">
        <v>118</v>
      </c>
      <c r="G2787">
        <v>0</v>
      </c>
    </row>
    <row r="2788" spans="1:7" x14ac:dyDescent="0.3">
      <c r="A2788">
        <v>2020</v>
      </c>
      <c r="B2788" t="s">
        <v>23</v>
      </c>
      <c r="C2788" t="s">
        <v>170</v>
      </c>
      <c r="D2788" t="s">
        <v>171</v>
      </c>
      <c r="E2788" t="s">
        <v>109</v>
      </c>
      <c r="F2788" t="s">
        <v>118</v>
      </c>
      <c r="G2788">
        <v>0</v>
      </c>
    </row>
    <row r="2789" spans="1:7" x14ac:dyDescent="0.3">
      <c r="A2789">
        <v>2020</v>
      </c>
      <c r="B2789" t="s">
        <v>23</v>
      </c>
      <c r="C2789" t="s">
        <v>170</v>
      </c>
      <c r="D2789" t="s">
        <v>171</v>
      </c>
      <c r="E2789" t="s">
        <v>110</v>
      </c>
      <c r="F2789" t="s">
        <v>118</v>
      </c>
      <c r="G2789">
        <v>0</v>
      </c>
    </row>
    <row r="2790" spans="1:7" x14ac:dyDescent="0.3">
      <c r="A2790">
        <v>2020</v>
      </c>
      <c r="B2790" t="s">
        <v>24</v>
      </c>
      <c r="C2790" t="s">
        <v>170</v>
      </c>
      <c r="D2790" t="s">
        <v>171</v>
      </c>
      <c r="E2790" t="s">
        <v>108</v>
      </c>
      <c r="F2790" t="s">
        <v>118</v>
      </c>
      <c r="G2790">
        <v>38</v>
      </c>
    </row>
    <row r="2791" spans="1:7" x14ac:dyDescent="0.3">
      <c r="A2791">
        <v>2020</v>
      </c>
      <c r="B2791" t="s">
        <v>24</v>
      </c>
      <c r="C2791" t="s">
        <v>170</v>
      </c>
      <c r="D2791" t="s">
        <v>171</v>
      </c>
      <c r="E2791" t="s">
        <v>91</v>
      </c>
      <c r="F2791" t="s">
        <v>118</v>
      </c>
      <c r="G2791">
        <v>7</v>
      </c>
    </row>
    <row r="2792" spans="1:7" x14ac:dyDescent="0.3">
      <c r="A2792">
        <v>2020</v>
      </c>
      <c r="B2792" t="s">
        <v>24</v>
      </c>
      <c r="C2792" t="s">
        <v>170</v>
      </c>
      <c r="D2792" t="s">
        <v>171</v>
      </c>
      <c r="E2792" t="s">
        <v>109</v>
      </c>
      <c r="F2792" t="s">
        <v>118</v>
      </c>
      <c r="G2792">
        <v>7</v>
      </c>
    </row>
    <row r="2793" spans="1:7" x14ac:dyDescent="0.3">
      <c r="A2793">
        <v>2020</v>
      </c>
      <c r="B2793" t="s">
        <v>24</v>
      </c>
      <c r="C2793" t="s">
        <v>170</v>
      </c>
      <c r="D2793" t="s">
        <v>171</v>
      </c>
      <c r="E2793" t="s">
        <v>110</v>
      </c>
      <c r="F2793" t="s">
        <v>118</v>
      </c>
      <c r="G2793">
        <v>1</v>
      </c>
    </row>
    <row r="2794" spans="1:7" x14ac:dyDescent="0.3">
      <c r="A2794">
        <v>2020</v>
      </c>
      <c r="B2794" t="s">
        <v>25</v>
      </c>
      <c r="C2794" t="s">
        <v>170</v>
      </c>
      <c r="D2794" t="s">
        <v>171</v>
      </c>
      <c r="E2794" t="s">
        <v>108</v>
      </c>
      <c r="F2794" t="s">
        <v>118</v>
      </c>
      <c r="G2794">
        <v>41</v>
      </c>
    </row>
    <row r="2795" spans="1:7" x14ac:dyDescent="0.3">
      <c r="A2795">
        <v>2020</v>
      </c>
      <c r="B2795" t="s">
        <v>25</v>
      </c>
      <c r="C2795" t="s">
        <v>170</v>
      </c>
      <c r="D2795" t="s">
        <v>171</v>
      </c>
      <c r="E2795" t="s">
        <v>91</v>
      </c>
      <c r="F2795" t="s">
        <v>118</v>
      </c>
      <c r="G2795">
        <v>9</v>
      </c>
    </row>
    <row r="2796" spans="1:7" x14ac:dyDescent="0.3">
      <c r="A2796">
        <v>2020</v>
      </c>
      <c r="B2796" t="s">
        <v>25</v>
      </c>
      <c r="C2796" t="s">
        <v>170</v>
      </c>
      <c r="D2796" t="s">
        <v>171</v>
      </c>
      <c r="E2796" t="s">
        <v>109</v>
      </c>
      <c r="F2796" t="s">
        <v>118</v>
      </c>
      <c r="G2796">
        <v>1</v>
      </c>
    </row>
    <row r="2797" spans="1:7" x14ac:dyDescent="0.3">
      <c r="A2797">
        <v>2020</v>
      </c>
      <c r="B2797" t="s">
        <v>25</v>
      </c>
      <c r="C2797" t="s">
        <v>170</v>
      </c>
      <c r="D2797" t="s">
        <v>171</v>
      </c>
      <c r="E2797" t="s">
        <v>110</v>
      </c>
      <c r="F2797" t="s">
        <v>118</v>
      </c>
    </row>
    <row r="2798" spans="1:7" x14ac:dyDescent="0.3">
      <c r="A2798">
        <v>2020</v>
      </c>
      <c r="B2798" t="s">
        <v>26</v>
      </c>
      <c r="C2798" t="s">
        <v>170</v>
      </c>
      <c r="D2798" t="s">
        <v>171</v>
      </c>
      <c r="E2798" t="s">
        <v>108</v>
      </c>
      <c r="F2798" t="s">
        <v>118</v>
      </c>
    </row>
    <row r="2799" spans="1:7" x14ac:dyDescent="0.3">
      <c r="A2799">
        <v>2020</v>
      </c>
      <c r="B2799" t="s">
        <v>26</v>
      </c>
      <c r="C2799" t="s">
        <v>170</v>
      </c>
      <c r="D2799" t="s">
        <v>171</v>
      </c>
      <c r="E2799" t="s">
        <v>91</v>
      </c>
      <c r="F2799" t="s">
        <v>118</v>
      </c>
    </row>
    <row r="2800" spans="1:7" x14ac:dyDescent="0.3">
      <c r="A2800">
        <v>2020</v>
      </c>
      <c r="B2800" t="s">
        <v>26</v>
      </c>
      <c r="C2800" t="s">
        <v>170</v>
      </c>
      <c r="D2800" t="s">
        <v>171</v>
      </c>
      <c r="E2800" t="s">
        <v>109</v>
      </c>
      <c r="F2800" t="s">
        <v>118</v>
      </c>
      <c r="G2800">
        <v>1</v>
      </c>
    </row>
    <row r="2801" spans="1:7" x14ac:dyDescent="0.3">
      <c r="A2801">
        <v>2020</v>
      </c>
      <c r="B2801" t="s">
        <v>26</v>
      </c>
      <c r="C2801" t="s">
        <v>170</v>
      </c>
      <c r="D2801" t="s">
        <v>171</v>
      </c>
      <c r="E2801" t="s">
        <v>110</v>
      </c>
      <c r="F2801" t="s">
        <v>118</v>
      </c>
    </row>
    <row r="2802" spans="1:7" x14ac:dyDescent="0.3">
      <c r="A2802">
        <v>2020</v>
      </c>
      <c r="B2802" t="s">
        <v>27</v>
      </c>
      <c r="C2802" t="s">
        <v>170</v>
      </c>
      <c r="D2802" t="s">
        <v>171</v>
      </c>
      <c r="E2802" t="s">
        <v>108</v>
      </c>
      <c r="F2802" t="s">
        <v>118</v>
      </c>
      <c r="G2802">
        <v>6</v>
      </c>
    </row>
    <row r="2803" spans="1:7" x14ac:dyDescent="0.3">
      <c r="A2803">
        <v>2020</v>
      </c>
      <c r="B2803" t="s">
        <v>27</v>
      </c>
      <c r="C2803" t="s">
        <v>170</v>
      </c>
      <c r="D2803" t="s">
        <v>171</v>
      </c>
      <c r="E2803" t="s">
        <v>91</v>
      </c>
      <c r="F2803" t="s">
        <v>118</v>
      </c>
      <c r="G2803">
        <v>0</v>
      </c>
    </row>
    <row r="2804" spans="1:7" x14ac:dyDescent="0.3">
      <c r="A2804">
        <v>2020</v>
      </c>
      <c r="B2804" t="s">
        <v>27</v>
      </c>
      <c r="C2804" t="s">
        <v>170</v>
      </c>
      <c r="D2804" t="s">
        <v>171</v>
      </c>
      <c r="E2804" t="s">
        <v>109</v>
      </c>
      <c r="F2804" t="s">
        <v>118</v>
      </c>
      <c r="G2804">
        <v>1</v>
      </c>
    </row>
    <row r="2805" spans="1:7" x14ac:dyDescent="0.3">
      <c r="A2805">
        <v>2020</v>
      </c>
      <c r="B2805" t="s">
        <v>27</v>
      </c>
      <c r="C2805" t="s">
        <v>170</v>
      </c>
      <c r="D2805" t="s">
        <v>171</v>
      </c>
      <c r="E2805" t="s">
        <v>110</v>
      </c>
      <c r="F2805" t="s">
        <v>118</v>
      </c>
      <c r="G2805">
        <v>0</v>
      </c>
    </row>
    <row r="2806" spans="1:7" x14ac:dyDescent="0.3">
      <c r="A2806">
        <v>2020</v>
      </c>
      <c r="B2806" t="s">
        <v>29</v>
      </c>
      <c r="C2806" t="s">
        <v>170</v>
      </c>
      <c r="D2806" t="s">
        <v>171</v>
      </c>
      <c r="E2806" t="s">
        <v>108</v>
      </c>
      <c r="F2806" t="s">
        <v>118</v>
      </c>
      <c r="G2806">
        <v>20</v>
      </c>
    </row>
    <row r="2807" spans="1:7" x14ac:dyDescent="0.3">
      <c r="A2807">
        <v>2020</v>
      </c>
      <c r="B2807" t="s">
        <v>29</v>
      </c>
      <c r="C2807" t="s">
        <v>170</v>
      </c>
      <c r="D2807" t="s">
        <v>171</v>
      </c>
      <c r="E2807" t="s">
        <v>91</v>
      </c>
      <c r="F2807" t="s">
        <v>118</v>
      </c>
      <c r="G2807">
        <v>8</v>
      </c>
    </row>
    <row r="2808" spans="1:7" x14ac:dyDescent="0.3">
      <c r="A2808">
        <v>2020</v>
      </c>
      <c r="B2808" t="s">
        <v>29</v>
      </c>
      <c r="C2808" t="s">
        <v>170</v>
      </c>
      <c r="D2808" t="s">
        <v>171</v>
      </c>
      <c r="E2808" t="s">
        <v>109</v>
      </c>
      <c r="F2808" t="s">
        <v>118</v>
      </c>
      <c r="G2808">
        <v>6</v>
      </c>
    </row>
    <row r="2809" spans="1:7" x14ac:dyDescent="0.3">
      <c r="A2809">
        <v>2020</v>
      </c>
      <c r="B2809" t="s">
        <v>29</v>
      </c>
      <c r="C2809" t="s">
        <v>170</v>
      </c>
      <c r="D2809" t="s">
        <v>171</v>
      </c>
      <c r="E2809" t="s">
        <v>110</v>
      </c>
      <c r="F2809" t="s">
        <v>118</v>
      </c>
    </row>
    <row r="2810" spans="1:7" x14ac:dyDescent="0.3">
      <c r="A2810">
        <v>2020</v>
      </c>
      <c r="B2810" t="s">
        <v>30</v>
      </c>
      <c r="C2810" t="s">
        <v>170</v>
      </c>
      <c r="D2810" t="s">
        <v>171</v>
      </c>
      <c r="E2810" t="s">
        <v>108</v>
      </c>
      <c r="F2810" t="s">
        <v>118</v>
      </c>
      <c r="G2810">
        <v>6</v>
      </c>
    </row>
    <row r="2811" spans="1:7" x14ac:dyDescent="0.3">
      <c r="A2811">
        <v>2020</v>
      </c>
      <c r="B2811" t="s">
        <v>30</v>
      </c>
      <c r="C2811" t="s">
        <v>170</v>
      </c>
      <c r="D2811" t="s">
        <v>171</v>
      </c>
      <c r="E2811" t="s">
        <v>91</v>
      </c>
      <c r="F2811" t="s">
        <v>118</v>
      </c>
      <c r="G2811">
        <v>5</v>
      </c>
    </row>
    <row r="2812" spans="1:7" x14ac:dyDescent="0.3">
      <c r="A2812">
        <v>2020</v>
      </c>
      <c r="B2812" t="s">
        <v>30</v>
      </c>
      <c r="C2812" t="s">
        <v>170</v>
      </c>
      <c r="D2812" t="s">
        <v>171</v>
      </c>
      <c r="E2812" t="s">
        <v>109</v>
      </c>
      <c r="F2812" t="s">
        <v>118</v>
      </c>
      <c r="G2812">
        <v>2</v>
      </c>
    </row>
    <row r="2813" spans="1:7" x14ac:dyDescent="0.3">
      <c r="A2813">
        <v>2020</v>
      </c>
      <c r="B2813" t="s">
        <v>30</v>
      </c>
      <c r="C2813" t="s">
        <v>170</v>
      </c>
      <c r="D2813" t="s">
        <v>171</v>
      </c>
      <c r="E2813" t="s">
        <v>110</v>
      </c>
      <c r="F2813" t="s">
        <v>118</v>
      </c>
      <c r="G2813">
        <v>0</v>
      </c>
    </row>
    <row r="2814" spans="1:7" x14ac:dyDescent="0.3">
      <c r="A2814">
        <v>2020</v>
      </c>
      <c r="B2814" t="s">
        <v>31</v>
      </c>
      <c r="C2814" t="s">
        <v>170</v>
      </c>
      <c r="D2814" t="s">
        <v>171</v>
      </c>
      <c r="E2814" t="s">
        <v>108</v>
      </c>
      <c r="F2814" t="s">
        <v>118</v>
      </c>
      <c r="G2814">
        <v>35</v>
      </c>
    </row>
    <row r="2815" spans="1:7" x14ac:dyDescent="0.3">
      <c r="A2815">
        <v>2020</v>
      </c>
      <c r="B2815" t="s">
        <v>31</v>
      </c>
      <c r="C2815" t="s">
        <v>170</v>
      </c>
      <c r="D2815" t="s">
        <v>171</v>
      </c>
      <c r="E2815" t="s">
        <v>91</v>
      </c>
      <c r="F2815" t="s">
        <v>118</v>
      </c>
      <c r="G2815">
        <v>4</v>
      </c>
    </row>
    <row r="2816" spans="1:7" x14ac:dyDescent="0.3">
      <c r="A2816">
        <v>2020</v>
      </c>
      <c r="B2816" t="s">
        <v>31</v>
      </c>
      <c r="C2816" t="s">
        <v>170</v>
      </c>
      <c r="D2816" t="s">
        <v>171</v>
      </c>
      <c r="E2816" t="s">
        <v>109</v>
      </c>
      <c r="F2816" t="s">
        <v>118</v>
      </c>
      <c r="G2816">
        <v>19</v>
      </c>
    </row>
    <row r="2817" spans="1:7" x14ac:dyDescent="0.3">
      <c r="A2817">
        <v>2020</v>
      </c>
      <c r="B2817" t="s">
        <v>31</v>
      </c>
      <c r="C2817" t="s">
        <v>170</v>
      </c>
      <c r="D2817" t="s">
        <v>171</v>
      </c>
      <c r="E2817" t="s">
        <v>110</v>
      </c>
      <c r="F2817" t="s">
        <v>118</v>
      </c>
      <c r="G2817">
        <v>0</v>
      </c>
    </row>
    <row r="2818" spans="1:7" x14ac:dyDescent="0.3">
      <c r="A2818">
        <v>2020</v>
      </c>
      <c r="B2818" t="s">
        <v>32</v>
      </c>
      <c r="C2818" t="s">
        <v>170</v>
      </c>
      <c r="D2818" t="s">
        <v>171</v>
      </c>
      <c r="E2818" t="s">
        <v>108</v>
      </c>
      <c r="F2818" t="s">
        <v>118</v>
      </c>
      <c r="G2818">
        <v>25</v>
      </c>
    </row>
    <row r="2819" spans="1:7" x14ac:dyDescent="0.3">
      <c r="A2819">
        <v>2020</v>
      </c>
      <c r="B2819" t="s">
        <v>32</v>
      </c>
      <c r="C2819" t="s">
        <v>170</v>
      </c>
      <c r="D2819" t="s">
        <v>171</v>
      </c>
      <c r="E2819" t="s">
        <v>91</v>
      </c>
      <c r="F2819" t="s">
        <v>118</v>
      </c>
      <c r="G2819">
        <v>1</v>
      </c>
    </row>
    <row r="2820" spans="1:7" x14ac:dyDescent="0.3">
      <c r="A2820">
        <v>2020</v>
      </c>
      <c r="B2820" t="s">
        <v>32</v>
      </c>
      <c r="C2820" t="s">
        <v>170</v>
      </c>
      <c r="D2820" t="s">
        <v>171</v>
      </c>
      <c r="E2820" t="s">
        <v>109</v>
      </c>
      <c r="F2820" t="s">
        <v>118</v>
      </c>
      <c r="G2820">
        <v>1</v>
      </c>
    </row>
    <row r="2821" spans="1:7" x14ac:dyDescent="0.3">
      <c r="A2821">
        <v>2020</v>
      </c>
      <c r="B2821" t="s">
        <v>32</v>
      </c>
      <c r="C2821" t="s">
        <v>170</v>
      </c>
      <c r="D2821" t="s">
        <v>171</v>
      </c>
      <c r="E2821" t="s">
        <v>110</v>
      </c>
      <c r="F2821" t="s">
        <v>118</v>
      </c>
    </row>
    <row r="2822" spans="1:7" x14ac:dyDescent="0.3">
      <c r="A2822">
        <v>2020</v>
      </c>
      <c r="B2822" t="s">
        <v>63</v>
      </c>
      <c r="C2822" t="s">
        <v>170</v>
      </c>
      <c r="D2822" t="s">
        <v>171</v>
      </c>
      <c r="E2822" t="s">
        <v>108</v>
      </c>
      <c r="F2822" t="s">
        <v>118</v>
      </c>
      <c r="G2822">
        <v>0</v>
      </c>
    </row>
    <row r="2823" spans="1:7" x14ac:dyDescent="0.3">
      <c r="A2823">
        <v>2020</v>
      </c>
      <c r="B2823" t="s">
        <v>63</v>
      </c>
      <c r="C2823" t="s">
        <v>170</v>
      </c>
      <c r="D2823" t="s">
        <v>171</v>
      </c>
      <c r="E2823" t="s">
        <v>91</v>
      </c>
      <c r="F2823" t="s">
        <v>118</v>
      </c>
      <c r="G2823">
        <v>7</v>
      </c>
    </row>
    <row r="2824" spans="1:7" x14ac:dyDescent="0.3">
      <c r="A2824">
        <v>2020</v>
      </c>
      <c r="B2824" t="s">
        <v>63</v>
      </c>
      <c r="C2824" t="s">
        <v>170</v>
      </c>
      <c r="D2824" t="s">
        <v>171</v>
      </c>
      <c r="E2824" t="s">
        <v>109</v>
      </c>
      <c r="F2824" t="s">
        <v>118</v>
      </c>
      <c r="G2824">
        <v>5</v>
      </c>
    </row>
    <row r="2825" spans="1:7" x14ac:dyDescent="0.3">
      <c r="A2825">
        <v>2020</v>
      </c>
      <c r="B2825" t="s">
        <v>63</v>
      </c>
      <c r="C2825" t="s">
        <v>170</v>
      </c>
      <c r="D2825" t="s">
        <v>171</v>
      </c>
      <c r="E2825" t="s">
        <v>110</v>
      </c>
      <c r="F2825" t="s">
        <v>118</v>
      </c>
      <c r="G2825">
        <v>0</v>
      </c>
    </row>
    <row r="2826" spans="1:7" x14ac:dyDescent="0.3">
      <c r="A2826">
        <v>2020</v>
      </c>
      <c r="B2826" t="s">
        <v>57</v>
      </c>
      <c r="C2826" t="s">
        <v>170</v>
      </c>
      <c r="D2826" t="s">
        <v>171</v>
      </c>
      <c r="E2826" t="s">
        <v>108</v>
      </c>
      <c r="F2826" t="s">
        <v>118</v>
      </c>
    </row>
    <row r="2827" spans="1:7" x14ac:dyDescent="0.3">
      <c r="A2827">
        <v>2020</v>
      </c>
      <c r="B2827" t="s">
        <v>57</v>
      </c>
      <c r="C2827" t="s">
        <v>170</v>
      </c>
      <c r="D2827" t="s">
        <v>171</v>
      </c>
      <c r="E2827" t="s">
        <v>91</v>
      </c>
      <c r="F2827" t="s">
        <v>118</v>
      </c>
      <c r="G2827">
        <v>9</v>
      </c>
    </row>
    <row r="2828" spans="1:7" x14ac:dyDescent="0.3">
      <c r="A2828">
        <v>2020</v>
      </c>
      <c r="B2828" t="s">
        <v>57</v>
      </c>
      <c r="C2828" t="s">
        <v>170</v>
      </c>
      <c r="D2828" t="s">
        <v>171</v>
      </c>
      <c r="E2828" t="s">
        <v>109</v>
      </c>
      <c r="F2828" t="s">
        <v>118</v>
      </c>
    </row>
    <row r="2829" spans="1:7" x14ac:dyDescent="0.3">
      <c r="A2829">
        <v>2020</v>
      </c>
      <c r="B2829" t="s">
        <v>57</v>
      </c>
      <c r="C2829" t="s">
        <v>170</v>
      </c>
      <c r="D2829" t="s">
        <v>171</v>
      </c>
      <c r="E2829" t="s">
        <v>110</v>
      </c>
      <c r="F2829" t="s">
        <v>118</v>
      </c>
    </row>
    <row r="2830" spans="1:7" x14ac:dyDescent="0.3">
      <c r="A2830">
        <v>2020</v>
      </c>
      <c r="B2830" t="s">
        <v>33</v>
      </c>
      <c r="C2830" t="s">
        <v>170</v>
      </c>
      <c r="D2830" t="s">
        <v>171</v>
      </c>
      <c r="E2830" t="s">
        <v>108</v>
      </c>
      <c r="F2830" t="s">
        <v>118</v>
      </c>
      <c r="G2830">
        <v>1</v>
      </c>
    </row>
    <row r="2831" spans="1:7" x14ac:dyDescent="0.3">
      <c r="A2831">
        <v>2020</v>
      </c>
      <c r="B2831" t="s">
        <v>33</v>
      </c>
      <c r="C2831" t="s">
        <v>170</v>
      </c>
      <c r="D2831" t="s">
        <v>171</v>
      </c>
      <c r="E2831" t="s">
        <v>91</v>
      </c>
      <c r="F2831" t="s">
        <v>118</v>
      </c>
    </row>
    <row r="2832" spans="1:7" x14ac:dyDescent="0.3">
      <c r="A2832">
        <v>2020</v>
      </c>
      <c r="B2832" t="s">
        <v>33</v>
      </c>
      <c r="C2832" t="s">
        <v>170</v>
      </c>
      <c r="D2832" t="s">
        <v>171</v>
      </c>
      <c r="E2832" t="s">
        <v>109</v>
      </c>
      <c r="F2832" t="s">
        <v>118</v>
      </c>
      <c r="G2832">
        <v>1</v>
      </c>
    </row>
    <row r="2833" spans="1:7" x14ac:dyDescent="0.3">
      <c r="A2833">
        <v>2020</v>
      </c>
      <c r="B2833" t="s">
        <v>33</v>
      </c>
      <c r="C2833" t="s">
        <v>170</v>
      </c>
      <c r="D2833" t="s">
        <v>171</v>
      </c>
      <c r="E2833" t="s">
        <v>110</v>
      </c>
      <c r="F2833" t="s">
        <v>118</v>
      </c>
    </row>
    <row r="2834" spans="1:7" x14ac:dyDescent="0.3">
      <c r="A2834">
        <v>2020</v>
      </c>
      <c r="B2834" t="s">
        <v>34</v>
      </c>
      <c r="C2834" t="s">
        <v>170</v>
      </c>
      <c r="D2834" t="s">
        <v>171</v>
      </c>
      <c r="E2834" t="s">
        <v>108</v>
      </c>
      <c r="F2834" t="s">
        <v>118</v>
      </c>
      <c r="G2834">
        <v>9</v>
      </c>
    </row>
    <row r="2835" spans="1:7" x14ac:dyDescent="0.3">
      <c r="A2835">
        <v>2020</v>
      </c>
      <c r="B2835" t="s">
        <v>34</v>
      </c>
      <c r="C2835" t="s">
        <v>170</v>
      </c>
      <c r="D2835" t="s">
        <v>171</v>
      </c>
      <c r="E2835" t="s">
        <v>91</v>
      </c>
      <c r="F2835" t="s">
        <v>118</v>
      </c>
      <c r="G2835">
        <v>2</v>
      </c>
    </row>
    <row r="2836" spans="1:7" x14ac:dyDescent="0.3">
      <c r="A2836">
        <v>2020</v>
      </c>
      <c r="B2836" t="s">
        <v>34</v>
      </c>
      <c r="C2836" t="s">
        <v>170</v>
      </c>
      <c r="D2836" t="s">
        <v>171</v>
      </c>
      <c r="E2836" t="s">
        <v>109</v>
      </c>
      <c r="F2836" t="s">
        <v>118</v>
      </c>
      <c r="G2836">
        <v>9</v>
      </c>
    </row>
    <row r="2837" spans="1:7" x14ac:dyDescent="0.3">
      <c r="A2837">
        <v>2020</v>
      </c>
      <c r="B2837" t="s">
        <v>34</v>
      </c>
      <c r="C2837" t="s">
        <v>170</v>
      </c>
      <c r="D2837" t="s">
        <v>171</v>
      </c>
      <c r="E2837" t="s">
        <v>110</v>
      </c>
      <c r="F2837" t="s">
        <v>118</v>
      </c>
      <c r="G2837">
        <v>0</v>
      </c>
    </row>
    <row r="2838" spans="1:7" x14ac:dyDescent="0.3">
      <c r="A2838">
        <v>2020</v>
      </c>
      <c r="B2838" t="s">
        <v>35</v>
      </c>
      <c r="C2838" t="s">
        <v>170</v>
      </c>
      <c r="D2838" t="s">
        <v>171</v>
      </c>
      <c r="E2838" t="s">
        <v>108</v>
      </c>
      <c r="F2838" t="s">
        <v>118</v>
      </c>
      <c r="G2838">
        <v>0</v>
      </c>
    </row>
    <row r="2839" spans="1:7" x14ac:dyDescent="0.3">
      <c r="A2839">
        <v>2020</v>
      </c>
      <c r="B2839" t="s">
        <v>35</v>
      </c>
      <c r="C2839" t="s">
        <v>170</v>
      </c>
      <c r="D2839" t="s">
        <v>171</v>
      </c>
      <c r="E2839" t="s">
        <v>91</v>
      </c>
      <c r="F2839" t="s">
        <v>118</v>
      </c>
      <c r="G2839">
        <v>0</v>
      </c>
    </row>
    <row r="2840" spans="1:7" x14ac:dyDescent="0.3">
      <c r="A2840">
        <v>2020</v>
      </c>
      <c r="B2840" t="s">
        <v>35</v>
      </c>
      <c r="C2840" t="s">
        <v>170</v>
      </c>
      <c r="D2840" t="s">
        <v>171</v>
      </c>
      <c r="E2840" t="s">
        <v>109</v>
      </c>
      <c r="F2840" t="s">
        <v>118</v>
      </c>
      <c r="G2840">
        <v>1</v>
      </c>
    </row>
    <row r="2841" spans="1:7" x14ac:dyDescent="0.3">
      <c r="A2841">
        <v>2020</v>
      </c>
      <c r="B2841" t="s">
        <v>35</v>
      </c>
      <c r="C2841" t="s">
        <v>170</v>
      </c>
      <c r="D2841" t="s">
        <v>171</v>
      </c>
      <c r="E2841" t="s">
        <v>110</v>
      </c>
      <c r="F2841" t="s">
        <v>118</v>
      </c>
      <c r="G2841">
        <v>2</v>
      </c>
    </row>
    <row r="2842" spans="1:7" x14ac:dyDescent="0.3">
      <c r="A2842">
        <v>2020</v>
      </c>
      <c r="B2842" t="s">
        <v>36</v>
      </c>
      <c r="C2842" t="s">
        <v>170</v>
      </c>
      <c r="D2842" t="s">
        <v>171</v>
      </c>
      <c r="E2842" t="s">
        <v>108</v>
      </c>
      <c r="F2842" t="s">
        <v>118</v>
      </c>
    </row>
    <row r="2843" spans="1:7" x14ac:dyDescent="0.3">
      <c r="A2843">
        <v>2020</v>
      </c>
      <c r="B2843" t="s">
        <v>36</v>
      </c>
      <c r="C2843" t="s">
        <v>170</v>
      </c>
      <c r="D2843" t="s">
        <v>171</v>
      </c>
      <c r="E2843" t="s">
        <v>91</v>
      </c>
      <c r="F2843" t="s">
        <v>118</v>
      </c>
    </row>
    <row r="2844" spans="1:7" x14ac:dyDescent="0.3">
      <c r="A2844">
        <v>2020</v>
      </c>
      <c r="B2844" t="s">
        <v>36</v>
      </c>
      <c r="C2844" t="s">
        <v>170</v>
      </c>
      <c r="D2844" t="s">
        <v>171</v>
      </c>
      <c r="E2844" t="s">
        <v>109</v>
      </c>
      <c r="F2844" t="s">
        <v>118</v>
      </c>
    </row>
    <row r="2845" spans="1:7" x14ac:dyDescent="0.3">
      <c r="A2845">
        <v>2020</v>
      </c>
      <c r="B2845" t="s">
        <v>36</v>
      </c>
      <c r="C2845" t="s">
        <v>170</v>
      </c>
      <c r="D2845" t="s">
        <v>171</v>
      </c>
      <c r="E2845" t="s">
        <v>110</v>
      </c>
      <c r="F2845" t="s">
        <v>118</v>
      </c>
    </row>
    <row r="2846" spans="1:7" x14ac:dyDescent="0.3">
      <c r="A2846">
        <v>2020</v>
      </c>
      <c r="B2846" t="s">
        <v>37</v>
      </c>
      <c r="C2846" t="s">
        <v>170</v>
      </c>
      <c r="D2846" t="s">
        <v>171</v>
      </c>
      <c r="E2846" t="s">
        <v>108</v>
      </c>
      <c r="F2846" t="s">
        <v>118</v>
      </c>
      <c r="G2846">
        <v>2</v>
      </c>
    </row>
    <row r="2847" spans="1:7" x14ac:dyDescent="0.3">
      <c r="A2847">
        <v>2020</v>
      </c>
      <c r="B2847" t="s">
        <v>37</v>
      </c>
      <c r="C2847" t="s">
        <v>170</v>
      </c>
      <c r="D2847" t="s">
        <v>171</v>
      </c>
      <c r="E2847" t="s">
        <v>91</v>
      </c>
      <c r="F2847" t="s">
        <v>118</v>
      </c>
    </row>
    <row r="2848" spans="1:7" x14ac:dyDescent="0.3">
      <c r="A2848">
        <v>2020</v>
      </c>
      <c r="B2848" t="s">
        <v>37</v>
      </c>
      <c r="C2848" t="s">
        <v>170</v>
      </c>
      <c r="D2848" t="s">
        <v>171</v>
      </c>
      <c r="E2848" t="s">
        <v>109</v>
      </c>
      <c r="F2848" t="s">
        <v>118</v>
      </c>
    </row>
    <row r="2849" spans="1:7" x14ac:dyDescent="0.3">
      <c r="A2849">
        <v>2020</v>
      </c>
      <c r="B2849" t="s">
        <v>37</v>
      </c>
      <c r="C2849" t="s">
        <v>170</v>
      </c>
      <c r="D2849" t="s">
        <v>171</v>
      </c>
      <c r="E2849" t="s">
        <v>110</v>
      </c>
      <c r="F2849" t="s">
        <v>118</v>
      </c>
    </row>
    <row r="2850" spans="1:7" x14ac:dyDescent="0.3">
      <c r="A2850">
        <v>2020</v>
      </c>
      <c r="B2850" t="s">
        <v>55</v>
      </c>
      <c r="C2850" t="s">
        <v>170</v>
      </c>
      <c r="D2850" t="s">
        <v>171</v>
      </c>
      <c r="E2850" t="s">
        <v>108</v>
      </c>
      <c r="F2850" t="s">
        <v>118</v>
      </c>
      <c r="G2850">
        <v>0</v>
      </c>
    </row>
    <row r="2851" spans="1:7" x14ac:dyDescent="0.3">
      <c r="A2851">
        <v>2020</v>
      </c>
      <c r="B2851" t="s">
        <v>55</v>
      </c>
      <c r="C2851" t="s">
        <v>170</v>
      </c>
      <c r="D2851" t="s">
        <v>171</v>
      </c>
      <c r="E2851" t="s">
        <v>91</v>
      </c>
      <c r="F2851" t="s">
        <v>118</v>
      </c>
      <c r="G2851">
        <v>0</v>
      </c>
    </row>
    <row r="2852" spans="1:7" x14ac:dyDescent="0.3">
      <c r="A2852">
        <v>2020</v>
      </c>
      <c r="B2852" t="s">
        <v>55</v>
      </c>
      <c r="C2852" t="s">
        <v>170</v>
      </c>
      <c r="D2852" t="s">
        <v>171</v>
      </c>
      <c r="E2852" t="s">
        <v>109</v>
      </c>
      <c r="F2852" t="s">
        <v>118</v>
      </c>
      <c r="G2852">
        <v>0</v>
      </c>
    </row>
    <row r="2853" spans="1:7" x14ac:dyDescent="0.3">
      <c r="A2853">
        <v>2020</v>
      </c>
      <c r="B2853" t="s">
        <v>55</v>
      </c>
      <c r="C2853" t="s">
        <v>170</v>
      </c>
      <c r="D2853" t="s">
        <v>171</v>
      </c>
      <c r="E2853" t="s">
        <v>110</v>
      </c>
      <c r="F2853" t="s">
        <v>118</v>
      </c>
      <c r="G2853">
        <v>0</v>
      </c>
    </row>
    <row r="2854" spans="1:7" x14ac:dyDescent="0.3">
      <c r="A2854">
        <v>2020</v>
      </c>
      <c r="B2854" t="s">
        <v>38</v>
      </c>
      <c r="C2854" t="s">
        <v>170</v>
      </c>
      <c r="D2854" t="s">
        <v>171</v>
      </c>
      <c r="E2854" t="s">
        <v>108</v>
      </c>
      <c r="F2854" t="s">
        <v>118</v>
      </c>
      <c r="G2854">
        <v>92</v>
      </c>
    </row>
    <row r="2855" spans="1:7" x14ac:dyDescent="0.3">
      <c r="A2855">
        <v>2020</v>
      </c>
      <c r="B2855" t="s">
        <v>38</v>
      </c>
      <c r="C2855" t="s">
        <v>170</v>
      </c>
      <c r="D2855" t="s">
        <v>171</v>
      </c>
      <c r="E2855" t="s">
        <v>91</v>
      </c>
      <c r="F2855" t="s">
        <v>118</v>
      </c>
      <c r="G2855">
        <v>14</v>
      </c>
    </row>
    <row r="2856" spans="1:7" x14ac:dyDescent="0.3">
      <c r="A2856">
        <v>2020</v>
      </c>
      <c r="B2856" t="s">
        <v>38</v>
      </c>
      <c r="C2856" t="s">
        <v>170</v>
      </c>
      <c r="D2856" t="s">
        <v>171</v>
      </c>
      <c r="E2856" t="s">
        <v>109</v>
      </c>
      <c r="F2856" t="s">
        <v>118</v>
      </c>
      <c r="G2856">
        <v>32</v>
      </c>
    </row>
    <row r="2857" spans="1:7" x14ac:dyDescent="0.3">
      <c r="A2857">
        <v>2020</v>
      </c>
      <c r="B2857" t="s">
        <v>38</v>
      </c>
      <c r="C2857" t="s">
        <v>170</v>
      </c>
      <c r="D2857" t="s">
        <v>171</v>
      </c>
      <c r="E2857" t="s">
        <v>110</v>
      </c>
      <c r="F2857" t="s">
        <v>118</v>
      </c>
    </row>
    <row r="2858" spans="1:7" x14ac:dyDescent="0.3">
      <c r="A2858">
        <v>2020</v>
      </c>
      <c r="B2858" t="s">
        <v>39</v>
      </c>
      <c r="C2858" t="s">
        <v>170</v>
      </c>
      <c r="D2858" t="s">
        <v>171</v>
      </c>
      <c r="E2858" t="s">
        <v>108</v>
      </c>
      <c r="F2858" t="s">
        <v>118</v>
      </c>
      <c r="G2858">
        <v>5</v>
      </c>
    </row>
    <row r="2859" spans="1:7" x14ac:dyDescent="0.3">
      <c r="A2859">
        <v>2020</v>
      </c>
      <c r="B2859" t="s">
        <v>39</v>
      </c>
      <c r="C2859" t="s">
        <v>170</v>
      </c>
      <c r="D2859" t="s">
        <v>171</v>
      </c>
      <c r="E2859" t="s">
        <v>91</v>
      </c>
      <c r="F2859" t="s">
        <v>118</v>
      </c>
    </row>
    <row r="2860" spans="1:7" x14ac:dyDescent="0.3">
      <c r="A2860">
        <v>2020</v>
      </c>
      <c r="B2860" t="s">
        <v>39</v>
      </c>
      <c r="C2860" t="s">
        <v>170</v>
      </c>
      <c r="D2860" t="s">
        <v>171</v>
      </c>
      <c r="E2860" t="s">
        <v>109</v>
      </c>
      <c r="F2860" t="s">
        <v>118</v>
      </c>
    </row>
    <row r="2861" spans="1:7" x14ac:dyDescent="0.3">
      <c r="A2861">
        <v>2020</v>
      </c>
      <c r="B2861" t="s">
        <v>39</v>
      </c>
      <c r="C2861" t="s">
        <v>170</v>
      </c>
      <c r="D2861" t="s">
        <v>171</v>
      </c>
      <c r="E2861" t="s">
        <v>110</v>
      </c>
      <c r="F2861" t="s">
        <v>118</v>
      </c>
    </row>
    <row r="2862" spans="1:7" x14ac:dyDescent="0.3">
      <c r="A2862">
        <v>2020</v>
      </c>
      <c r="B2862" t="s">
        <v>40</v>
      </c>
      <c r="C2862" t="s">
        <v>170</v>
      </c>
      <c r="D2862" t="s">
        <v>171</v>
      </c>
      <c r="E2862" t="s">
        <v>108</v>
      </c>
      <c r="F2862" t="s">
        <v>118</v>
      </c>
      <c r="G2862">
        <v>6</v>
      </c>
    </row>
    <row r="2863" spans="1:7" x14ac:dyDescent="0.3">
      <c r="A2863">
        <v>2020</v>
      </c>
      <c r="B2863" t="s">
        <v>40</v>
      </c>
      <c r="C2863" t="s">
        <v>170</v>
      </c>
      <c r="D2863" t="s">
        <v>171</v>
      </c>
      <c r="E2863" t="s">
        <v>91</v>
      </c>
      <c r="F2863" t="s">
        <v>118</v>
      </c>
      <c r="G2863">
        <v>4</v>
      </c>
    </row>
    <row r="2864" spans="1:7" x14ac:dyDescent="0.3">
      <c r="A2864">
        <v>2020</v>
      </c>
      <c r="B2864" t="s">
        <v>40</v>
      </c>
      <c r="C2864" t="s">
        <v>170</v>
      </c>
      <c r="D2864" t="s">
        <v>171</v>
      </c>
      <c r="E2864" t="s">
        <v>109</v>
      </c>
      <c r="F2864" t="s">
        <v>118</v>
      </c>
      <c r="G2864">
        <v>6</v>
      </c>
    </row>
    <row r="2865" spans="1:7" x14ac:dyDescent="0.3">
      <c r="A2865">
        <v>2020</v>
      </c>
      <c r="B2865" t="s">
        <v>40</v>
      </c>
      <c r="C2865" t="s">
        <v>170</v>
      </c>
      <c r="D2865" t="s">
        <v>171</v>
      </c>
      <c r="E2865" t="s">
        <v>110</v>
      </c>
      <c r="F2865" t="s">
        <v>118</v>
      </c>
      <c r="G2865">
        <v>0</v>
      </c>
    </row>
    <row r="2866" spans="1:7" x14ac:dyDescent="0.3">
      <c r="A2866">
        <v>2020</v>
      </c>
      <c r="B2866" t="s">
        <v>41</v>
      </c>
      <c r="C2866" t="s">
        <v>170</v>
      </c>
      <c r="D2866" t="s">
        <v>171</v>
      </c>
      <c r="E2866" t="s">
        <v>108</v>
      </c>
      <c r="F2866" t="s">
        <v>118</v>
      </c>
    </row>
    <row r="2867" spans="1:7" x14ac:dyDescent="0.3">
      <c r="A2867">
        <v>2020</v>
      </c>
      <c r="B2867" t="s">
        <v>41</v>
      </c>
      <c r="C2867" t="s">
        <v>170</v>
      </c>
      <c r="D2867" t="s">
        <v>171</v>
      </c>
      <c r="E2867" t="s">
        <v>91</v>
      </c>
      <c r="F2867" t="s">
        <v>118</v>
      </c>
    </row>
    <row r="2868" spans="1:7" x14ac:dyDescent="0.3">
      <c r="A2868">
        <v>2020</v>
      </c>
      <c r="B2868" t="s">
        <v>41</v>
      </c>
      <c r="C2868" t="s">
        <v>170</v>
      </c>
      <c r="D2868" t="s">
        <v>171</v>
      </c>
      <c r="E2868" t="s">
        <v>109</v>
      </c>
      <c r="F2868" t="s">
        <v>118</v>
      </c>
    </row>
    <row r="2869" spans="1:7" x14ac:dyDescent="0.3">
      <c r="A2869">
        <v>2020</v>
      </c>
      <c r="B2869" t="s">
        <v>41</v>
      </c>
      <c r="C2869" t="s">
        <v>170</v>
      </c>
      <c r="D2869" t="s">
        <v>171</v>
      </c>
      <c r="E2869" t="s">
        <v>110</v>
      </c>
      <c r="F2869" t="s">
        <v>118</v>
      </c>
    </row>
    <row r="2870" spans="1:7" x14ac:dyDescent="0.3">
      <c r="A2870">
        <v>2020</v>
      </c>
      <c r="B2870" t="s">
        <v>58</v>
      </c>
      <c r="C2870" t="s">
        <v>170</v>
      </c>
      <c r="D2870" t="s">
        <v>171</v>
      </c>
      <c r="E2870" t="s">
        <v>108</v>
      </c>
      <c r="F2870" t="s">
        <v>118</v>
      </c>
      <c r="G2870">
        <v>3</v>
      </c>
    </row>
    <row r="2871" spans="1:7" x14ac:dyDescent="0.3">
      <c r="A2871">
        <v>2020</v>
      </c>
      <c r="B2871" t="s">
        <v>58</v>
      </c>
      <c r="C2871" t="s">
        <v>170</v>
      </c>
      <c r="D2871" t="s">
        <v>171</v>
      </c>
      <c r="E2871" t="s">
        <v>91</v>
      </c>
      <c r="F2871" t="s">
        <v>118</v>
      </c>
      <c r="G2871">
        <v>5</v>
      </c>
    </row>
    <row r="2872" spans="1:7" x14ac:dyDescent="0.3">
      <c r="A2872">
        <v>2020</v>
      </c>
      <c r="B2872" t="s">
        <v>58</v>
      </c>
      <c r="C2872" t="s">
        <v>170</v>
      </c>
      <c r="D2872" t="s">
        <v>171</v>
      </c>
      <c r="E2872" t="s">
        <v>109</v>
      </c>
      <c r="F2872" t="s">
        <v>118</v>
      </c>
    </row>
    <row r="2873" spans="1:7" x14ac:dyDescent="0.3">
      <c r="A2873">
        <v>2020</v>
      </c>
      <c r="B2873" t="s">
        <v>58</v>
      </c>
      <c r="C2873" t="s">
        <v>170</v>
      </c>
      <c r="D2873" t="s">
        <v>171</v>
      </c>
      <c r="E2873" t="s">
        <v>110</v>
      </c>
      <c r="F2873" t="s">
        <v>118</v>
      </c>
    </row>
    <row r="2874" spans="1:7" x14ac:dyDescent="0.3">
      <c r="A2874">
        <v>2020</v>
      </c>
      <c r="B2874" t="s">
        <v>42</v>
      </c>
      <c r="C2874" t="s">
        <v>170</v>
      </c>
      <c r="D2874" t="s">
        <v>171</v>
      </c>
      <c r="E2874" t="s">
        <v>108</v>
      </c>
      <c r="F2874" t="s">
        <v>118</v>
      </c>
      <c r="G2874">
        <v>3</v>
      </c>
    </row>
    <row r="2875" spans="1:7" x14ac:dyDescent="0.3">
      <c r="A2875">
        <v>2020</v>
      </c>
      <c r="B2875" t="s">
        <v>42</v>
      </c>
      <c r="C2875" t="s">
        <v>170</v>
      </c>
      <c r="D2875" t="s">
        <v>171</v>
      </c>
      <c r="E2875" t="s">
        <v>91</v>
      </c>
      <c r="F2875" t="s">
        <v>118</v>
      </c>
      <c r="G2875">
        <v>11</v>
      </c>
    </row>
    <row r="2876" spans="1:7" x14ac:dyDescent="0.3">
      <c r="A2876">
        <v>2020</v>
      </c>
      <c r="B2876" t="s">
        <v>42</v>
      </c>
      <c r="C2876" t="s">
        <v>170</v>
      </c>
      <c r="D2876" t="s">
        <v>171</v>
      </c>
      <c r="E2876" t="s">
        <v>109</v>
      </c>
      <c r="F2876" t="s">
        <v>118</v>
      </c>
      <c r="G2876">
        <v>79</v>
      </c>
    </row>
    <row r="2877" spans="1:7" x14ac:dyDescent="0.3">
      <c r="A2877">
        <v>2020</v>
      </c>
      <c r="B2877" t="s">
        <v>42</v>
      </c>
      <c r="C2877" t="s">
        <v>170</v>
      </c>
      <c r="D2877" t="s">
        <v>171</v>
      </c>
      <c r="E2877" t="s">
        <v>110</v>
      </c>
      <c r="F2877" t="s">
        <v>118</v>
      </c>
      <c r="G2877">
        <v>0</v>
      </c>
    </row>
    <row r="2878" spans="1:7" x14ac:dyDescent="0.3">
      <c r="A2878">
        <v>2020</v>
      </c>
      <c r="B2878" t="s">
        <v>44</v>
      </c>
      <c r="C2878" t="s">
        <v>170</v>
      </c>
      <c r="D2878" t="s">
        <v>171</v>
      </c>
      <c r="E2878" t="s">
        <v>108</v>
      </c>
      <c r="F2878" t="s">
        <v>118</v>
      </c>
      <c r="G2878">
        <v>7</v>
      </c>
    </row>
    <row r="2879" spans="1:7" x14ac:dyDescent="0.3">
      <c r="A2879">
        <v>2020</v>
      </c>
      <c r="B2879" t="s">
        <v>44</v>
      </c>
      <c r="C2879" t="s">
        <v>170</v>
      </c>
      <c r="D2879" t="s">
        <v>171</v>
      </c>
      <c r="E2879" t="s">
        <v>91</v>
      </c>
      <c r="F2879" t="s">
        <v>118</v>
      </c>
      <c r="G2879">
        <v>1</v>
      </c>
    </row>
    <row r="2880" spans="1:7" x14ac:dyDescent="0.3">
      <c r="A2880">
        <v>2020</v>
      </c>
      <c r="B2880" t="s">
        <v>44</v>
      </c>
      <c r="C2880" t="s">
        <v>170</v>
      </c>
      <c r="D2880" t="s">
        <v>171</v>
      </c>
      <c r="E2880" t="s">
        <v>109</v>
      </c>
      <c r="F2880" t="s">
        <v>118</v>
      </c>
    </row>
    <row r="2881" spans="1:7" x14ac:dyDescent="0.3">
      <c r="A2881">
        <v>2020</v>
      </c>
      <c r="B2881" t="s">
        <v>44</v>
      </c>
      <c r="C2881" t="s">
        <v>170</v>
      </c>
      <c r="D2881" t="s">
        <v>171</v>
      </c>
      <c r="E2881" t="s">
        <v>110</v>
      </c>
      <c r="F2881" t="s">
        <v>118</v>
      </c>
    </row>
    <row r="2882" spans="1:7" x14ac:dyDescent="0.3">
      <c r="A2882">
        <v>2020</v>
      </c>
      <c r="B2882" t="s">
        <v>45</v>
      </c>
      <c r="C2882" t="s">
        <v>170</v>
      </c>
      <c r="D2882" t="s">
        <v>171</v>
      </c>
      <c r="E2882" t="s">
        <v>108</v>
      </c>
      <c r="F2882" t="s">
        <v>118</v>
      </c>
      <c r="G2882">
        <v>31</v>
      </c>
    </row>
    <row r="2883" spans="1:7" x14ac:dyDescent="0.3">
      <c r="A2883">
        <v>2020</v>
      </c>
      <c r="B2883" t="s">
        <v>45</v>
      </c>
      <c r="C2883" t="s">
        <v>170</v>
      </c>
      <c r="D2883" t="s">
        <v>171</v>
      </c>
      <c r="E2883" t="s">
        <v>91</v>
      </c>
      <c r="F2883" t="s">
        <v>118</v>
      </c>
      <c r="G2883">
        <v>25</v>
      </c>
    </row>
    <row r="2884" spans="1:7" x14ac:dyDescent="0.3">
      <c r="A2884">
        <v>2020</v>
      </c>
      <c r="B2884" t="s">
        <v>45</v>
      </c>
      <c r="C2884" t="s">
        <v>170</v>
      </c>
      <c r="D2884" t="s">
        <v>171</v>
      </c>
      <c r="E2884" t="s">
        <v>109</v>
      </c>
      <c r="F2884" t="s">
        <v>118</v>
      </c>
      <c r="G2884">
        <v>14</v>
      </c>
    </row>
    <row r="2885" spans="1:7" x14ac:dyDescent="0.3">
      <c r="A2885">
        <v>2020</v>
      </c>
      <c r="B2885" t="s">
        <v>45</v>
      </c>
      <c r="C2885" t="s">
        <v>170</v>
      </c>
      <c r="D2885" t="s">
        <v>171</v>
      </c>
      <c r="E2885" t="s">
        <v>110</v>
      </c>
      <c r="F2885" t="s">
        <v>118</v>
      </c>
      <c r="G2885">
        <v>2</v>
      </c>
    </row>
    <row r="2886" spans="1:7" x14ac:dyDescent="0.3">
      <c r="A2886">
        <v>2020</v>
      </c>
      <c r="B2886" t="s">
        <v>46</v>
      </c>
      <c r="C2886" t="s">
        <v>170</v>
      </c>
      <c r="D2886" t="s">
        <v>171</v>
      </c>
      <c r="E2886" t="s">
        <v>108</v>
      </c>
      <c r="F2886" t="s">
        <v>118</v>
      </c>
      <c r="G2886">
        <v>14</v>
      </c>
    </row>
    <row r="2887" spans="1:7" x14ac:dyDescent="0.3">
      <c r="A2887">
        <v>2020</v>
      </c>
      <c r="B2887" t="s">
        <v>46</v>
      </c>
      <c r="C2887" t="s">
        <v>170</v>
      </c>
      <c r="D2887" t="s">
        <v>171</v>
      </c>
      <c r="E2887" t="s">
        <v>91</v>
      </c>
      <c r="F2887" t="s">
        <v>118</v>
      </c>
      <c r="G2887">
        <v>13</v>
      </c>
    </row>
    <row r="2888" spans="1:7" x14ac:dyDescent="0.3">
      <c r="A2888">
        <v>2020</v>
      </c>
      <c r="B2888" t="s">
        <v>46</v>
      </c>
      <c r="C2888" t="s">
        <v>170</v>
      </c>
      <c r="D2888" t="s">
        <v>171</v>
      </c>
      <c r="E2888" t="s">
        <v>109</v>
      </c>
      <c r="F2888" t="s">
        <v>118</v>
      </c>
    </row>
    <row r="2889" spans="1:7" x14ac:dyDescent="0.3">
      <c r="A2889">
        <v>2020</v>
      </c>
      <c r="B2889" t="s">
        <v>46</v>
      </c>
      <c r="C2889" t="s">
        <v>170</v>
      </c>
      <c r="D2889" t="s">
        <v>171</v>
      </c>
      <c r="E2889" t="s">
        <v>110</v>
      </c>
      <c r="F2889" t="s">
        <v>118</v>
      </c>
    </row>
    <row r="2890" spans="1:7" x14ac:dyDescent="0.3">
      <c r="A2890">
        <v>2020</v>
      </c>
      <c r="B2890" t="s">
        <v>47</v>
      </c>
      <c r="C2890" t="s">
        <v>170</v>
      </c>
      <c r="D2890" t="s">
        <v>171</v>
      </c>
      <c r="E2890" t="s">
        <v>108</v>
      </c>
      <c r="F2890" t="s">
        <v>118</v>
      </c>
    </row>
    <row r="2891" spans="1:7" x14ac:dyDescent="0.3">
      <c r="A2891">
        <v>2020</v>
      </c>
      <c r="B2891" t="s">
        <v>47</v>
      </c>
      <c r="C2891" t="s">
        <v>170</v>
      </c>
      <c r="D2891" t="s">
        <v>171</v>
      </c>
      <c r="E2891" t="s">
        <v>91</v>
      </c>
      <c r="F2891" t="s">
        <v>118</v>
      </c>
    </row>
    <row r="2892" spans="1:7" x14ac:dyDescent="0.3">
      <c r="A2892">
        <v>2020</v>
      </c>
      <c r="B2892" t="s">
        <v>47</v>
      </c>
      <c r="C2892" t="s">
        <v>170</v>
      </c>
      <c r="D2892" t="s">
        <v>171</v>
      </c>
      <c r="E2892" t="s">
        <v>109</v>
      </c>
      <c r="F2892" t="s">
        <v>118</v>
      </c>
      <c r="G2892">
        <v>7</v>
      </c>
    </row>
    <row r="2893" spans="1:7" x14ac:dyDescent="0.3">
      <c r="A2893">
        <v>2020</v>
      </c>
      <c r="B2893" t="s">
        <v>47</v>
      </c>
      <c r="C2893" t="s">
        <v>170</v>
      </c>
      <c r="D2893" t="s">
        <v>171</v>
      </c>
      <c r="E2893" t="s">
        <v>110</v>
      </c>
      <c r="F2893" t="s">
        <v>118</v>
      </c>
    </row>
    <row r="2894" spans="1:7" x14ac:dyDescent="0.3">
      <c r="A2894">
        <v>2020</v>
      </c>
      <c r="B2894" t="s">
        <v>48</v>
      </c>
      <c r="C2894" t="s">
        <v>170</v>
      </c>
      <c r="D2894" t="s">
        <v>171</v>
      </c>
      <c r="E2894" t="s">
        <v>108</v>
      </c>
      <c r="F2894" t="s">
        <v>118</v>
      </c>
      <c r="G2894">
        <v>5</v>
      </c>
    </row>
    <row r="2895" spans="1:7" x14ac:dyDescent="0.3">
      <c r="A2895">
        <v>2020</v>
      </c>
      <c r="B2895" t="s">
        <v>48</v>
      </c>
      <c r="C2895" t="s">
        <v>170</v>
      </c>
      <c r="D2895" t="s">
        <v>171</v>
      </c>
      <c r="E2895" t="s">
        <v>91</v>
      </c>
      <c r="F2895" t="s">
        <v>118</v>
      </c>
      <c r="G2895">
        <v>4</v>
      </c>
    </row>
    <row r="2896" spans="1:7" x14ac:dyDescent="0.3">
      <c r="A2896">
        <v>2020</v>
      </c>
      <c r="B2896" t="s">
        <v>48</v>
      </c>
      <c r="C2896" t="s">
        <v>170</v>
      </c>
      <c r="D2896" t="s">
        <v>171</v>
      </c>
      <c r="E2896" t="s">
        <v>109</v>
      </c>
      <c r="F2896" t="s">
        <v>118</v>
      </c>
      <c r="G2896">
        <v>2</v>
      </c>
    </row>
    <row r="2897" spans="1:7" x14ac:dyDescent="0.3">
      <c r="A2897">
        <v>2020</v>
      </c>
      <c r="B2897" t="s">
        <v>48</v>
      </c>
      <c r="C2897" t="s">
        <v>170</v>
      </c>
      <c r="D2897" t="s">
        <v>171</v>
      </c>
      <c r="E2897" t="s">
        <v>110</v>
      </c>
      <c r="F2897" t="s">
        <v>118</v>
      </c>
    </row>
    <row r="2898" spans="1:7" x14ac:dyDescent="0.3">
      <c r="A2898">
        <v>2020</v>
      </c>
      <c r="B2898" t="s">
        <v>49</v>
      </c>
      <c r="C2898" t="s">
        <v>170</v>
      </c>
      <c r="D2898" t="s">
        <v>171</v>
      </c>
      <c r="E2898" t="s">
        <v>108</v>
      </c>
      <c r="F2898" t="s">
        <v>118</v>
      </c>
      <c r="G2898">
        <v>9</v>
      </c>
    </row>
    <row r="2899" spans="1:7" x14ac:dyDescent="0.3">
      <c r="A2899">
        <v>2020</v>
      </c>
      <c r="B2899" t="s">
        <v>49</v>
      </c>
      <c r="C2899" t="s">
        <v>170</v>
      </c>
      <c r="D2899" t="s">
        <v>171</v>
      </c>
      <c r="E2899" t="s">
        <v>91</v>
      </c>
      <c r="F2899" t="s">
        <v>118</v>
      </c>
      <c r="G2899">
        <v>2</v>
      </c>
    </row>
    <row r="2900" spans="1:7" x14ac:dyDescent="0.3">
      <c r="A2900">
        <v>2020</v>
      </c>
      <c r="B2900" t="s">
        <v>49</v>
      </c>
      <c r="C2900" t="s">
        <v>170</v>
      </c>
      <c r="D2900" t="s">
        <v>171</v>
      </c>
      <c r="E2900" t="s">
        <v>109</v>
      </c>
      <c r="F2900" t="s">
        <v>118</v>
      </c>
      <c r="G2900">
        <v>5</v>
      </c>
    </row>
    <row r="2901" spans="1:7" x14ac:dyDescent="0.3">
      <c r="A2901">
        <v>2020</v>
      </c>
      <c r="B2901" t="s">
        <v>49</v>
      </c>
      <c r="C2901" t="s">
        <v>170</v>
      </c>
      <c r="D2901" t="s">
        <v>171</v>
      </c>
      <c r="E2901" t="s">
        <v>110</v>
      </c>
      <c r="F2901" t="s">
        <v>118</v>
      </c>
      <c r="G2901">
        <v>2</v>
      </c>
    </row>
    <row r="2902" spans="1:7" x14ac:dyDescent="0.3">
      <c r="A2902">
        <v>2020</v>
      </c>
      <c r="B2902" t="s">
        <v>59</v>
      </c>
      <c r="C2902" t="s">
        <v>170</v>
      </c>
      <c r="D2902" t="s">
        <v>171</v>
      </c>
      <c r="E2902" t="s">
        <v>108</v>
      </c>
      <c r="F2902" t="s">
        <v>118</v>
      </c>
      <c r="G2902">
        <v>0</v>
      </c>
    </row>
    <row r="2903" spans="1:7" x14ac:dyDescent="0.3">
      <c r="A2903">
        <v>2020</v>
      </c>
      <c r="B2903" t="s">
        <v>59</v>
      </c>
      <c r="C2903" t="s">
        <v>170</v>
      </c>
      <c r="D2903" t="s">
        <v>171</v>
      </c>
      <c r="E2903" t="s">
        <v>91</v>
      </c>
      <c r="F2903" t="s">
        <v>118</v>
      </c>
      <c r="G2903">
        <v>0</v>
      </c>
    </row>
    <row r="2904" spans="1:7" x14ac:dyDescent="0.3">
      <c r="A2904">
        <v>2020</v>
      </c>
      <c r="B2904" t="s">
        <v>59</v>
      </c>
      <c r="C2904" t="s">
        <v>170</v>
      </c>
      <c r="D2904" t="s">
        <v>171</v>
      </c>
      <c r="E2904" t="s">
        <v>109</v>
      </c>
      <c r="F2904" t="s">
        <v>118</v>
      </c>
      <c r="G2904">
        <v>0</v>
      </c>
    </row>
    <row r="2905" spans="1:7" x14ac:dyDescent="0.3">
      <c r="A2905">
        <v>2020</v>
      </c>
      <c r="B2905" t="s">
        <v>59</v>
      </c>
      <c r="C2905" t="s">
        <v>170</v>
      </c>
      <c r="D2905" t="s">
        <v>171</v>
      </c>
      <c r="E2905" t="s">
        <v>110</v>
      </c>
      <c r="F2905" t="s">
        <v>118</v>
      </c>
      <c r="G2905">
        <v>0</v>
      </c>
    </row>
    <row r="2906" spans="1:7" x14ac:dyDescent="0.3">
      <c r="A2906">
        <v>2020</v>
      </c>
      <c r="B2906" t="s">
        <v>50</v>
      </c>
      <c r="C2906" t="s">
        <v>170</v>
      </c>
      <c r="D2906" t="s">
        <v>171</v>
      </c>
      <c r="E2906" t="s">
        <v>108</v>
      </c>
      <c r="F2906" t="s">
        <v>118</v>
      </c>
    </row>
    <row r="2907" spans="1:7" x14ac:dyDescent="0.3">
      <c r="A2907">
        <v>2020</v>
      </c>
      <c r="B2907" t="s">
        <v>50</v>
      </c>
      <c r="C2907" t="s">
        <v>170</v>
      </c>
      <c r="D2907" t="s">
        <v>171</v>
      </c>
      <c r="E2907" t="s">
        <v>91</v>
      </c>
      <c r="F2907" t="s">
        <v>118</v>
      </c>
    </row>
    <row r="2908" spans="1:7" x14ac:dyDescent="0.3">
      <c r="A2908">
        <v>2020</v>
      </c>
      <c r="B2908" t="s">
        <v>50</v>
      </c>
      <c r="C2908" t="s">
        <v>170</v>
      </c>
      <c r="D2908" t="s">
        <v>171</v>
      </c>
      <c r="E2908" t="s">
        <v>109</v>
      </c>
      <c r="F2908" t="s">
        <v>118</v>
      </c>
    </row>
    <row r="2909" spans="1:7" x14ac:dyDescent="0.3">
      <c r="A2909">
        <v>2020</v>
      </c>
      <c r="B2909" t="s">
        <v>50</v>
      </c>
      <c r="C2909" t="s">
        <v>170</v>
      </c>
      <c r="D2909" t="s">
        <v>171</v>
      </c>
      <c r="E2909" t="s">
        <v>110</v>
      </c>
      <c r="F2909" t="s">
        <v>118</v>
      </c>
    </row>
    <row r="2910" spans="1:7" x14ac:dyDescent="0.3">
      <c r="A2910">
        <v>2020</v>
      </c>
      <c r="B2910" t="s">
        <v>51</v>
      </c>
      <c r="C2910" t="s">
        <v>170</v>
      </c>
      <c r="D2910" t="s">
        <v>171</v>
      </c>
      <c r="E2910" t="s">
        <v>108</v>
      </c>
      <c r="F2910" t="s">
        <v>118</v>
      </c>
      <c r="G2910">
        <v>42</v>
      </c>
    </row>
    <row r="2911" spans="1:7" x14ac:dyDescent="0.3">
      <c r="A2911">
        <v>2020</v>
      </c>
      <c r="B2911" t="s">
        <v>51</v>
      </c>
      <c r="C2911" t="s">
        <v>170</v>
      </c>
      <c r="D2911" t="s">
        <v>171</v>
      </c>
      <c r="E2911" t="s">
        <v>91</v>
      </c>
      <c r="F2911" t="s">
        <v>118</v>
      </c>
      <c r="G2911">
        <v>4</v>
      </c>
    </row>
    <row r="2912" spans="1:7" x14ac:dyDescent="0.3">
      <c r="A2912">
        <v>2020</v>
      </c>
      <c r="B2912" t="s">
        <v>51</v>
      </c>
      <c r="C2912" t="s">
        <v>170</v>
      </c>
      <c r="D2912" t="s">
        <v>171</v>
      </c>
      <c r="E2912" t="s">
        <v>109</v>
      </c>
      <c r="F2912" t="s">
        <v>118</v>
      </c>
      <c r="G2912">
        <v>2</v>
      </c>
    </row>
    <row r="2913" spans="1:7" x14ac:dyDescent="0.3">
      <c r="A2913">
        <v>2020</v>
      </c>
      <c r="B2913" t="s">
        <v>51</v>
      </c>
      <c r="C2913" t="s">
        <v>170</v>
      </c>
      <c r="D2913" t="s">
        <v>171</v>
      </c>
      <c r="E2913" t="s">
        <v>110</v>
      </c>
      <c r="F2913" t="s">
        <v>118</v>
      </c>
    </row>
    <row r="2914" spans="1:7" x14ac:dyDescent="0.3">
      <c r="A2914">
        <v>2020</v>
      </c>
      <c r="B2914" t="s">
        <v>52</v>
      </c>
      <c r="C2914" t="s">
        <v>170</v>
      </c>
      <c r="D2914" t="s">
        <v>171</v>
      </c>
      <c r="E2914" t="s">
        <v>108</v>
      </c>
      <c r="F2914" t="s">
        <v>118</v>
      </c>
    </row>
    <row r="2915" spans="1:7" x14ac:dyDescent="0.3">
      <c r="A2915">
        <v>2020</v>
      </c>
      <c r="B2915" t="s">
        <v>52</v>
      </c>
      <c r="C2915" t="s">
        <v>170</v>
      </c>
      <c r="D2915" t="s">
        <v>171</v>
      </c>
      <c r="E2915" t="s">
        <v>91</v>
      </c>
      <c r="F2915" t="s">
        <v>118</v>
      </c>
    </row>
    <row r="2916" spans="1:7" x14ac:dyDescent="0.3">
      <c r="A2916">
        <v>2020</v>
      </c>
      <c r="B2916" t="s">
        <v>52</v>
      </c>
      <c r="C2916" t="s">
        <v>170</v>
      </c>
      <c r="D2916" t="s">
        <v>171</v>
      </c>
      <c r="E2916" t="s">
        <v>109</v>
      </c>
      <c r="F2916" t="s">
        <v>118</v>
      </c>
      <c r="G2916">
        <v>1</v>
      </c>
    </row>
    <row r="2917" spans="1:7" x14ac:dyDescent="0.3">
      <c r="A2917">
        <v>2020</v>
      </c>
      <c r="B2917" t="s">
        <v>52</v>
      </c>
      <c r="C2917" t="s">
        <v>170</v>
      </c>
      <c r="D2917" t="s">
        <v>171</v>
      </c>
      <c r="E2917" t="s">
        <v>110</v>
      </c>
      <c r="F2917" t="s">
        <v>118</v>
      </c>
    </row>
    <row r="2918" spans="1:7" x14ac:dyDescent="0.3">
      <c r="A2918">
        <v>2020</v>
      </c>
      <c r="B2918" t="s">
        <v>60</v>
      </c>
      <c r="C2918" t="s">
        <v>170</v>
      </c>
      <c r="D2918" t="s">
        <v>171</v>
      </c>
      <c r="E2918" t="s">
        <v>108</v>
      </c>
      <c r="F2918" t="s">
        <v>118</v>
      </c>
      <c r="G2918">
        <v>0</v>
      </c>
    </row>
    <row r="2919" spans="1:7" x14ac:dyDescent="0.3">
      <c r="A2919">
        <v>2020</v>
      </c>
      <c r="B2919" t="s">
        <v>60</v>
      </c>
      <c r="C2919" t="s">
        <v>170</v>
      </c>
      <c r="D2919" t="s">
        <v>171</v>
      </c>
      <c r="E2919" t="s">
        <v>91</v>
      </c>
      <c r="F2919" t="s">
        <v>118</v>
      </c>
      <c r="G2919">
        <v>0</v>
      </c>
    </row>
    <row r="2920" spans="1:7" x14ac:dyDescent="0.3">
      <c r="A2920">
        <v>2020</v>
      </c>
      <c r="B2920" t="s">
        <v>60</v>
      </c>
      <c r="C2920" t="s">
        <v>170</v>
      </c>
      <c r="D2920" t="s">
        <v>171</v>
      </c>
      <c r="E2920" t="s">
        <v>109</v>
      </c>
      <c r="F2920" t="s">
        <v>118</v>
      </c>
      <c r="G2920">
        <v>0</v>
      </c>
    </row>
    <row r="2921" spans="1:7" x14ac:dyDescent="0.3">
      <c r="A2921">
        <v>2020</v>
      </c>
      <c r="B2921" t="s">
        <v>60</v>
      </c>
      <c r="C2921" t="s">
        <v>170</v>
      </c>
      <c r="D2921" t="s">
        <v>171</v>
      </c>
      <c r="E2921" t="s">
        <v>110</v>
      </c>
      <c r="F2921" t="s">
        <v>118</v>
      </c>
      <c r="G2921">
        <v>0</v>
      </c>
    </row>
    <row r="2922" spans="1:7" x14ac:dyDescent="0.3">
      <c r="A2922">
        <v>2020</v>
      </c>
      <c r="B2922" t="s">
        <v>53</v>
      </c>
      <c r="C2922" t="s">
        <v>170</v>
      </c>
      <c r="D2922" t="s">
        <v>171</v>
      </c>
      <c r="E2922" t="s">
        <v>108</v>
      </c>
      <c r="F2922" t="s">
        <v>118</v>
      </c>
      <c r="G2922">
        <v>4</v>
      </c>
    </row>
    <row r="2923" spans="1:7" x14ac:dyDescent="0.3">
      <c r="A2923">
        <v>2020</v>
      </c>
      <c r="B2923" t="s">
        <v>53</v>
      </c>
      <c r="C2923" t="s">
        <v>170</v>
      </c>
      <c r="D2923" t="s">
        <v>171</v>
      </c>
      <c r="E2923" t="s">
        <v>91</v>
      </c>
      <c r="F2923" t="s">
        <v>118</v>
      </c>
      <c r="G2923">
        <v>10</v>
      </c>
    </row>
    <row r="2924" spans="1:7" x14ac:dyDescent="0.3">
      <c r="A2924">
        <v>2020</v>
      </c>
      <c r="B2924" t="s">
        <v>53</v>
      </c>
      <c r="C2924" t="s">
        <v>170</v>
      </c>
      <c r="D2924" t="s">
        <v>171</v>
      </c>
      <c r="E2924" t="s">
        <v>109</v>
      </c>
      <c r="F2924" t="s">
        <v>118</v>
      </c>
      <c r="G2924">
        <v>3</v>
      </c>
    </row>
    <row r="2925" spans="1:7" x14ac:dyDescent="0.3">
      <c r="A2925">
        <v>2020</v>
      </c>
      <c r="B2925" t="s">
        <v>53</v>
      </c>
      <c r="C2925" t="s">
        <v>170</v>
      </c>
      <c r="D2925" t="s">
        <v>171</v>
      </c>
      <c r="E2925" t="s">
        <v>110</v>
      </c>
      <c r="F2925" t="s">
        <v>118</v>
      </c>
      <c r="G2925">
        <v>0</v>
      </c>
    </row>
    <row r="2926" spans="1:7" x14ac:dyDescent="0.3">
      <c r="A2926">
        <v>2020</v>
      </c>
      <c r="B2926" t="s">
        <v>61</v>
      </c>
      <c r="C2926" t="s">
        <v>170</v>
      </c>
      <c r="D2926" t="s">
        <v>171</v>
      </c>
      <c r="E2926" t="s">
        <v>108</v>
      </c>
      <c r="F2926" t="s">
        <v>118</v>
      </c>
    </row>
    <row r="2927" spans="1:7" x14ac:dyDescent="0.3">
      <c r="A2927">
        <v>2020</v>
      </c>
      <c r="B2927" t="s">
        <v>61</v>
      </c>
      <c r="C2927" t="s">
        <v>170</v>
      </c>
      <c r="D2927" t="s">
        <v>171</v>
      </c>
      <c r="E2927" t="s">
        <v>91</v>
      </c>
      <c r="F2927" t="s">
        <v>118</v>
      </c>
    </row>
    <row r="2928" spans="1:7" x14ac:dyDescent="0.3">
      <c r="A2928">
        <v>2020</v>
      </c>
      <c r="B2928" t="s">
        <v>61</v>
      </c>
      <c r="C2928" t="s">
        <v>170</v>
      </c>
      <c r="D2928" t="s">
        <v>171</v>
      </c>
      <c r="E2928" t="s">
        <v>109</v>
      </c>
      <c r="F2928" t="s">
        <v>118</v>
      </c>
      <c r="G2928">
        <v>12</v>
      </c>
    </row>
    <row r="2929" spans="1:7" x14ac:dyDescent="0.3">
      <c r="A2929">
        <v>2020</v>
      </c>
      <c r="B2929" t="s">
        <v>61</v>
      </c>
      <c r="C2929" t="s">
        <v>170</v>
      </c>
      <c r="D2929" t="s">
        <v>171</v>
      </c>
      <c r="E2929" t="s">
        <v>110</v>
      </c>
      <c r="F2929" t="s">
        <v>118</v>
      </c>
      <c r="G2929">
        <v>3</v>
      </c>
    </row>
    <row r="2930" spans="1:7" x14ac:dyDescent="0.3">
      <c r="A2930">
        <v>2020</v>
      </c>
      <c r="B2930" t="s">
        <v>54</v>
      </c>
      <c r="C2930" t="s">
        <v>170</v>
      </c>
      <c r="D2930" t="s">
        <v>171</v>
      </c>
      <c r="E2930" t="s">
        <v>108</v>
      </c>
      <c r="F2930" t="s">
        <v>118</v>
      </c>
      <c r="G2930">
        <v>13</v>
      </c>
    </row>
    <row r="2931" spans="1:7" x14ac:dyDescent="0.3">
      <c r="A2931">
        <v>2020</v>
      </c>
      <c r="B2931" t="s">
        <v>54</v>
      </c>
      <c r="C2931" t="s">
        <v>170</v>
      </c>
      <c r="D2931" t="s">
        <v>171</v>
      </c>
      <c r="E2931" t="s">
        <v>91</v>
      </c>
      <c r="F2931" t="s">
        <v>118</v>
      </c>
      <c r="G2931">
        <v>11</v>
      </c>
    </row>
    <row r="2932" spans="1:7" x14ac:dyDescent="0.3">
      <c r="A2932">
        <v>2020</v>
      </c>
      <c r="B2932" t="s">
        <v>54</v>
      </c>
      <c r="C2932" t="s">
        <v>170</v>
      </c>
      <c r="D2932" t="s">
        <v>171</v>
      </c>
      <c r="E2932" t="s">
        <v>109</v>
      </c>
      <c r="F2932" t="s">
        <v>118</v>
      </c>
      <c r="G2932">
        <v>13</v>
      </c>
    </row>
    <row r="2933" spans="1:7" x14ac:dyDescent="0.3">
      <c r="A2933">
        <v>2020</v>
      </c>
      <c r="B2933" t="s">
        <v>54</v>
      </c>
      <c r="C2933" t="s">
        <v>170</v>
      </c>
      <c r="D2933" t="s">
        <v>171</v>
      </c>
      <c r="E2933" t="s">
        <v>110</v>
      </c>
      <c r="F2933" t="s">
        <v>118</v>
      </c>
      <c r="G2933">
        <v>0</v>
      </c>
    </row>
    <row r="2934" spans="1:7" x14ac:dyDescent="0.3">
      <c r="A2934">
        <v>2020</v>
      </c>
      <c r="B2934" t="s">
        <v>62</v>
      </c>
      <c r="C2934" t="s">
        <v>170</v>
      </c>
      <c r="D2934" t="s">
        <v>171</v>
      </c>
      <c r="E2934" t="s">
        <v>108</v>
      </c>
      <c r="F2934" t="s">
        <v>118</v>
      </c>
      <c r="G2934">
        <v>1</v>
      </c>
    </row>
    <row r="2935" spans="1:7" x14ac:dyDescent="0.3">
      <c r="A2935">
        <v>2020</v>
      </c>
      <c r="B2935" t="s">
        <v>62</v>
      </c>
      <c r="C2935" t="s">
        <v>170</v>
      </c>
      <c r="D2935" t="s">
        <v>171</v>
      </c>
      <c r="E2935" t="s">
        <v>91</v>
      </c>
      <c r="F2935" t="s">
        <v>118</v>
      </c>
      <c r="G2935">
        <v>14</v>
      </c>
    </row>
    <row r="2936" spans="1:7" x14ac:dyDescent="0.3">
      <c r="A2936">
        <v>2020</v>
      </c>
      <c r="B2936" t="s">
        <v>62</v>
      </c>
      <c r="C2936" t="s">
        <v>170</v>
      </c>
      <c r="D2936" t="s">
        <v>171</v>
      </c>
      <c r="E2936" t="s">
        <v>109</v>
      </c>
      <c r="F2936" t="s">
        <v>118</v>
      </c>
      <c r="G2936">
        <v>5</v>
      </c>
    </row>
    <row r="2937" spans="1:7" x14ac:dyDescent="0.3">
      <c r="A2937">
        <v>2020</v>
      </c>
      <c r="B2937" t="s">
        <v>62</v>
      </c>
      <c r="C2937" t="s">
        <v>170</v>
      </c>
      <c r="D2937" t="s">
        <v>171</v>
      </c>
      <c r="E2937" t="s">
        <v>110</v>
      </c>
      <c r="F2937" t="s">
        <v>118</v>
      </c>
      <c r="G2937">
        <v>0</v>
      </c>
    </row>
    <row r="2938" spans="1:7" x14ac:dyDescent="0.3">
      <c r="A2938">
        <v>2020</v>
      </c>
      <c r="B2938" t="s">
        <v>28</v>
      </c>
      <c r="C2938" t="s">
        <v>170</v>
      </c>
      <c r="D2938" t="s">
        <v>171</v>
      </c>
      <c r="E2938" t="s">
        <v>108</v>
      </c>
      <c r="F2938" t="s">
        <v>118</v>
      </c>
      <c r="G2938">
        <v>15</v>
      </c>
    </row>
    <row r="2939" spans="1:7" x14ac:dyDescent="0.3">
      <c r="A2939">
        <v>2020</v>
      </c>
      <c r="B2939" t="s">
        <v>28</v>
      </c>
      <c r="C2939" t="s">
        <v>170</v>
      </c>
      <c r="D2939" t="s">
        <v>171</v>
      </c>
      <c r="E2939" t="s">
        <v>91</v>
      </c>
      <c r="F2939" t="s">
        <v>118</v>
      </c>
      <c r="G2939">
        <v>1</v>
      </c>
    </row>
    <row r="2940" spans="1:7" x14ac:dyDescent="0.3">
      <c r="A2940">
        <v>2020</v>
      </c>
      <c r="B2940" t="s">
        <v>28</v>
      </c>
      <c r="C2940" t="s">
        <v>170</v>
      </c>
      <c r="D2940" t="s">
        <v>171</v>
      </c>
      <c r="E2940" t="s">
        <v>109</v>
      </c>
      <c r="F2940" t="s">
        <v>118</v>
      </c>
      <c r="G2940">
        <v>8</v>
      </c>
    </row>
    <row r="2941" spans="1:7" x14ac:dyDescent="0.3">
      <c r="A2941">
        <v>2020</v>
      </c>
      <c r="B2941" t="s">
        <v>28</v>
      </c>
      <c r="C2941" t="s">
        <v>170</v>
      </c>
      <c r="D2941" t="s">
        <v>171</v>
      </c>
      <c r="E2941" t="s">
        <v>110</v>
      </c>
      <c r="F2941" t="s">
        <v>118</v>
      </c>
      <c r="G2941">
        <v>1</v>
      </c>
    </row>
    <row r="2942" spans="1:7" x14ac:dyDescent="0.3">
      <c r="A2942">
        <v>2020</v>
      </c>
      <c r="B2942" t="s">
        <v>43</v>
      </c>
      <c r="C2942" t="s">
        <v>170</v>
      </c>
      <c r="D2942" t="s">
        <v>171</v>
      </c>
      <c r="E2942" t="s">
        <v>108</v>
      </c>
      <c r="F2942" t="s">
        <v>118</v>
      </c>
    </row>
    <row r="2943" spans="1:7" x14ac:dyDescent="0.3">
      <c r="A2943">
        <v>2020</v>
      </c>
      <c r="B2943" t="s">
        <v>43</v>
      </c>
      <c r="C2943" t="s">
        <v>170</v>
      </c>
      <c r="D2943" t="s">
        <v>171</v>
      </c>
      <c r="E2943" t="s">
        <v>91</v>
      </c>
      <c r="F2943" t="s">
        <v>118</v>
      </c>
    </row>
    <row r="2944" spans="1:7" x14ac:dyDescent="0.3">
      <c r="A2944">
        <v>2020</v>
      </c>
      <c r="B2944" t="s">
        <v>43</v>
      </c>
      <c r="C2944" t="s">
        <v>170</v>
      </c>
      <c r="D2944" t="s">
        <v>171</v>
      </c>
      <c r="E2944" t="s">
        <v>109</v>
      </c>
      <c r="F2944" t="s">
        <v>118</v>
      </c>
    </row>
    <row r="2945" spans="1:6" x14ac:dyDescent="0.3">
      <c r="A2945">
        <v>2020</v>
      </c>
      <c r="B2945" t="s">
        <v>43</v>
      </c>
      <c r="C2945" t="s">
        <v>170</v>
      </c>
      <c r="D2945" t="s">
        <v>171</v>
      </c>
      <c r="E2945" t="s">
        <v>110</v>
      </c>
      <c r="F2945" t="s">
        <v>118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(2016-17)</vt:lpstr>
      <vt:lpstr>2017-18_working</vt:lpstr>
      <vt:lpstr>2018-19_working</vt:lpstr>
      <vt:lpstr>2019-20_working</vt:lpstr>
      <vt:lpstr>(2017-18)</vt:lpstr>
      <vt:lpstr>(2018-19)</vt:lpstr>
      <vt:lpstr>(2019-20)</vt:lpstr>
      <vt:lpstr>FIRE1121_raw</vt:lpstr>
      <vt:lpstr>raw</vt:lpstr>
      <vt:lpstr>macro</vt:lpstr>
      <vt:lpstr>Cover_sheet</vt:lpstr>
      <vt:lpstr>Contents</vt:lpstr>
      <vt:lpstr>FIRE1121</vt:lpstr>
      <vt:lpstr>QA</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FIRE1121: Staff joining fire authorities, by fire and rescue authority, ethnicity and role</dc:title>
  <dc:creator/>
  <cp:keywords>data tables, ethnicity, role, 2020</cp:keywords>
  <cp:lastModifiedBy/>
  <dcterms:created xsi:type="dcterms:W3CDTF">2020-10-20T08:37:13Z</dcterms:created>
  <dcterms:modified xsi:type="dcterms:W3CDTF">2020-10-20T08:39:25Z</dcterms:modified>
</cp:coreProperties>
</file>