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13_ncr:1_{FB301956-E92C-41B8-BCEA-47030D8F38C2}" xr6:coauthVersionLast="41" xr6:coauthVersionMax="41" xr10:uidLastSave="{00000000-0000-0000-0000-000000000000}"/>
  <workbookProtection workbookAlgorithmName="SHA-512" workbookHashValue="BLjN4Ldp+fd9LyAYYG5tf+zucbrPE2Eafyx4cfvcPxTlJS7nRg+0pT2Hd/gKYUDglxsuRiOW6YRZ28TI6Fc3jw==" workbookSaltValue="oqCJsKBIIdaTds/yXkO0gQ==" workbookSpinCount="100000" lockStructure="1"/>
  <bookViews>
    <workbookView xWindow="456" yWindow="156" windowWidth="20412" windowHeight="12060" tabRatio="747" firstSheet="9" activeTab="9" xr2:uid="{00000000-000D-0000-FFFF-FFFF00000000}"/>
  </bookViews>
  <sheets>
    <sheet name="(2010-11)" sheetId="59" state="hidden" r:id="rId1"/>
    <sheet name="(2011-12)" sheetId="60" state="hidden" r:id="rId2"/>
    <sheet name="(2012-13)" sheetId="61" state="hidden" r:id="rId3"/>
    <sheet name="(2013-14)" sheetId="62" state="hidden" r:id="rId4"/>
    <sheet name="(2014-15)" sheetId="63" state="hidden" r:id="rId5"/>
    <sheet name="(2015-16)" sheetId="64" state="hidden" r:id="rId6"/>
    <sheet name="(2016-17)" sheetId="65" state="hidden" r:id="rId7"/>
    <sheet name="(2017-18)" sheetId="66" state="hidden" r:id="rId8"/>
    <sheet name="FIRE1201_historical_raw" sheetId="1" state="hidden" r:id="rId9"/>
    <sheet name="Cover_sheet" sheetId="70" r:id="rId10"/>
    <sheet name="Contents" sheetId="71" r:id="rId11"/>
    <sheet name="FIRE1201_historical" sheetId="11" r:id="rId12"/>
    <sheet name="2019-20" sheetId="67" state="hidden" r:id="rId13"/>
    <sheet name="2018-19" sheetId="55" state="hidden" r:id="rId14"/>
    <sheet name="FIRE1201_raw" sheetId="24" state="hidden" r:id="rId15"/>
    <sheet name="FIRE1201" sheetId="58" r:id="rId16"/>
    <sheet name="FIRE1201a_raw" sheetId="68" state="hidden" r:id="rId17"/>
    <sheet name="FIRE1201a" sheetId="69" r:id="rId18"/>
    <sheet name="Error check" sheetId="53" state="hidden" r:id="rId19"/>
    <sheet name="Little notes" sheetId="56" state="hidden" r:id="rId20"/>
    <sheet name="FRS geographical categories" sheetId="57" r:id="rId21"/>
  </sheets>
  <definedNames>
    <definedName name="_xlnm._FilterDatabase" localSheetId="12" hidden="1">'2019-20'!$AG$8:$AH$59</definedName>
    <definedName name="_xlnm._FilterDatabase" localSheetId="20" hidden="1">'FRS geographical categories'!$A$1:$C$46</definedName>
    <definedName name="qrychiefrepspecservrtaother" localSheetId="12">#REF!</definedName>
    <definedName name="qrychiefrepspecservrtaother" localSheetId="16">#REF!</definedName>
    <definedName name="qrychiefrepsuccretireresig" localSheetId="12">#REF!</definedName>
    <definedName name="qrychiefrepsuccretireresig" localSheetId="16">#REF!</definedName>
    <definedName name="qrychiefrepwteststr" localSheetId="12">#REF!</definedName>
    <definedName name="qrychiefrepwteststr" localSheetId="16">#REF!</definedName>
    <definedName name="qrychiefrepwtgeneth" localSheetId="12">#REF!</definedName>
    <definedName name="qrychiefrepwtgeneth" localSheetId="16">#REF!</definedName>
    <definedName name="qryffinjuries9900" localSheetId="12">#REF!</definedName>
    <definedName name="qryffinjuries9900" localSheetId="16">#REF!</definedName>
    <definedName name="qryPI15" localSheetId="12">#REF!</definedName>
    <definedName name="qryPI15" localSheetId="16">#REF!</definedName>
    <definedName name="qryPI16" localSheetId="12">#REF!</definedName>
    <definedName name="qryPI16" localSheetId="16">#REF!</definedName>
    <definedName name="qryPIBV145a" localSheetId="12">#REF!</definedName>
    <definedName name="qryPIBV145a" localSheetId="16">#REF!</definedName>
    <definedName name="qryPIBV145b" localSheetId="12">#REF!</definedName>
    <definedName name="qryPIBV145b" localSheetId="16">#REF!</definedName>
    <definedName name="qryPIBV145c" localSheetId="12">#REF!</definedName>
    <definedName name="qryPIBV145c" localSheetId="16">#REF!</definedName>
    <definedName name="qryPIBV15i" localSheetId="12">#REF!</definedName>
    <definedName name="qryPIBV15i" localSheetId="16">#REF!</definedName>
    <definedName name="qryPIBV15ii" localSheetId="12">#REF!</definedName>
    <definedName name="qryPIBV15ii" localSheetId="16">#REF!</definedName>
    <definedName name="qryPIctsickness" localSheetId="12">#REF!</definedName>
    <definedName name="qryPIctsickness" localSheetId="16">#REF!</definedName>
    <definedName name="qryPIriderfactleave" localSheetId="12">#REF!</definedName>
    <definedName name="qryPIriderfactleave" localSheetId="16">#REF!</definedName>
    <definedName name="qryPIriderfactsick" localSheetId="12">#REF!</definedName>
    <definedName name="qryPIriderfactsick" localSheetId="16">#REF!</definedName>
    <definedName name="Query1" localSheetId="12">#REF!</definedName>
    <definedName name="Query1" localSheetId="1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59" i="55" l="1"/>
  <c r="AD59" i="55"/>
  <c r="AE58" i="55"/>
  <c r="AD58" i="55"/>
  <c r="AE57" i="55"/>
  <c r="AD57" i="55"/>
  <c r="AE56" i="55"/>
  <c r="AD56" i="55"/>
  <c r="AE55" i="55"/>
  <c r="AD55" i="55"/>
  <c r="AE54" i="55"/>
  <c r="AD54" i="55"/>
  <c r="AE53" i="55"/>
  <c r="AD53" i="55"/>
  <c r="AE52" i="55"/>
  <c r="AD52" i="55"/>
  <c r="AE51" i="55"/>
  <c r="AD51" i="55"/>
  <c r="AE50" i="55"/>
  <c r="AD50" i="55"/>
  <c r="AE49" i="55"/>
  <c r="AD49" i="55"/>
  <c r="AE48" i="55"/>
  <c r="AD48" i="55"/>
  <c r="AE47" i="55"/>
  <c r="AD47" i="55"/>
  <c r="AE46" i="55"/>
  <c r="AD46" i="55"/>
  <c r="AE45" i="55"/>
  <c r="AD45" i="55"/>
  <c r="AE44" i="55"/>
  <c r="AD44" i="55"/>
  <c r="AE43" i="55"/>
  <c r="AD43" i="55"/>
  <c r="AE42" i="55"/>
  <c r="AD42" i="55"/>
  <c r="AE41" i="55"/>
  <c r="AD41" i="55"/>
  <c r="AE40" i="55"/>
  <c r="AD40" i="55"/>
  <c r="AE39" i="55"/>
  <c r="AD39" i="55"/>
  <c r="AE38" i="55"/>
  <c r="AD38" i="55"/>
  <c r="AE37" i="55"/>
  <c r="AD37" i="55"/>
  <c r="AE36" i="55"/>
  <c r="AD36" i="55"/>
  <c r="AE35" i="55"/>
  <c r="AD35" i="55"/>
  <c r="AE34" i="55"/>
  <c r="AD34" i="55"/>
  <c r="AE33" i="55"/>
  <c r="AD33" i="55"/>
  <c r="AE32" i="55"/>
  <c r="AD32" i="55"/>
  <c r="AE31" i="55"/>
  <c r="AD31" i="55"/>
  <c r="AE30" i="55"/>
  <c r="AD30" i="55"/>
  <c r="AE29" i="55"/>
  <c r="AD29" i="55"/>
  <c r="AE28" i="55"/>
  <c r="AD28" i="55"/>
  <c r="AE27" i="55"/>
  <c r="AD27" i="55"/>
  <c r="AE26" i="55"/>
  <c r="AD26" i="55"/>
  <c r="AE25" i="55"/>
  <c r="AD25" i="55"/>
  <c r="AE24" i="55"/>
  <c r="AD24" i="55"/>
  <c r="AE23" i="55"/>
  <c r="AD23" i="55"/>
  <c r="AE22" i="55"/>
  <c r="AD22" i="55"/>
  <c r="AE21" i="55"/>
  <c r="AD21" i="55"/>
  <c r="AE20" i="55"/>
  <c r="AD20" i="55"/>
  <c r="AE19" i="55"/>
  <c r="AD19" i="55"/>
  <c r="AE18" i="55"/>
  <c r="AD18" i="55"/>
  <c r="AE17" i="55"/>
  <c r="AD17" i="55"/>
  <c r="AE16" i="55"/>
  <c r="AD16" i="55"/>
  <c r="AE15" i="55"/>
  <c r="AD15" i="55"/>
  <c r="AD16" i="67"/>
  <c r="AE16" i="67"/>
  <c r="AD17" i="67"/>
  <c r="AE17" i="67"/>
  <c r="AD18" i="67"/>
  <c r="AE18" i="67"/>
  <c r="AD19" i="67"/>
  <c r="AE19" i="67"/>
  <c r="AD20" i="67"/>
  <c r="AE20" i="67"/>
  <c r="AD21" i="67"/>
  <c r="AE21" i="67"/>
  <c r="AD22" i="67"/>
  <c r="AE22" i="67"/>
  <c r="AD23" i="67"/>
  <c r="AE23" i="67"/>
  <c r="AD24" i="67"/>
  <c r="AE24" i="67"/>
  <c r="AD25" i="67"/>
  <c r="AE25" i="67"/>
  <c r="AD26" i="67"/>
  <c r="AE26" i="67"/>
  <c r="AD27" i="67"/>
  <c r="AE27" i="67"/>
  <c r="AD28" i="67"/>
  <c r="AE28" i="67"/>
  <c r="AD29" i="67"/>
  <c r="AE29" i="67"/>
  <c r="AD30" i="67"/>
  <c r="AE30" i="67"/>
  <c r="AD31" i="67"/>
  <c r="AE31" i="67"/>
  <c r="AD32" i="67"/>
  <c r="AE32" i="67"/>
  <c r="AD33" i="67"/>
  <c r="AE33" i="67"/>
  <c r="AD34" i="67"/>
  <c r="AE34" i="67"/>
  <c r="AD35" i="67"/>
  <c r="AE35" i="67"/>
  <c r="AD36" i="67"/>
  <c r="AE36" i="67"/>
  <c r="AD37" i="67"/>
  <c r="AE37" i="67"/>
  <c r="AD38" i="67"/>
  <c r="AE38" i="67"/>
  <c r="AD39" i="67"/>
  <c r="AE39" i="67"/>
  <c r="AD40" i="67"/>
  <c r="AE40" i="67"/>
  <c r="AD41" i="67"/>
  <c r="AE41" i="67"/>
  <c r="AD42" i="67"/>
  <c r="AE42" i="67"/>
  <c r="AD43" i="67"/>
  <c r="AE43" i="67"/>
  <c r="AD44" i="67"/>
  <c r="AE44" i="67"/>
  <c r="AD45" i="67"/>
  <c r="AE45" i="67"/>
  <c r="AD46" i="67"/>
  <c r="AE46" i="67"/>
  <c r="AD47" i="67"/>
  <c r="AE47" i="67"/>
  <c r="AD48" i="67"/>
  <c r="AE48" i="67"/>
  <c r="AD49" i="67"/>
  <c r="AE49" i="67"/>
  <c r="AD50" i="67"/>
  <c r="AE50" i="67"/>
  <c r="AD51" i="67"/>
  <c r="AE51" i="67"/>
  <c r="AD52" i="67"/>
  <c r="AE52" i="67"/>
  <c r="AD53" i="67"/>
  <c r="AE53" i="67"/>
  <c r="AD54" i="67"/>
  <c r="AE54" i="67"/>
  <c r="AD55" i="67"/>
  <c r="AE55" i="67"/>
  <c r="AD56" i="67"/>
  <c r="AE56" i="67"/>
  <c r="AD57" i="67"/>
  <c r="AE57" i="67"/>
  <c r="AD58" i="67"/>
  <c r="AE58" i="67"/>
  <c r="AD59" i="67"/>
  <c r="AE59" i="67"/>
  <c r="AE15" i="67"/>
  <c r="AD15" i="67"/>
  <c r="J6" i="66" l="1"/>
  <c r="I6" i="66"/>
  <c r="H6" i="66"/>
  <c r="G6" i="66"/>
  <c r="F6" i="66"/>
  <c r="E6" i="66"/>
  <c r="D6" i="66"/>
  <c r="C6" i="66"/>
  <c r="AC9" i="55"/>
  <c r="AB9" i="55"/>
  <c r="AA9" i="55"/>
  <c r="Z9" i="55"/>
  <c r="Y9" i="55"/>
  <c r="X9" i="55"/>
  <c r="W9" i="55"/>
  <c r="V9" i="55"/>
  <c r="U9" i="55"/>
  <c r="T9" i="55"/>
  <c r="S9" i="55"/>
  <c r="R9" i="55"/>
  <c r="Q9" i="55"/>
  <c r="P9" i="55"/>
  <c r="O9" i="55"/>
  <c r="N9" i="55"/>
  <c r="M9" i="55"/>
  <c r="L9" i="55"/>
  <c r="K9" i="55"/>
  <c r="J9" i="55"/>
  <c r="I9" i="55"/>
  <c r="H9" i="55"/>
  <c r="G9" i="55"/>
  <c r="F9" i="55"/>
  <c r="E9" i="55"/>
  <c r="D9" i="55"/>
  <c r="C9" i="55"/>
  <c r="B9" i="55"/>
  <c r="H14" i="55" l="1"/>
  <c r="AA14" i="55"/>
  <c r="X14" i="55"/>
  <c r="D13" i="55"/>
  <c r="P12" i="55"/>
  <c r="T13" i="55"/>
  <c r="T12" i="55"/>
  <c r="X13" i="55"/>
  <c r="AB14" i="55"/>
  <c r="H12" i="55"/>
  <c r="X12" i="55"/>
  <c r="L13" i="55"/>
  <c r="AB13" i="55"/>
  <c r="P14" i="55"/>
  <c r="D12" i="55"/>
  <c r="H13" i="55"/>
  <c r="L14" i="55"/>
  <c r="L12" i="55"/>
  <c r="AB12" i="55"/>
  <c r="P13" i="55"/>
  <c r="D14" i="55"/>
  <c r="T14" i="55"/>
  <c r="AA11" i="55"/>
  <c r="AB11" i="55"/>
  <c r="H10" i="55"/>
  <c r="T10" i="55"/>
  <c r="D11" i="55"/>
  <c r="T11" i="55"/>
  <c r="E10" i="55"/>
  <c r="I10" i="55"/>
  <c r="M10" i="55"/>
  <c r="Q10" i="55"/>
  <c r="U10" i="55"/>
  <c r="Y10" i="55"/>
  <c r="AC10" i="55"/>
  <c r="E11" i="55"/>
  <c r="I11" i="55"/>
  <c r="M11" i="55"/>
  <c r="Q11" i="55"/>
  <c r="U11" i="55"/>
  <c r="Y11" i="55"/>
  <c r="AC11" i="55"/>
  <c r="L10" i="55"/>
  <c r="X10" i="55"/>
  <c r="H11" i="55"/>
  <c r="P11" i="55"/>
  <c r="B10" i="55"/>
  <c r="F10" i="55"/>
  <c r="J10" i="55"/>
  <c r="N10" i="55"/>
  <c r="R10" i="55"/>
  <c r="V10" i="55"/>
  <c r="Z10" i="55"/>
  <c r="B11" i="55"/>
  <c r="F11" i="55"/>
  <c r="J11" i="55"/>
  <c r="N11" i="55"/>
  <c r="R11" i="55"/>
  <c r="V11" i="55"/>
  <c r="Z11" i="55"/>
  <c r="D10" i="55"/>
  <c r="P10" i="55"/>
  <c r="AB10" i="55"/>
  <c r="L11" i="55"/>
  <c r="X11" i="55"/>
  <c r="C10" i="55"/>
  <c r="G10" i="55"/>
  <c r="K10" i="55"/>
  <c r="O10" i="55"/>
  <c r="S10" i="55"/>
  <c r="W10" i="55"/>
  <c r="AA10" i="55"/>
  <c r="C11" i="55"/>
  <c r="G11" i="55"/>
  <c r="K11" i="55"/>
  <c r="O11" i="55"/>
  <c r="S11" i="55"/>
  <c r="W11" i="55"/>
  <c r="E12" i="55"/>
  <c r="I12" i="55"/>
  <c r="M12" i="55"/>
  <c r="Q12" i="55"/>
  <c r="U12" i="55"/>
  <c r="Y12" i="55"/>
  <c r="AC12" i="55"/>
  <c r="E13" i="55"/>
  <c r="I13" i="55"/>
  <c r="M13" i="55"/>
  <c r="Q13" i="55"/>
  <c r="U13" i="55"/>
  <c r="Y13" i="55"/>
  <c r="AC13" i="55"/>
  <c r="E14" i="55"/>
  <c r="I14" i="55"/>
  <c r="M14" i="55"/>
  <c r="Q14" i="55"/>
  <c r="U14" i="55"/>
  <c r="Y14" i="55"/>
  <c r="AC14" i="55"/>
  <c r="B12" i="55"/>
  <c r="F12" i="55"/>
  <c r="J12" i="55"/>
  <c r="N12" i="55"/>
  <c r="R12" i="55"/>
  <c r="V12" i="55"/>
  <c r="Z12" i="55"/>
  <c r="B13" i="55"/>
  <c r="F13" i="55"/>
  <c r="J13" i="55"/>
  <c r="N13" i="55"/>
  <c r="R13" i="55"/>
  <c r="V13" i="55"/>
  <c r="Z13" i="55"/>
  <c r="B14" i="55"/>
  <c r="F14" i="55"/>
  <c r="J14" i="55"/>
  <c r="N14" i="55"/>
  <c r="R14" i="55"/>
  <c r="V14" i="55"/>
  <c r="Z14" i="55"/>
  <c r="C12" i="55"/>
  <c r="G12" i="55"/>
  <c r="K12" i="55"/>
  <c r="O12" i="55"/>
  <c r="S12" i="55"/>
  <c r="W12" i="55"/>
  <c r="AA12" i="55"/>
  <c r="C13" i="55"/>
  <c r="G13" i="55"/>
  <c r="K13" i="55"/>
  <c r="O13" i="55"/>
  <c r="S13" i="55"/>
  <c r="W13" i="55"/>
  <c r="AA13" i="55"/>
  <c r="C14" i="55"/>
  <c r="G14" i="55"/>
  <c r="K14" i="55"/>
  <c r="O14" i="55"/>
  <c r="S14" i="55"/>
  <c r="W14" i="55"/>
  <c r="AH59" i="67"/>
  <c r="AG59" i="67"/>
  <c r="AH58" i="67"/>
  <c r="AG58" i="67"/>
  <c r="AH57" i="67"/>
  <c r="AG57" i="67"/>
  <c r="AH56" i="67"/>
  <c r="AG56" i="67"/>
  <c r="AH55" i="67"/>
  <c r="AG55" i="67"/>
  <c r="AH54" i="67"/>
  <c r="AG54" i="67"/>
  <c r="AH53" i="67"/>
  <c r="AG53" i="67"/>
  <c r="AH52" i="67"/>
  <c r="AG52" i="67"/>
  <c r="AH51" i="67"/>
  <c r="AG51" i="67"/>
  <c r="AH50" i="67"/>
  <c r="AG50" i="67"/>
  <c r="AH49" i="67"/>
  <c r="AG49" i="67"/>
  <c r="AH48" i="67"/>
  <c r="AG48" i="67"/>
  <c r="AH47" i="67"/>
  <c r="AG47" i="67"/>
  <c r="AH46" i="67"/>
  <c r="AG46" i="67"/>
  <c r="AH45" i="67"/>
  <c r="AG45" i="67"/>
  <c r="AH44" i="67"/>
  <c r="AG44" i="67"/>
  <c r="AH43" i="67"/>
  <c r="AG43" i="67"/>
  <c r="AH42" i="67"/>
  <c r="AG42" i="67"/>
  <c r="AH41" i="67"/>
  <c r="AG41" i="67"/>
  <c r="AH40" i="67"/>
  <c r="AG40" i="67"/>
  <c r="AH39" i="67"/>
  <c r="AG39" i="67"/>
  <c r="AH38" i="67"/>
  <c r="AG38" i="67"/>
  <c r="AH37" i="67"/>
  <c r="AG37" i="67"/>
  <c r="AH36" i="67"/>
  <c r="AG36" i="67"/>
  <c r="AH35" i="67"/>
  <c r="AG35" i="67"/>
  <c r="AH34" i="67"/>
  <c r="AG34" i="67"/>
  <c r="AH33" i="67"/>
  <c r="AG33" i="67"/>
  <c r="AH32" i="67"/>
  <c r="AG32" i="67"/>
  <c r="AH31" i="67"/>
  <c r="AG31" i="67"/>
  <c r="AH30" i="67"/>
  <c r="AG30" i="67"/>
  <c r="AH29" i="67"/>
  <c r="AG29" i="67"/>
  <c r="AH28" i="67"/>
  <c r="AG28" i="67"/>
  <c r="AH27" i="67"/>
  <c r="AG27" i="67"/>
  <c r="AH26" i="67"/>
  <c r="AG26" i="67"/>
  <c r="AH25" i="67"/>
  <c r="AG25" i="67"/>
  <c r="AH24" i="67"/>
  <c r="AG24" i="67"/>
  <c r="AH23" i="67"/>
  <c r="AG23" i="67"/>
  <c r="AH22" i="67"/>
  <c r="AG22" i="67"/>
  <c r="AH21" i="67"/>
  <c r="AG21" i="67"/>
  <c r="AH20" i="67"/>
  <c r="AG20" i="67"/>
  <c r="AH19" i="67"/>
  <c r="AG19" i="67"/>
  <c r="AH18" i="67"/>
  <c r="AG18" i="67"/>
  <c r="AH17" i="67"/>
  <c r="AG17" i="67"/>
  <c r="AH16" i="67"/>
  <c r="AG16" i="67"/>
  <c r="AH15" i="67"/>
  <c r="AG15" i="67"/>
  <c r="Z14" i="67"/>
  <c r="AC9" i="67"/>
  <c r="AB9" i="67"/>
  <c r="AA9" i="67"/>
  <c r="Z9" i="67"/>
  <c r="Y9" i="67"/>
  <c r="AH9" i="67" s="1"/>
  <c r="X9" i="67"/>
  <c r="W9" i="67"/>
  <c r="V9" i="67"/>
  <c r="U9" i="67"/>
  <c r="T9" i="67"/>
  <c r="S9" i="67"/>
  <c r="R9" i="67"/>
  <c r="AG9" i="67" s="1"/>
  <c r="Q9" i="67"/>
  <c r="P9" i="67"/>
  <c r="O9" i="67"/>
  <c r="N9" i="67"/>
  <c r="M9" i="67"/>
  <c r="L9" i="67"/>
  <c r="K9" i="67"/>
  <c r="J9" i="67"/>
  <c r="I9" i="67"/>
  <c r="H9" i="67"/>
  <c r="G9" i="67"/>
  <c r="F9" i="67"/>
  <c r="E9" i="67"/>
  <c r="D9" i="67"/>
  <c r="C9" i="67"/>
  <c r="B9" i="67"/>
  <c r="AB11" i="67" l="1"/>
  <c r="Y10" i="67"/>
  <c r="F11" i="67"/>
  <c r="D10" i="67"/>
  <c r="R11" i="67"/>
  <c r="M10" i="67"/>
  <c r="AA11" i="67"/>
  <c r="O10" i="67"/>
  <c r="G11" i="67"/>
  <c r="AC11" i="67"/>
  <c r="C10" i="67"/>
  <c r="X10" i="67"/>
  <c r="Q11" i="67"/>
  <c r="W12" i="67"/>
  <c r="B13" i="67"/>
  <c r="G14" i="67"/>
  <c r="V11" i="67"/>
  <c r="Z13" i="67"/>
  <c r="H10" i="67"/>
  <c r="S10" i="67"/>
  <c r="AC10" i="67"/>
  <c r="K11" i="67"/>
  <c r="G12" i="67"/>
  <c r="J13" i="67"/>
  <c r="O14" i="67"/>
  <c r="I10" i="67"/>
  <c r="T10" i="67"/>
  <c r="B11" i="67"/>
  <c r="M11" i="67"/>
  <c r="W11" i="67"/>
  <c r="O12" i="67"/>
  <c r="R13" i="67"/>
  <c r="W14" i="67"/>
  <c r="H12" i="67"/>
  <c r="E10" i="67"/>
  <c r="K10" i="67"/>
  <c r="P10" i="67"/>
  <c r="U10" i="67"/>
  <c r="AA10" i="67"/>
  <c r="C11" i="67"/>
  <c r="I11" i="67"/>
  <c r="N11" i="67"/>
  <c r="S11" i="67"/>
  <c r="Y11" i="67"/>
  <c r="C12" i="67"/>
  <c r="K12" i="67"/>
  <c r="S12" i="67"/>
  <c r="AA12" i="67"/>
  <c r="F13" i="67"/>
  <c r="N13" i="67"/>
  <c r="V13" i="67"/>
  <c r="C14" i="67"/>
  <c r="K14" i="67"/>
  <c r="S14" i="67"/>
  <c r="AA14" i="67"/>
  <c r="P12" i="67"/>
  <c r="X12" i="67"/>
  <c r="E13" i="67"/>
  <c r="M13" i="67"/>
  <c r="U13" i="67"/>
  <c r="AC13" i="67"/>
  <c r="H14" i="67"/>
  <c r="P14" i="67"/>
  <c r="X14" i="67"/>
  <c r="G10" i="67"/>
  <c r="L10" i="67"/>
  <c r="Q10" i="67"/>
  <c r="W10" i="67"/>
  <c r="AB10" i="67"/>
  <c r="E11" i="67"/>
  <c r="J11" i="67"/>
  <c r="O11" i="67"/>
  <c r="U11" i="67"/>
  <c r="Z11" i="67"/>
  <c r="D12" i="67"/>
  <c r="L12" i="67"/>
  <c r="T12" i="67"/>
  <c r="AB12" i="67"/>
  <c r="I13" i="67"/>
  <c r="Q13" i="67"/>
  <c r="Y13" i="67"/>
  <c r="D14" i="67"/>
  <c r="L14" i="67"/>
  <c r="T14" i="67"/>
  <c r="AB14" i="67"/>
  <c r="E12" i="67"/>
  <c r="M12" i="67"/>
  <c r="U12" i="67"/>
  <c r="AC12" i="67"/>
  <c r="K13" i="67"/>
  <c r="S13" i="67"/>
  <c r="AC14" i="67"/>
  <c r="I12" i="67"/>
  <c r="Q12" i="67"/>
  <c r="Y12" i="67"/>
  <c r="C13" i="67"/>
  <c r="G13" i="67"/>
  <c r="O13" i="67"/>
  <c r="W13" i="67"/>
  <c r="AA13" i="67"/>
  <c r="E14" i="67"/>
  <c r="I14" i="67"/>
  <c r="M14" i="67"/>
  <c r="Q14" i="67"/>
  <c r="U14" i="67"/>
  <c r="Y14" i="67"/>
  <c r="B10" i="67"/>
  <c r="F10" i="67"/>
  <c r="J10" i="67"/>
  <c r="N10" i="67"/>
  <c r="R10" i="67"/>
  <c r="V10" i="67"/>
  <c r="Z10" i="67"/>
  <c r="D11" i="67"/>
  <c r="H11" i="67"/>
  <c r="L11" i="67"/>
  <c r="P11" i="67"/>
  <c r="T11" i="67"/>
  <c r="X11" i="67"/>
  <c r="B12" i="67"/>
  <c r="F12" i="67"/>
  <c r="J12" i="67"/>
  <c r="N12" i="67"/>
  <c r="R12" i="67"/>
  <c r="V12" i="67"/>
  <c r="Z12" i="67"/>
  <c r="D13" i="67"/>
  <c r="H13" i="67"/>
  <c r="L13" i="67"/>
  <c r="P13" i="67"/>
  <c r="T13" i="67"/>
  <c r="X13" i="67"/>
  <c r="AB13" i="67"/>
  <c r="B14" i="67"/>
  <c r="F14" i="67"/>
  <c r="J14" i="67"/>
  <c r="N14" i="67"/>
  <c r="R14" i="67"/>
  <c r="V14" i="67"/>
  <c r="A4" i="68"/>
  <c r="AH13" i="67" l="1"/>
  <c r="AG12" i="67"/>
  <c r="AH11" i="67"/>
  <c r="AG13" i="67"/>
  <c r="AG11" i="67"/>
  <c r="AG10" i="67"/>
  <c r="AG14" i="67"/>
  <c r="AH14" i="67"/>
  <c r="AH12" i="67"/>
  <c r="AH10" i="67"/>
  <c r="F8" i="53"/>
  <c r="G8" i="53"/>
  <c r="F9" i="53"/>
  <c r="G9" i="53"/>
  <c r="H9" i="53" s="1"/>
  <c r="F10" i="53"/>
  <c r="G10" i="53"/>
  <c r="F11" i="53"/>
  <c r="G11" i="53"/>
  <c r="H11" i="53" s="1"/>
  <c r="F12" i="53"/>
  <c r="G12" i="53"/>
  <c r="F13" i="53"/>
  <c r="G13" i="53"/>
  <c r="H13" i="53" s="1"/>
  <c r="F14" i="53"/>
  <c r="G14" i="53"/>
  <c r="F15" i="53"/>
  <c r="G15" i="53"/>
  <c r="H15" i="53" s="1"/>
  <c r="F16" i="53"/>
  <c r="G16" i="53"/>
  <c r="F17" i="53"/>
  <c r="G17" i="53"/>
  <c r="H17" i="53" s="1"/>
  <c r="F18" i="53"/>
  <c r="G18" i="53"/>
  <c r="F19" i="53"/>
  <c r="G19" i="53"/>
  <c r="H19" i="53" s="1"/>
  <c r="F20" i="53"/>
  <c r="G20" i="53"/>
  <c r="F21" i="53"/>
  <c r="G21" i="53"/>
  <c r="H21" i="53" s="1"/>
  <c r="F22" i="53"/>
  <c r="G22" i="53"/>
  <c r="F23" i="53"/>
  <c r="G23" i="53"/>
  <c r="H23" i="53" s="1"/>
  <c r="F24" i="53"/>
  <c r="G24" i="53"/>
  <c r="F25" i="53"/>
  <c r="G25" i="53"/>
  <c r="H25" i="53" s="1"/>
  <c r="F26" i="53"/>
  <c r="G26" i="53"/>
  <c r="F27" i="53"/>
  <c r="G27" i="53"/>
  <c r="H27" i="53" s="1"/>
  <c r="F28" i="53"/>
  <c r="G28" i="53"/>
  <c r="F29" i="53"/>
  <c r="G29" i="53"/>
  <c r="H29" i="53" s="1"/>
  <c r="F30" i="53"/>
  <c r="G30" i="53"/>
  <c r="F31" i="53"/>
  <c r="G31" i="53"/>
  <c r="H31" i="53" s="1"/>
  <c r="F32" i="53"/>
  <c r="G32" i="53"/>
  <c r="F33" i="53"/>
  <c r="G33" i="53"/>
  <c r="H33" i="53" s="1"/>
  <c r="F34" i="53"/>
  <c r="G34" i="53"/>
  <c r="F35" i="53"/>
  <c r="G35" i="53"/>
  <c r="H35" i="53" s="1"/>
  <c r="F36" i="53"/>
  <c r="G36" i="53"/>
  <c r="F37" i="53"/>
  <c r="G37" i="53"/>
  <c r="H37" i="53" s="1"/>
  <c r="F38" i="53"/>
  <c r="G38" i="53"/>
  <c r="F39" i="53"/>
  <c r="G39" i="53"/>
  <c r="H39" i="53" s="1"/>
  <c r="F40" i="53"/>
  <c r="G40" i="53"/>
  <c r="F41" i="53"/>
  <c r="G41" i="53"/>
  <c r="H41" i="53" s="1"/>
  <c r="F42" i="53"/>
  <c r="G42" i="53"/>
  <c r="F43" i="53"/>
  <c r="G43" i="53"/>
  <c r="H43" i="53" s="1"/>
  <c r="F44" i="53"/>
  <c r="G44" i="53"/>
  <c r="F45" i="53"/>
  <c r="G45" i="53"/>
  <c r="F46" i="53"/>
  <c r="G46" i="53"/>
  <c r="F47" i="53"/>
  <c r="G47" i="53"/>
  <c r="H47" i="53" s="1"/>
  <c r="F48" i="53"/>
  <c r="G48" i="53"/>
  <c r="F49" i="53"/>
  <c r="G49" i="53"/>
  <c r="H49" i="53" s="1"/>
  <c r="F50" i="53"/>
  <c r="G50" i="53"/>
  <c r="F51" i="53"/>
  <c r="G51" i="53"/>
  <c r="H51" i="53" s="1"/>
  <c r="F52" i="53"/>
  <c r="G52" i="53"/>
  <c r="B8" i="53"/>
  <c r="C8" i="53"/>
  <c r="B9" i="53"/>
  <c r="C9" i="53"/>
  <c r="B10" i="53"/>
  <c r="C10" i="53"/>
  <c r="B11" i="53"/>
  <c r="C11" i="53"/>
  <c r="B12" i="53"/>
  <c r="C12" i="53"/>
  <c r="B13" i="53"/>
  <c r="C13" i="53"/>
  <c r="B14" i="53"/>
  <c r="C14" i="53"/>
  <c r="B15" i="53"/>
  <c r="C15" i="53"/>
  <c r="B16" i="53"/>
  <c r="C16" i="53"/>
  <c r="B17" i="53"/>
  <c r="C17" i="53"/>
  <c r="B18" i="53"/>
  <c r="C18" i="53"/>
  <c r="B19" i="53"/>
  <c r="C19" i="53"/>
  <c r="B20" i="53"/>
  <c r="C20" i="53"/>
  <c r="B21" i="53"/>
  <c r="C21" i="53"/>
  <c r="B22" i="53"/>
  <c r="C22" i="53"/>
  <c r="B23" i="53"/>
  <c r="C23" i="53"/>
  <c r="B24" i="53"/>
  <c r="C24" i="53"/>
  <c r="B25" i="53"/>
  <c r="C25" i="53"/>
  <c r="B26" i="53"/>
  <c r="C26" i="53"/>
  <c r="B27" i="53"/>
  <c r="C27" i="53"/>
  <c r="B28" i="53"/>
  <c r="C28" i="53"/>
  <c r="B29" i="53"/>
  <c r="C29" i="53"/>
  <c r="B30" i="53"/>
  <c r="C30" i="53"/>
  <c r="B31" i="53"/>
  <c r="C31" i="53"/>
  <c r="B32" i="53"/>
  <c r="C32" i="53"/>
  <c r="B33" i="53"/>
  <c r="C33" i="53"/>
  <c r="B34" i="53"/>
  <c r="C34" i="53"/>
  <c r="B35" i="53"/>
  <c r="C35" i="53"/>
  <c r="B36" i="53"/>
  <c r="C36" i="53"/>
  <c r="B37" i="53"/>
  <c r="C37" i="53"/>
  <c r="B38" i="53"/>
  <c r="C38" i="53"/>
  <c r="B39" i="53"/>
  <c r="C39" i="53"/>
  <c r="B40" i="53"/>
  <c r="C40" i="53"/>
  <c r="B41" i="53"/>
  <c r="C41" i="53"/>
  <c r="B42" i="53"/>
  <c r="C42" i="53"/>
  <c r="B43" i="53"/>
  <c r="C43" i="53"/>
  <c r="B44" i="53"/>
  <c r="C44" i="53"/>
  <c r="B45" i="53"/>
  <c r="C45" i="53"/>
  <c r="B46" i="53"/>
  <c r="C46" i="53"/>
  <c r="B47" i="53"/>
  <c r="C47" i="53"/>
  <c r="B48" i="53"/>
  <c r="C48" i="53"/>
  <c r="B49" i="53"/>
  <c r="C49" i="53"/>
  <c r="B50" i="53"/>
  <c r="C50" i="53"/>
  <c r="B51" i="53"/>
  <c r="C51" i="53"/>
  <c r="B52" i="53"/>
  <c r="C52" i="53"/>
  <c r="J8" i="53"/>
  <c r="K8" i="53"/>
  <c r="J9" i="53"/>
  <c r="K9" i="53"/>
  <c r="J10" i="53"/>
  <c r="K10" i="53"/>
  <c r="J11" i="53"/>
  <c r="K11" i="53"/>
  <c r="J12" i="53"/>
  <c r="K12" i="53"/>
  <c r="J13" i="53"/>
  <c r="K13" i="53"/>
  <c r="J14" i="53"/>
  <c r="K14" i="53"/>
  <c r="J15" i="53"/>
  <c r="K15" i="53"/>
  <c r="J16" i="53"/>
  <c r="K16" i="53"/>
  <c r="J17" i="53"/>
  <c r="K17" i="53"/>
  <c r="J18" i="53"/>
  <c r="K18" i="53"/>
  <c r="J19" i="53"/>
  <c r="K19" i="53"/>
  <c r="J20" i="53"/>
  <c r="K20" i="53"/>
  <c r="J21" i="53"/>
  <c r="K21" i="53"/>
  <c r="J22" i="53"/>
  <c r="K22" i="53"/>
  <c r="J23" i="53"/>
  <c r="K23" i="53"/>
  <c r="J24" i="53"/>
  <c r="K24" i="53"/>
  <c r="J25" i="53"/>
  <c r="K25" i="53"/>
  <c r="J26" i="53"/>
  <c r="K26" i="53"/>
  <c r="J27" i="53"/>
  <c r="K27" i="53"/>
  <c r="J28" i="53"/>
  <c r="K28" i="53"/>
  <c r="J29" i="53"/>
  <c r="K29" i="53"/>
  <c r="J30" i="53"/>
  <c r="K30" i="53"/>
  <c r="J31" i="53"/>
  <c r="K31" i="53"/>
  <c r="J32" i="53"/>
  <c r="K32" i="53"/>
  <c r="J33" i="53"/>
  <c r="K33" i="53"/>
  <c r="J34" i="53"/>
  <c r="K34" i="53"/>
  <c r="J35" i="53"/>
  <c r="K35" i="53"/>
  <c r="J36" i="53"/>
  <c r="K36" i="53"/>
  <c r="J37" i="53"/>
  <c r="K37" i="53"/>
  <c r="J38" i="53"/>
  <c r="K38" i="53"/>
  <c r="J39" i="53"/>
  <c r="K39" i="53"/>
  <c r="J40" i="53"/>
  <c r="K40" i="53"/>
  <c r="J41" i="53"/>
  <c r="K41" i="53"/>
  <c r="J42" i="53"/>
  <c r="K42" i="53"/>
  <c r="J43" i="53"/>
  <c r="K43" i="53"/>
  <c r="J44" i="53"/>
  <c r="K44" i="53"/>
  <c r="J45" i="53"/>
  <c r="K45" i="53"/>
  <c r="J46" i="53"/>
  <c r="K46" i="53"/>
  <c r="J47" i="53"/>
  <c r="K47" i="53"/>
  <c r="J48" i="53"/>
  <c r="K48" i="53"/>
  <c r="J49" i="53"/>
  <c r="K49" i="53"/>
  <c r="J50" i="53"/>
  <c r="K50" i="53"/>
  <c r="J51" i="53"/>
  <c r="K51" i="53"/>
  <c r="J52" i="53"/>
  <c r="K52" i="53"/>
  <c r="H50" i="53" l="1"/>
  <c r="H46" i="53"/>
  <c r="H42" i="53"/>
  <c r="H38" i="53"/>
  <c r="H34" i="53"/>
  <c r="H30" i="53"/>
  <c r="H26" i="53"/>
  <c r="H22" i="53"/>
  <c r="H18" i="53"/>
  <c r="H14" i="53"/>
  <c r="H10" i="53"/>
  <c r="H45" i="53"/>
  <c r="H12" i="53"/>
  <c r="H52" i="53"/>
  <c r="H20" i="53"/>
  <c r="H36" i="53"/>
  <c r="H44" i="53"/>
  <c r="H28" i="53"/>
  <c r="H48" i="53"/>
  <c r="H40" i="53"/>
  <c r="H32" i="53"/>
  <c r="H24" i="53"/>
  <c r="H16" i="53"/>
  <c r="H8" i="53"/>
  <c r="A4" i="24"/>
  <c r="C2" i="53" l="1"/>
  <c r="J2" i="53"/>
  <c r="G2" i="53"/>
  <c r="K2" i="53"/>
  <c r="L59" i="66"/>
  <c r="K59" i="66"/>
  <c r="L56" i="66"/>
  <c r="K56" i="66"/>
  <c r="L55" i="66"/>
  <c r="K55" i="66"/>
  <c r="L54" i="66"/>
  <c r="K54" i="66"/>
  <c r="L53" i="66"/>
  <c r="K53" i="66"/>
  <c r="L52" i="66"/>
  <c r="K52" i="66"/>
  <c r="L51" i="66"/>
  <c r="K51" i="66"/>
  <c r="L50" i="66"/>
  <c r="K50" i="66"/>
  <c r="L49" i="66"/>
  <c r="K49" i="66"/>
  <c r="L48" i="66"/>
  <c r="K48" i="66"/>
  <c r="L47" i="66"/>
  <c r="K47" i="66"/>
  <c r="L46" i="66"/>
  <c r="K46" i="66"/>
  <c r="L45" i="66"/>
  <c r="K45" i="66"/>
  <c r="L44" i="66"/>
  <c r="K44" i="66"/>
  <c r="L43" i="66"/>
  <c r="K43" i="66"/>
  <c r="L42" i="66"/>
  <c r="K42" i="66"/>
  <c r="L41" i="66"/>
  <c r="K41" i="66"/>
  <c r="L40" i="66"/>
  <c r="K40" i="66"/>
  <c r="L39" i="66"/>
  <c r="K39" i="66"/>
  <c r="L38" i="66"/>
  <c r="K38" i="66"/>
  <c r="L37" i="66"/>
  <c r="K37" i="66"/>
  <c r="L36" i="66"/>
  <c r="K36" i="66"/>
  <c r="L35" i="66"/>
  <c r="K35" i="66"/>
  <c r="L34" i="66"/>
  <c r="K34" i="66"/>
  <c r="L33" i="66"/>
  <c r="K33" i="66"/>
  <c r="L32" i="66"/>
  <c r="K32" i="66"/>
  <c r="L31" i="66"/>
  <c r="K31" i="66"/>
  <c r="L30" i="66"/>
  <c r="K30" i="66"/>
  <c r="L29" i="66"/>
  <c r="K29" i="66"/>
  <c r="L28" i="66"/>
  <c r="K28" i="66"/>
  <c r="L27" i="66"/>
  <c r="K27" i="66"/>
  <c r="L26" i="66"/>
  <c r="K26" i="66"/>
  <c r="L25" i="66"/>
  <c r="K25" i="66"/>
  <c r="L24" i="66"/>
  <c r="K24" i="66"/>
  <c r="L23" i="66"/>
  <c r="K23" i="66"/>
  <c r="L22" i="66"/>
  <c r="K22" i="66"/>
  <c r="L21" i="66"/>
  <c r="K21" i="66"/>
  <c r="L20" i="66"/>
  <c r="K20" i="66"/>
  <c r="L19" i="66"/>
  <c r="K19" i="66"/>
  <c r="L18" i="66"/>
  <c r="K18" i="66"/>
  <c r="L17" i="66"/>
  <c r="K17" i="66"/>
  <c r="L16" i="66"/>
  <c r="K16" i="66"/>
  <c r="L15" i="66"/>
  <c r="K15" i="66"/>
  <c r="L14" i="66"/>
  <c r="K14" i="66"/>
  <c r="L13" i="66"/>
  <c r="K13" i="66"/>
  <c r="L12" i="66"/>
  <c r="K12" i="66"/>
  <c r="L59" i="65"/>
  <c r="K59" i="65"/>
  <c r="D6" i="65"/>
  <c r="C6" i="65"/>
  <c r="F6" i="65"/>
  <c r="L56" i="65"/>
  <c r="K56" i="65"/>
  <c r="L55" i="65"/>
  <c r="K55" i="65"/>
  <c r="L54" i="65"/>
  <c r="K54" i="65"/>
  <c r="L53" i="65"/>
  <c r="K53" i="65"/>
  <c r="L52" i="65"/>
  <c r="K52" i="65"/>
  <c r="L51" i="65"/>
  <c r="K51" i="65"/>
  <c r="L50" i="65"/>
  <c r="K50" i="65"/>
  <c r="L49" i="65"/>
  <c r="K49" i="65"/>
  <c r="L48" i="65"/>
  <c r="K48" i="65"/>
  <c r="L47" i="65"/>
  <c r="K47" i="65"/>
  <c r="L46" i="65"/>
  <c r="K46" i="65"/>
  <c r="L45" i="65"/>
  <c r="K45" i="65"/>
  <c r="L44" i="65"/>
  <c r="K44" i="65"/>
  <c r="L43" i="65"/>
  <c r="K43" i="65"/>
  <c r="L42" i="65"/>
  <c r="K42" i="65"/>
  <c r="L41" i="65"/>
  <c r="K41" i="65"/>
  <c r="L40" i="65"/>
  <c r="K40" i="65"/>
  <c r="L39" i="65"/>
  <c r="K39" i="65"/>
  <c r="L38" i="65"/>
  <c r="K38" i="65"/>
  <c r="L37" i="65"/>
  <c r="K37" i="65"/>
  <c r="L36" i="65"/>
  <c r="K36" i="65"/>
  <c r="L35" i="65"/>
  <c r="K35" i="65"/>
  <c r="L34" i="65"/>
  <c r="K34" i="65"/>
  <c r="L33" i="65"/>
  <c r="K33" i="65"/>
  <c r="L32" i="65"/>
  <c r="K32" i="65"/>
  <c r="L31" i="65"/>
  <c r="K31" i="65"/>
  <c r="L30" i="65"/>
  <c r="K30" i="65"/>
  <c r="L29" i="65"/>
  <c r="K29" i="65"/>
  <c r="L28" i="65"/>
  <c r="K28" i="65"/>
  <c r="L27" i="65"/>
  <c r="K27" i="65"/>
  <c r="L26" i="65"/>
  <c r="K26" i="65"/>
  <c r="L25" i="65"/>
  <c r="K25" i="65"/>
  <c r="L24" i="65"/>
  <c r="K24" i="65"/>
  <c r="L23" i="65"/>
  <c r="K23" i="65"/>
  <c r="L22" i="65"/>
  <c r="K22" i="65"/>
  <c r="L21" i="65"/>
  <c r="K21" i="65"/>
  <c r="L20" i="65"/>
  <c r="K20" i="65"/>
  <c r="L19" i="65"/>
  <c r="K19" i="65"/>
  <c r="L18" i="65"/>
  <c r="K18" i="65"/>
  <c r="L17" i="65"/>
  <c r="K17" i="65"/>
  <c r="L16" i="65"/>
  <c r="K16" i="65"/>
  <c r="L15" i="65"/>
  <c r="K15" i="65"/>
  <c r="L14" i="65"/>
  <c r="K14" i="65"/>
  <c r="L13" i="65"/>
  <c r="K13" i="65"/>
  <c r="L12" i="65"/>
  <c r="K12" i="65"/>
  <c r="J6" i="65"/>
  <c r="H6" i="65"/>
  <c r="E6" i="64"/>
  <c r="H6" i="64"/>
  <c r="L59" i="64"/>
  <c r="K59" i="64"/>
  <c r="L56" i="64"/>
  <c r="K56" i="64"/>
  <c r="L55" i="64"/>
  <c r="K55" i="64"/>
  <c r="L54" i="64"/>
  <c r="K54" i="64"/>
  <c r="L53" i="64"/>
  <c r="K53" i="64"/>
  <c r="L52" i="64"/>
  <c r="K52" i="64"/>
  <c r="L51" i="64"/>
  <c r="K51" i="64"/>
  <c r="L50" i="64"/>
  <c r="K50" i="64"/>
  <c r="L49" i="64"/>
  <c r="K49" i="64"/>
  <c r="L48" i="64"/>
  <c r="K48" i="64"/>
  <c r="L47" i="64"/>
  <c r="K47" i="64"/>
  <c r="L46" i="64"/>
  <c r="K46" i="64"/>
  <c r="L45" i="64"/>
  <c r="K45" i="64"/>
  <c r="L44" i="64"/>
  <c r="K44" i="64"/>
  <c r="L43" i="64"/>
  <c r="K43" i="64"/>
  <c r="L42" i="64"/>
  <c r="K42" i="64"/>
  <c r="L41" i="64"/>
  <c r="K41" i="64"/>
  <c r="L40" i="64"/>
  <c r="K40" i="64"/>
  <c r="L39" i="64"/>
  <c r="K39" i="64"/>
  <c r="L38" i="64"/>
  <c r="K38" i="64"/>
  <c r="L37" i="64"/>
  <c r="K37" i="64"/>
  <c r="L36" i="64"/>
  <c r="K36" i="64"/>
  <c r="L35" i="64"/>
  <c r="K35" i="64"/>
  <c r="L34" i="64"/>
  <c r="K34" i="64"/>
  <c r="L33" i="64"/>
  <c r="K33" i="64"/>
  <c r="L32" i="64"/>
  <c r="K32" i="64"/>
  <c r="L31" i="64"/>
  <c r="K31" i="64"/>
  <c r="L30" i="64"/>
  <c r="K30" i="64"/>
  <c r="L29" i="64"/>
  <c r="K29" i="64"/>
  <c r="L28" i="64"/>
  <c r="K28" i="64"/>
  <c r="L27" i="64"/>
  <c r="K27" i="64"/>
  <c r="L26" i="64"/>
  <c r="K26" i="64"/>
  <c r="L25" i="64"/>
  <c r="K25" i="64"/>
  <c r="L24" i="64"/>
  <c r="K24" i="64"/>
  <c r="L23" i="64"/>
  <c r="K23" i="64"/>
  <c r="L22" i="64"/>
  <c r="K22" i="64"/>
  <c r="L21" i="64"/>
  <c r="K21" i="64"/>
  <c r="L20" i="64"/>
  <c r="K20" i="64"/>
  <c r="L19" i="64"/>
  <c r="K19" i="64"/>
  <c r="L18" i="64"/>
  <c r="K18" i="64"/>
  <c r="L17" i="64"/>
  <c r="K17" i="64"/>
  <c r="L16" i="64"/>
  <c r="K16" i="64"/>
  <c r="L15" i="64"/>
  <c r="K15" i="64"/>
  <c r="L14" i="64"/>
  <c r="K14" i="64"/>
  <c r="L13" i="64"/>
  <c r="K13" i="64"/>
  <c r="L12" i="64"/>
  <c r="K12" i="64"/>
  <c r="J6" i="64"/>
  <c r="I6" i="64"/>
  <c r="F6" i="64"/>
  <c r="C6" i="64"/>
  <c r="L60" i="63"/>
  <c r="K60" i="63"/>
  <c r="L59" i="63"/>
  <c r="K59" i="63"/>
  <c r="L61" i="62"/>
  <c r="K61" i="62"/>
  <c r="L60" i="62"/>
  <c r="K60" i="62"/>
  <c r="L59" i="62"/>
  <c r="K59" i="62"/>
  <c r="L56" i="63"/>
  <c r="K56" i="63"/>
  <c r="L55" i="63"/>
  <c r="K55" i="63"/>
  <c r="L54" i="63"/>
  <c r="K54" i="63"/>
  <c r="L53" i="63"/>
  <c r="K53" i="63"/>
  <c r="L52" i="63"/>
  <c r="K52" i="63"/>
  <c r="L51" i="63"/>
  <c r="K51" i="63"/>
  <c r="L50" i="63"/>
  <c r="K50" i="63"/>
  <c r="L49" i="63"/>
  <c r="K49" i="63"/>
  <c r="L48" i="63"/>
  <c r="K48" i="63"/>
  <c r="L47" i="63"/>
  <c r="K47" i="63"/>
  <c r="L46" i="63"/>
  <c r="K46" i="63"/>
  <c r="L45" i="63"/>
  <c r="K45" i="63"/>
  <c r="L44" i="63"/>
  <c r="K44" i="63"/>
  <c r="L43" i="63"/>
  <c r="K43" i="63"/>
  <c r="L42" i="63"/>
  <c r="K42" i="63"/>
  <c r="L41" i="63"/>
  <c r="K41" i="63"/>
  <c r="L40" i="63"/>
  <c r="K40" i="63"/>
  <c r="L39" i="63"/>
  <c r="K39" i="63"/>
  <c r="L38" i="63"/>
  <c r="K38" i="63"/>
  <c r="L37" i="63"/>
  <c r="K37" i="63"/>
  <c r="L36" i="63"/>
  <c r="K36" i="63"/>
  <c r="L35" i="63"/>
  <c r="K35" i="63"/>
  <c r="L34" i="63"/>
  <c r="K34" i="63"/>
  <c r="L33" i="63"/>
  <c r="K33" i="63"/>
  <c r="L32" i="63"/>
  <c r="K32" i="63"/>
  <c r="L31" i="63"/>
  <c r="K31" i="63"/>
  <c r="L30" i="63"/>
  <c r="K30" i="63"/>
  <c r="L29" i="63"/>
  <c r="K29" i="63"/>
  <c r="L28" i="63"/>
  <c r="K28" i="63"/>
  <c r="L27" i="63"/>
  <c r="K27" i="63"/>
  <c r="L26" i="63"/>
  <c r="K26" i="63"/>
  <c r="L25" i="63"/>
  <c r="K25" i="63"/>
  <c r="L24" i="63"/>
  <c r="K24" i="63"/>
  <c r="L23" i="63"/>
  <c r="K23" i="63"/>
  <c r="L22" i="63"/>
  <c r="K22" i="63"/>
  <c r="L21" i="63"/>
  <c r="K21" i="63"/>
  <c r="L20" i="63"/>
  <c r="K20" i="63"/>
  <c r="L19" i="63"/>
  <c r="K19" i="63"/>
  <c r="L18" i="63"/>
  <c r="K18" i="63"/>
  <c r="L17" i="63"/>
  <c r="K17" i="63"/>
  <c r="L16" i="63"/>
  <c r="K16" i="63"/>
  <c r="L15" i="63"/>
  <c r="K15" i="63"/>
  <c r="L14" i="63"/>
  <c r="K14" i="63"/>
  <c r="L13" i="63"/>
  <c r="K13" i="63"/>
  <c r="L12" i="63"/>
  <c r="K12" i="63"/>
  <c r="C6" i="63"/>
  <c r="G6" i="62"/>
  <c r="L56" i="62"/>
  <c r="K56" i="62"/>
  <c r="L55" i="62"/>
  <c r="K55" i="62"/>
  <c r="L54" i="62"/>
  <c r="K54" i="62"/>
  <c r="L53" i="62"/>
  <c r="K53" i="62"/>
  <c r="L52" i="62"/>
  <c r="K52" i="62"/>
  <c r="L51" i="62"/>
  <c r="K51" i="62"/>
  <c r="L50" i="62"/>
  <c r="K50" i="62"/>
  <c r="L49" i="62"/>
  <c r="K49" i="62"/>
  <c r="L48" i="62"/>
  <c r="K48" i="62"/>
  <c r="L47" i="62"/>
  <c r="K47" i="62"/>
  <c r="L46" i="62"/>
  <c r="K46" i="62"/>
  <c r="L45" i="62"/>
  <c r="K45" i="62"/>
  <c r="L44" i="62"/>
  <c r="K44" i="62"/>
  <c r="L43" i="62"/>
  <c r="K43" i="62"/>
  <c r="L42" i="62"/>
  <c r="K42" i="62"/>
  <c r="L41" i="62"/>
  <c r="K41" i="62"/>
  <c r="L40" i="62"/>
  <c r="K40" i="62"/>
  <c r="L39" i="62"/>
  <c r="K39" i="62"/>
  <c r="L38" i="62"/>
  <c r="K38" i="62"/>
  <c r="L37" i="62"/>
  <c r="K37" i="62"/>
  <c r="L36" i="62"/>
  <c r="K36" i="62"/>
  <c r="L35" i="62"/>
  <c r="K35" i="62"/>
  <c r="L34" i="62"/>
  <c r="K34" i="62"/>
  <c r="L33" i="62"/>
  <c r="K33" i="62"/>
  <c r="L32" i="62"/>
  <c r="K32" i="62"/>
  <c r="L31" i="62"/>
  <c r="K31" i="62"/>
  <c r="L30" i="62"/>
  <c r="K30" i="62"/>
  <c r="L29" i="62"/>
  <c r="K29" i="62"/>
  <c r="L28" i="62"/>
  <c r="K28" i="62"/>
  <c r="L27" i="62"/>
  <c r="K27" i="62"/>
  <c r="L26" i="62"/>
  <c r="K26" i="62"/>
  <c r="L25" i="62"/>
  <c r="K25" i="62"/>
  <c r="L24" i="62"/>
  <c r="K24" i="62"/>
  <c r="L23" i="62"/>
  <c r="K23" i="62"/>
  <c r="L22" i="62"/>
  <c r="K22" i="62"/>
  <c r="L21" i="62"/>
  <c r="K21" i="62"/>
  <c r="L20" i="62"/>
  <c r="K20" i="62"/>
  <c r="L19" i="62"/>
  <c r="K19" i="62"/>
  <c r="L18" i="62"/>
  <c r="K18" i="62"/>
  <c r="L17" i="62"/>
  <c r="K17" i="62"/>
  <c r="L16" i="62"/>
  <c r="K16" i="62"/>
  <c r="L15" i="62"/>
  <c r="K15" i="62"/>
  <c r="L14" i="62"/>
  <c r="K14" i="62"/>
  <c r="L13" i="62"/>
  <c r="K13" i="62"/>
  <c r="L12" i="62"/>
  <c r="K12" i="62"/>
  <c r="J11" i="66" l="1"/>
  <c r="F11" i="66"/>
  <c r="J10" i="66"/>
  <c r="F10" i="66"/>
  <c r="J9" i="66"/>
  <c r="F9" i="66"/>
  <c r="D9" i="66"/>
  <c r="C11" i="66"/>
  <c r="C10" i="66"/>
  <c r="C9" i="66"/>
  <c r="I11" i="66"/>
  <c r="E11" i="66"/>
  <c r="I10" i="66"/>
  <c r="E10" i="66"/>
  <c r="I9" i="66"/>
  <c r="E9" i="66"/>
  <c r="H11" i="66"/>
  <c r="D11" i="66"/>
  <c r="H10" i="66"/>
  <c r="D10" i="66"/>
  <c r="H9" i="66"/>
  <c r="G11" i="66"/>
  <c r="G10" i="66"/>
  <c r="G9" i="66"/>
  <c r="J8" i="66"/>
  <c r="F8" i="66"/>
  <c r="J7" i="66"/>
  <c r="F7" i="66"/>
  <c r="D8" i="66"/>
  <c r="D7" i="66"/>
  <c r="C8" i="66"/>
  <c r="C7" i="66"/>
  <c r="I8" i="66"/>
  <c r="E8" i="66"/>
  <c r="I7" i="66"/>
  <c r="E7" i="66"/>
  <c r="H8" i="66"/>
  <c r="H7" i="66"/>
  <c r="G8" i="66"/>
  <c r="G7" i="66"/>
  <c r="E8" i="65"/>
  <c r="C7" i="53"/>
  <c r="J7" i="53"/>
  <c r="G4" i="53"/>
  <c r="K4" i="53"/>
  <c r="C3" i="53"/>
  <c r="J3" i="53"/>
  <c r="G5" i="53"/>
  <c r="K5" i="53"/>
  <c r="J4" i="53"/>
  <c r="C4" i="53"/>
  <c r="K7" i="53"/>
  <c r="G7" i="53"/>
  <c r="J6" i="53"/>
  <c r="C6" i="53"/>
  <c r="G3" i="53"/>
  <c r="K3" i="53"/>
  <c r="G6" i="53"/>
  <c r="K6" i="53"/>
  <c r="C5" i="53"/>
  <c r="J5" i="53"/>
  <c r="C9" i="65"/>
  <c r="G7" i="65"/>
  <c r="C7" i="63"/>
  <c r="I10" i="63"/>
  <c r="E11" i="64"/>
  <c r="J8" i="65"/>
  <c r="I8" i="65"/>
  <c r="C7" i="65"/>
  <c r="H7" i="65"/>
  <c r="F8" i="65"/>
  <c r="J11" i="65"/>
  <c r="G11" i="65"/>
  <c r="E7" i="65"/>
  <c r="G6" i="65"/>
  <c r="D7" i="65"/>
  <c r="C8" i="65"/>
  <c r="G8" i="65"/>
  <c r="F7" i="65"/>
  <c r="D8" i="65"/>
  <c r="I7" i="65"/>
  <c r="J7" i="65"/>
  <c r="H8" i="65"/>
  <c r="E6" i="65"/>
  <c r="I6" i="65"/>
  <c r="G9" i="65"/>
  <c r="C10" i="65"/>
  <c r="G10" i="65"/>
  <c r="C11" i="65"/>
  <c r="D9" i="65"/>
  <c r="H9" i="65"/>
  <c r="D10" i="65"/>
  <c r="H10" i="65"/>
  <c r="D11" i="65"/>
  <c r="H11" i="65"/>
  <c r="E9" i="65"/>
  <c r="I9" i="65"/>
  <c r="E10" i="65"/>
  <c r="I10" i="65"/>
  <c r="E11" i="65"/>
  <c r="I11" i="65"/>
  <c r="F9" i="65"/>
  <c r="J9" i="65"/>
  <c r="F10" i="65"/>
  <c r="J10" i="65"/>
  <c r="F11" i="65"/>
  <c r="E8" i="64"/>
  <c r="E9" i="64"/>
  <c r="G8" i="64"/>
  <c r="I7" i="64"/>
  <c r="G6" i="64"/>
  <c r="D7" i="64"/>
  <c r="C7" i="64"/>
  <c r="H8" i="64"/>
  <c r="E7" i="64"/>
  <c r="D8" i="64"/>
  <c r="I8" i="64"/>
  <c r="J8" i="64"/>
  <c r="C8" i="64"/>
  <c r="G7" i="64"/>
  <c r="H11" i="64"/>
  <c r="I10" i="64"/>
  <c r="H7" i="64"/>
  <c r="D6" i="64"/>
  <c r="I9" i="64"/>
  <c r="I11" i="64"/>
  <c r="E10" i="64"/>
  <c r="J11" i="64"/>
  <c r="F7" i="64"/>
  <c r="J7" i="64"/>
  <c r="F8" i="64"/>
  <c r="F9" i="64"/>
  <c r="J9" i="64"/>
  <c r="F10" i="64"/>
  <c r="J10" i="64"/>
  <c r="F11" i="64"/>
  <c r="C9" i="64"/>
  <c r="G9" i="64"/>
  <c r="C10" i="64"/>
  <c r="G10" i="64"/>
  <c r="C11" i="64"/>
  <c r="G11" i="64"/>
  <c r="D9" i="64"/>
  <c r="H9" i="64"/>
  <c r="D10" i="64"/>
  <c r="H10" i="64"/>
  <c r="D11" i="64"/>
  <c r="C9" i="63"/>
  <c r="H10" i="63"/>
  <c r="D11" i="63"/>
  <c r="G11" i="63"/>
  <c r="F6" i="63"/>
  <c r="G8" i="63"/>
  <c r="I6" i="63"/>
  <c r="J6" i="63"/>
  <c r="C8" i="63"/>
  <c r="D10" i="63"/>
  <c r="C11" i="63"/>
  <c r="J11" i="63"/>
  <c r="C10" i="63"/>
  <c r="H11" i="63"/>
  <c r="G10" i="63"/>
  <c r="J8" i="63"/>
  <c r="G7" i="63"/>
  <c r="H7" i="63"/>
  <c r="I11" i="63"/>
  <c r="E11" i="63"/>
  <c r="I9" i="63"/>
  <c r="E9" i="63"/>
  <c r="E10" i="63"/>
  <c r="E6" i="63"/>
  <c r="G6" i="63"/>
  <c r="D7" i="63"/>
  <c r="D9" i="63"/>
  <c r="H9" i="63"/>
  <c r="H8" i="63"/>
  <c r="G9" i="63"/>
  <c r="D6" i="63"/>
  <c r="H6" i="63"/>
  <c r="E7" i="62"/>
  <c r="D8" i="63"/>
  <c r="E7" i="63"/>
  <c r="I7" i="63"/>
  <c r="E8" i="63"/>
  <c r="I8" i="63"/>
  <c r="F7" i="63"/>
  <c r="J7" i="63"/>
  <c r="F8" i="63"/>
  <c r="F9" i="63"/>
  <c r="J9" i="63"/>
  <c r="F10" i="63"/>
  <c r="J10" i="63"/>
  <c r="F11" i="63"/>
  <c r="G8" i="62"/>
  <c r="E8" i="62"/>
  <c r="I6" i="62"/>
  <c r="I7" i="62"/>
  <c r="H11" i="62"/>
  <c r="D6" i="62"/>
  <c r="E6" i="62"/>
  <c r="D7" i="62"/>
  <c r="G7" i="62"/>
  <c r="J8" i="62"/>
  <c r="F8" i="62"/>
  <c r="J7" i="62"/>
  <c r="F6" i="62"/>
  <c r="I11" i="62"/>
  <c r="C7" i="62"/>
  <c r="H7" i="62"/>
  <c r="C8" i="62"/>
  <c r="H8" i="62"/>
  <c r="D8" i="62"/>
  <c r="I8" i="62"/>
  <c r="E9" i="62"/>
  <c r="F7" i="62"/>
  <c r="J6" i="62"/>
  <c r="H6" i="62"/>
  <c r="C6" i="62"/>
  <c r="F9" i="62"/>
  <c r="J9" i="62"/>
  <c r="F10" i="62"/>
  <c r="J10" i="62"/>
  <c r="F11" i="62"/>
  <c r="J11" i="62"/>
  <c r="E10" i="62"/>
  <c r="E11" i="62"/>
  <c r="C11" i="62"/>
  <c r="G11" i="62"/>
  <c r="I9" i="62"/>
  <c r="I10" i="62"/>
  <c r="C9" i="62"/>
  <c r="G9" i="62"/>
  <c r="C10" i="62"/>
  <c r="G10" i="62"/>
  <c r="D9" i="62"/>
  <c r="H9" i="62"/>
  <c r="D10" i="62"/>
  <c r="H10" i="62"/>
  <c r="D11" i="62"/>
  <c r="J6" i="61" l="1"/>
  <c r="I6" i="61"/>
  <c r="H6" i="61"/>
  <c r="G6" i="61"/>
  <c r="F6" i="61"/>
  <c r="E6" i="61"/>
  <c r="D6" i="61"/>
  <c r="C6" i="61"/>
  <c r="L60" i="61"/>
  <c r="K60" i="61"/>
  <c r="L59" i="61"/>
  <c r="K59" i="61"/>
  <c r="L56" i="61"/>
  <c r="K56" i="61"/>
  <c r="L55" i="61"/>
  <c r="K55" i="61"/>
  <c r="L54" i="61"/>
  <c r="K54" i="61"/>
  <c r="L53" i="61"/>
  <c r="K53" i="61"/>
  <c r="L52" i="61"/>
  <c r="K52" i="61"/>
  <c r="L51" i="61"/>
  <c r="K51" i="61"/>
  <c r="L50" i="61"/>
  <c r="K50" i="61"/>
  <c r="L49" i="61"/>
  <c r="K49" i="61"/>
  <c r="L48" i="61"/>
  <c r="K48" i="61"/>
  <c r="L47" i="61"/>
  <c r="K47" i="61"/>
  <c r="L46" i="61"/>
  <c r="K46" i="61"/>
  <c r="L45" i="61"/>
  <c r="K45" i="61"/>
  <c r="L44" i="61"/>
  <c r="K44" i="61"/>
  <c r="L43" i="61"/>
  <c r="K43" i="61"/>
  <c r="L42" i="61"/>
  <c r="K42" i="61"/>
  <c r="L41" i="61"/>
  <c r="K41" i="61"/>
  <c r="L40" i="61"/>
  <c r="K40" i="61"/>
  <c r="L39" i="61"/>
  <c r="K39" i="61"/>
  <c r="L38" i="61"/>
  <c r="K38" i="61"/>
  <c r="L37" i="61"/>
  <c r="K37" i="61"/>
  <c r="L36" i="61"/>
  <c r="K36" i="61"/>
  <c r="L35" i="61"/>
  <c r="K35" i="61"/>
  <c r="L34" i="61"/>
  <c r="K34" i="61"/>
  <c r="L33" i="61"/>
  <c r="K33" i="61"/>
  <c r="L32" i="61"/>
  <c r="K32" i="61"/>
  <c r="L31" i="61"/>
  <c r="K31" i="61"/>
  <c r="L30" i="61"/>
  <c r="K30" i="61"/>
  <c r="L29" i="61"/>
  <c r="K29" i="61"/>
  <c r="L28" i="61"/>
  <c r="K28" i="61"/>
  <c r="L27" i="61"/>
  <c r="K27" i="61"/>
  <c r="L26" i="61"/>
  <c r="K26" i="61"/>
  <c r="L25" i="61"/>
  <c r="K25" i="61"/>
  <c r="L24" i="61"/>
  <c r="K24" i="61"/>
  <c r="L23" i="61"/>
  <c r="K23" i="61"/>
  <c r="L22" i="61"/>
  <c r="K22" i="61"/>
  <c r="L21" i="61"/>
  <c r="K21" i="61"/>
  <c r="L20" i="61"/>
  <c r="K20" i="61"/>
  <c r="L19" i="61"/>
  <c r="K19" i="61"/>
  <c r="L18" i="61"/>
  <c r="K18" i="61"/>
  <c r="L17" i="61"/>
  <c r="K17" i="61"/>
  <c r="L16" i="61"/>
  <c r="K16" i="61"/>
  <c r="L15" i="61"/>
  <c r="K15" i="61"/>
  <c r="L14" i="61"/>
  <c r="K14" i="61"/>
  <c r="L13" i="61"/>
  <c r="K13" i="61"/>
  <c r="L12" i="61"/>
  <c r="K12" i="61"/>
  <c r="L56" i="60"/>
  <c r="K56" i="60"/>
  <c r="L55" i="60"/>
  <c r="K55" i="60"/>
  <c r="L54" i="60"/>
  <c r="K54" i="60"/>
  <c r="L53" i="60"/>
  <c r="K53" i="60"/>
  <c r="L52" i="60"/>
  <c r="K52" i="60"/>
  <c r="L51" i="60"/>
  <c r="K51" i="60"/>
  <c r="L50" i="60"/>
  <c r="K50" i="60"/>
  <c r="L49" i="60"/>
  <c r="K49" i="60"/>
  <c r="L48" i="60"/>
  <c r="K48" i="60"/>
  <c r="L47" i="60"/>
  <c r="K47" i="60"/>
  <c r="L46" i="60"/>
  <c r="K46" i="60"/>
  <c r="L45" i="60"/>
  <c r="K45" i="60"/>
  <c r="L44" i="60"/>
  <c r="K44" i="60"/>
  <c r="L43" i="60"/>
  <c r="K43" i="60"/>
  <c r="L42" i="60"/>
  <c r="K42" i="60"/>
  <c r="L41" i="60"/>
  <c r="K41" i="60"/>
  <c r="L40" i="60"/>
  <c r="K40" i="60"/>
  <c r="L39" i="60"/>
  <c r="K39" i="60"/>
  <c r="L38" i="60"/>
  <c r="K38" i="60"/>
  <c r="L37" i="60"/>
  <c r="K37" i="60"/>
  <c r="L36" i="60"/>
  <c r="K36" i="60"/>
  <c r="L35" i="60"/>
  <c r="K35" i="60"/>
  <c r="L34" i="60"/>
  <c r="K34" i="60"/>
  <c r="L33" i="60"/>
  <c r="K33" i="60"/>
  <c r="L32" i="60"/>
  <c r="K32" i="60"/>
  <c r="L31" i="60"/>
  <c r="K31" i="60"/>
  <c r="L30" i="60"/>
  <c r="K30" i="60"/>
  <c r="L29" i="60"/>
  <c r="K29" i="60"/>
  <c r="L28" i="60"/>
  <c r="K28" i="60"/>
  <c r="L27" i="60"/>
  <c r="K27" i="60"/>
  <c r="L26" i="60"/>
  <c r="K26" i="60"/>
  <c r="L25" i="60"/>
  <c r="K25" i="60"/>
  <c r="L24" i="60"/>
  <c r="K24" i="60"/>
  <c r="L23" i="60"/>
  <c r="K23" i="60"/>
  <c r="L22" i="60"/>
  <c r="K22" i="60"/>
  <c r="L21" i="60"/>
  <c r="K21" i="60"/>
  <c r="L20" i="60"/>
  <c r="K20" i="60"/>
  <c r="L19" i="60"/>
  <c r="K19" i="60"/>
  <c r="L18" i="60"/>
  <c r="K18" i="60"/>
  <c r="L17" i="60"/>
  <c r="K17" i="60"/>
  <c r="L16" i="60"/>
  <c r="K16" i="60"/>
  <c r="L15" i="60"/>
  <c r="K15" i="60"/>
  <c r="L14" i="60"/>
  <c r="K14" i="60"/>
  <c r="L13" i="60"/>
  <c r="K13" i="60"/>
  <c r="L12" i="60"/>
  <c r="K12" i="60"/>
  <c r="C11" i="61" l="1"/>
  <c r="J8" i="61"/>
  <c r="G8" i="61"/>
  <c r="J11" i="61"/>
  <c r="D7" i="61"/>
  <c r="H7" i="61"/>
  <c r="D8" i="61"/>
  <c r="H8" i="61"/>
  <c r="D9" i="61"/>
  <c r="H9" i="61"/>
  <c r="D10" i="61"/>
  <c r="H10" i="61"/>
  <c r="D11" i="61"/>
  <c r="H11" i="61"/>
  <c r="C7" i="61"/>
  <c r="C8" i="61"/>
  <c r="G9" i="61"/>
  <c r="G10" i="61"/>
  <c r="G11" i="61"/>
  <c r="E7" i="61"/>
  <c r="I7" i="61"/>
  <c r="E8" i="61"/>
  <c r="I8" i="61"/>
  <c r="E9" i="61"/>
  <c r="I9" i="61"/>
  <c r="E10" i="61"/>
  <c r="I10" i="61"/>
  <c r="E11" i="61"/>
  <c r="I11" i="61"/>
  <c r="G7" i="61"/>
  <c r="C9" i="61"/>
  <c r="C10" i="61"/>
  <c r="F7" i="61"/>
  <c r="J7" i="61"/>
  <c r="F8" i="61"/>
  <c r="F9" i="61"/>
  <c r="J9" i="61"/>
  <c r="F10" i="61"/>
  <c r="J10" i="61"/>
  <c r="F11" i="61"/>
  <c r="D9" i="60"/>
  <c r="D6" i="60"/>
  <c r="D8" i="60"/>
  <c r="C8" i="60"/>
  <c r="I6" i="60"/>
  <c r="E6" i="60"/>
  <c r="H6" i="60"/>
  <c r="F8" i="60"/>
  <c r="E7" i="60"/>
  <c r="G8" i="60"/>
  <c r="D10" i="60"/>
  <c r="C11" i="60"/>
  <c r="I7" i="60"/>
  <c r="I8" i="60"/>
  <c r="D11" i="60"/>
  <c r="C7" i="60"/>
  <c r="D7" i="60"/>
  <c r="F7" i="60"/>
  <c r="J7" i="60"/>
  <c r="E8" i="60"/>
  <c r="J8" i="60"/>
  <c r="G11" i="60"/>
  <c r="G10" i="60"/>
  <c r="H8" i="60"/>
  <c r="G6" i="60"/>
  <c r="C10" i="60"/>
  <c r="H10" i="60"/>
  <c r="H9" i="60"/>
  <c r="F6" i="60"/>
  <c r="J6" i="60"/>
  <c r="G7" i="60"/>
  <c r="G9" i="60"/>
  <c r="H11" i="60"/>
  <c r="H7" i="60"/>
  <c r="C9" i="60"/>
  <c r="C6" i="60"/>
  <c r="E9" i="60"/>
  <c r="I9" i="60"/>
  <c r="E10" i="60"/>
  <c r="I10" i="60"/>
  <c r="E11" i="60"/>
  <c r="I11" i="60"/>
  <c r="F9" i="60"/>
  <c r="J9" i="60"/>
  <c r="F10" i="60"/>
  <c r="J10" i="60"/>
  <c r="F11" i="60"/>
  <c r="J11" i="60"/>
  <c r="D6" i="59"/>
  <c r="E6" i="59"/>
  <c r="H6" i="59"/>
  <c r="I6" i="59"/>
  <c r="K52" i="59"/>
  <c r="L52" i="59"/>
  <c r="K53" i="59"/>
  <c r="L53" i="59"/>
  <c r="K54" i="59"/>
  <c r="L54" i="59"/>
  <c r="K55" i="59"/>
  <c r="L55" i="59"/>
  <c r="K56" i="59"/>
  <c r="L56" i="59"/>
  <c r="F6" i="59"/>
  <c r="G6" i="59"/>
  <c r="J6" i="59"/>
  <c r="C6" i="59"/>
  <c r="K13" i="59"/>
  <c r="L13" i="59"/>
  <c r="K14" i="59"/>
  <c r="L14" i="59"/>
  <c r="K15" i="59"/>
  <c r="L15" i="59"/>
  <c r="K16" i="59"/>
  <c r="L16" i="59"/>
  <c r="K17" i="59"/>
  <c r="L17" i="59"/>
  <c r="K18" i="59"/>
  <c r="L18" i="59"/>
  <c r="K19" i="59"/>
  <c r="L19" i="59"/>
  <c r="K20" i="59"/>
  <c r="L20" i="59"/>
  <c r="K21" i="59"/>
  <c r="L21" i="59"/>
  <c r="K22" i="59"/>
  <c r="L22" i="59"/>
  <c r="K23" i="59"/>
  <c r="L23" i="59"/>
  <c r="K24" i="59"/>
  <c r="L24" i="59"/>
  <c r="K25" i="59"/>
  <c r="L25" i="59"/>
  <c r="K26" i="59"/>
  <c r="L26" i="59"/>
  <c r="K27" i="59"/>
  <c r="L27" i="59"/>
  <c r="K28" i="59"/>
  <c r="L28" i="59"/>
  <c r="K29" i="59"/>
  <c r="L29" i="59"/>
  <c r="K30" i="59"/>
  <c r="L30" i="59"/>
  <c r="K31" i="59"/>
  <c r="L31" i="59"/>
  <c r="K32" i="59"/>
  <c r="L32" i="59"/>
  <c r="K33" i="59"/>
  <c r="L33" i="59"/>
  <c r="K34" i="59"/>
  <c r="L34" i="59"/>
  <c r="K35" i="59"/>
  <c r="L35" i="59"/>
  <c r="K36" i="59"/>
  <c r="L36" i="59"/>
  <c r="K37" i="59"/>
  <c r="L37" i="59"/>
  <c r="K38" i="59"/>
  <c r="L38" i="59"/>
  <c r="K39" i="59"/>
  <c r="L39" i="59"/>
  <c r="K40" i="59"/>
  <c r="L40" i="59"/>
  <c r="K41" i="59"/>
  <c r="L41" i="59"/>
  <c r="K42" i="59"/>
  <c r="L42" i="59"/>
  <c r="K43" i="59"/>
  <c r="L43" i="59"/>
  <c r="K44" i="59"/>
  <c r="L44" i="59"/>
  <c r="K45" i="59"/>
  <c r="L45" i="59"/>
  <c r="K46" i="59"/>
  <c r="L46" i="59"/>
  <c r="K47" i="59"/>
  <c r="L47" i="59"/>
  <c r="K48" i="59"/>
  <c r="L48" i="59"/>
  <c r="K49" i="59"/>
  <c r="L49" i="59"/>
  <c r="K50" i="59"/>
  <c r="L50" i="59"/>
  <c r="K51" i="59"/>
  <c r="L51" i="59"/>
  <c r="L12" i="59"/>
  <c r="K12" i="59"/>
  <c r="J11" i="59" l="1"/>
  <c r="G7" i="59"/>
  <c r="C10" i="59"/>
  <c r="C8" i="59"/>
  <c r="G10" i="59"/>
  <c r="C9" i="59"/>
  <c r="C11" i="59"/>
  <c r="G9" i="59"/>
  <c r="G11" i="59"/>
  <c r="C7" i="59"/>
  <c r="F8" i="59"/>
  <c r="J7" i="59"/>
  <c r="F7" i="59"/>
  <c r="I8" i="59"/>
  <c r="E8" i="59"/>
  <c r="D9" i="59"/>
  <c r="H9" i="59"/>
  <c r="D10" i="59"/>
  <c r="H10" i="59"/>
  <c r="D11" i="59"/>
  <c r="H11" i="59"/>
  <c r="J8" i="59"/>
  <c r="I7" i="59"/>
  <c r="E7" i="59"/>
  <c r="H8" i="59"/>
  <c r="D8" i="59"/>
  <c r="E9" i="59"/>
  <c r="I9" i="59"/>
  <c r="E10" i="59"/>
  <c r="I10" i="59"/>
  <c r="E11" i="59"/>
  <c r="I11" i="59"/>
  <c r="H7" i="59"/>
  <c r="D7" i="59"/>
  <c r="G8" i="59"/>
  <c r="F9" i="59"/>
  <c r="J9" i="59"/>
  <c r="F10" i="59"/>
  <c r="J10" i="59"/>
  <c r="F11" i="59"/>
  <c r="T2" i="24" l="1"/>
  <c r="U2" i="24"/>
  <c r="V2" i="24"/>
  <c r="W2" i="24"/>
  <c r="Z2" i="24"/>
  <c r="AA2" i="24"/>
  <c r="AC2" i="24"/>
  <c r="AF2" i="24"/>
  <c r="AI2" i="24" l="1"/>
  <c r="AB2" i="24"/>
  <c r="AG2" i="24"/>
  <c r="AH2" i="24" l="1"/>
  <c r="L49" i="53"/>
  <c r="L45" i="53"/>
  <c r="L41" i="53"/>
  <c r="L37" i="53"/>
  <c r="L33" i="53"/>
  <c r="L29" i="53"/>
  <c r="L25" i="53"/>
  <c r="L21" i="53"/>
  <c r="L17" i="53"/>
  <c r="L13" i="53"/>
  <c r="L9" i="53"/>
  <c r="L52" i="53"/>
  <c r="L44" i="53"/>
  <c r="L36" i="53"/>
  <c r="L24" i="53"/>
  <c r="L12" i="53"/>
  <c r="L51" i="53"/>
  <c r="L47" i="53"/>
  <c r="L43" i="53"/>
  <c r="L39" i="53"/>
  <c r="L35" i="53"/>
  <c r="L31" i="53"/>
  <c r="L27" i="53"/>
  <c r="L23" i="53"/>
  <c r="L19" i="53"/>
  <c r="L15" i="53"/>
  <c r="L11" i="53"/>
  <c r="L48" i="53"/>
  <c r="L40" i="53"/>
  <c r="L32" i="53"/>
  <c r="L28" i="53"/>
  <c r="L20" i="53"/>
  <c r="L16" i="53"/>
  <c r="L8" i="53"/>
  <c r="L50" i="53"/>
  <c r="L46" i="53"/>
  <c r="L42" i="53"/>
  <c r="L38" i="53"/>
  <c r="L34" i="53"/>
  <c r="L30" i="53"/>
  <c r="L26" i="53"/>
  <c r="L22" i="53"/>
  <c r="L18" i="53"/>
  <c r="L14" i="53"/>
  <c r="L10" i="53"/>
  <c r="F2" i="53"/>
  <c r="H2" i="53" s="1"/>
  <c r="B2" i="53"/>
  <c r="F7" i="53" l="1"/>
  <c r="H7" i="53" s="1"/>
  <c r="F6" i="53" l="1"/>
  <c r="H6" i="53" s="1"/>
  <c r="B5" i="53"/>
  <c r="B7" i="53"/>
  <c r="F5" i="53"/>
  <c r="H5" i="53" s="1"/>
  <c r="F4" i="53"/>
  <c r="H4" i="53" s="1"/>
  <c r="F3" i="53"/>
  <c r="H3" i="53" s="1"/>
  <c r="B4" i="53"/>
  <c r="B6" i="53"/>
  <c r="B3" i="53"/>
  <c r="L2" i="53"/>
  <c r="L5" i="53" l="1"/>
  <c r="L3" i="53"/>
  <c r="L6" i="53"/>
  <c r="L7" i="53"/>
  <c r="L4" i="53"/>
  <c r="A4" i="1" l="1"/>
  <c r="L57" i="68"/>
  <c r="P13" i="68"/>
  <c r="H36" i="68"/>
  <c r="G31" i="68"/>
  <c r="P10" i="68"/>
  <c r="F39" i="68"/>
  <c r="F45" i="68"/>
  <c r="M15" i="68"/>
  <c r="M49" i="68"/>
  <c r="M30" i="68"/>
  <c r="L20" i="68"/>
  <c r="G27" i="68"/>
  <c r="C22" i="68"/>
  <c r="L38" i="68"/>
  <c r="C45" i="68"/>
  <c r="N56" i="68"/>
  <c r="G37" i="68"/>
  <c r="F30" i="68"/>
  <c r="E37" i="68"/>
  <c r="G53" i="68"/>
  <c r="C13" i="68"/>
  <c r="O12" i="68"/>
  <c r="G33" i="68"/>
  <c r="C39" i="68"/>
  <c r="K11" i="68"/>
  <c r="H50" i="68"/>
  <c r="D58" i="68"/>
  <c r="O34" i="68"/>
  <c r="H57" i="68"/>
  <c r="H22" i="68"/>
  <c r="D26" i="68"/>
  <c r="G36" i="68"/>
  <c r="H58" i="68"/>
  <c r="D19" i="68"/>
  <c r="D18" i="68"/>
  <c r="K53" i="68"/>
  <c r="L10" i="68"/>
  <c r="P55" i="68"/>
  <c r="H34" i="68"/>
  <c r="G51" i="68"/>
  <c r="P46" i="68"/>
  <c r="L26" i="68"/>
  <c r="G20" i="68"/>
  <c r="E12" i="68"/>
  <c r="H17" i="68"/>
  <c r="D17" i="68"/>
  <c r="C37" i="68"/>
  <c r="G12" i="68"/>
  <c r="N19" i="68"/>
  <c r="O42" i="68"/>
  <c r="M55" i="68"/>
  <c r="M20" i="68"/>
  <c r="M23" i="68"/>
  <c r="K34" i="68"/>
  <c r="L32" i="68"/>
  <c r="L36" i="68"/>
  <c r="K44" i="68"/>
  <c r="K40" i="68"/>
  <c r="N13" i="68"/>
  <c r="H24" i="68"/>
  <c r="G41" i="68"/>
  <c r="E14" i="68"/>
  <c r="M12" i="68"/>
  <c r="E44" i="68"/>
  <c r="K25" i="68"/>
  <c r="E28" i="68"/>
  <c r="L23" i="68"/>
  <c r="D37" i="68"/>
  <c r="O56" i="68"/>
  <c r="N59" i="68"/>
  <c r="N27" i="68"/>
  <c r="G39" i="68"/>
  <c r="P49" i="68"/>
  <c r="E41" i="68"/>
  <c r="P35" i="68"/>
  <c r="N11" i="68"/>
  <c r="C32" i="68"/>
  <c r="O37" i="68"/>
  <c r="K54" i="68"/>
  <c r="O33" i="68"/>
  <c r="O15" i="68"/>
  <c r="F26" i="68"/>
  <c r="E11" i="68"/>
  <c r="O17" i="68"/>
  <c r="E15" i="68"/>
  <c r="F44" i="68"/>
  <c r="N41" i="68"/>
  <c r="O19" i="68"/>
  <c r="D51" i="68"/>
  <c r="K29" i="68"/>
  <c r="O59" i="68"/>
  <c r="H28" i="68"/>
  <c r="L30" i="68"/>
  <c r="L53" i="68"/>
  <c r="D34" i="68"/>
  <c r="M46" i="68"/>
  <c r="C10" i="68"/>
  <c r="H42" i="68"/>
  <c r="O30" i="68"/>
  <c r="N24" i="68"/>
  <c r="P24" i="68"/>
  <c r="M51" i="68"/>
  <c r="E57" i="68"/>
  <c r="F58" i="68"/>
  <c r="H18" i="68"/>
  <c r="L24" i="68"/>
  <c r="K19" i="68"/>
  <c r="F12" i="68"/>
  <c r="G49" i="68"/>
  <c r="P23" i="68"/>
  <c r="P54" i="68"/>
  <c r="C21" i="68"/>
  <c r="N25" i="68"/>
  <c r="D42" i="68"/>
  <c r="N47" i="68"/>
  <c r="C49" i="68"/>
  <c r="G35" i="68"/>
  <c r="M31" i="68"/>
  <c r="O39" i="68"/>
  <c r="F59" i="68"/>
  <c r="E33" i="68"/>
  <c r="D49" i="68"/>
  <c r="O57" i="68"/>
  <c r="L21" i="68"/>
  <c r="H55" i="68"/>
  <c r="O48" i="68"/>
  <c r="G29" i="68"/>
  <c r="O43" i="68"/>
  <c r="K49" i="68"/>
  <c r="M36" i="68"/>
  <c r="E27" i="68"/>
  <c r="N30" i="68"/>
  <c r="O46" i="68"/>
  <c r="C16" i="68"/>
  <c r="N38" i="68"/>
  <c r="G59" i="68"/>
  <c r="P18" i="68"/>
  <c r="D38" i="68"/>
  <c r="E54" i="68"/>
  <c r="P26" i="68"/>
  <c r="D29" i="68"/>
  <c r="P45" i="68"/>
  <c r="F41" i="68"/>
  <c r="K14" i="68"/>
  <c r="P29" i="68"/>
  <c r="O55" i="68"/>
  <c r="N45" i="68"/>
  <c r="N35" i="68"/>
  <c r="G25" i="68"/>
  <c r="G43" i="68"/>
  <c r="O32" i="68"/>
  <c r="G18" i="68"/>
  <c r="H16" i="68"/>
  <c r="M56" i="68"/>
  <c r="H48" i="68"/>
  <c r="D55" i="68"/>
  <c r="M13" i="68"/>
  <c r="D59" i="68"/>
  <c r="H46" i="68"/>
  <c r="P11" i="68"/>
  <c r="E45" i="68"/>
  <c r="D36" i="68"/>
  <c r="E40" i="68"/>
  <c r="L48" i="68"/>
  <c r="M22" i="68"/>
  <c r="N16" i="68"/>
  <c r="F10" i="68"/>
  <c r="K55" i="68"/>
  <c r="O29" i="68"/>
  <c r="L18" i="68"/>
  <c r="M24" i="68"/>
  <c r="G26" i="68"/>
  <c r="E47" i="68"/>
  <c r="E24" i="68"/>
  <c r="E20" i="68"/>
  <c r="O44" i="68"/>
  <c r="D48" i="68"/>
  <c r="N31" i="68"/>
  <c r="C57" i="68"/>
  <c r="E10" i="68"/>
  <c r="K21" i="68"/>
  <c r="C24" i="68"/>
  <c r="C25" i="68"/>
  <c r="L59" i="68"/>
  <c r="H15" i="68"/>
  <c r="F18" i="68"/>
  <c r="N57" i="68"/>
  <c r="G21" i="68"/>
  <c r="C29" i="68"/>
  <c r="P59" i="68"/>
  <c r="C50" i="68"/>
  <c r="H43" i="68"/>
  <c r="C12" i="68"/>
  <c r="O47" i="68"/>
  <c r="D23" i="68"/>
  <c r="L19" i="68"/>
  <c r="L41" i="68"/>
  <c r="N37" i="68"/>
  <c r="K33" i="68"/>
  <c r="F46" i="68"/>
  <c r="M35" i="68"/>
  <c r="H56" i="68"/>
  <c r="L14" i="68"/>
  <c r="H27" i="68"/>
  <c r="O31" i="68"/>
  <c r="E39" i="68"/>
  <c r="L33" i="68"/>
  <c r="H11" i="68"/>
  <c r="F43" i="68"/>
  <c r="G47" i="68"/>
  <c r="L44" i="68"/>
  <c r="P34" i="68"/>
  <c r="D31" i="68"/>
  <c r="D15" i="68"/>
  <c r="C34" i="68"/>
  <c r="P17" i="68"/>
  <c r="C55" i="68"/>
  <c r="P56" i="68"/>
  <c r="H26" i="68"/>
  <c r="G48" i="68"/>
  <c r="M52" i="68"/>
  <c r="N43" i="68"/>
  <c r="M18" i="68"/>
  <c r="D12" i="68"/>
  <c r="K38" i="68"/>
  <c r="K41" i="68"/>
  <c r="E18" i="68"/>
  <c r="E23" i="68"/>
  <c r="P42" i="68"/>
  <c r="D41" i="68"/>
  <c r="H32" i="68"/>
  <c r="P58" i="68"/>
  <c r="K27" i="68"/>
  <c r="D54" i="68"/>
  <c r="C40" i="68"/>
  <c r="L16" i="68"/>
  <c r="G46" i="68"/>
  <c r="P38" i="68"/>
  <c r="K36" i="68"/>
  <c r="G50" i="68"/>
  <c r="M57" i="68"/>
  <c r="D45" i="68"/>
  <c r="L51" i="68"/>
  <c r="N26" i="68"/>
  <c r="N42" i="68"/>
  <c r="M37" i="68"/>
  <c r="H51" i="68"/>
  <c r="G56" i="68"/>
  <c r="M16" i="68"/>
  <c r="E48" i="68"/>
  <c r="D32" i="68"/>
  <c r="G17" i="68"/>
  <c r="C44" i="68"/>
  <c r="K51" i="68"/>
  <c r="K30" i="68"/>
  <c r="F32" i="68"/>
  <c r="C36" i="68"/>
  <c r="P50" i="68"/>
  <c r="D40" i="68"/>
  <c r="L13" i="68"/>
  <c r="G54" i="68"/>
  <c r="C26" i="68"/>
  <c r="K24" i="68"/>
  <c r="K12" i="68"/>
  <c r="H10" i="68"/>
  <c r="H54" i="68"/>
  <c r="F17" i="68"/>
  <c r="F27" i="68"/>
  <c r="C43" i="68"/>
  <c r="H40" i="68"/>
  <c r="C31" i="68"/>
  <c r="O45" i="68"/>
  <c r="L35" i="68"/>
  <c r="P20" i="68"/>
  <c r="F25" i="68"/>
  <c r="E51" i="68"/>
  <c r="K59" i="68"/>
  <c r="F16" i="68"/>
  <c r="K31" i="68"/>
  <c r="K48" i="68"/>
  <c r="E21" i="68"/>
  <c r="D35" i="68"/>
  <c r="O25" i="68"/>
  <c r="E19" i="68"/>
  <c r="E58" i="68"/>
  <c r="O36" i="68"/>
  <c r="M50" i="68"/>
  <c r="M47" i="68"/>
  <c r="H44" i="68"/>
  <c r="F37" i="68"/>
  <c r="O58" i="68"/>
  <c r="G14" i="68"/>
  <c r="H29" i="68"/>
  <c r="K45" i="68"/>
  <c r="O50" i="68"/>
  <c r="K26" i="68"/>
  <c r="C28" i="68"/>
  <c r="E46" i="68"/>
  <c r="K50" i="68"/>
  <c r="K46" i="68"/>
  <c r="C56" i="68"/>
  <c r="K35" i="68"/>
  <c r="G15" i="68"/>
  <c r="F31" i="68"/>
  <c r="N12" i="68"/>
  <c r="P30" i="68"/>
  <c r="E32" i="68"/>
  <c r="O28" i="68"/>
  <c r="P28" i="68"/>
  <c r="K39" i="68"/>
  <c r="C27" i="68"/>
  <c r="O21" i="68"/>
  <c r="D27" i="68"/>
  <c r="E35" i="68"/>
  <c r="M14" i="68"/>
  <c r="L47" i="68"/>
  <c r="C33" i="68"/>
  <c r="E36" i="68"/>
  <c r="D25" i="68"/>
  <c r="D21" i="68"/>
  <c r="N28" i="68"/>
  <c r="O53" i="68"/>
  <c r="L45" i="68"/>
  <c r="P39" i="68"/>
  <c r="F23" i="68"/>
  <c r="G11" i="68"/>
  <c r="L39" i="68"/>
  <c r="M58" i="68"/>
  <c r="K56" i="68"/>
  <c r="L22" i="68"/>
  <c r="O16" i="68"/>
  <c r="P52" i="68"/>
  <c r="L28" i="68"/>
  <c r="M43" i="68"/>
  <c r="K57" i="68"/>
  <c r="M29" i="68"/>
  <c r="N33" i="68"/>
  <c r="O14" i="68"/>
  <c r="E59" i="68"/>
  <c r="D13" i="68"/>
  <c r="N34" i="68"/>
  <c r="N51" i="68"/>
  <c r="G52" i="68"/>
  <c r="G34" i="68"/>
  <c r="G23" i="68"/>
  <c r="E50" i="68"/>
  <c r="F15" i="68"/>
  <c r="N18" i="68"/>
  <c r="F24" i="68"/>
  <c r="G19" i="68"/>
  <c r="M34" i="68"/>
  <c r="F54" i="68"/>
  <c r="E13" i="68"/>
  <c r="C20" i="68"/>
  <c r="G44" i="68"/>
  <c r="M10" i="68"/>
  <c r="F21" i="68"/>
  <c r="H35" i="68"/>
  <c r="D24" i="68"/>
  <c r="P21" i="68"/>
  <c r="L54" i="68"/>
  <c r="G16" i="68"/>
  <c r="C46" i="68"/>
  <c r="N54" i="68"/>
  <c r="O35" i="68"/>
  <c r="D43" i="68"/>
  <c r="H53" i="68"/>
  <c r="D16" i="68"/>
  <c r="P32" i="68"/>
  <c r="H31" i="68"/>
  <c r="H20" i="68"/>
  <c r="O24" i="68"/>
  <c r="E53" i="68"/>
  <c r="P48" i="68"/>
  <c r="N29" i="68"/>
  <c r="H45" i="68"/>
  <c r="C18" i="68"/>
  <c r="H30" i="68"/>
  <c r="N32" i="68"/>
  <c r="M59" i="68"/>
  <c r="G38" i="68"/>
  <c r="F34" i="68"/>
  <c r="L15" i="68"/>
  <c r="C11" i="68"/>
  <c r="L29" i="68"/>
  <c r="D53" i="68"/>
  <c r="H14" i="68"/>
  <c r="O13" i="68"/>
  <c r="O22" i="68"/>
  <c r="P31" i="68"/>
  <c r="H12" i="68"/>
  <c r="H47" i="68"/>
  <c r="E34" i="68"/>
  <c r="K47" i="68"/>
  <c r="H37" i="68"/>
  <c r="M42" i="68"/>
  <c r="O18" i="68"/>
  <c r="C30" i="68"/>
  <c r="D14" i="68"/>
  <c r="N10" i="68"/>
  <c r="M38" i="68"/>
  <c r="H41" i="68"/>
  <c r="K20" i="68"/>
  <c r="M33" i="68"/>
  <c r="P15" i="68"/>
  <c r="D46" i="68"/>
  <c r="N55" i="68"/>
  <c r="C35" i="68"/>
  <c r="L43" i="68"/>
  <c r="E42" i="68"/>
  <c r="N14" i="68"/>
  <c r="P43" i="68"/>
  <c r="P22" i="68"/>
  <c r="G40" i="68"/>
  <c r="P16" i="68"/>
  <c r="F51" i="68"/>
  <c r="D52" i="68"/>
  <c r="M19" i="68"/>
  <c r="E22" i="68"/>
  <c r="F42" i="68"/>
  <c r="N58" i="68"/>
  <c r="D50" i="68"/>
  <c r="O10" i="68"/>
  <c r="N39" i="68"/>
  <c r="P36" i="68"/>
  <c r="P40" i="68"/>
  <c r="F48" i="68"/>
  <c r="D56" i="68"/>
  <c r="P12" i="68"/>
  <c r="E31" i="68"/>
  <c r="F57" i="68"/>
  <c r="M44" i="68"/>
  <c r="K32" i="68"/>
  <c r="P33" i="68"/>
  <c r="D39" i="68"/>
  <c r="O23" i="68"/>
  <c r="K42" i="68"/>
  <c r="G45" i="68"/>
  <c r="E26" i="68"/>
  <c r="D44" i="68"/>
  <c r="L49" i="68"/>
  <c r="E16" i="68"/>
  <c r="E56" i="68"/>
  <c r="K43" i="68"/>
  <c r="F50" i="68"/>
  <c r="L34" i="68"/>
  <c r="K28" i="68"/>
  <c r="K15" i="68"/>
  <c r="M32" i="68"/>
  <c r="P27" i="68"/>
  <c r="N48" i="68"/>
  <c r="O11" i="68"/>
  <c r="M39" i="68"/>
  <c r="D28" i="68"/>
  <c r="P25" i="68"/>
  <c r="D30" i="68"/>
  <c r="C54" i="68"/>
  <c r="D10" i="68"/>
  <c r="N20" i="68"/>
  <c r="G24" i="68"/>
  <c r="F56" i="68"/>
  <c r="L52" i="68"/>
  <c r="O41" i="68"/>
  <c r="G28" i="68"/>
  <c r="E17" i="68"/>
  <c r="M45" i="68"/>
  <c r="G58" i="68"/>
  <c r="P37" i="68"/>
  <c r="G13" i="68"/>
  <c r="N40" i="68"/>
  <c r="H13" i="68"/>
  <c r="M53" i="68"/>
  <c r="N17" i="68"/>
  <c r="G57" i="68"/>
  <c r="N15" i="68"/>
  <c r="E30" i="68"/>
  <c r="K17" i="68"/>
  <c r="H52" i="68"/>
  <c r="C23" i="68"/>
  <c r="E49" i="68"/>
  <c r="L50" i="68"/>
  <c r="N52" i="68"/>
  <c r="H33" i="68"/>
  <c r="E55" i="68"/>
  <c r="H38" i="68"/>
  <c r="K58" i="68"/>
  <c r="P44" i="68"/>
  <c r="N53" i="68"/>
  <c r="E43" i="68"/>
  <c r="M11" i="68"/>
  <c r="M28" i="68"/>
  <c r="F47" i="68"/>
  <c r="O40" i="68"/>
  <c r="P14" i="68"/>
  <c r="E52" i="68"/>
  <c r="C42" i="68"/>
  <c r="F28" i="68"/>
  <c r="O49" i="68"/>
  <c r="K16" i="68"/>
  <c r="L17" i="68"/>
  <c r="F52" i="68"/>
  <c r="C14" i="68"/>
  <c r="M17" i="68"/>
  <c r="H49" i="68"/>
  <c r="C19" i="68"/>
  <c r="M54" i="68"/>
  <c r="M25" i="68"/>
  <c r="O20" i="68"/>
  <c r="F40" i="68"/>
  <c r="K22" i="68"/>
  <c r="O26" i="68"/>
  <c r="O54" i="68"/>
  <c r="H59" i="68"/>
  <c r="C59" i="68"/>
  <c r="F36" i="68"/>
  <c r="L37" i="68"/>
  <c r="C17" i="68"/>
  <c r="N23" i="68"/>
  <c r="L46" i="68"/>
  <c r="O27" i="68"/>
  <c r="F38" i="68"/>
  <c r="F22" i="68"/>
  <c r="L40" i="68"/>
  <c r="F11" i="68"/>
  <c r="D57" i="68"/>
  <c r="F49" i="68"/>
  <c r="P53" i="68"/>
  <c r="C52" i="68"/>
  <c r="K13" i="68"/>
  <c r="P51" i="68"/>
  <c r="C15" i="68"/>
  <c r="L12" i="68"/>
  <c r="C41" i="68"/>
  <c r="N46" i="68"/>
  <c r="M41" i="68"/>
  <c r="G42" i="68"/>
  <c r="L42" i="68"/>
  <c r="G10" i="68"/>
  <c r="D20" i="68"/>
  <c r="C51" i="68"/>
  <c r="L27" i="68"/>
  <c r="F19" i="68"/>
  <c r="H21" i="68"/>
  <c r="G55" i="68"/>
  <c r="L56" i="68"/>
  <c r="H39" i="68"/>
  <c r="E38" i="68"/>
  <c r="O51" i="68"/>
  <c r="K37" i="68"/>
  <c r="F53" i="68"/>
  <c r="F29" i="68"/>
  <c r="M21" i="68"/>
  <c r="K23" i="68"/>
  <c r="N50" i="68"/>
  <c r="L11" i="68"/>
  <c r="C38" i="68"/>
  <c r="N44" i="68"/>
  <c r="E25" i="68"/>
  <c r="P57" i="68"/>
  <c r="M26" i="68"/>
  <c r="C47" i="68"/>
  <c r="C48" i="68"/>
  <c r="P41" i="68"/>
  <c r="F33" i="68"/>
  <c r="F35" i="68"/>
  <c r="K10" i="68"/>
  <c r="P19" i="68"/>
  <c r="G32" i="68"/>
  <c r="K18" i="68"/>
  <c r="D11" i="68"/>
  <c r="L58" i="68"/>
  <c r="F13" i="68"/>
  <c r="M27" i="68"/>
  <c r="C53" i="68"/>
  <c r="G22" i="68"/>
  <c r="N36" i="68"/>
  <c r="L55" i="68"/>
  <c r="L25" i="68"/>
  <c r="D33" i="68"/>
  <c r="D47" i="68"/>
  <c r="N22" i="68"/>
  <c r="C58" i="68"/>
  <c r="F20" i="68"/>
  <c r="D22" i="68"/>
  <c r="O52" i="68"/>
  <c r="H23" i="68"/>
  <c r="H19" i="68"/>
  <c r="H25" i="68"/>
  <c r="L31" i="68"/>
  <c r="O38" i="68"/>
  <c r="M40" i="68"/>
  <c r="P47" i="68"/>
  <c r="E29" i="68"/>
  <c r="F55" i="68"/>
  <c r="N21" i="68"/>
  <c r="M48" i="68"/>
  <c r="K52" i="68"/>
  <c r="G30" i="68"/>
  <c r="N49" i="68"/>
  <c r="F14" i="68"/>
  <c r="F11" i="69" l="1"/>
  <c r="N46" i="69"/>
  <c r="G27" i="69"/>
  <c r="K49" i="69"/>
  <c r="J52" i="68"/>
  <c r="J49" i="69" s="1"/>
  <c r="M45" i="69"/>
  <c r="N18" i="69"/>
  <c r="F52" i="69"/>
  <c r="E26" i="69"/>
  <c r="P44" i="69"/>
  <c r="M37" i="69"/>
  <c r="O35" i="69"/>
  <c r="L28" i="69"/>
  <c r="H22" i="69"/>
  <c r="H16" i="69"/>
  <c r="H20" i="69"/>
  <c r="O49" i="69"/>
  <c r="D19" i="69"/>
  <c r="F17" i="69"/>
  <c r="C55" i="69"/>
  <c r="B58" i="68"/>
  <c r="B55" i="69" s="1"/>
  <c r="N19" i="69"/>
  <c r="D44" i="69"/>
  <c r="D30" i="69"/>
  <c r="L22" i="69"/>
  <c r="L52" i="69"/>
  <c r="N33" i="69"/>
  <c r="G19" i="69"/>
  <c r="B53" i="68"/>
  <c r="B50" i="69" s="1"/>
  <c r="C50" i="69"/>
  <c r="M24" i="69"/>
  <c r="F10" i="69"/>
  <c r="L55" i="69"/>
  <c r="D8" i="69"/>
  <c r="J18" i="68"/>
  <c r="J15" i="69" s="1"/>
  <c r="K15" i="69"/>
  <c r="G29" i="69"/>
  <c r="P16" i="69"/>
  <c r="J10" i="68"/>
  <c r="J7" i="69" s="1"/>
  <c r="K7" i="69"/>
  <c r="F32" i="69"/>
  <c r="F30" i="69"/>
  <c r="P38" i="69"/>
  <c r="C45" i="69"/>
  <c r="B48" i="68"/>
  <c r="B45" i="69" s="1"/>
  <c r="B47" i="68"/>
  <c r="B44" i="69" s="1"/>
  <c r="C44" i="69"/>
  <c r="M23" i="69"/>
  <c r="P54" i="69"/>
  <c r="E22" i="69"/>
  <c r="N41" i="69"/>
  <c r="C35" i="69"/>
  <c r="B38" i="68"/>
  <c r="B35" i="69" s="1"/>
  <c r="L8" i="69"/>
  <c r="N47" i="69"/>
  <c r="K20" i="69"/>
  <c r="J23" i="68"/>
  <c r="J20" i="69" s="1"/>
  <c r="M18" i="69"/>
  <c r="F26" i="69"/>
  <c r="F50" i="69"/>
  <c r="J37" i="68"/>
  <c r="J34" i="69" s="1"/>
  <c r="K34" i="69"/>
  <c r="O48" i="69"/>
  <c r="E35" i="69"/>
  <c r="H36" i="69"/>
  <c r="L53" i="69"/>
  <c r="G52" i="69"/>
  <c r="H18" i="69"/>
  <c r="F16" i="69"/>
  <c r="L24" i="69"/>
  <c r="C48" i="69"/>
  <c r="B51" i="68"/>
  <c r="B48" i="69" s="1"/>
  <c r="D17" i="69"/>
  <c r="G7" i="69"/>
  <c r="L39" i="69"/>
  <c r="G39" i="69"/>
  <c r="M38" i="69"/>
  <c r="N43" i="69"/>
  <c r="C38" i="69"/>
  <c r="B41" i="68"/>
  <c r="B38" i="69" s="1"/>
  <c r="L9" i="69"/>
  <c r="C12" i="69"/>
  <c r="C9" i="68"/>
  <c r="C6" i="69" s="1"/>
  <c r="B15" i="68"/>
  <c r="B12" i="69" s="1"/>
  <c r="P48" i="69"/>
  <c r="K10" i="69"/>
  <c r="J13" i="68"/>
  <c r="J10" i="69" s="1"/>
  <c r="B52" i="68"/>
  <c r="B49" i="69" s="1"/>
  <c r="C49" i="69"/>
  <c r="P50" i="69"/>
  <c r="F46" i="69"/>
  <c r="D54" i="69"/>
  <c r="F8" i="69"/>
  <c r="L37" i="69"/>
  <c r="F19" i="69"/>
  <c r="F35" i="69"/>
  <c r="O24" i="69"/>
  <c r="L43" i="69"/>
  <c r="N20" i="69"/>
  <c r="C14" i="69"/>
  <c r="B17" i="68"/>
  <c r="B14" i="69" s="1"/>
  <c r="L34" i="69"/>
  <c r="F33" i="69"/>
  <c r="B59" i="68"/>
  <c r="B56" i="69" s="1"/>
  <c r="C56" i="69"/>
  <c r="H56" i="69"/>
  <c r="O51" i="69"/>
  <c r="O23" i="69"/>
  <c r="K19" i="69"/>
  <c r="J22" i="68"/>
  <c r="J19" i="69" s="1"/>
  <c r="F37" i="69"/>
  <c r="O17" i="69"/>
  <c r="M22" i="69"/>
  <c r="M51" i="69"/>
  <c r="C16" i="69"/>
  <c r="B19" i="68"/>
  <c r="B16" i="69" s="1"/>
  <c r="H46" i="69"/>
  <c r="M14" i="69"/>
  <c r="B14" i="68"/>
  <c r="B11" i="69" s="1"/>
  <c r="C11" i="69"/>
  <c r="F49" i="69"/>
  <c r="L14" i="69"/>
  <c r="K13" i="69"/>
  <c r="J16" i="68"/>
  <c r="J13" i="69" s="1"/>
  <c r="O46" i="69"/>
  <c r="F25" i="69"/>
  <c r="C39" i="69"/>
  <c r="B42" i="68"/>
  <c r="B39" i="69" s="1"/>
  <c r="E49" i="69"/>
  <c r="P11" i="69"/>
  <c r="O37" i="69"/>
  <c r="F44" i="69"/>
  <c r="M25" i="69"/>
  <c r="M8" i="69"/>
  <c r="E40" i="69"/>
  <c r="N50" i="69"/>
  <c r="P41" i="69"/>
  <c r="K55" i="69"/>
  <c r="J58" i="68"/>
  <c r="J55" i="69" s="1"/>
  <c r="H35" i="69"/>
  <c r="E52" i="69"/>
  <c r="H30" i="69"/>
  <c r="N49" i="69"/>
  <c r="L47" i="69"/>
  <c r="E46" i="69"/>
  <c r="C20" i="69"/>
  <c r="B23" i="68"/>
  <c r="B20" i="69" s="1"/>
  <c r="H49" i="69"/>
  <c r="J17" i="68"/>
  <c r="J14" i="69" s="1"/>
  <c r="K14" i="69"/>
  <c r="E27" i="69"/>
  <c r="N12" i="69"/>
  <c r="N9" i="68"/>
  <c r="N6" i="69" s="1"/>
  <c r="G54" i="69"/>
  <c r="N14" i="69"/>
  <c r="M50" i="69"/>
  <c r="H10" i="69"/>
  <c r="N37" i="69"/>
  <c r="G10" i="69"/>
  <c r="P34" i="69"/>
  <c r="G55" i="69"/>
  <c r="M42" i="69"/>
  <c r="E14" i="69"/>
  <c r="G25" i="69"/>
  <c r="O38" i="69"/>
  <c r="L49" i="69"/>
  <c r="F53" i="69"/>
  <c r="G21" i="69"/>
  <c r="N17" i="69"/>
  <c r="D7" i="69"/>
  <c r="C51" i="69"/>
  <c r="B54" i="68"/>
  <c r="B51" i="69" s="1"/>
  <c r="D27" i="69"/>
  <c r="P22" i="69"/>
  <c r="D25" i="69"/>
  <c r="M36" i="69"/>
  <c r="O8" i="69"/>
  <c r="N45" i="69"/>
  <c r="P24" i="69"/>
  <c r="M29" i="69"/>
  <c r="K12" i="69"/>
  <c r="K9" i="68"/>
  <c r="K6" i="69" s="1"/>
  <c r="J15" i="68"/>
  <c r="J12" i="69" s="1"/>
  <c r="K25" i="69"/>
  <c r="J28" i="68"/>
  <c r="J25" i="69" s="1"/>
  <c r="L31" i="69"/>
  <c r="F47" i="69"/>
  <c r="K40" i="69"/>
  <c r="J43" i="68"/>
  <c r="J40" i="69" s="1"/>
  <c r="E53" i="69"/>
  <c r="E13" i="69"/>
  <c r="L46" i="69"/>
  <c r="D41" i="69"/>
  <c r="E23" i="69"/>
  <c r="G42" i="69"/>
  <c r="J42" i="68"/>
  <c r="J39" i="69" s="1"/>
  <c r="K39" i="69"/>
  <c r="O20" i="69"/>
  <c r="D36" i="69"/>
  <c r="P30" i="69"/>
  <c r="J32" i="68"/>
  <c r="J29" i="69" s="1"/>
  <c r="K29" i="69"/>
  <c r="M41" i="69"/>
  <c r="F54" i="69"/>
  <c r="E28" i="69"/>
  <c r="P9" i="69"/>
  <c r="D53" i="69"/>
  <c r="F45" i="69"/>
  <c r="P37" i="69"/>
  <c r="P33" i="69"/>
  <c r="N36" i="69"/>
  <c r="O7" i="69"/>
  <c r="D47" i="69"/>
  <c r="N55" i="69"/>
  <c r="F39" i="69"/>
  <c r="E19" i="69"/>
  <c r="M16" i="69"/>
  <c r="D49" i="69"/>
  <c r="F48" i="69"/>
  <c r="P13" i="69"/>
  <c r="G37" i="69"/>
  <c r="P19" i="69"/>
  <c r="P40" i="69"/>
  <c r="N11" i="69"/>
  <c r="E39" i="69"/>
  <c r="L40" i="69"/>
  <c r="B35" i="68"/>
  <c r="B32" i="69" s="1"/>
  <c r="C32" i="69"/>
  <c r="N52" i="69"/>
  <c r="D43" i="69"/>
  <c r="P9" i="68"/>
  <c r="P6" i="69" s="1"/>
  <c r="P12" i="69"/>
  <c r="M30" i="69"/>
  <c r="K17" i="69"/>
  <c r="J20" i="68"/>
  <c r="J17" i="69" s="1"/>
  <c r="H38" i="69"/>
  <c r="M35" i="69"/>
  <c r="N7" i="69"/>
  <c r="D11" i="69"/>
  <c r="B30" i="68"/>
  <c r="B27" i="69" s="1"/>
  <c r="C27" i="69"/>
  <c r="O15" i="69"/>
  <c r="M39" i="69"/>
  <c r="H34" i="69"/>
  <c r="J47" i="68"/>
  <c r="J44" i="69" s="1"/>
  <c r="K44" i="69"/>
  <c r="E31" i="69"/>
  <c r="H44" i="69"/>
  <c r="H9" i="69"/>
  <c r="P28" i="69"/>
  <c r="O19" i="69"/>
  <c r="O10" i="69"/>
  <c r="H11" i="69"/>
  <c r="D50" i="69"/>
  <c r="L26" i="69"/>
  <c r="C8" i="69"/>
  <c r="B11" i="68"/>
  <c r="B8" i="69" s="1"/>
  <c r="L9" i="68"/>
  <c r="L6" i="69" s="1"/>
  <c r="L12" i="69"/>
  <c r="F31" i="69"/>
  <c r="G35" i="69"/>
  <c r="M56" i="69"/>
  <c r="N29" i="69"/>
  <c r="H27" i="69"/>
  <c r="B18" i="68"/>
  <c r="B15" i="69" s="1"/>
  <c r="C15" i="69"/>
  <c r="H42" i="69"/>
  <c r="N26" i="69"/>
  <c r="P45" i="69"/>
  <c r="E50" i="69"/>
  <c r="O21" i="69"/>
  <c r="H17" i="69"/>
  <c r="H28" i="69"/>
  <c r="P29" i="69"/>
  <c r="D13" i="69"/>
  <c r="H50" i="69"/>
  <c r="D40" i="69"/>
  <c r="O32" i="69"/>
  <c r="N51" i="69"/>
  <c r="B46" i="68"/>
  <c r="B43" i="69" s="1"/>
  <c r="C43" i="69"/>
  <c r="G13" i="69"/>
  <c r="L51" i="69"/>
  <c r="P18" i="69"/>
  <c r="D21" i="69"/>
  <c r="H32" i="69"/>
  <c r="F18" i="69"/>
  <c r="M7" i="69"/>
  <c r="G41" i="69"/>
  <c r="C17" i="69"/>
  <c r="B20" i="68"/>
  <c r="B17" i="69" s="1"/>
  <c r="E10" i="69"/>
  <c r="F51" i="69"/>
  <c r="M31" i="69"/>
  <c r="G16" i="69"/>
  <c r="F21" i="69"/>
  <c r="N15" i="69"/>
  <c r="F9" i="68"/>
  <c r="F6" i="69" s="1"/>
  <c r="F12" i="69"/>
  <c r="E47" i="69"/>
  <c r="G20" i="69"/>
  <c r="G31" i="69"/>
  <c r="G49" i="69"/>
  <c r="N48" i="69"/>
  <c r="N31" i="69"/>
  <c r="D10" i="69"/>
  <c r="E56" i="69"/>
  <c r="O11" i="69"/>
  <c r="N30" i="69"/>
  <c r="M26" i="69"/>
  <c r="J57" i="68"/>
  <c r="J54" i="69" s="1"/>
  <c r="K54" i="69"/>
  <c r="M40" i="69"/>
  <c r="L25" i="69"/>
  <c r="P49" i="69"/>
  <c r="O13" i="69"/>
  <c r="L19" i="69"/>
  <c r="K53" i="69"/>
  <c r="J56" i="68"/>
  <c r="J53" i="69" s="1"/>
  <c r="M55" i="69"/>
  <c r="L36" i="69"/>
  <c r="G8" i="69"/>
  <c r="F20" i="69"/>
  <c r="P36" i="69"/>
  <c r="L42" i="69"/>
  <c r="O50" i="69"/>
  <c r="N25" i="69"/>
  <c r="D18" i="69"/>
  <c r="D22" i="69"/>
  <c r="E33" i="69"/>
  <c r="C30" i="69"/>
  <c r="B33" i="68"/>
  <c r="B30" i="69" s="1"/>
  <c r="L44" i="69"/>
  <c r="M11" i="69"/>
  <c r="E32" i="69"/>
  <c r="D24" i="69"/>
  <c r="O18" i="69"/>
  <c r="B27" i="68"/>
  <c r="B24" i="69" s="1"/>
  <c r="C24" i="69"/>
  <c r="J39" i="68"/>
  <c r="J36" i="69" s="1"/>
  <c r="K36" i="69"/>
  <c r="P25" i="69"/>
  <c r="O25" i="69"/>
  <c r="E29" i="69"/>
  <c r="P27" i="69"/>
  <c r="N9" i="69"/>
  <c r="F28" i="69"/>
  <c r="G9" i="68"/>
  <c r="G6" i="69" s="1"/>
  <c r="G12" i="69"/>
  <c r="K32" i="69"/>
  <c r="J35" i="68"/>
  <c r="J32" i="69" s="1"/>
  <c r="C53" i="69"/>
  <c r="B56" i="68"/>
  <c r="B53" i="69" s="1"/>
  <c r="K43" i="69"/>
  <c r="J46" i="68"/>
  <c r="J43" i="69" s="1"/>
  <c r="K47" i="69"/>
  <c r="J50" i="68"/>
  <c r="J47" i="69" s="1"/>
  <c r="E43" i="69"/>
  <c r="B28" i="68"/>
  <c r="B25" i="69" s="1"/>
  <c r="C25" i="69"/>
  <c r="J26" i="68"/>
  <c r="J23" i="69" s="1"/>
  <c r="K23" i="69"/>
  <c r="O47" i="69"/>
  <c r="J45" i="68"/>
  <c r="J42" i="69" s="1"/>
  <c r="K42" i="69"/>
  <c r="H26" i="69"/>
  <c r="G11" i="69"/>
  <c r="O55" i="69"/>
  <c r="F34" i="69"/>
  <c r="H41" i="69"/>
  <c r="M44" i="69"/>
  <c r="M47" i="69"/>
  <c r="O33" i="69"/>
  <c r="E55" i="69"/>
  <c r="E16" i="69"/>
  <c r="O22" i="69"/>
  <c r="D32" i="69"/>
  <c r="E18" i="69"/>
  <c r="K45" i="69"/>
  <c r="J48" i="68"/>
  <c r="J45" i="69" s="1"/>
  <c r="J31" i="68"/>
  <c r="J28" i="69" s="1"/>
  <c r="K28" i="69"/>
  <c r="F13" i="69"/>
  <c r="J59" i="68"/>
  <c r="J56" i="69" s="1"/>
  <c r="K56" i="69"/>
  <c r="E48" i="69"/>
  <c r="F22" i="69"/>
  <c r="P17" i="69"/>
  <c r="L32" i="69"/>
  <c r="O42" i="69"/>
  <c r="C28" i="69"/>
  <c r="B31" i="68"/>
  <c r="B28" i="69" s="1"/>
  <c r="H37" i="69"/>
  <c r="B43" i="68"/>
  <c r="B40" i="69" s="1"/>
  <c r="C40" i="69"/>
  <c r="F24" i="69"/>
  <c r="F14" i="69"/>
  <c r="H51" i="69"/>
  <c r="H7" i="69"/>
  <c r="J12" i="68"/>
  <c r="J9" i="69" s="1"/>
  <c r="K9" i="69"/>
  <c r="K21" i="69"/>
  <c r="J24" i="68"/>
  <c r="J21" i="69" s="1"/>
  <c r="C23" i="69"/>
  <c r="B26" i="68"/>
  <c r="B23" i="69" s="1"/>
  <c r="G51" i="69"/>
  <c r="L10" i="69"/>
  <c r="D37" i="69"/>
  <c r="P47" i="69"/>
  <c r="B36" i="68"/>
  <c r="B33" i="69" s="1"/>
  <c r="C33" i="69"/>
  <c r="F29" i="69"/>
  <c r="K27" i="69"/>
  <c r="J30" i="68"/>
  <c r="J27" i="69" s="1"/>
  <c r="J51" i="68"/>
  <c r="J48" i="69" s="1"/>
  <c r="K48" i="69"/>
  <c r="B44" i="68"/>
  <c r="B41" i="69" s="1"/>
  <c r="C41" i="69"/>
  <c r="G14" i="69"/>
  <c r="D29" i="69"/>
  <c r="E45" i="69"/>
  <c r="M13" i="69"/>
  <c r="G53" i="69"/>
  <c r="H48" i="69"/>
  <c r="M34" i="69"/>
  <c r="N39" i="69"/>
  <c r="N23" i="69"/>
  <c r="L48" i="69"/>
  <c r="D42" i="69"/>
  <c r="M54" i="69"/>
  <c r="G47" i="69"/>
  <c r="K33" i="69"/>
  <c r="J36" i="68"/>
  <c r="J33" i="69" s="1"/>
  <c r="P35" i="69"/>
  <c r="G43" i="69"/>
  <c r="L13" i="69"/>
  <c r="C37" i="69"/>
  <c r="B40" i="68"/>
  <c r="B37" i="69" s="1"/>
  <c r="D51" i="69"/>
  <c r="J27" i="68"/>
  <c r="J24" i="69" s="1"/>
  <c r="K24" i="69"/>
  <c r="P55" i="69"/>
  <c r="H29" i="69"/>
  <c r="D38" i="69"/>
  <c r="P39" i="69"/>
  <c r="E20" i="69"/>
  <c r="E15" i="69"/>
  <c r="K38" i="69"/>
  <c r="J41" i="68"/>
  <c r="J38" i="69" s="1"/>
  <c r="J38" i="68"/>
  <c r="J35" i="69" s="1"/>
  <c r="K35" i="69"/>
  <c r="D9" i="69"/>
  <c r="M15" i="69"/>
  <c r="N40" i="69"/>
  <c r="M49" i="69"/>
  <c r="G45" i="69"/>
  <c r="H23" i="69"/>
  <c r="P53" i="69"/>
  <c r="B55" i="68"/>
  <c r="B52" i="69" s="1"/>
  <c r="C52" i="69"/>
  <c r="P14" i="69"/>
  <c r="C31" i="69"/>
  <c r="B34" i="68"/>
  <c r="B31" i="69" s="1"/>
  <c r="D12" i="69"/>
  <c r="D9" i="68"/>
  <c r="D6" i="69" s="1"/>
  <c r="D28" i="69"/>
  <c r="P31" i="69"/>
  <c r="L41" i="69"/>
  <c r="G44" i="69"/>
  <c r="F40" i="69"/>
  <c r="H8" i="69"/>
  <c r="L30" i="69"/>
  <c r="E36" i="69"/>
  <c r="O28" i="69"/>
  <c r="H24" i="69"/>
  <c r="L11" i="69"/>
  <c r="H53" i="69"/>
  <c r="M32" i="69"/>
  <c r="F43" i="69"/>
  <c r="J33" i="68"/>
  <c r="J30" i="69" s="1"/>
  <c r="K30" i="69"/>
  <c r="N34" i="69"/>
  <c r="L38" i="69"/>
  <c r="L16" i="69"/>
  <c r="D20" i="69"/>
  <c r="O44" i="69"/>
  <c r="C9" i="69"/>
  <c r="B12" i="68"/>
  <c r="B9" i="69" s="1"/>
  <c r="H40" i="69"/>
  <c r="B50" i="68"/>
  <c r="B47" i="69" s="1"/>
  <c r="C47" i="69"/>
  <c r="P56" i="69"/>
  <c r="B29" i="68"/>
  <c r="B26" i="69" s="1"/>
  <c r="C26" i="69"/>
  <c r="G18" i="69"/>
  <c r="N54" i="69"/>
  <c r="F15" i="69"/>
  <c r="H12" i="69"/>
  <c r="H9" i="68"/>
  <c r="H6" i="69" s="1"/>
  <c r="L56" i="69"/>
  <c r="C22" i="69"/>
  <c r="B25" i="68"/>
  <c r="B22" i="69" s="1"/>
  <c r="C21" i="69"/>
  <c r="B24" i="68"/>
  <c r="B21" i="69" s="1"/>
  <c r="K18" i="69"/>
  <c r="J21" i="68"/>
  <c r="J18" i="69" s="1"/>
  <c r="E7" i="69"/>
  <c r="C54" i="69"/>
  <c r="B57" i="68"/>
  <c r="B54" i="69" s="1"/>
  <c r="N28" i="69"/>
  <c r="D45" i="69"/>
  <c r="O41" i="69"/>
  <c r="E17" i="69"/>
  <c r="E21" i="69"/>
  <c r="E44" i="69"/>
  <c r="G23" i="69"/>
  <c r="M21" i="69"/>
  <c r="L15" i="69"/>
  <c r="O26" i="69"/>
  <c r="K52" i="69"/>
  <c r="J55" i="68"/>
  <c r="J52" i="69" s="1"/>
  <c r="F7" i="69"/>
  <c r="N13" i="69"/>
  <c r="M19" i="69"/>
  <c r="L45" i="69"/>
  <c r="E37" i="69"/>
  <c r="D33" i="69"/>
  <c r="E42" i="69"/>
  <c r="P8" i="69"/>
  <c r="H43" i="69"/>
  <c r="D56" i="69"/>
  <c r="M10" i="69"/>
  <c r="D52" i="69"/>
  <c r="H45" i="69"/>
  <c r="M53" i="69"/>
  <c r="H13" i="69"/>
  <c r="G15" i="69"/>
  <c r="O29" i="69"/>
  <c r="G40" i="69"/>
  <c r="G22" i="69"/>
  <c r="N32" i="69"/>
  <c r="N42" i="69"/>
  <c r="O52" i="69"/>
  <c r="P26" i="69"/>
  <c r="J14" i="68"/>
  <c r="J11" i="69" s="1"/>
  <c r="K11" i="69"/>
  <c r="F38" i="69"/>
  <c r="P42" i="69"/>
  <c r="D26" i="69"/>
  <c r="P23" i="69"/>
  <c r="E51" i="69"/>
  <c r="D35" i="69"/>
  <c r="P15" i="69"/>
  <c r="G56" i="69"/>
  <c r="N35" i="69"/>
  <c r="B16" i="68"/>
  <c r="B13" i="69" s="1"/>
  <c r="C13" i="69"/>
  <c r="O43" i="69"/>
  <c r="N27" i="69"/>
  <c r="E24" i="69"/>
  <c r="M33" i="69"/>
  <c r="K46" i="69"/>
  <c r="J49" i="68"/>
  <c r="J46" i="69" s="1"/>
  <c r="O40" i="69"/>
  <c r="G26" i="69"/>
  <c r="O45" i="69"/>
  <c r="H52" i="69"/>
  <c r="L18" i="69"/>
  <c r="O54" i="69"/>
  <c r="D46" i="69"/>
  <c r="E30" i="69"/>
  <c r="F56" i="69"/>
  <c r="O36" i="69"/>
  <c r="M28" i="69"/>
  <c r="G32" i="69"/>
  <c r="C46" i="69"/>
  <c r="B49" i="68"/>
  <c r="B46" i="69" s="1"/>
  <c r="N44" i="69"/>
  <c r="D39" i="69"/>
  <c r="N22" i="69"/>
  <c r="C18" i="69"/>
  <c r="B21" i="68"/>
  <c r="B18" i="69" s="1"/>
  <c r="P51" i="69"/>
  <c r="P20" i="69"/>
  <c r="G46" i="69"/>
  <c r="F9" i="69"/>
  <c r="J19" i="68"/>
  <c r="J16" i="69" s="1"/>
  <c r="K16" i="69"/>
  <c r="L21" i="69"/>
  <c r="H15" i="69"/>
  <c r="F55" i="69"/>
  <c r="E54" i="69"/>
  <c r="M48" i="69"/>
  <c r="P21" i="69"/>
  <c r="N21" i="69"/>
  <c r="O27" i="69"/>
  <c r="H39" i="69"/>
  <c r="B10" i="68"/>
  <c r="B7" i="69" s="1"/>
  <c r="C7" i="69"/>
  <c r="M43" i="69"/>
  <c r="D31" i="69"/>
  <c r="L50" i="69"/>
  <c r="L27" i="69"/>
  <c r="H25" i="69"/>
  <c r="O56" i="69"/>
  <c r="J29" i="68"/>
  <c r="J26" i="69" s="1"/>
  <c r="K26" i="69"/>
  <c r="D48" i="69"/>
  <c r="O16" i="69"/>
  <c r="N38" i="69"/>
  <c r="F41" i="69"/>
  <c r="E12" i="69"/>
  <c r="E9" i="68"/>
  <c r="E6" i="69" s="1"/>
  <c r="O14" i="69"/>
  <c r="E8" i="69"/>
  <c r="F23" i="69"/>
  <c r="O12" i="69"/>
  <c r="O9" i="68"/>
  <c r="O6" i="69" s="1"/>
  <c r="O30" i="69"/>
  <c r="K51" i="69"/>
  <c r="J54" i="68"/>
  <c r="J51" i="69" s="1"/>
  <c r="O34" i="69"/>
  <c r="C29" i="69"/>
  <c r="B32" i="68"/>
  <c r="B29" i="69" s="1"/>
  <c r="N8" i="69"/>
  <c r="P32" i="69"/>
  <c r="E38" i="69"/>
  <c r="P46" i="69"/>
  <c r="G36" i="69"/>
  <c r="N24" i="69"/>
  <c r="N56" i="69"/>
  <c r="O53" i="69"/>
  <c r="D34" i="69"/>
  <c r="L20" i="69"/>
  <c r="E25" i="69"/>
  <c r="K22" i="69"/>
  <c r="J25" i="68"/>
  <c r="J22" i="69" s="1"/>
  <c r="E41" i="69"/>
  <c r="M9" i="69"/>
  <c r="E11" i="69"/>
  <c r="G38" i="69"/>
  <c r="H21" i="69"/>
  <c r="N10" i="69"/>
  <c r="K37" i="69"/>
  <c r="J40" i="68"/>
  <c r="J37" i="69" s="1"/>
  <c r="J44" i="68"/>
  <c r="J41" i="69" s="1"/>
  <c r="K41" i="69"/>
  <c r="L33" i="69"/>
  <c r="L29" i="69"/>
  <c r="K31" i="69"/>
  <c r="J34" i="68"/>
  <c r="J31" i="69" s="1"/>
  <c r="M20" i="69"/>
  <c r="M17" i="69"/>
  <c r="M52" i="69"/>
  <c r="O39" i="69"/>
  <c r="N16" i="69"/>
  <c r="G9" i="69"/>
  <c r="C34" i="69"/>
  <c r="B37" i="68"/>
  <c r="B34" i="69" s="1"/>
  <c r="D14" i="69"/>
  <c r="H14" i="69"/>
  <c r="E9" i="69"/>
  <c r="G17" i="69"/>
  <c r="L23" i="69"/>
  <c r="P43" i="69"/>
  <c r="G48" i="69"/>
  <c r="H31" i="69"/>
  <c r="P52" i="69"/>
  <c r="L7" i="69"/>
  <c r="K50" i="69"/>
  <c r="J53" i="68"/>
  <c r="J50" i="69" s="1"/>
  <c r="D15" i="69"/>
  <c r="D16" i="69"/>
  <c r="H55" i="69"/>
  <c r="G33" i="69"/>
  <c r="D23" i="69"/>
  <c r="H19" i="69"/>
  <c r="H54" i="69"/>
  <c r="O31" i="69"/>
  <c r="D55" i="69"/>
  <c r="H47" i="69"/>
  <c r="K8" i="69"/>
  <c r="J11" i="68"/>
  <c r="J8" i="69" s="1"/>
  <c r="C36" i="69"/>
  <c r="B39" i="68"/>
  <c r="B36" i="69" s="1"/>
  <c r="G30" i="69"/>
  <c r="O9" i="69"/>
  <c r="C10" i="69"/>
  <c r="B13" i="68"/>
  <c r="B10" i="69" s="1"/>
  <c r="G50" i="69"/>
  <c r="E34" i="69"/>
  <c r="F27" i="69"/>
  <c r="G34" i="69"/>
  <c r="N53" i="69"/>
  <c r="B45" i="68"/>
  <c r="B42" i="69" s="1"/>
  <c r="C42" i="69"/>
  <c r="L35" i="69"/>
  <c r="C19" i="69"/>
  <c r="B22" i="68"/>
  <c r="B19" i="69" s="1"/>
  <c r="G24" i="69"/>
  <c r="L17" i="69"/>
  <c r="M27" i="69"/>
  <c r="M46" i="69"/>
  <c r="M12" i="69"/>
  <c r="M9" i="68"/>
  <c r="M6" i="69" s="1"/>
  <c r="F42" i="69"/>
  <c r="F36" i="69"/>
  <c r="P7" i="69"/>
  <c r="G28" i="69"/>
  <c r="H33" i="69"/>
  <c r="P10" i="69"/>
  <c r="L54" i="69"/>
  <c r="B9" i="68"/>
  <c r="B6" i="69" s="1"/>
  <c r="D5" i="53"/>
  <c r="D7" i="53"/>
  <c r="D6" i="53"/>
  <c r="J9" i="68" l="1"/>
  <c r="J6" i="69" s="1"/>
  <c r="D44" i="53"/>
  <c r="D51" i="53"/>
  <c r="D52" i="53" l="1"/>
  <c r="D24" i="53" l="1"/>
  <c r="D25" i="53" l="1"/>
  <c r="D4" i="53" l="1"/>
  <c r="D3" i="53"/>
  <c r="E48" i="1" l="1"/>
  <c r="V50" i="24"/>
  <c r="AB13" i="24"/>
  <c r="AC39" i="24"/>
  <c r="D40" i="1"/>
  <c r="F11" i="1"/>
  <c r="O14" i="24"/>
  <c r="W22" i="24"/>
  <c r="T52" i="24"/>
  <c r="AC35" i="24"/>
  <c r="H29" i="1"/>
  <c r="T43" i="24"/>
  <c r="AI34" i="24"/>
  <c r="AI58" i="24"/>
  <c r="Q28" i="24"/>
  <c r="V21" i="24"/>
  <c r="AF43" i="24"/>
  <c r="AA10" i="24"/>
  <c r="T15" i="24"/>
  <c r="AA37" i="24"/>
  <c r="U31" i="24"/>
  <c r="Z49" i="24"/>
  <c r="V35" i="24"/>
  <c r="N31" i="24"/>
  <c r="AI59" i="24"/>
  <c r="Z25" i="24"/>
  <c r="H24" i="1"/>
  <c r="Z57" i="24"/>
  <c r="B54" i="1"/>
  <c r="AG22" i="24"/>
  <c r="T37" i="24"/>
  <c r="H22" i="1"/>
  <c r="AF50" i="24"/>
  <c r="AH35" i="24"/>
  <c r="V31" i="24"/>
  <c r="AA29" i="24"/>
  <c r="C38" i="1"/>
  <c r="H25" i="1"/>
  <c r="AI11" i="24"/>
  <c r="H26" i="1"/>
  <c r="G54" i="1"/>
  <c r="D26" i="1"/>
  <c r="T40" i="24"/>
  <c r="I52" i="1"/>
  <c r="E22" i="1"/>
  <c r="I56" i="1"/>
  <c r="AC58" i="24"/>
  <c r="G17" i="1"/>
  <c r="AF28" i="24"/>
  <c r="N38" i="24"/>
  <c r="Q30" i="24"/>
  <c r="P53" i="24"/>
  <c r="U40" i="24"/>
  <c r="D46" i="1"/>
  <c r="N17" i="24"/>
  <c r="F48" i="1"/>
  <c r="O45" i="24"/>
  <c r="F28" i="1"/>
  <c r="AA44" i="24"/>
  <c r="N13" i="24"/>
  <c r="H53" i="1"/>
  <c r="AF46" i="24"/>
  <c r="AG52" i="24"/>
  <c r="Z14" i="24"/>
  <c r="AH52" i="24"/>
  <c r="T23" i="24"/>
  <c r="P32" i="24"/>
  <c r="AA38" i="24"/>
  <c r="C54" i="1"/>
  <c r="AB59" i="24"/>
  <c r="H34" i="1"/>
  <c r="U24" i="24"/>
  <c r="D33" i="1"/>
  <c r="U48" i="24"/>
  <c r="AH16" i="24"/>
  <c r="AG54" i="24"/>
  <c r="G30" i="1"/>
  <c r="W51" i="24"/>
  <c r="B28" i="1"/>
  <c r="W26" i="24"/>
  <c r="Q34" i="24"/>
  <c r="B56" i="1"/>
  <c r="Q48" i="24"/>
  <c r="O49" i="24"/>
  <c r="P29" i="24"/>
  <c r="D17" i="1"/>
  <c r="G57" i="1"/>
  <c r="E58" i="1"/>
  <c r="P59" i="24"/>
  <c r="AI49" i="24"/>
  <c r="N15" i="24"/>
  <c r="AH30" i="24"/>
  <c r="C47" i="1"/>
  <c r="U23" i="24"/>
  <c r="AC15" i="24"/>
  <c r="P36" i="24"/>
  <c r="V58" i="24"/>
  <c r="D13" i="1"/>
  <c r="I48" i="1"/>
  <c r="E37" i="1"/>
  <c r="Z17" i="24"/>
  <c r="U41" i="24"/>
  <c r="D11" i="1"/>
  <c r="H57" i="1"/>
  <c r="U53" i="24"/>
  <c r="AF19" i="24"/>
  <c r="AC54" i="24"/>
  <c r="O24" i="24"/>
  <c r="AG46" i="24"/>
  <c r="AA24" i="24"/>
  <c r="AC45" i="24"/>
  <c r="F37" i="1"/>
  <c r="AA22" i="24"/>
  <c r="D19" i="1"/>
  <c r="G13" i="1"/>
  <c r="E34" i="1"/>
  <c r="AG59" i="24"/>
  <c r="AH40" i="24"/>
  <c r="O9" i="24"/>
  <c r="V28" i="24"/>
  <c r="AC23" i="24"/>
  <c r="AA26" i="24"/>
  <c r="AH36" i="24"/>
  <c r="G37" i="1"/>
  <c r="F27" i="1"/>
  <c r="F34" i="1"/>
  <c r="Q18" i="24"/>
  <c r="V29" i="24"/>
  <c r="W12" i="24"/>
  <c r="V13" i="24"/>
  <c r="T59" i="24"/>
  <c r="H9" i="1"/>
  <c r="G12" i="1"/>
  <c r="Q43" i="24"/>
  <c r="AA57" i="24"/>
  <c r="Z56" i="24"/>
  <c r="G41" i="1"/>
  <c r="AH28" i="24"/>
  <c r="T57" i="24"/>
  <c r="P18" i="24"/>
  <c r="AG19" i="24"/>
  <c r="AF59" i="24"/>
  <c r="T17" i="24"/>
  <c r="U52" i="24"/>
  <c r="W58" i="24"/>
  <c r="W18" i="24"/>
  <c r="W32" i="24"/>
  <c r="W55" i="24"/>
  <c r="G8" i="1"/>
  <c r="G47" i="1"/>
  <c r="D51" i="1"/>
  <c r="D58" i="1"/>
  <c r="AI14" i="24"/>
  <c r="AI57" i="24"/>
  <c r="Q11" i="24"/>
  <c r="AF32" i="24"/>
  <c r="C25" i="1"/>
  <c r="AH18" i="24"/>
  <c r="N50" i="24"/>
  <c r="T25" i="24"/>
  <c r="Z26" i="24"/>
  <c r="AG14" i="24"/>
  <c r="B19" i="1"/>
  <c r="B25" i="1"/>
  <c r="D34" i="1"/>
  <c r="AB53" i="24"/>
  <c r="AB35" i="24"/>
  <c r="O44" i="24"/>
  <c r="W40" i="24"/>
  <c r="O47" i="24"/>
  <c r="Q59" i="24"/>
  <c r="F49" i="1"/>
  <c r="Q27" i="24"/>
  <c r="AA46" i="24"/>
  <c r="AI32" i="24"/>
  <c r="U36" i="24"/>
  <c r="AI35" i="24"/>
  <c r="E31" i="1"/>
  <c r="AA23" i="24"/>
  <c r="I29" i="1"/>
  <c r="H13" i="1"/>
  <c r="Z55" i="24"/>
  <c r="W35" i="24"/>
  <c r="T36" i="24"/>
  <c r="AH37" i="24"/>
  <c r="AI33" i="24"/>
  <c r="U12" i="24"/>
  <c r="AI36" i="24"/>
  <c r="T30" i="24"/>
  <c r="AA59" i="24"/>
  <c r="O18" i="24"/>
  <c r="B9" i="1"/>
  <c r="Z20" i="24"/>
  <c r="E23" i="1"/>
  <c r="V48" i="24"/>
  <c r="H10" i="1"/>
  <c r="W9" i="24"/>
  <c r="C44" i="1"/>
  <c r="AH13" i="24"/>
  <c r="V42" i="24"/>
  <c r="W42" i="24"/>
  <c r="T41" i="24"/>
  <c r="T22" i="24"/>
  <c r="V14" i="24"/>
  <c r="C51" i="1"/>
  <c r="AH54" i="24"/>
  <c r="E38" i="1"/>
  <c r="T11" i="24"/>
  <c r="G55" i="1"/>
  <c r="W10" i="24"/>
  <c r="Z46" i="24"/>
  <c r="P34" i="24"/>
  <c r="W47" i="24"/>
  <c r="P30" i="24"/>
  <c r="Z18" i="24"/>
  <c r="D39" i="1"/>
  <c r="AB9" i="24"/>
  <c r="D49" i="1"/>
  <c r="O33" i="24"/>
  <c r="AF48" i="24"/>
  <c r="N23" i="24"/>
  <c r="C21" i="1"/>
  <c r="C29" i="1"/>
  <c r="AH49" i="24"/>
  <c r="Z48" i="24"/>
  <c r="I55" i="1"/>
  <c r="G9" i="1"/>
  <c r="H15" i="1"/>
  <c r="V40" i="24"/>
  <c r="T29" i="24"/>
  <c r="AA32" i="24"/>
  <c r="F13" i="1"/>
  <c r="I16" i="1"/>
  <c r="I58" i="1"/>
  <c r="AB36" i="24"/>
  <c r="AH21" i="24"/>
  <c r="O38" i="24"/>
  <c r="D16" i="1"/>
  <c r="N29" i="24"/>
  <c r="D14" i="1"/>
  <c r="AH57" i="24"/>
  <c r="B34" i="1"/>
  <c r="I39" i="1"/>
  <c r="Z10" i="24"/>
  <c r="Z44" i="24"/>
  <c r="W59" i="24"/>
  <c r="E51" i="1"/>
  <c r="B51" i="1"/>
  <c r="D27" i="1"/>
  <c r="Q15" i="24"/>
  <c r="O13" i="24"/>
  <c r="I54" i="1"/>
  <c r="E56" i="1"/>
  <c r="N30" i="24"/>
  <c r="Z42" i="24"/>
  <c r="AB15" i="24"/>
  <c r="AG9" i="24"/>
  <c r="H33" i="1"/>
  <c r="AC19" i="24"/>
  <c r="F38" i="1"/>
  <c r="Z11" i="24"/>
  <c r="E36" i="1"/>
  <c r="I40" i="1"/>
  <c r="AF44" i="24"/>
  <c r="B57" i="1"/>
  <c r="AH46" i="24"/>
  <c r="U35" i="24"/>
  <c r="P28" i="24"/>
  <c r="V56" i="24"/>
  <c r="AI9" i="24"/>
  <c r="G48" i="1"/>
  <c r="B32" i="1"/>
  <c r="AH11" i="24"/>
  <c r="Q55" i="24"/>
  <c r="B29" i="1"/>
  <c r="AH15" i="24"/>
  <c r="E25" i="1"/>
  <c r="I35" i="1"/>
  <c r="V16" i="24"/>
  <c r="AC40" i="24"/>
  <c r="AG10" i="24"/>
  <c r="E13" i="1"/>
  <c r="W28" i="24"/>
  <c r="F24" i="1"/>
  <c r="H21" i="1"/>
  <c r="O31" i="24"/>
  <c r="AB45" i="24"/>
  <c r="AF47" i="24"/>
  <c r="AB43" i="24"/>
  <c r="AA50" i="24"/>
  <c r="E43" i="1"/>
  <c r="G38" i="1"/>
  <c r="C53" i="1"/>
  <c r="AG49" i="24"/>
  <c r="B55" i="1"/>
  <c r="Z39" i="24"/>
  <c r="B21" i="1"/>
  <c r="Z21" i="24"/>
  <c r="G22" i="1"/>
  <c r="Z40" i="24"/>
  <c r="AI16" i="24"/>
  <c r="AC46" i="24"/>
  <c r="C45" i="1"/>
  <c r="AF45" i="24"/>
  <c r="T55" i="24"/>
  <c r="U33" i="24"/>
  <c r="T24" i="24"/>
  <c r="D37" i="1"/>
  <c r="AB55" i="24"/>
  <c r="F12" i="1"/>
  <c r="U58" i="24"/>
  <c r="AG31" i="24"/>
  <c r="AG17" i="24"/>
  <c r="E35" i="1"/>
  <c r="U9" i="24"/>
  <c r="U44" i="24"/>
  <c r="O51" i="24"/>
  <c r="AB49" i="24"/>
  <c r="U42" i="24"/>
  <c r="E11" i="1"/>
  <c r="AC11" i="24"/>
  <c r="G11" i="1"/>
  <c r="C17" i="1"/>
  <c r="AG20" i="24"/>
  <c r="AB51" i="24"/>
  <c r="Q53" i="24"/>
  <c r="C26" i="1"/>
  <c r="F39" i="1"/>
  <c r="AC41" i="24"/>
  <c r="AH51" i="24"/>
  <c r="V27" i="24"/>
  <c r="V33" i="24"/>
  <c r="I34" i="1"/>
  <c r="U17" i="24"/>
  <c r="P16" i="24"/>
  <c r="T54" i="24"/>
  <c r="Z54" i="24"/>
  <c r="AB50" i="24"/>
  <c r="P15" i="24"/>
  <c r="Q41" i="24"/>
  <c r="W41" i="24"/>
  <c r="F55" i="1"/>
  <c r="T14" i="24"/>
  <c r="AA51" i="24"/>
  <c r="D47" i="1"/>
  <c r="F52" i="1"/>
  <c r="H48" i="1"/>
  <c r="G29" i="1"/>
  <c r="B22" i="1"/>
  <c r="H45" i="1"/>
  <c r="AI24" i="24"/>
  <c r="AG53" i="24"/>
  <c r="W37" i="24"/>
  <c r="C23" i="1"/>
  <c r="T10" i="24"/>
  <c r="W14" i="24"/>
  <c r="W34" i="24"/>
  <c r="AA36" i="24"/>
  <c r="F47" i="1"/>
  <c r="AA55" i="24"/>
  <c r="E41" i="1"/>
  <c r="C57" i="1"/>
  <c r="F54" i="1"/>
  <c r="D29" i="1"/>
  <c r="N54" i="24"/>
  <c r="AI10" i="24"/>
  <c r="AA19" i="24"/>
  <c r="AC48" i="24"/>
  <c r="AI12" i="24"/>
  <c r="AG56" i="24"/>
  <c r="I13" i="1"/>
  <c r="AF36" i="24"/>
  <c r="AA20" i="24"/>
  <c r="O55" i="24"/>
  <c r="E10" i="1"/>
  <c r="AF53" i="24"/>
  <c r="Q32" i="24"/>
  <c r="AB14" i="24"/>
  <c r="B49" i="1"/>
  <c r="AB39" i="24"/>
  <c r="B13" i="1"/>
  <c r="T19" i="24"/>
  <c r="Z58" i="24"/>
  <c r="Z22" i="24"/>
  <c r="AH38" i="24"/>
  <c r="E57" i="1"/>
  <c r="Z16" i="24"/>
  <c r="U45" i="24"/>
  <c r="AB21" i="24"/>
  <c r="AH58" i="24"/>
  <c r="D56" i="1"/>
  <c r="H49" i="1"/>
  <c r="P57" i="24"/>
  <c r="N24" i="24"/>
  <c r="D20" i="1"/>
  <c r="W38" i="24"/>
  <c r="U56" i="24"/>
  <c r="T20" i="24"/>
  <c r="D50" i="1"/>
  <c r="P44" i="24"/>
  <c r="H19" i="1"/>
  <c r="AC24" i="24"/>
  <c r="P50" i="24"/>
  <c r="U46" i="24"/>
  <c r="AC47" i="24"/>
  <c r="AA41" i="24"/>
  <c r="F45" i="1"/>
  <c r="Q17" i="24"/>
  <c r="N45" i="24"/>
  <c r="AB52" i="24"/>
  <c r="F40" i="1"/>
  <c r="AA35" i="24"/>
  <c r="O58" i="24"/>
  <c r="AC21" i="24"/>
  <c r="AA25" i="24"/>
  <c r="W36" i="24"/>
  <c r="AF57" i="24"/>
  <c r="AI46" i="24"/>
  <c r="E33" i="1"/>
  <c r="I57" i="1"/>
  <c r="N28" i="24"/>
  <c r="N46" i="24"/>
  <c r="N35" i="24"/>
  <c r="AF29" i="24"/>
  <c r="E20" i="1"/>
  <c r="AA16" i="24"/>
  <c r="AI54" i="24"/>
  <c r="N16" i="24"/>
  <c r="I43" i="1"/>
  <c r="Q35" i="24"/>
  <c r="N47" i="24"/>
  <c r="Z13" i="24"/>
  <c r="AH14" i="24"/>
  <c r="G49" i="1"/>
  <c r="AB12" i="24"/>
  <c r="AF35" i="24"/>
  <c r="V54" i="24"/>
  <c r="N19" i="24"/>
  <c r="I14" i="1"/>
  <c r="D45" i="1"/>
  <c r="AG18" i="24"/>
  <c r="AG33" i="24"/>
  <c r="AH48" i="24"/>
  <c r="D43" i="1"/>
  <c r="G18" i="1"/>
  <c r="AF13" i="24"/>
  <c r="B37" i="1"/>
  <c r="AI23" i="24"/>
  <c r="E54" i="1"/>
  <c r="AF18" i="24"/>
  <c r="P49" i="24"/>
  <c r="AB38" i="24"/>
  <c r="I37" i="1"/>
  <c r="I31" i="1"/>
  <c r="H56" i="1"/>
  <c r="V25" i="24"/>
  <c r="AC42" i="24"/>
  <c r="Q23" i="24"/>
  <c r="I22" i="1"/>
  <c r="AH27" i="24"/>
  <c r="H36" i="1"/>
  <c r="AG43" i="24"/>
  <c r="AI17" i="24"/>
  <c r="W56" i="24"/>
  <c r="D22" i="1"/>
  <c r="F51" i="1"/>
  <c r="AG21" i="24"/>
  <c r="V23" i="24"/>
  <c r="O23" i="24"/>
  <c r="C22" i="1"/>
  <c r="B17" i="1"/>
  <c r="Z9" i="24"/>
  <c r="F21" i="1"/>
  <c r="Z24" i="24"/>
  <c r="O10" i="24"/>
  <c r="AB23" i="24"/>
  <c r="F56" i="1"/>
  <c r="H20" i="1"/>
  <c r="AG16" i="24"/>
  <c r="C13" i="1"/>
  <c r="AA56" i="24"/>
  <c r="N34" i="24"/>
  <c r="T48" i="24"/>
  <c r="AG44" i="24"/>
  <c r="I21" i="1"/>
  <c r="Z43" i="24"/>
  <c r="Z52" i="24"/>
  <c r="G58" i="1"/>
  <c r="G25" i="1"/>
  <c r="O59" i="24"/>
  <c r="U59" i="24"/>
  <c r="V53" i="24"/>
  <c r="AA18" i="24"/>
  <c r="N52" i="24"/>
  <c r="U20" i="24"/>
  <c r="U29" i="24"/>
  <c r="O40" i="24"/>
  <c r="B16" i="1"/>
  <c r="V57" i="24"/>
  <c r="AC49" i="24"/>
  <c r="V49" i="24"/>
  <c r="C15" i="1"/>
  <c r="P10" i="24"/>
  <c r="O43" i="24"/>
  <c r="W11" i="24"/>
  <c r="C42" i="1"/>
  <c r="D53" i="1"/>
  <c r="AF11" i="24"/>
  <c r="D48" i="1"/>
  <c r="AA49" i="24"/>
  <c r="C10" i="1"/>
  <c r="C37" i="1"/>
  <c r="G34" i="1"/>
  <c r="AI18" i="24"/>
  <c r="F46" i="1"/>
  <c r="I45" i="1"/>
  <c r="V26" i="24"/>
  <c r="W20" i="24"/>
  <c r="AB18" i="24"/>
  <c r="W57" i="24"/>
  <c r="F29" i="1"/>
  <c r="O19" i="24"/>
  <c r="W30" i="24"/>
  <c r="E19" i="1"/>
  <c r="E27" i="1"/>
  <c r="AI31" i="24"/>
  <c r="N9" i="24"/>
  <c r="D44" i="1"/>
  <c r="T38" i="24"/>
  <c r="P14" i="24"/>
  <c r="Q29" i="24"/>
  <c r="F50" i="1"/>
  <c r="Z34" i="24"/>
  <c r="B14" i="1"/>
  <c r="AC51" i="24"/>
  <c r="H35" i="1"/>
  <c r="AB27" i="24"/>
  <c r="F18" i="1"/>
  <c r="T46" i="24"/>
  <c r="N21" i="24"/>
  <c r="N58" i="24"/>
  <c r="I30" i="1"/>
  <c r="H11" i="1"/>
  <c r="Z30" i="24"/>
  <c r="E9" i="1"/>
  <c r="AH45" i="24"/>
  <c r="P51" i="24"/>
  <c r="W54" i="24"/>
  <c r="C24" i="1"/>
  <c r="N20" i="24"/>
  <c r="U13" i="24"/>
  <c r="B44" i="1"/>
  <c r="AF31" i="24"/>
  <c r="N12" i="24"/>
  <c r="I51" i="1"/>
  <c r="T28" i="24"/>
  <c r="O17" i="24"/>
  <c r="E28" i="1"/>
  <c r="AH31" i="24"/>
  <c r="AG32" i="24"/>
  <c r="U54" i="24"/>
  <c r="AC34" i="24"/>
  <c r="Z31" i="24"/>
  <c r="AI41" i="24"/>
  <c r="H37" i="1"/>
  <c r="Q42" i="24"/>
  <c r="O22" i="24"/>
  <c r="I25" i="1"/>
  <c r="Z51" i="24"/>
  <c r="AG30" i="24"/>
  <c r="G23" i="1"/>
  <c r="Q24" i="24"/>
  <c r="B48" i="1"/>
  <c r="Z47" i="24"/>
  <c r="H14" i="1"/>
  <c r="AH29" i="24"/>
  <c r="I8" i="1"/>
  <c r="AF9" i="24"/>
  <c r="B38" i="1"/>
  <c r="C33" i="1"/>
  <c r="AC18" i="24"/>
  <c r="P33" i="24"/>
  <c r="AH43" i="24"/>
  <c r="H23" i="1"/>
  <c r="G52" i="1"/>
  <c r="U38" i="24"/>
  <c r="AG47" i="24"/>
  <c r="E47" i="1"/>
  <c r="P22" i="24"/>
  <c r="W21" i="24"/>
  <c r="O57" i="24"/>
  <c r="V19" i="24"/>
  <c r="F35" i="1"/>
  <c r="AG37" i="24"/>
  <c r="AA42" i="24"/>
  <c r="T18" i="24"/>
  <c r="I11" i="1"/>
  <c r="I41" i="1"/>
  <c r="U43" i="24"/>
  <c r="AB16" i="24"/>
  <c r="AH53" i="24"/>
  <c r="Z15" i="24"/>
  <c r="O48" i="24"/>
  <c r="D8" i="1"/>
  <c r="N32" i="24"/>
  <c r="Z36" i="24"/>
  <c r="E16" i="1"/>
  <c r="AB46" i="24"/>
  <c r="C14" i="1"/>
  <c r="V24" i="24"/>
  <c r="AC38" i="24"/>
  <c r="N43" i="24"/>
  <c r="AG55" i="24"/>
  <c r="Z28" i="24"/>
  <c r="B41" i="1"/>
  <c r="E44" i="1"/>
  <c r="Q22" i="24"/>
  <c r="W53" i="24"/>
  <c r="AI48" i="24"/>
  <c r="P9" i="24"/>
  <c r="AC29" i="24"/>
  <c r="N42" i="24"/>
  <c r="F19" i="1"/>
  <c r="D35" i="1"/>
  <c r="T32" i="24"/>
  <c r="V17" i="24"/>
  <c r="V12" i="24"/>
  <c r="V55" i="24"/>
  <c r="E50" i="1"/>
  <c r="O21" i="24"/>
  <c r="P38" i="24"/>
  <c r="AF40" i="24"/>
  <c r="H43" i="1"/>
  <c r="D41" i="1"/>
  <c r="AC22" i="24"/>
  <c r="E53" i="1"/>
  <c r="Q16" i="24"/>
  <c r="F32" i="1"/>
  <c r="I50" i="1"/>
  <c r="O25" i="24"/>
  <c r="Q57" i="24"/>
  <c r="Q51" i="24"/>
  <c r="C20" i="1"/>
  <c r="AG35" i="24"/>
  <c r="AI53" i="24"/>
  <c r="D30" i="1"/>
  <c r="AF39" i="24"/>
  <c r="B20" i="1"/>
  <c r="AG12" i="24"/>
  <c r="I46" i="1"/>
  <c r="G33" i="1"/>
  <c r="B24" i="1"/>
  <c r="N40" i="24"/>
  <c r="Q56" i="24"/>
  <c r="AI28" i="24"/>
  <c r="W33" i="24"/>
  <c r="AB24" i="24"/>
  <c r="P43" i="24"/>
  <c r="AH33" i="24"/>
  <c r="C49" i="1"/>
  <c r="P13" i="24"/>
  <c r="AA45" i="24"/>
  <c r="Z23" i="24"/>
  <c r="AH42" i="24"/>
  <c r="AB58" i="24"/>
  <c r="AG11" i="24"/>
  <c r="AC12" i="24"/>
  <c r="G20" i="1"/>
  <c r="AI51" i="24"/>
  <c r="W49" i="24"/>
  <c r="AI30" i="24"/>
  <c r="P52" i="24"/>
  <c r="I36" i="1"/>
  <c r="C19" i="1"/>
  <c r="AG13" i="24"/>
  <c r="D25" i="1"/>
  <c r="AB26" i="24"/>
  <c r="AA33" i="24"/>
  <c r="H54" i="1"/>
  <c r="Q54" i="24"/>
  <c r="T16" i="24"/>
  <c r="G26" i="1"/>
  <c r="AG48" i="24"/>
  <c r="D24" i="1"/>
  <c r="AB11" i="24"/>
  <c r="AI21" i="24"/>
  <c r="T47" i="24"/>
  <c r="W31" i="24"/>
  <c r="Z33" i="24"/>
  <c r="V37" i="24"/>
  <c r="T50" i="24"/>
  <c r="AG34" i="24"/>
  <c r="W48" i="24"/>
  <c r="AA54" i="24"/>
  <c r="B53" i="1"/>
  <c r="P48" i="24"/>
  <c r="N56" i="24"/>
  <c r="D28" i="1"/>
  <c r="AH55" i="24"/>
  <c r="G10" i="1"/>
  <c r="T13" i="24"/>
  <c r="AB57" i="24"/>
  <c r="U26" i="24"/>
  <c r="AA15" i="24"/>
  <c r="V43" i="24"/>
  <c r="P24" i="24"/>
  <c r="Q33" i="24"/>
  <c r="AA9" i="24"/>
  <c r="N14" i="24"/>
  <c r="AA40" i="24"/>
  <c r="C27" i="1"/>
  <c r="G53" i="1"/>
  <c r="Q58" i="24"/>
  <c r="AB19" i="24"/>
  <c r="O32" i="24"/>
  <c r="H12" i="1"/>
  <c r="Z12" i="24"/>
  <c r="E12" i="1"/>
  <c r="I44" i="1"/>
  <c r="Q49" i="24"/>
  <c r="T56" i="24"/>
  <c r="AC26" i="24"/>
  <c r="AF41" i="24"/>
  <c r="AF34" i="24"/>
  <c r="T35" i="24"/>
  <c r="Q50" i="24"/>
  <c r="AH44" i="24"/>
  <c r="AA13" i="24"/>
  <c r="H47" i="1"/>
  <c r="C11" i="1"/>
  <c r="V11" i="24"/>
  <c r="F57" i="1"/>
  <c r="AC27" i="24"/>
  <c r="W17" i="24"/>
  <c r="I24" i="1"/>
  <c r="T9" i="24"/>
  <c r="U47" i="24"/>
  <c r="N27" i="24"/>
  <c r="P55" i="24"/>
  <c r="I49" i="1"/>
  <c r="AC37" i="24"/>
  <c r="H30" i="1"/>
  <c r="W50" i="24"/>
  <c r="U28" i="24"/>
  <c r="Z53" i="24"/>
  <c r="P35" i="24"/>
  <c r="AB48" i="24"/>
  <c r="V46" i="24"/>
  <c r="B31" i="1"/>
  <c r="E52" i="1"/>
  <c r="AA21" i="24"/>
  <c r="AF27" i="24"/>
  <c r="H50" i="1"/>
  <c r="E32" i="1"/>
  <c r="I26" i="1"/>
  <c r="AG57" i="24"/>
  <c r="AG40" i="24"/>
  <c r="D32" i="1"/>
  <c r="I23" i="1"/>
  <c r="W23" i="24"/>
  <c r="AA53" i="24"/>
  <c r="Z41" i="24"/>
  <c r="C40" i="1"/>
  <c r="Z50" i="24"/>
  <c r="Z29" i="24"/>
  <c r="AA12" i="24"/>
  <c r="U22" i="24"/>
  <c r="AC33" i="24"/>
  <c r="N51" i="24"/>
  <c r="T33" i="24"/>
  <c r="G14" i="1"/>
  <c r="F26" i="1"/>
  <c r="I47" i="1"/>
  <c r="O20" i="24"/>
  <c r="AF56" i="24"/>
  <c r="V38" i="24"/>
  <c r="E17" i="1"/>
  <c r="E15" i="1"/>
  <c r="AG38" i="24"/>
  <c r="Q14" i="24"/>
  <c r="AB54" i="24"/>
  <c r="V44" i="24"/>
  <c r="E14" i="1"/>
  <c r="W45" i="24"/>
  <c r="AA47" i="24"/>
  <c r="G35" i="1"/>
  <c r="U32" i="24"/>
  <c r="F14" i="1"/>
  <c r="P56" i="24"/>
  <c r="H40" i="1"/>
  <c r="G39" i="1"/>
  <c r="B12" i="1"/>
  <c r="AH56" i="24"/>
  <c r="D38" i="1"/>
  <c r="O15" i="24"/>
  <c r="AG58" i="24"/>
  <c r="AC57" i="24"/>
  <c r="B33" i="1"/>
  <c r="AA48" i="24"/>
  <c r="N10" i="24"/>
  <c r="H46" i="1"/>
  <c r="AA58" i="24"/>
  <c r="AC25" i="24"/>
  <c r="U18" i="24"/>
  <c r="AH50" i="24"/>
  <c r="P19" i="24"/>
  <c r="P31" i="24"/>
  <c r="I38" i="1"/>
  <c r="N25" i="24"/>
  <c r="AG51" i="24"/>
  <c r="P21" i="24"/>
  <c r="B10" i="1"/>
  <c r="O54" i="24"/>
  <c r="AC32" i="24"/>
  <c r="U30" i="24"/>
  <c r="AC17" i="24"/>
  <c r="W27" i="24"/>
  <c r="AC31" i="24"/>
  <c r="D52" i="1"/>
  <c r="AA52" i="24"/>
  <c r="E21" i="1"/>
  <c r="I33" i="1"/>
  <c r="O46" i="24"/>
  <c r="AI43" i="24"/>
  <c r="AC56" i="24"/>
  <c r="N55" i="24"/>
  <c r="Q25" i="24"/>
  <c r="AF21" i="24"/>
  <c r="Q38" i="24"/>
  <c r="AB40" i="24"/>
  <c r="V45" i="24"/>
  <c r="AG26" i="24"/>
  <c r="N39" i="24"/>
  <c r="B36" i="1"/>
  <c r="C36" i="1"/>
  <c r="D15" i="1"/>
  <c r="AI37" i="24"/>
  <c r="D21" i="1"/>
  <c r="W44" i="24"/>
  <c r="P40" i="24"/>
  <c r="AF20" i="24"/>
  <c r="Z59" i="24"/>
  <c r="C43" i="1"/>
  <c r="F9" i="1"/>
  <c r="H18" i="1"/>
  <c r="F30" i="1"/>
  <c r="E45" i="1"/>
  <c r="AF26" i="24"/>
  <c r="H32" i="1"/>
  <c r="AH17" i="24"/>
  <c r="Q37" i="24"/>
  <c r="AB32" i="24"/>
  <c r="T34" i="24"/>
  <c r="V20" i="24"/>
  <c r="G19" i="1"/>
  <c r="T44" i="24"/>
  <c r="C12" i="1"/>
  <c r="U39" i="24"/>
  <c r="E40" i="1"/>
  <c r="F22" i="1"/>
  <c r="C50" i="1"/>
  <c r="H52" i="1"/>
  <c r="I42" i="1"/>
  <c r="N36" i="24"/>
  <c r="N37" i="24"/>
  <c r="P42" i="24"/>
  <c r="W52" i="24"/>
  <c r="Q47" i="24"/>
  <c r="O37" i="24"/>
  <c r="B52" i="1"/>
  <c r="AI39" i="24"/>
  <c r="D18" i="1"/>
  <c r="D12" i="1"/>
  <c r="H38" i="1"/>
  <c r="AH41" i="24"/>
  <c r="AH24" i="24"/>
  <c r="C16" i="1"/>
  <c r="F42" i="1"/>
  <c r="AB28" i="24"/>
  <c r="AH25" i="24"/>
  <c r="N26" i="24"/>
  <c r="E42" i="1"/>
  <c r="C52" i="1"/>
  <c r="O30" i="24"/>
  <c r="AG24" i="24"/>
  <c r="C39" i="1"/>
  <c r="AC52" i="24"/>
  <c r="Q20" i="24"/>
  <c r="AG29" i="24"/>
  <c r="E39" i="1"/>
  <c r="AB30" i="24"/>
  <c r="AC16" i="24"/>
  <c r="C48" i="1"/>
  <c r="H31" i="1"/>
  <c r="N53" i="24"/>
  <c r="AG28" i="24"/>
  <c r="AB29" i="24"/>
  <c r="AF30" i="24"/>
  <c r="F31" i="1"/>
  <c r="D57" i="1"/>
  <c r="AI29" i="24"/>
  <c r="E30" i="1"/>
  <c r="O36" i="24"/>
  <c r="AB41" i="24"/>
  <c r="AG50" i="24"/>
  <c r="F58" i="1"/>
  <c r="B18" i="1"/>
  <c r="AI40" i="24"/>
  <c r="AF42" i="24"/>
  <c r="N59" i="24"/>
  <c r="AC44" i="24"/>
  <c r="B40" i="1"/>
  <c r="N11" i="24"/>
  <c r="C58" i="1"/>
  <c r="AI38" i="24"/>
  <c r="AC30" i="24"/>
  <c r="T42" i="24"/>
  <c r="F36" i="1"/>
  <c r="H28" i="1"/>
  <c r="P47" i="24"/>
  <c r="D23" i="1"/>
  <c r="B30" i="1"/>
  <c r="B39" i="1"/>
  <c r="F25" i="1"/>
  <c r="W29" i="24"/>
  <c r="U21" i="24"/>
  <c r="U25" i="24"/>
  <c r="C31" i="1"/>
  <c r="U27" i="24"/>
  <c r="O11" i="24"/>
  <c r="C34" i="1"/>
  <c r="AI55" i="24"/>
  <c r="AG42" i="24"/>
  <c r="Z32" i="24"/>
  <c r="AI42" i="24"/>
  <c r="I20" i="1"/>
  <c r="AF12" i="24"/>
  <c r="P45" i="24"/>
  <c r="D54" i="1"/>
  <c r="Q9" i="24"/>
  <c r="U50" i="24"/>
  <c r="Q52" i="24"/>
  <c r="AG41" i="24"/>
  <c r="AC36" i="24"/>
  <c r="AA43" i="24"/>
  <c r="V15" i="24"/>
  <c r="Q13" i="24"/>
  <c r="U11" i="24"/>
  <c r="G50" i="1"/>
  <c r="C18" i="1"/>
  <c r="AC55" i="24"/>
  <c r="AF37" i="24"/>
  <c r="AH10" i="24"/>
  <c r="G27" i="1"/>
  <c r="E24" i="1"/>
  <c r="H41" i="1"/>
  <c r="H8" i="1"/>
  <c r="E55" i="1"/>
  <c r="AC43" i="24"/>
  <c r="AF16" i="24"/>
  <c r="F23" i="1"/>
  <c r="AH26" i="24"/>
  <c r="AA14" i="24"/>
  <c r="O39" i="24"/>
  <c r="P46" i="24"/>
  <c r="C8" i="1"/>
  <c r="Q26" i="24"/>
  <c r="E29" i="1"/>
  <c r="T26" i="24"/>
  <c r="C46" i="1"/>
  <c r="AI20" i="24"/>
  <c r="AI13" i="24"/>
  <c r="G44" i="1"/>
  <c r="V59" i="24"/>
  <c r="U14" i="24"/>
  <c r="Q39" i="24"/>
  <c r="AI50" i="24"/>
  <c r="AH20" i="24"/>
  <c r="G15" i="1"/>
  <c r="I12" i="1"/>
  <c r="W43" i="24"/>
  <c r="AG39" i="24"/>
  <c r="E26" i="1"/>
  <c r="B23" i="1"/>
  <c r="V52" i="24"/>
  <c r="D55" i="1"/>
  <c r="V22" i="24"/>
  <c r="AI26" i="24"/>
  <c r="U49" i="24"/>
  <c r="C28" i="1"/>
  <c r="AF38" i="24"/>
  <c r="AH39" i="24"/>
  <c r="U37" i="24"/>
  <c r="P12" i="24"/>
  <c r="G21" i="1"/>
  <c r="G46" i="1"/>
  <c r="P25" i="24"/>
  <c r="V18" i="24"/>
  <c r="O41" i="24"/>
  <c r="B43" i="1"/>
  <c r="AB34" i="24"/>
  <c r="B8" i="1"/>
  <c r="P11" i="24"/>
  <c r="AI15" i="24"/>
  <c r="V9" i="24"/>
  <c r="AF51" i="24"/>
  <c r="O42" i="24"/>
  <c r="C56" i="1"/>
  <c r="P41" i="24"/>
  <c r="AB10" i="24"/>
  <c r="B15" i="1"/>
  <c r="T51" i="24"/>
  <c r="F44" i="1"/>
  <c r="AC59" i="24"/>
  <c r="AI27" i="24"/>
  <c r="T45" i="24"/>
  <c r="P54" i="24"/>
  <c r="Z37" i="24"/>
  <c r="I19" i="1"/>
  <c r="H42" i="1"/>
  <c r="AA27" i="24"/>
  <c r="N33" i="24"/>
  <c r="O12" i="24"/>
  <c r="AI56" i="24"/>
  <c r="W39" i="24"/>
  <c r="P37" i="24"/>
  <c r="AF24" i="24"/>
  <c r="AF58" i="24"/>
  <c r="B47" i="1"/>
  <c r="AF22" i="24"/>
  <c r="AB20" i="24"/>
  <c r="E46" i="1"/>
  <c r="Q44" i="24"/>
  <c r="G31" i="1"/>
  <c r="AF55" i="24"/>
  <c r="AB56" i="24"/>
  <c r="F17" i="1"/>
  <c r="O28" i="24"/>
  <c r="U16" i="24"/>
  <c r="B45" i="1"/>
  <c r="D10" i="1"/>
  <c r="Z19" i="24"/>
  <c r="I18" i="1"/>
  <c r="P23" i="24"/>
  <c r="P26" i="24"/>
  <c r="U51" i="24"/>
  <c r="P58" i="24"/>
  <c r="Q45" i="24"/>
  <c r="H58" i="1"/>
  <c r="AB44" i="24"/>
  <c r="Q19" i="24"/>
  <c r="E49" i="1"/>
  <c r="G40" i="1"/>
  <c r="T58" i="24"/>
  <c r="G24" i="1"/>
  <c r="I32" i="1"/>
  <c r="AI44" i="24"/>
  <c r="G43" i="1"/>
  <c r="H17" i="1"/>
  <c r="AI25" i="24"/>
  <c r="C9" i="1"/>
  <c r="H27" i="1"/>
  <c r="AB22" i="24"/>
  <c r="AF14" i="24"/>
  <c r="U10" i="24"/>
  <c r="Z38" i="24"/>
  <c r="AC20" i="24"/>
  <c r="B58" i="1"/>
  <c r="V34" i="24"/>
  <c r="G36" i="1"/>
  <c r="V32" i="24"/>
  <c r="O27" i="24"/>
  <c r="AI45" i="24"/>
  <c r="O56" i="24"/>
  <c r="G42" i="1"/>
  <c r="C55" i="1"/>
  <c r="V30" i="24"/>
  <c r="W25" i="24"/>
  <c r="F41" i="1"/>
  <c r="N41" i="24"/>
  <c r="B27" i="1"/>
  <c r="AC13" i="24"/>
  <c r="F53" i="1"/>
  <c r="U55" i="24"/>
  <c r="T21" i="24"/>
  <c r="C32" i="1"/>
  <c r="G45" i="1"/>
  <c r="Q31" i="24"/>
  <c r="AA28" i="24"/>
  <c r="AF52" i="24"/>
  <c r="V51" i="24"/>
  <c r="O50" i="24"/>
  <c r="B42" i="1"/>
  <c r="G56" i="1"/>
  <c r="Q10" i="24"/>
  <c r="B35" i="1"/>
  <c r="AC10" i="24"/>
  <c r="F8" i="1"/>
  <c r="T27" i="24"/>
  <c r="U34" i="24"/>
  <c r="T12" i="24"/>
  <c r="C41" i="1"/>
  <c r="AH34" i="24"/>
  <c r="AA11" i="24"/>
  <c r="AI47" i="24"/>
  <c r="O52" i="24"/>
  <c r="W16" i="24"/>
  <c r="AA31" i="24"/>
  <c r="H16" i="1"/>
  <c r="G32" i="1"/>
  <c r="AB37" i="24"/>
  <c r="F16" i="1"/>
  <c r="AH9" i="24"/>
  <c r="I27" i="1"/>
  <c r="N44" i="24"/>
  <c r="N57" i="24"/>
  <c r="AF54" i="24"/>
  <c r="P20" i="24"/>
  <c r="C30" i="1"/>
  <c r="F10" i="1"/>
  <c r="V36" i="24"/>
  <c r="G28" i="1"/>
  <c r="P39" i="24"/>
  <c r="E18" i="1"/>
  <c r="AI19" i="24"/>
  <c r="F33" i="1"/>
  <c r="P27" i="24"/>
  <c r="AH12" i="24"/>
  <c r="W15" i="24"/>
  <c r="T39" i="24"/>
  <c r="H55" i="1"/>
  <c r="W46" i="24"/>
  <c r="N48" i="24"/>
  <c r="AA39" i="24"/>
  <c r="I15" i="1"/>
  <c r="AG45" i="24"/>
  <c r="I10" i="1"/>
  <c r="AH47" i="24"/>
  <c r="T31" i="24"/>
  <c r="B26" i="1"/>
  <c r="AB25" i="24"/>
  <c r="AB17" i="24"/>
  <c r="AB33" i="24"/>
  <c r="AF23" i="24"/>
  <c r="O16" i="24"/>
  <c r="AH19" i="24"/>
  <c r="AH59" i="24"/>
  <c r="D9" i="1"/>
  <c r="D42" i="1"/>
  <c r="I17" i="1"/>
  <c r="Z27" i="24"/>
  <c r="B50" i="1"/>
  <c r="AI52" i="24"/>
  <c r="Q40" i="24"/>
  <c r="AB47" i="24"/>
  <c r="O34" i="24"/>
  <c r="AG27" i="24"/>
  <c r="AC50" i="24"/>
  <c r="G16" i="1"/>
  <c r="N22" i="24"/>
  <c r="G51" i="1"/>
  <c r="AF17" i="24"/>
  <c r="AF49" i="24"/>
  <c r="T53" i="24"/>
  <c r="Z35" i="24"/>
  <c r="V47" i="24"/>
  <c r="AG15" i="24"/>
  <c r="AB42" i="24"/>
  <c r="F15" i="1"/>
  <c r="U15" i="24"/>
  <c r="I53" i="1"/>
  <c r="AF10" i="24"/>
  <c r="AG23" i="24"/>
  <c r="F43" i="1"/>
  <c r="H39" i="1"/>
  <c r="AC28" i="24"/>
  <c r="U57" i="24"/>
  <c r="Q21" i="24"/>
  <c r="AG36" i="24"/>
  <c r="V41" i="24"/>
  <c r="AA34" i="24"/>
  <c r="Q46" i="24"/>
  <c r="W19" i="24"/>
  <c r="B11" i="1"/>
  <c r="B46" i="1"/>
  <c r="N49" i="24"/>
  <c r="T49" i="24"/>
  <c r="AB31" i="24"/>
  <c r="AI22" i="24"/>
  <c r="O26" i="24"/>
  <c r="AF15" i="24"/>
  <c r="V39" i="24"/>
  <c r="P17" i="24"/>
  <c r="W13" i="24"/>
  <c r="V10" i="24"/>
  <c r="E8" i="1"/>
  <c r="I9" i="1"/>
  <c r="AH23" i="24"/>
  <c r="H51" i="1"/>
  <c r="AC53" i="24"/>
  <c r="F20" i="1"/>
  <c r="O53" i="24"/>
  <c r="AG25" i="24"/>
  <c r="W24" i="24"/>
  <c r="I28" i="1"/>
  <c r="AF33" i="24"/>
  <c r="N18" i="24"/>
  <c r="Q12" i="24"/>
  <c r="AC9" i="24"/>
  <c r="C35" i="1"/>
  <c r="AC14" i="24"/>
  <c r="U19" i="24"/>
  <c r="O35" i="24"/>
  <c r="D31" i="1"/>
  <c r="Q36" i="24"/>
  <c r="AH32" i="24"/>
  <c r="AA17" i="24"/>
  <c r="AA30" i="24"/>
  <c r="O29" i="24"/>
  <c r="AH22" i="24"/>
  <c r="Z45" i="24"/>
  <c r="H44" i="1"/>
  <c r="D36" i="1"/>
  <c r="AF25" i="24"/>
  <c r="AJ25" i="24" l="1"/>
  <c r="AJ23" i="58" s="1"/>
  <c r="Q18" i="53"/>
  <c r="AF23" i="58"/>
  <c r="E34" i="11"/>
  <c r="K42" i="11"/>
  <c r="Z43" i="58"/>
  <c r="P38" i="53"/>
  <c r="AD45" i="24"/>
  <c r="AD43" i="58" s="1"/>
  <c r="AH20" i="58"/>
  <c r="O27" i="58"/>
  <c r="C29" i="24"/>
  <c r="C27" i="58" s="1"/>
  <c r="AA28" i="58"/>
  <c r="AA15" i="58"/>
  <c r="AH30" i="58"/>
  <c r="E36" i="24"/>
  <c r="E34" i="58" s="1"/>
  <c r="Q34" i="58"/>
  <c r="E29" i="11"/>
  <c r="C35" i="24"/>
  <c r="C33" i="58" s="1"/>
  <c r="O33" i="58"/>
  <c r="U17" i="58"/>
  <c r="I19" i="24"/>
  <c r="I17" i="58" s="1"/>
  <c r="AC12" i="58"/>
  <c r="C33" i="11"/>
  <c r="AC7" i="58"/>
  <c r="E12" i="24"/>
  <c r="E10" i="58" s="1"/>
  <c r="Q10" i="58"/>
  <c r="B18" i="24"/>
  <c r="B16" i="58" s="1"/>
  <c r="R18" i="24"/>
  <c r="N16" i="58"/>
  <c r="N11" i="53"/>
  <c r="Q26" i="53"/>
  <c r="AJ33" i="24"/>
  <c r="AJ31" i="58" s="1"/>
  <c r="AF31" i="58"/>
  <c r="L26" i="11"/>
  <c r="K24" i="24"/>
  <c r="K22" i="58" s="1"/>
  <c r="W22" i="58"/>
  <c r="AG23" i="58"/>
  <c r="O51" i="58"/>
  <c r="C53" i="24"/>
  <c r="C51" i="58" s="1"/>
  <c r="H18" i="11"/>
  <c r="AC51" i="58"/>
  <c r="K49" i="11"/>
  <c r="AH21" i="58"/>
  <c r="L7" i="11"/>
  <c r="F6" i="11"/>
  <c r="J10" i="24"/>
  <c r="J8" i="58" s="1"/>
  <c r="V8" i="58"/>
  <c r="K13" i="24"/>
  <c r="K11" i="58" s="1"/>
  <c r="W11" i="58"/>
  <c r="P15" i="58"/>
  <c r="D17" i="24"/>
  <c r="D15" i="58" s="1"/>
  <c r="J39" i="24"/>
  <c r="J37" i="58" s="1"/>
  <c r="V37" i="58"/>
  <c r="Q8" i="53"/>
  <c r="AF13" i="58"/>
  <c r="AJ15" i="24"/>
  <c r="AJ13" i="58" s="1"/>
  <c r="O24" i="58"/>
  <c r="C26" i="24"/>
  <c r="C24" i="58" s="1"/>
  <c r="AI20" i="58"/>
  <c r="AB29" i="58"/>
  <c r="T47" i="58"/>
  <c r="X49" i="24"/>
  <c r="H49" i="24"/>
  <c r="H47" i="58" s="1"/>
  <c r="O42" i="53"/>
  <c r="R49" i="24"/>
  <c r="N42" i="53"/>
  <c r="N47" i="58"/>
  <c r="B49" i="24"/>
  <c r="B47" i="58" s="1"/>
  <c r="B44" i="11"/>
  <c r="D40" i="53" s="1"/>
  <c r="B9" i="11"/>
  <c r="W17" i="58"/>
  <c r="K19" i="24"/>
  <c r="K17" i="58" s="1"/>
  <c r="E46" i="24"/>
  <c r="E44" i="58" s="1"/>
  <c r="Q44" i="58"/>
  <c r="AA32" i="58"/>
  <c r="J41" i="24"/>
  <c r="J39" i="58" s="1"/>
  <c r="V39" i="58"/>
  <c r="AG34" i="58"/>
  <c r="Q19" i="58"/>
  <c r="E21" i="24"/>
  <c r="E19" i="58" s="1"/>
  <c r="I57" i="24"/>
  <c r="I55" i="58" s="1"/>
  <c r="U55" i="58"/>
  <c r="AC26" i="58"/>
  <c r="K37" i="11"/>
  <c r="H41" i="11"/>
  <c r="AG21" i="58"/>
  <c r="Q3" i="53"/>
  <c r="AJ10" i="24"/>
  <c r="AJ8" i="58" s="1"/>
  <c r="AF8" i="58"/>
  <c r="L51" i="11"/>
  <c r="I15" i="24"/>
  <c r="I13" i="58" s="1"/>
  <c r="U13" i="58"/>
  <c r="H13" i="11"/>
  <c r="AB40" i="58"/>
  <c r="AG13" i="58"/>
  <c r="V45" i="58"/>
  <c r="J47" i="24"/>
  <c r="J45" i="58" s="1"/>
  <c r="AD35" i="24"/>
  <c r="AD33" i="58" s="1"/>
  <c r="P28" i="53"/>
  <c r="Z33" i="58"/>
  <c r="H53" i="24"/>
  <c r="H51" i="58" s="1"/>
  <c r="T51" i="58"/>
  <c r="X53" i="24"/>
  <c r="O46" i="53"/>
  <c r="AF47" i="58"/>
  <c r="Q42" i="53"/>
  <c r="AJ49" i="24"/>
  <c r="AJ47" i="58" s="1"/>
  <c r="AF15" i="58"/>
  <c r="Q10" i="53"/>
  <c r="AJ17" i="24"/>
  <c r="AJ15" i="58" s="1"/>
  <c r="I49" i="11"/>
  <c r="B22" i="24"/>
  <c r="B20" i="58" s="1"/>
  <c r="N15" i="53"/>
  <c r="R22" i="24"/>
  <c r="N20" i="58"/>
  <c r="I14" i="11"/>
  <c r="AC48" i="58"/>
  <c r="AG25" i="58"/>
  <c r="O32" i="58"/>
  <c r="C34" i="24"/>
  <c r="C32" i="58" s="1"/>
  <c r="AB45" i="58"/>
  <c r="E40" i="24"/>
  <c r="E38" i="58" s="1"/>
  <c r="Q38" i="58"/>
  <c r="AI50" i="58"/>
  <c r="B48" i="11"/>
  <c r="Z25" i="58"/>
  <c r="P20" i="53"/>
  <c r="AD27" i="24"/>
  <c r="AD25" i="58" s="1"/>
  <c r="L15" i="11"/>
  <c r="E40" i="11"/>
  <c r="E7" i="11"/>
  <c r="AH57" i="58"/>
  <c r="AH17" i="58"/>
  <c r="O14" i="58"/>
  <c r="C16" i="24"/>
  <c r="C14" i="58" s="1"/>
  <c r="Q16" i="53"/>
  <c r="AF21" i="58"/>
  <c r="AJ23" i="24"/>
  <c r="AJ21" i="58" s="1"/>
  <c r="AB31" i="58"/>
  <c r="AB15" i="58"/>
  <c r="AB23" i="58"/>
  <c r="B24" i="11"/>
  <c r="D20" i="53" s="1"/>
  <c r="X31" i="24"/>
  <c r="T29" i="58"/>
  <c r="O24" i="53"/>
  <c r="H31" i="24"/>
  <c r="H29" i="58" s="1"/>
  <c r="AH45" i="58"/>
  <c r="L8" i="11"/>
  <c r="AG43" i="58"/>
  <c r="L13" i="11"/>
  <c r="AA37" i="58"/>
  <c r="N41" i="53"/>
  <c r="N46" i="58"/>
  <c r="B48" i="24"/>
  <c r="B46" i="58" s="1"/>
  <c r="R48" i="24"/>
  <c r="K46" i="24"/>
  <c r="K44" i="58" s="1"/>
  <c r="W44" i="58"/>
  <c r="K53" i="11"/>
  <c r="X39" i="24"/>
  <c r="O32" i="53"/>
  <c r="T37" i="58"/>
  <c r="H39" i="24"/>
  <c r="H37" i="58" s="1"/>
  <c r="K15" i="24"/>
  <c r="K13" i="58" s="1"/>
  <c r="W13" i="58"/>
  <c r="AH10" i="58"/>
  <c r="D27" i="24"/>
  <c r="D25" i="58" s="1"/>
  <c r="P25" i="58"/>
  <c r="H31" i="11"/>
  <c r="AI17" i="58"/>
  <c r="F16" i="11"/>
  <c r="P37" i="58"/>
  <c r="D39" i="24"/>
  <c r="D37" i="58" s="1"/>
  <c r="I26" i="11"/>
  <c r="J36" i="24"/>
  <c r="J34" i="58" s="1"/>
  <c r="V34" i="58"/>
  <c r="H8" i="11"/>
  <c r="C28" i="11"/>
  <c r="P18" i="58"/>
  <c r="D20" i="24"/>
  <c r="D18" i="58" s="1"/>
  <c r="Q47" i="53"/>
  <c r="AF52" i="58"/>
  <c r="AJ54" i="24"/>
  <c r="AJ52" i="58" s="1"/>
  <c r="B57" i="24"/>
  <c r="B55" i="58" s="1"/>
  <c r="R57" i="24"/>
  <c r="N55" i="58"/>
  <c r="N50" i="53"/>
  <c r="N42" i="58"/>
  <c r="N37" i="53"/>
  <c r="B44" i="24"/>
  <c r="B42" i="58" s="1"/>
  <c r="R44" i="24"/>
  <c r="L25" i="11"/>
  <c r="AH7" i="58"/>
  <c r="H14" i="11"/>
  <c r="AB35" i="58"/>
  <c r="I30" i="11"/>
  <c r="K14" i="11"/>
  <c r="AA29" i="58"/>
  <c r="K16" i="24"/>
  <c r="K14" i="58" s="1"/>
  <c r="W14" i="58"/>
  <c r="C52" i="24"/>
  <c r="C50" i="58" s="1"/>
  <c r="O50" i="58"/>
  <c r="AI45" i="58"/>
  <c r="AA9" i="58"/>
  <c r="AH32" i="58"/>
  <c r="C39" i="11"/>
  <c r="X12" i="24"/>
  <c r="O5" i="53"/>
  <c r="H12" i="24"/>
  <c r="H10" i="58" s="1"/>
  <c r="T10" i="58"/>
  <c r="U32" i="58"/>
  <c r="I34" i="24"/>
  <c r="I32" i="58" s="1"/>
  <c r="T25" i="58"/>
  <c r="H27" i="24"/>
  <c r="H25" i="58" s="1"/>
  <c r="X27" i="24"/>
  <c r="O20" i="53"/>
  <c r="H6" i="11"/>
  <c r="AC8" i="58"/>
  <c r="B33" i="11"/>
  <c r="D29" i="53" s="1"/>
  <c r="E10" i="24"/>
  <c r="E8" i="58" s="1"/>
  <c r="Q8" i="58"/>
  <c r="I54" i="11"/>
  <c r="B40" i="11"/>
  <c r="D36" i="53" s="1"/>
  <c r="O48" i="58"/>
  <c r="C50" i="24"/>
  <c r="C48" i="58" s="1"/>
  <c r="J51" i="24"/>
  <c r="J49" i="58" s="1"/>
  <c r="V49" i="58"/>
  <c r="AJ52" i="24"/>
  <c r="AJ50" i="58" s="1"/>
  <c r="AF50" i="58"/>
  <c r="Q45" i="53"/>
  <c r="AA26" i="58"/>
  <c r="E31" i="24"/>
  <c r="E29" i="58" s="1"/>
  <c r="Q29" i="58"/>
  <c r="I43" i="11"/>
  <c r="C30" i="11"/>
  <c r="H21" i="24"/>
  <c r="H19" i="58" s="1"/>
  <c r="X21" i="24"/>
  <c r="O14" i="53"/>
  <c r="T19" i="58"/>
  <c r="I55" i="24"/>
  <c r="I53" i="58" s="1"/>
  <c r="U53" i="58"/>
  <c r="H51" i="11"/>
  <c r="AC11" i="58"/>
  <c r="B25" i="11"/>
  <c r="D21" i="53" s="1"/>
  <c r="R41" i="24"/>
  <c r="B41" i="24"/>
  <c r="B39" i="58" s="1"/>
  <c r="N34" i="53"/>
  <c r="N39" i="58"/>
  <c r="H39" i="11"/>
  <c r="K25" i="24"/>
  <c r="K23" i="58" s="1"/>
  <c r="W23" i="58"/>
  <c r="V28" i="58"/>
  <c r="J30" i="24"/>
  <c r="J28" i="58" s="1"/>
  <c r="C53" i="11"/>
  <c r="I40" i="11"/>
  <c r="C56" i="24"/>
  <c r="C54" i="58" s="1"/>
  <c r="O54" i="58"/>
  <c r="AI43" i="58"/>
  <c r="C27" i="24"/>
  <c r="C25" i="58" s="1"/>
  <c r="O25" i="58"/>
  <c r="J32" i="24"/>
  <c r="J30" i="58" s="1"/>
  <c r="V30" i="58"/>
  <c r="I34" i="11"/>
  <c r="J34" i="24"/>
  <c r="J32" i="58" s="1"/>
  <c r="V32" i="58"/>
  <c r="B56" i="11"/>
  <c r="AC18" i="58"/>
  <c r="P31" i="53"/>
  <c r="AD38" i="24"/>
  <c r="AD36" i="58" s="1"/>
  <c r="Z36" i="58"/>
  <c r="I10" i="24"/>
  <c r="I8" i="58" s="1"/>
  <c r="U8" i="58"/>
  <c r="AF12" i="58"/>
  <c r="AJ14" i="24"/>
  <c r="AJ12" i="58" s="1"/>
  <c r="Q7" i="53"/>
  <c r="AB20" i="58"/>
  <c r="K25" i="11"/>
  <c r="C7" i="11"/>
  <c r="AI23" i="58"/>
  <c r="K15" i="11"/>
  <c r="I41" i="11"/>
  <c r="AI42" i="58"/>
  <c r="L30" i="11"/>
  <c r="I22" i="11"/>
  <c r="O51" i="53"/>
  <c r="T56" i="58"/>
  <c r="H58" i="24"/>
  <c r="H56" i="58" s="1"/>
  <c r="X58" i="24"/>
  <c r="I38" i="11"/>
  <c r="F47" i="11"/>
  <c r="E19" i="24"/>
  <c r="E17" i="58" s="1"/>
  <c r="Q17" i="58"/>
  <c r="AB42" i="58"/>
  <c r="K56" i="11"/>
  <c r="E45" i="24"/>
  <c r="E43" i="58" s="1"/>
  <c r="Q43" i="58"/>
  <c r="D58" i="24"/>
  <c r="D56" i="58" s="1"/>
  <c r="P56" i="58"/>
  <c r="I51" i="24"/>
  <c r="I49" i="58" s="1"/>
  <c r="U49" i="58"/>
  <c r="P24" i="58"/>
  <c r="D26" i="24"/>
  <c r="D24" i="58" s="1"/>
  <c r="P21" i="58"/>
  <c r="D23" i="24"/>
  <c r="D21" i="58" s="1"/>
  <c r="L16" i="11"/>
  <c r="P12" i="53"/>
  <c r="Z17" i="58"/>
  <c r="AD19" i="24"/>
  <c r="AD17" i="58" s="1"/>
  <c r="E8" i="11"/>
  <c r="B43" i="11"/>
  <c r="D39" i="53" s="1"/>
  <c r="U14" i="58"/>
  <c r="I16" i="24"/>
  <c r="I14" i="58" s="1"/>
  <c r="O26" i="58"/>
  <c r="C28" i="24"/>
  <c r="C26" i="58" s="1"/>
  <c r="H15" i="11"/>
  <c r="AB54" i="58"/>
  <c r="AJ55" i="24"/>
  <c r="AJ53" i="58" s="1"/>
  <c r="AF53" i="58"/>
  <c r="Q48" i="53"/>
  <c r="I29" i="11"/>
  <c r="Q42" i="58"/>
  <c r="E44" i="24"/>
  <c r="E42" i="58" s="1"/>
  <c r="F44" i="11"/>
  <c r="AB18" i="58"/>
  <c r="Q15" i="53"/>
  <c r="AF20" i="58"/>
  <c r="AJ22" i="24"/>
  <c r="AJ20" i="58" s="1"/>
  <c r="B45" i="11"/>
  <c r="D41" i="53" s="1"/>
  <c r="AJ58" i="24"/>
  <c r="AJ56" i="58" s="1"/>
  <c r="Q51" i="53"/>
  <c r="AF56" i="58"/>
  <c r="Q17" i="53"/>
  <c r="AJ24" i="24"/>
  <c r="AJ22" i="58" s="1"/>
  <c r="AF22" i="58"/>
  <c r="D37" i="24"/>
  <c r="D35" i="58" s="1"/>
  <c r="P35" i="58"/>
  <c r="K39" i="24"/>
  <c r="K37" i="58" s="1"/>
  <c r="W37" i="58"/>
  <c r="AI54" i="58"/>
  <c r="C12" i="24"/>
  <c r="C10" i="58" s="1"/>
  <c r="O10" i="58"/>
  <c r="R33" i="24"/>
  <c r="N31" i="58"/>
  <c r="B33" i="24"/>
  <c r="B31" i="58" s="1"/>
  <c r="N26" i="53"/>
  <c r="AA25" i="58"/>
  <c r="K40" i="11"/>
  <c r="L17" i="11"/>
  <c r="Z35" i="58"/>
  <c r="P30" i="53"/>
  <c r="AD37" i="24"/>
  <c r="AD35" i="58" s="1"/>
  <c r="P52" i="58"/>
  <c r="D54" i="24"/>
  <c r="D52" i="58" s="1"/>
  <c r="H45" i="24"/>
  <c r="H43" i="58" s="1"/>
  <c r="O38" i="53"/>
  <c r="X45" i="24"/>
  <c r="T43" i="58"/>
  <c r="AI25" i="58"/>
  <c r="AC57" i="58"/>
  <c r="H42" i="11"/>
  <c r="H51" i="24"/>
  <c r="H49" i="58" s="1"/>
  <c r="O44" i="53"/>
  <c r="X51" i="24"/>
  <c r="T49" i="58"/>
  <c r="B13" i="11"/>
  <c r="D9" i="53" s="1"/>
  <c r="AB8" i="58"/>
  <c r="D41" i="24"/>
  <c r="D39" i="58" s="1"/>
  <c r="P39" i="58"/>
  <c r="C54" i="11"/>
  <c r="O40" i="58"/>
  <c r="C42" i="24"/>
  <c r="C40" i="58" s="1"/>
  <c r="Q44" i="53"/>
  <c r="AF49" i="58"/>
  <c r="AJ51" i="24"/>
  <c r="AJ49" i="58" s="1"/>
  <c r="J9" i="24"/>
  <c r="J7" i="58" s="1"/>
  <c r="V7" i="58"/>
  <c r="AI13" i="58"/>
  <c r="P9" i="58"/>
  <c r="D11" i="24"/>
  <c r="D9" i="58" s="1"/>
  <c r="B6" i="11"/>
  <c r="D2" i="53" s="1"/>
  <c r="AB32" i="58"/>
  <c r="B41" i="11"/>
  <c r="D37" i="53" s="1"/>
  <c r="O39" i="58"/>
  <c r="C41" i="24"/>
  <c r="C39" i="58" s="1"/>
  <c r="J18" i="24"/>
  <c r="J16" i="58" s="1"/>
  <c r="V16" i="58"/>
  <c r="D25" i="24"/>
  <c r="D23" i="58" s="1"/>
  <c r="P23" i="58"/>
  <c r="I44" i="11"/>
  <c r="I19" i="11"/>
  <c r="P10" i="58"/>
  <c r="D12" i="24"/>
  <c r="D10" i="58" s="1"/>
  <c r="I37" i="24"/>
  <c r="I35" i="58" s="1"/>
  <c r="U35" i="58"/>
  <c r="AH37" i="58"/>
  <c r="AF36" i="58"/>
  <c r="Q31" i="53"/>
  <c r="AJ38" i="24"/>
  <c r="AJ36" i="58" s="1"/>
  <c r="C26" i="11"/>
  <c r="U47" i="58"/>
  <c r="I49" i="24"/>
  <c r="I47" i="58" s="1"/>
  <c r="AI24" i="58"/>
  <c r="V20" i="58"/>
  <c r="J22" i="24"/>
  <c r="J20" i="58" s="1"/>
  <c r="E53" i="11"/>
  <c r="V50" i="58"/>
  <c r="J52" i="24"/>
  <c r="J50" i="58" s="1"/>
  <c r="B21" i="11"/>
  <c r="D17" i="53" s="1"/>
  <c r="F24" i="11"/>
  <c r="AG37" i="58"/>
  <c r="W41" i="58"/>
  <c r="K43" i="24"/>
  <c r="K41" i="58" s="1"/>
  <c r="L10" i="11"/>
  <c r="I13" i="11"/>
  <c r="AH18" i="58"/>
  <c r="AI48" i="58"/>
  <c r="E39" i="24"/>
  <c r="E37" i="58" s="1"/>
  <c r="Q37" i="58"/>
  <c r="I14" i="24"/>
  <c r="I12" i="58" s="1"/>
  <c r="U12" i="58"/>
  <c r="V57" i="58"/>
  <c r="J59" i="24"/>
  <c r="J57" i="58" s="1"/>
  <c r="I42" i="11"/>
  <c r="AI11" i="58"/>
  <c r="AI18" i="58"/>
  <c r="C44" i="11"/>
  <c r="T24" i="58"/>
  <c r="H26" i="24"/>
  <c r="H24" i="58" s="1"/>
  <c r="O19" i="53"/>
  <c r="X26" i="24"/>
  <c r="F27" i="11"/>
  <c r="Q24" i="58"/>
  <c r="E26" i="24"/>
  <c r="E24" i="58" s="1"/>
  <c r="C6" i="11"/>
  <c r="D46" i="24"/>
  <c r="D44" i="58" s="1"/>
  <c r="P44" i="58"/>
  <c r="C39" i="24"/>
  <c r="C37" i="58" s="1"/>
  <c r="O37" i="58"/>
  <c r="AA12" i="58"/>
  <c r="AH24" i="58"/>
  <c r="H21" i="11"/>
  <c r="AF14" i="58"/>
  <c r="AJ16" i="24"/>
  <c r="AJ14" i="58" s="1"/>
  <c r="Q9" i="53"/>
  <c r="AC41" i="58"/>
  <c r="F53" i="11"/>
  <c r="K6" i="11"/>
  <c r="K39" i="11"/>
  <c r="F22" i="11"/>
  <c r="I25" i="11"/>
  <c r="AH8" i="58"/>
  <c r="AF35" i="58"/>
  <c r="AJ37" i="24"/>
  <c r="AJ35" i="58" s="1"/>
  <c r="Q30" i="53"/>
  <c r="AC53" i="58"/>
  <c r="C16" i="11"/>
  <c r="I48" i="11"/>
  <c r="U9" i="58"/>
  <c r="I11" i="24"/>
  <c r="I9" i="58" s="1"/>
  <c r="E13" i="24"/>
  <c r="E11" i="58" s="1"/>
  <c r="Q11" i="58"/>
  <c r="J15" i="24"/>
  <c r="J13" i="58" s="1"/>
  <c r="V13" i="58"/>
  <c r="AA41" i="58"/>
  <c r="AC34" i="58"/>
  <c r="AG39" i="58"/>
  <c r="E52" i="24"/>
  <c r="E50" i="58" s="1"/>
  <c r="Q50" i="58"/>
  <c r="I50" i="24"/>
  <c r="I48" i="58" s="1"/>
  <c r="U48" i="58"/>
  <c r="E9" i="24"/>
  <c r="E7" i="58" s="1"/>
  <c r="Q7" i="58"/>
  <c r="E52" i="11"/>
  <c r="P43" i="58"/>
  <c r="D45" i="24"/>
  <c r="D43" i="58" s="1"/>
  <c r="Q5" i="53"/>
  <c r="AF10" i="58"/>
  <c r="AJ12" i="24"/>
  <c r="AJ10" i="58" s="1"/>
  <c r="L18" i="11"/>
  <c r="AI40" i="58"/>
  <c r="AD32" i="24"/>
  <c r="AD30" i="58" s="1"/>
  <c r="P25" i="53"/>
  <c r="Z30" i="58"/>
  <c r="AG40" i="58"/>
  <c r="AI53" i="58"/>
  <c r="C32" i="11"/>
  <c r="C11" i="24"/>
  <c r="C9" i="58" s="1"/>
  <c r="O9" i="58"/>
  <c r="U25" i="58"/>
  <c r="I27" i="24"/>
  <c r="I25" i="58" s="1"/>
  <c r="C29" i="11"/>
  <c r="I25" i="24"/>
  <c r="I23" i="58" s="1"/>
  <c r="U23" i="58"/>
  <c r="U19" i="58"/>
  <c r="I21" i="24"/>
  <c r="I19" i="58" s="1"/>
  <c r="W27" i="58"/>
  <c r="K29" i="24"/>
  <c r="K27" i="58" s="1"/>
  <c r="H23" i="11"/>
  <c r="B37" i="11"/>
  <c r="D33" i="53" s="1"/>
  <c r="B28" i="11"/>
  <c r="E21" i="11"/>
  <c r="D47" i="24"/>
  <c r="D45" i="58" s="1"/>
  <c r="P45" i="58"/>
  <c r="K26" i="11"/>
  <c r="H34" i="11"/>
  <c r="X42" i="24"/>
  <c r="H42" i="24"/>
  <c r="H40" i="58" s="1"/>
  <c r="T40" i="58"/>
  <c r="O35" i="53"/>
  <c r="AC28" i="58"/>
  <c r="AI36" i="58"/>
  <c r="C56" i="11"/>
  <c r="N4" i="53"/>
  <c r="B11" i="24"/>
  <c r="B9" i="58" s="1"/>
  <c r="R11" i="24"/>
  <c r="N9" i="58"/>
  <c r="B38" i="11"/>
  <c r="D34" i="53" s="1"/>
  <c r="AC42" i="58"/>
  <c r="B59" i="24"/>
  <c r="B57" i="58" s="1"/>
  <c r="R59" i="24"/>
  <c r="N57" i="58"/>
  <c r="N52" i="53"/>
  <c r="Q35" i="53"/>
  <c r="AJ42" i="24"/>
  <c r="AJ40" i="58" s="1"/>
  <c r="AF40" i="58"/>
  <c r="AI38" i="58"/>
  <c r="B16" i="11"/>
  <c r="D12" i="53" s="1"/>
  <c r="H56" i="11"/>
  <c r="AG48" i="58"/>
  <c r="AB39" i="58"/>
  <c r="O34" i="58"/>
  <c r="C36" i="24"/>
  <c r="C34" i="58" s="1"/>
  <c r="F28" i="11"/>
  <c r="AI27" i="58"/>
  <c r="E55" i="11"/>
  <c r="H29" i="11"/>
  <c r="Q23" i="53"/>
  <c r="AF28" i="58"/>
  <c r="AJ30" i="24"/>
  <c r="AJ28" i="58" s="1"/>
  <c r="AB27" i="58"/>
  <c r="AG26" i="58"/>
  <c r="N51" i="58"/>
  <c r="B53" i="24"/>
  <c r="B51" i="58" s="1"/>
  <c r="N46" i="53"/>
  <c r="R53" i="24"/>
  <c r="K29" i="11"/>
  <c r="C46" i="11"/>
  <c r="AC14" i="58"/>
  <c r="AB28" i="58"/>
  <c r="F37" i="11"/>
  <c r="AG27" i="58"/>
  <c r="E20" i="24"/>
  <c r="E18" i="58" s="1"/>
  <c r="Q18" i="58"/>
  <c r="AC50" i="58"/>
  <c r="C37" i="11"/>
  <c r="AG22" i="58"/>
  <c r="C30" i="24"/>
  <c r="C28" i="58" s="1"/>
  <c r="O28" i="58"/>
  <c r="C50" i="11"/>
  <c r="F40" i="11"/>
  <c r="N19" i="53"/>
  <c r="N24" i="58"/>
  <c r="B26" i="24"/>
  <c r="B24" i="58" s="1"/>
  <c r="R26" i="24"/>
  <c r="AH23" i="58"/>
  <c r="AB26" i="58"/>
  <c r="H40" i="11"/>
  <c r="C14" i="11"/>
  <c r="AH22" i="58"/>
  <c r="AH39" i="58"/>
  <c r="K36" i="11"/>
  <c r="E10" i="11"/>
  <c r="E16" i="11"/>
  <c r="AI37" i="58"/>
  <c r="B50" i="11"/>
  <c r="D46" i="53" s="1"/>
  <c r="C37" i="24"/>
  <c r="C35" i="58" s="1"/>
  <c r="O35" i="58"/>
  <c r="Q45" i="58"/>
  <c r="E47" i="24"/>
  <c r="E45" i="58" s="1"/>
  <c r="K52" i="24"/>
  <c r="K50" i="58" s="1"/>
  <c r="W50" i="58"/>
  <c r="P40" i="58"/>
  <c r="D42" i="24"/>
  <c r="D40" i="58" s="1"/>
  <c r="B37" i="24"/>
  <c r="B35" i="58" s="1"/>
  <c r="N35" i="58"/>
  <c r="R37" i="24"/>
  <c r="N30" i="53"/>
  <c r="R36" i="24"/>
  <c r="N29" i="53"/>
  <c r="N34" i="58"/>
  <c r="B36" i="24"/>
  <c r="B34" i="58" s="1"/>
  <c r="L40" i="11"/>
  <c r="K50" i="11"/>
  <c r="C48" i="11"/>
  <c r="H20" i="11"/>
  <c r="F38" i="11"/>
  <c r="U37" i="58"/>
  <c r="I39" i="24"/>
  <c r="I37" i="58" s="1"/>
  <c r="C10" i="11"/>
  <c r="T42" i="58"/>
  <c r="X44" i="24"/>
  <c r="H44" i="24"/>
  <c r="H42" i="58" s="1"/>
  <c r="O37" i="53"/>
  <c r="I17" i="11"/>
  <c r="V18" i="58"/>
  <c r="J20" i="24"/>
  <c r="J18" i="58" s="1"/>
  <c r="X34" i="24"/>
  <c r="H34" i="24"/>
  <c r="H32" i="58" s="1"/>
  <c r="O27" i="53"/>
  <c r="T32" i="58"/>
  <c r="AB30" i="58"/>
  <c r="E37" i="24"/>
  <c r="E35" i="58" s="1"/>
  <c r="Q35" i="58"/>
  <c r="AH15" i="58"/>
  <c r="K30" i="11"/>
  <c r="AJ26" i="24"/>
  <c r="AJ24" i="58" s="1"/>
  <c r="AF24" i="58"/>
  <c r="Q19" i="53"/>
  <c r="F43" i="11"/>
  <c r="H28" i="11"/>
  <c r="K16" i="11"/>
  <c r="H7" i="11"/>
  <c r="C41" i="11"/>
  <c r="Z57" i="58"/>
  <c r="AD59" i="24"/>
  <c r="AD57" i="58" s="1"/>
  <c r="P52" i="53"/>
  <c r="Q13" i="53"/>
  <c r="AJ20" i="24"/>
  <c r="AJ18" i="58" s="1"/>
  <c r="AF18" i="58"/>
  <c r="P38" i="58"/>
  <c r="D40" i="24"/>
  <c r="D38" i="58" s="1"/>
  <c r="K44" i="24"/>
  <c r="K42" i="58" s="1"/>
  <c r="W42" i="58"/>
  <c r="E19" i="11"/>
  <c r="AI35" i="58"/>
  <c r="E13" i="11"/>
  <c r="C34" i="11"/>
  <c r="B34" i="11"/>
  <c r="D30" i="53" s="1"/>
  <c r="B39" i="24"/>
  <c r="B37" i="58" s="1"/>
  <c r="N37" i="58"/>
  <c r="N32" i="53"/>
  <c r="R39" i="24"/>
  <c r="AG24" i="58"/>
  <c r="J45" i="24"/>
  <c r="J43" i="58" s="1"/>
  <c r="V43" i="58"/>
  <c r="AB38" i="58"/>
  <c r="Q36" i="58"/>
  <c r="E38" i="24"/>
  <c r="E36" i="58" s="1"/>
  <c r="AJ21" i="24"/>
  <c r="AJ19" i="58" s="1"/>
  <c r="AF19" i="58"/>
  <c r="Q14" i="53"/>
  <c r="Q23" i="58"/>
  <c r="E25" i="24"/>
  <c r="E23" i="58" s="1"/>
  <c r="N48" i="53"/>
  <c r="N53" i="58"/>
  <c r="B55" i="24"/>
  <c r="B53" i="58" s="1"/>
  <c r="R55" i="24"/>
  <c r="AC54" i="58"/>
  <c r="AI41" i="58"/>
  <c r="C46" i="24"/>
  <c r="C44" i="58" s="1"/>
  <c r="O44" i="58"/>
  <c r="L31" i="11"/>
  <c r="F19" i="11"/>
  <c r="AA50" i="58"/>
  <c r="E50" i="11"/>
  <c r="AC29" i="58"/>
  <c r="W25" i="58"/>
  <c r="K27" i="24"/>
  <c r="K25" i="58" s="1"/>
  <c r="AC15" i="58"/>
  <c r="U28" i="58"/>
  <c r="I30" i="24"/>
  <c r="I28" i="58" s="1"/>
  <c r="AC30" i="58"/>
  <c r="O52" i="58"/>
  <c r="C54" i="24"/>
  <c r="C52" i="58" s="1"/>
  <c r="B8" i="11"/>
  <c r="D21" i="24"/>
  <c r="D19" i="58" s="1"/>
  <c r="P19" i="58"/>
  <c r="AG49" i="58"/>
  <c r="N18" i="53"/>
  <c r="N23" i="58"/>
  <c r="R25" i="24"/>
  <c r="B25" i="24"/>
  <c r="B23" i="58" s="1"/>
  <c r="L36" i="11"/>
  <c r="P29" i="58"/>
  <c r="D31" i="24"/>
  <c r="D29" i="58" s="1"/>
  <c r="P17" i="58"/>
  <c r="D19" i="24"/>
  <c r="D17" i="58" s="1"/>
  <c r="AH48" i="58"/>
  <c r="U16" i="58"/>
  <c r="I18" i="24"/>
  <c r="I16" i="58" s="1"/>
  <c r="AC23" i="58"/>
  <c r="AA56" i="58"/>
  <c r="K44" i="11"/>
  <c r="R10" i="24"/>
  <c r="B10" i="24"/>
  <c r="B8" i="58" s="1"/>
  <c r="N3" i="53"/>
  <c r="N8" i="58"/>
  <c r="AA46" i="58"/>
  <c r="B31" i="11"/>
  <c r="D27" i="53" s="1"/>
  <c r="AC55" i="58"/>
  <c r="AG56" i="58"/>
  <c r="C15" i="24"/>
  <c r="C13" i="58" s="1"/>
  <c r="O13" i="58"/>
  <c r="E36" i="11"/>
  <c r="AH54" i="58"/>
  <c r="B10" i="11"/>
  <c r="I37" i="11"/>
  <c r="K38" i="11"/>
  <c r="P54" i="58"/>
  <c r="D56" i="24"/>
  <c r="D54" i="58" s="1"/>
  <c r="H12" i="11"/>
  <c r="I32" i="24"/>
  <c r="I30" i="58" s="1"/>
  <c r="U30" i="58"/>
  <c r="I33" i="11"/>
  <c r="AA45" i="58"/>
  <c r="K45" i="24"/>
  <c r="K43" i="58" s="1"/>
  <c r="W43" i="58"/>
  <c r="F12" i="11"/>
  <c r="V42" i="58"/>
  <c r="J44" i="24"/>
  <c r="J42" i="58" s="1"/>
  <c r="AB52" i="58"/>
  <c r="Q12" i="58"/>
  <c r="E14" i="24"/>
  <c r="E12" i="58" s="1"/>
  <c r="AG36" i="58"/>
  <c r="F13" i="11"/>
  <c r="F15" i="11"/>
  <c r="V36" i="58"/>
  <c r="J38" i="24"/>
  <c r="J36" i="58" s="1"/>
  <c r="Q49" i="53"/>
  <c r="AF54" i="58"/>
  <c r="AJ56" i="24"/>
  <c r="AJ54" i="58" s="1"/>
  <c r="C20" i="24"/>
  <c r="C18" i="58" s="1"/>
  <c r="O18" i="58"/>
  <c r="L45" i="11"/>
  <c r="H24" i="11"/>
  <c r="I12" i="11"/>
  <c r="H33" i="24"/>
  <c r="H31" i="58" s="1"/>
  <c r="O26" i="53"/>
  <c r="X33" i="24"/>
  <c r="T31" i="58"/>
  <c r="N44" i="53"/>
  <c r="N49" i="58"/>
  <c r="B51" i="24"/>
  <c r="B49" i="58" s="1"/>
  <c r="R51" i="24"/>
  <c r="AC31" i="58"/>
  <c r="U20" i="58"/>
  <c r="I22" i="24"/>
  <c r="I20" i="58" s="1"/>
  <c r="AA10" i="58"/>
  <c r="Z27" i="58"/>
  <c r="P22" i="53"/>
  <c r="AD29" i="24"/>
  <c r="AD27" i="58" s="1"/>
  <c r="P43" i="53"/>
  <c r="AD50" i="24"/>
  <c r="AD48" i="58" s="1"/>
  <c r="Z48" i="58"/>
  <c r="C38" i="11"/>
  <c r="AD41" i="24"/>
  <c r="AD39" i="58" s="1"/>
  <c r="P34" i="53"/>
  <c r="Z39" i="58"/>
  <c r="AA51" i="58"/>
  <c r="W21" i="58"/>
  <c r="K23" i="24"/>
  <c r="K21" i="58" s="1"/>
  <c r="L21" i="11"/>
  <c r="E30" i="11"/>
  <c r="AG38" i="58"/>
  <c r="AG55" i="58"/>
  <c r="L24" i="11"/>
  <c r="F30" i="11"/>
  <c r="K48" i="11"/>
  <c r="AJ27" i="24"/>
  <c r="AJ25" i="58" s="1"/>
  <c r="AF25" i="58"/>
  <c r="Q20" i="53"/>
  <c r="AA19" i="58"/>
  <c r="F50" i="11"/>
  <c r="B29" i="11"/>
  <c r="J46" i="24"/>
  <c r="J44" i="58" s="1"/>
  <c r="V44" i="58"/>
  <c r="AB46" i="58"/>
  <c r="P33" i="58"/>
  <c r="D35" i="24"/>
  <c r="D33" i="58" s="1"/>
  <c r="P46" i="53"/>
  <c r="Z51" i="58"/>
  <c r="AD53" i="24"/>
  <c r="AD51" i="58" s="1"/>
  <c r="I28" i="24"/>
  <c r="I26" i="58" s="1"/>
  <c r="U26" i="58"/>
  <c r="W48" i="58"/>
  <c r="K50" i="24"/>
  <c r="K48" i="58" s="1"/>
  <c r="K28" i="11"/>
  <c r="AC35" i="58"/>
  <c r="L47" i="11"/>
  <c r="P53" i="58"/>
  <c r="D55" i="24"/>
  <c r="D53" i="58" s="1"/>
  <c r="N25" i="58"/>
  <c r="B27" i="24"/>
  <c r="B25" i="58" s="1"/>
  <c r="R27" i="24"/>
  <c r="N20" i="53"/>
  <c r="R20" i="53" s="1"/>
  <c r="U45" i="58"/>
  <c r="I47" i="24"/>
  <c r="I45" i="58" s="1"/>
  <c r="H9" i="24"/>
  <c r="H7" i="58" s="1"/>
  <c r="O2" i="53"/>
  <c r="T7" i="58"/>
  <c r="X9" i="24"/>
  <c r="L22" i="11"/>
  <c r="W15" i="58"/>
  <c r="K17" i="24"/>
  <c r="K15" i="58" s="1"/>
  <c r="AC25" i="58"/>
  <c r="H55" i="11"/>
  <c r="V9" i="58"/>
  <c r="J11" i="24"/>
  <c r="J9" i="58" s="1"/>
  <c r="C9" i="11"/>
  <c r="K45" i="11"/>
  <c r="AA11" i="58"/>
  <c r="AH42" i="58"/>
  <c r="E50" i="24"/>
  <c r="E48" i="58" s="1"/>
  <c r="Q48" i="58"/>
  <c r="H35" i="24"/>
  <c r="H33" i="58" s="1"/>
  <c r="O28" i="53"/>
  <c r="X35" i="24"/>
  <c r="T33" i="58"/>
  <c r="AF32" i="58"/>
  <c r="AJ34" i="24"/>
  <c r="AJ32" i="58" s="1"/>
  <c r="Q27" i="53"/>
  <c r="AF39" i="58"/>
  <c r="Q34" i="53"/>
  <c r="AJ41" i="24"/>
  <c r="AJ39" i="58" s="1"/>
  <c r="AC24" i="58"/>
  <c r="X56" i="24"/>
  <c r="T54" i="58"/>
  <c r="H56" i="24"/>
  <c r="H54" i="58" s="1"/>
  <c r="O49" i="53"/>
  <c r="Q47" i="58"/>
  <c r="E49" i="24"/>
  <c r="E47" i="58" s="1"/>
  <c r="L42" i="11"/>
  <c r="F10" i="11"/>
  <c r="AD12" i="24"/>
  <c r="AD10" i="58" s="1"/>
  <c r="Z10" i="58"/>
  <c r="P5" i="53"/>
  <c r="K10" i="11"/>
  <c r="O30" i="58"/>
  <c r="C32" i="24"/>
  <c r="C30" i="58" s="1"/>
  <c r="AB17" i="58"/>
  <c r="E58" i="24"/>
  <c r="E56" i="58" s="1"/>
  <c r="Q56" i="58"/>
  <c r="I51" i="11"/>
  <c r="C25" i="11"/>
  <c r="AA38" i="58"/>
  <c r="B14" i="24"/>
  <c r="B12" i="58" s="1"/>
  <c r="N12" i="58"/>
  <c r="N7" i="53"/>
  <c r="R14" i="24"/>
  <c r="AA7" i="58"/>
  <c r="E33" i="24"/>
  <c r="E31" i="58" s="1"/>
  <c r="Q31" i="58"/>
  <c r="D24" i="24"/>
  <c r="D22" i="58" s="1"/>
  <c r="P22" i="58"/>
  <c r="J43" i="24"/>
  <c r="J41" i="58" s="1"/>
  <c r="V41" i="58"/>
  <c r="AA13" i="58"/>
  <c r="U24" i="58"/>
  <c r="I26" i="24"/>
  <c r="I24" i="58" s="1"/>
  <c r="AB55" i="58"/>
  <c r="X13" i="24"/>
  <c r="T11" i="58"/>
  <c r="H13" i="24"/>
  <c r="H11" i="58" s="1"/>
  <c r="O6" i="53"/>
  <c r="I8" i="11"/>
  <c r="AH53" i="58"/>
  <c r="E26" i="11"/>
  <c r="B56" i="24"/>
  <c r="B54" i="58" s="1"/>
  <c r="N54" i="58"/>
  <c r="R56" i="24"/>
  <c r="N49" i="53"/>
  <c r="P46" i="58"/>
  <c r="D48" i="24"/>
  <c r="D46" i="58" s="1"/>
  <c r="B51" i="11"/>
  <c r="D47" i="53" s="1"/>
  <c r="AA52" i="58"/>
  <c r="K48" i="24"/>
  <c r="K46" i="58" s="1"/>
  <c r="W46" i="58"/>
  <c r="AG32" i="58"/>
  <c r="X50" i="24"/>
  <c r="T48" i="58"/>
  <c r="H50" i="24"/>
  <c r="H48" i="58" s="1"/>
  <c r="O43" i="53"/>
  <c r="J37" i="24"/>
  <c r="J35" i="58" s="1"/>
  <c r="V35" i="58"/>
  <c r="P26" i="53"/>
  <c r="AD33" i="24"/>
  <c r="AD31" i="58" s="1"/>
  <c r="Z31" i="58"/>
  <c r="K31" i="24"/>
  <c r="K29" i="58" s="1"/>
  <c r="W29" i="58"/>
  <c r="T45" i="58"/>
  <c r="X47" i="24"/>
  <c r="H47" i="24"/>
  <c r="H45" i="58" s="1"/>
  <c r="O40" i="53"/>
  <c r="AI19" i="58"/>
  <c r="AB9" i="58"/>
  <c r="E22" i="11"/>
  <c r="AG46" i="58"/>
  <c r="I24" i="11"/>
  <c r="H16" i="24"/>
  <c r="H14" i="58" s="1"/>
  <c r="X16" i="24"/>
  <c r="T14" i="58"/>
  <c r="O9" i="53"/>
  <c r="Q52" i="58"/>
  <c r="E54" i="24"/>
  <c r="E52" i="58" s="1"/>
  <c r="K52" i="11"/>
  <c r="AA31" i="58"/>
  <c r="AB24" i="58"/>
  <c r="E23" i="11"/>
  <c r="AG11" i="58"/>
  <c r="C17" i="11"/>
  <c r="L34" i="11"/>
  <c r="D52" i="24"/>
  <c r="D50" i="58" s="1"/>
  <c r="P50" i="58"/>
  <c r="AI28" i="58"/>
  <c r="K49" i="24"/>
  <c r="K47" i="58" s="1"/>
  <c r="W47" i="58"/>
  <c r="AI49" i="58"/>
  <c r="I18" i="11"/>
  <c r="AC10" i="58"/>
  <c r="AG9" i="58"/>
  <c r="AB56" i="58"/>
  <c r="AH40" i="58"/>
  <c r="Z21" i="58"/>
  <c r="P16" i="53"/>
  <c r="AD23" i="24"/>
  <c r="AD21" i="58" s="1"/>
  <c r="AA43" i="58"/>
  <c r="D13" i="24"/>
  <c r="D11" i="58" s="1"/>
  <c r="P11" i="58"/>
  <c r="C47" i="11"/>
  <c r="AH31" i="58"/>
  <c r="P41" i="58"/>
  <c r="D43" i="24"/>
  <c r="D41" i="58" s="1"/>
  <c r="AB22" i="58"/>
  <c r="K33" i="24"/>
  <c r="K31" i="58" s="1"/>
  <c r="W31" i="58"/>
  <c r="AI26" i="58"/>
  <c r="Q54" i="58"/>
  <c r="E56" i="24"/>
  <c r="E54" i="58" s="1"/>
  <c r="N33" i="53"/>
  <c r="R40" i="24"/>
  <c r="B40" i="24"/>
  <c r="B38" i="58" s="1"/>
  <c r="N38" i="58"/>
  <c r="B22" i="11"/>
  <c r="D18" i="53" s="1"/>
  <c r="I31" i="11"/>
  <c r="L44" i="11"/>
  <c r="AG10" i="58"/>
  <c r="B18" i="11"/>
  <c r="D14" i="53" s="1"/>
  <c r="AJ39" i="24"/>
  <c r="AJ37" i="58" s="1"/>
  <c r="Q32" i="53"/>
  <c r="AF37" i="58"/>
  <c r="E28" i="11"/>
  <c r="AI51" i="58"/>
  <c r="AG33" i="58"/>
  <c r="C18" i="11"/>
  <c r="Q49" i="58"/>
  <c r="E51" i="24"/>
  <c r="E49" i="58" s="1"/>
  <c r="Q55" i="58"/>
  <c r="E57" i="24"/>
  <c r="E55" i="58" s="1"/>
  <c r="O23" i="58"/>
  <c r="C25" i="24"/>
  <c r="C23" i="58" s="1"/>
  <c r="L48" i="11"/>
  <c r="H30" i="11"/>
  <c r="E16" i="24"/>
  <c r="E14" i="58" s="1"/>
  <c r="Q14" i="58"/>
  <c r="F51" i="11"/>
  <c r="AC20" i="58"/>
  <c r="E39" i="11"/>
  <c r="K41" i="11"/>
  <c r="AF38" i="58"/>
  <c r="AJ40" i="24"/>
  <c r="AJ38" i="58" s="1"/>
  <c r="Q33" i="53"/>
  <c r="D38" i="24"/>
  <c r="D36" i="58" s="1"/>
  <c r="P36" i="58"/>
  <c r="C21" i="24"/>
  <c r="C19" i="58" s="1"/>
  <c r="O19" i="58"/>
  <c r="F48" i="11"/>
  <c r="V53" i="58"/>
  <c r="J55" i="24"/>
  <c r="J53" i="58" s="1"/>
  <c r="J12" i="24"/>
  <c r="J10" i="58" s="1"/>
  <c r="V10" i="58"/>
  <c r="J17" i="24"/>
  <c r="J15" i="58" s="1"/>
  <c r="V15" i="58"/>
  <c r="T30" i="58"/>
  <c r="H32" i="24"/>
  <c r="H30" i="58" s="1"/>
  <c r="O25" i="53"/>
  <c r="X32" i="24"/>
  <c r="E33" i="11"/>
  <c r="H17" i="11"/>
  <c r="B42" i="24"/>
  <c r="B40" i="58" s="1"/>
  <c r="N40" i="58"/>
  <c r="R42" i="24"/>
  <c r="N35" i="53"/>
  <c r="AC27" i="58"/>
  <c r="P7" i="58"/>
  <c r="D9" i="24"/>
  <c r="D7" i="58" s="1"/>
  <c r="AI46" i="58"/>
  <c r="K53" i="24"/>
  <c r="K51" i="58" s="1"/>
  <c r="W51" i="58"/>
  <c r="Q20" i="58"/>
  <c r="E22" i="24"/>
  <c r="E20" i="58" s="1"/>
  <c r="F42" i="11"/>
  <c r="B39" i="11"/>
  <c r="D35" i="53" s="1"/>
  <c r="P21" i="53"/>
  <c r="Z26" i="58"/>
  <c r="AD28" i="24"/>
  <c r="AD26" i="58" s="1"/>
  <c r="AG53" i="58"/>
  <c r="N41" i="58"/>
  <c r="N36" i="53"/>
  <c r="B43" i="24"/>
  <c r="B41" i="58" s="1"/>
  <c r="R43" i="24"/>
  <c r="AC36" i="58"/>
  <c r="V22" i="58"/>
  <c r="J24" i="24"/>
  <c r="J22" i="58" s="1"/>
  <c r="C12" i="11"/>
  <c r="AB44" i="58"/>
  <c r="F14" i="11"/>
  <c r="P29" i="53"/>
  <c r="Z34" i="58"/>
  <c r="AD36" i="24"/>
  <c r="AD34" i="58" s="1"/>
  <c r="N25" i="53"/>
  <c r="N30" i="58"/>
  <c r="B32" i="24"/>
  <c r="B30" i="58" s="1"/>
  <c r="R32" i="24"/>
  <c r="E6" i="11"/>
  <c r="O46" i="58"/>
  <c r="C48" i="24"/>
  <c r="C46" i="58" s="1"/>
  <c r="AD15" i="24"/>
  <c r="AD13" i="58" s="1"/>
  <c r="Z13" i="58"/>
  <c r="P8" i="53"/>
  <c r="AH51" i="58"/>
  <c r="AB14" i="58"/>
  <c r="I43" i="24"/>
  <c r="I41" i="58" s="1"/>
  <c r="U41" i="58"/>
  <c r="L39" i="11"/>
  <c r="L9" i="11"/>
  <c r="X18" i="24"/>
  <c r="O11" i="53"/>
  <c r="H18" i="24"/>
  <c r="H16" i="58" s="1"/>
  <c r="T16" i="58"/>
  <c r="AA40" i="58"/>
  <c r="AG35" i="58"/>
  <c r="H33" i="11"/>
  <c r="V17" i="58"/>
  <c r="J19" i="24"/>
  <c r="J17" i="58" s="1"/>
  <c r="C57" i="24"/>
  <c r="C55" i="58" s="1"/>
  <c r="O55" i="58"/>
  <c r="W19" i="58"/>
  <c r="K21" i="24"/>
  <c r="K19" i="58" s="1"/>
  <c r="P20" i="58"/>
  <c r="D22" i="24"/>
  <c r="D20" i="58" s="1"/>
  <c r="F45" i="11"/>
  <c r="AG45" i="58"/>
  <c r="U36" i="58"/>
  <c r="I38" i="24"/>
  <c r="I36" i="58" s="1"/>
  <c r="I50" i="11"/>
  <c r="K21" i="11"/>
  <c r="AH41" i="58"/>
  <c r="P31" i="58"/>
  <c r="D33" i="24"/>
  <c r="D31" i="58" s="1"/>
  <c r="AC16" i="58"/>
  <c r="C31" i="11"/>
  <c r="B36" i="11"/>
  <c r="D32" i="53" s="1"/>
  <c r="Q2" i="53"/>
  <c r="AJ9" i="24"/>
  <c r="AJ7" i="58" s="1"/>
  <c r="AF7" i="58"/>
  <c r="L6" i="11"/>
  <c r="AH27" i="58"/>
  <c r="K12" i="11"/>
  <c r="AD47" i="24"/>
  <c r="AD45" i="58" s="1"/>
  <c r="Z45" i="58"/>
  <c r="P40" i="53"/>
  <c r="B46" i="11"/>
  <c r="D42" i="53" s="1"/>
  <c r="Q22" i="58"/>
  <c r="E24" i="24"/>
  <c r="E22" i="58" s="1"/>
  <c r="I21" i="11"/>
  <c r="AG28" i="58"/>
  <c r="AD51" i="24"/>
  <c r="AD49" i="58" s="1"/>
  <c r="Z49" i="58"/>
  <c r="P44" i="53"/>
  <c r="L23" i="11"/>
  <c r="O20" i="58"/>
  <c r="C22" i="24"/>
  <c r="C20" i="58" s="1"/>
  <c r="E42" i="24"/>
  <c r="E40" i="58" s="1"/>
  <c r="Q40" i="58"/>
  <c r="K35" i="11"/>
  <c r="AI39" i="58"/>
  <c r="P24" i="53"/>
  <c r="AD31" i="24"/>
  <c r="AD29" i="58" s="1"/>
  <c r="Z29" i="58"/>
  <c r="AC32" i="58"/>
  <c r="I54" i="24"/>
  <c r="I52" i="58" s="1"/>
  <c r="U52" i="58"/>
  <c r="AG30" i="58"/>
  <c r="AH29" i="58"/>
  <c r="F26" i="11"/>
  <c r="C17" i="24"/>
  <c r="C15" i="58" s="1"/>
  <c r="O15" i="58"/>
  <c r="O21" i="53"/>
  <c r="X28" i="24"/>
  <c r="T26" i="58"/>
  <c r="H28" i="24"/>
  <c r="H26" i="58" s="1"/>
  <c r="L49" i="11"/>
  <c r="B12" i="24"/>
  <c r="B10" i="58" s="1"/>
  <c r="N5" i="53"/>
  <c r="R5" i="53" s="1"/>
  <c r="N10" i="58"/>
  <c r="R12" i="24"/>
  <c r="Q24" i="53"/>
  <c r="AF29" i="58"/>
  <c r="AJ31" i="24"/>
  <c r="AJ29" i="58" s="1"/>
  <c r="B42" i="11"/>
  <c r="D38" i="53" s="1"/>
  <c r="I13" i="24"/>
  <c r="I11" i="58" s="1"/>
  <c r="U11" i="58"/>
  <c r="B20" i="24"/>
  <c r="B18" i="58" s="1"/>
  <c r="N13" i="53"/>
  <c r="N18" i="58"/>
  <c r="R20" i="24"/>
  <c r="C22" i="11"/>
  <c r="W52" i="58"/>
  <c r="K54" i="24"/>
  <c r="K52" i="58" s="1"/>
  <c r="P49" i="58"/>
  <c r="D51" i="24"/>
  <c r="D49" i="58" s="1"/>
  <c r="AH43" i="58"/>
  <c r="F7" i="11"/>
  <c r="AD30" i="24"/>
  <c r="AD28" i="58" s="1"/>
  <c r="P23" i="53"/>
  <c r="Z28" i="58"/>
  <c r="K9" i="11"/>
  <c r="L28" i="11"/>
  <c r="B58" i="24"/>
  <c r="B56" i="58" s="1"/>
  <c r="N56" i="58"/>
  <c r="N51" i="53"/>
  <c r="R58" i="24"/>
  <c r="B21" i="24"/>
  <c r="B19" i="58" s="1"/>
  <c r="R21" i="24"/>
  <c r="N19" i="58"/>
  <c r="N14" i="53"/>
  <c r="X46" i="24"/>
  <c r="T44" i="58"/>
  <c r="O39" i="53"/>
  <c r="H46" i="24"/>
  <c r="H44" i="58" s="1"/>
  <c r="H16" i="11"/>
  <c r="AB25" i="58"/>
  <c r="K33" i="11"/>
  <c r="AC49" i="58"/>
  <c r="B12" i="11"/>
  <c r="D8" i="53" s="1"/>
  <c r="AD34" i="24"/>
  <c r="AD32" i="58" s="1"/>
  <c r="Z32" i="58"/>
  <c r="P27" i="53"/>
  <c r="H48" i="11"/>
  <c r="Q27" i="58"/>
  <c r="E29" i="24"/>
  <c r="E27" i="58" s="1"/>
  <c r="D14" i="24"/>
  <c r="D12" i="58" s="1"/>
  <c r="P12" i="58"/>
  <c r="O31" i="53"/>
  <c r="X38" i="24"/>
  <c r="H38" i="24"/>
  <c r="H36" i="58" s="1"/>
  <c r="T36" i="58"/>
  <c r="E42" i="11"/>
  <c r="N2" i="53"/>
  <c r="N7" i="58"/>
  <c r="B9" i="24"/>
  <c r="B7" i="58" s="1"/>
  <c r="R9" i="24"/>
  <c r="AI29" i="58"/>
  <c r="F25" i="11"/>
  <c r="F17" i="11"/>
  <c r="W28" i="58"/>
  <c r="K30" i="24"/>
  <c r="K28" i="58" s="1"/>
  <c r="O17" i="58"/>
  <c r="C19" i="24"/>
  <c r="C17" i="58" s="1"/>
  <c r="H27" i="11"/>
  <c r="K57" i="24"/>
  <c r="K55" i="58" s="1"/>
  <c r="W55" i="58"/>
  <c r="AB16" i="58"/>
  <c r="W18" i="58"/>
  <c r="K20" i="24"/>
  <c r="K18" i="58" s="1"/>
  <c r="V24" i="58"/>
  <c r="J26" i="24"/>
  <c r="J24" i="58" s="1"/>
  <c r="L43" i="11"/>
  <c r="H44" i="11"/>
  <c r="AI16" i="58"/>
  <c r="I32" i="11"/>
  <c r="C35" i="11"/>
  <c r="C8" i="11"/>
  <c r="AA47" i="58"/>
  <c r="E46" i="11"/>
  <c r="Q4" i="53"/>
  <c r="AF9" i="58"/>
  <c r="AJ11" i="24"/>
  <c r="AJ9" i="58" s="1"/>
  <c r="E51" i="11"/>
  <c r="C40" i="11"/>
  <c r="K11" i="24"/>
  <c r="K9" i="58" s="1"/>
  <c r="W9" i="58"/>
  <c r="O41" i="58"/>
  <c r="C43" i="24"/>
  <c r="C41" i="58" s="1"/>
  <c r="D10" i="24"/>
  <c r="D8" i="58" s="1"/>
  <c r="P8" i="58"/>
  <c r="C13" i="11"/>
  <c r="V47" i="58"/>
  <c r="J49" i="24"/>
  <c r="J47" i="58" s="1"/>
  <c r="AC47" i="58"/>
  <c r="J57" i="24"/>
  <c r="J55" i="58" s="1"/>
  <c r="V55" i="58"/>
  <c r="B14" i="11"/>
  <c r="D10" i="53" s="1"/>
  <c r="O38" i="58"/>
  <c r="C40" i="24"/>
  <c r="C38" i="58" s="1"/>
  <c r="I29" i="24"/>
  <c r="I27" i="58" s="1"/>
  <c r="U27" i="58"/>
  <c r="I20" i="24"/>
  <c r="I18" i="58" s="1"/>
  <c r="U18" i="58"/>
  <c r="B52" i="24"/>
  <c r="B50" i="58" s="1"/>
  <c r="N45" i="53"/>
  <c r="N50" i="58"/>
  <c r="R52" i="24"/>
  <c r="AA16" i="58"/>
  <c r="J53" i="24"/>
  <c r="J51" i="58" s="1"/>
  <c r="V51" i="58"/>
  <c r="I59" i="24"/>
  <c r="I57" i="58" s="1"/>
  <c r="U57" i="58"/>
  <c r="O57" i="58"/>
  <c r="C59" i="24"/>
  <c r="C57" i="58" s="1"/>
  <c r="I23" i="11"/>
  <c r="I56" i="11"/>
  <c r="Z50" i="58"/>
  <c r="AD52" i="24"/>
  <c r="AD50" i="58" s="1"/>
  <c r="P45" i="53"/>
  <c r="Z41" i="58"/>
  <c r="AD43" i="24"/>
  <c r="AD41" i="58" s="1"/>
  <c r="P36" i="53"/>
  <c r="L19" i="11"/>
  <c r="AG42" i="58"/>
  <c r="X48" i="24"/>
  <c r="T46" i="58"/>
  <c r="H48" i="24"/>
  <c r="H46" i="58" s="1"/>
  <c r="O41" i="53"/>
  <c r="B34" i="24"/>
  <c r="B32" i="58" s="1"/>
  <c r="R34" i="24"/>
  <c r="N27" i="53"/>
  <c r="R27" i="53" s="1"/>
  <c r="N32" i="58"/>
  <c r="AA54" i="58"/>
  <c r="C11" i="11"/>
  <c r="AG14" i="58"/>
  <c r="K18" i="11"/>
  <c r="H54" i="11"/>
  <c r="AB21" i="58"/>
  <c r="C10" i="24"/>
  <c r="C8" i="58" s="1"/>
  <c r="O8" i="58"/>
  <c r="AD24" i="24"/>
  <c r="AD22" i="58" s="1"/>
  <c r="Z22" i="58"/>
  <c r="P17" i="53"/>
  <c r="H19" i="11"/>
  <c r="Z7" i="58"/>
  <c r="P2" i="53"/>
  <c r="AD9" i="24"/>
  <c r="AD7" i="58" s="1"/>
  <c r="B15" i="11"/>
  <c r="D11" i="53" s="1"/>
  <c r="C20" i="11"/>
  <c r="C23" i="24"/>
  <c r="C21" i="58" s="1"/>
  <c r="O21" i="58"/>
  <c r="V21" i="58"/>
  <c r="J23" i="24"/>
  <c r="J21" i="58" s="1"/>
  <c r="AG19" i="58"/>
  <c r="H49" i="11"/>
  <c r="E20" i="11"/>
  <c r="K56" i="24"/>
  <c r="K54" i="58" s="1"/>
  <c r="W54" i="58"/>
  <c r="AI15" i="58"/>
  <c r="AG41" i="58"/>
  <c r="K34" i="11"/>
  <c r="AH25" i="58"/>
  <c r="L20" i="11"/>
  <c r="E23" i="24"/>
  <c r="E21" i="58" s="1"/>
  <c r="Q21" i="58"/>
  <c r="AC40" i="58"/>
  <c r="J25" i="24"/>
  <c r="J23" i="58" s="1"/>
  <c r="V23" i="58"/>
  <c r="K54" i="11"/>
  <c r="L29" i="11"/>
  <c r="L35" i="11"/>
  <c r="AB36" i="58"/>
  <c r="P47" i="58"/>
  <c r="D49" i="24"/>
  <c r="D47" i="58" s="1"/>
  <c r="AJ18" i="24"/>
  <c r="AJ16" i="58" s="1"/>
  <c r="Q11" i="53"/>
  <c r="AF16" i="58"/>
  <c r="F52" i="11"/>
  <c r="AI21" i="58"/>
  <c r="B35" i="11"/>
  <c r="D31" i="53" s="1"/>
  <c r="AJ13" i="24"/>
  <c r="AJ11" i="58" s="1"/>
  <c r="AF11" i="58"/>
  <c r="Q6" i="53"/>
  <c r="I16" i="11"/>
  <c r="E41" i="11"/>
  <c r="AH46" i="58"/>
  <c r="AG31" i="58"/>
  <c r="AG16" i="58"/>
  <c r="E43" i="11"/>
  <c r="L12" i="11"/>
  <c r="N17" i="58"/>
  <c r="B19" i="24"/>
  <c r="B17" i="58" s="1"/>
  <c r="N12" i="53"/>
  <c r="R19" i="24"/>
  <c r="J54" i="24"/>
  <c r="J52" i="58" s="1"/>
  <c r="V52" i="58"/>
  <c r="AF33" i="58"/>
  <c r="Q28" i="53"/>
  <c r="AJ35" i="24"/>
  <c r="AJ33" i="58" s="1"/>
  <c r="AB10" i="58"/>
  <c r="I47" i="11"/>
  <c r="AH12" i="58"/>
  <c r="AD13" i="24"/>
  <c r="AD11" i="58" s="1"/>
  <c r="Z11" i="58"/>
  <c r="P6" i="53"/>
  <c r="N45" i="58"/>
  <c r="R47" i="24"/>
  <c r="N40" i="53"/>
  <c r="B47" i="24"/>
  <c r="B45" i="58" s="1"/>
  <c r="E35" i="24"/>
  <c r="E33" i="58" s="1"/>
  <c r="Q33" i="58"/>
  <c r="L41" i="11"/>
  <c r="R16" i="24"/>
  <c r="N9" i="53"/>
  <c r="B16" i="24"/>
  <c r="B14" i="58" s="1"/>
  <c r="N14" i="58"/>
  <c r="AI52" i="58"/>
  <c r="AA14" i="58"/>
  <c r="F18" i="11"/>
  <c r="AJ29" i="24"/>
  <c r="AJ27" i="58" s="1"/>
  <c r="AF27" i="58"/>
  <c r="Q22" i="53"/>
  <c r="R35" i="24"/>
  <c r="N28" i="53"/>
  <c r="R28" i="53" s="1"/>
  <c r="B35" i="24"/>
  <c r="B33" i="58" s="1"/>
  <c r="N33" i="58"/>
  <c r="N44" i="58"/>
  <c r="B46" i="24"/>
  <c r="B44" i="58" s="1"/>
  <c r="R46" i="24"/>
  <c r="N39" i="53"/>
  <c r="N26" i="58"/>
  <c r="B28" i="24"/>
  <c r="B26" i="58" s="1"/>
  <c r="N21" i="53"/>
  <c r="R28" i="24"/>
  <c r="L55" i="11"/>
  <c r="F31" i="11"/>
  <c r="AI44" i="58"/>
  <c r="Q50" i="53"/>
  <c r="AF55" i="58"/>
  <c r="AJ57" i="24"/>
  <c r="AJ55" i="58" s="1"/>
  <c r="W34" i="58"/>
  <c r="K36" i="24"/>
  <c r="K34" i="58" s="1"/>
  <c r="AA23" i="58"/>
  <c r="AC19" i="58"/>
  <c r="O56" i="58"/>
  <c r="C58" i="24"/>
  <c r="C56" i="58" s="1"/>
  <c r="AA33" i="58"/>
  <c r="H38" i="11"/>
  <c r="AB50" i="58"/>
  <c r="B45" i="24"/>
  <c r="B43" i="58" s="1"/>
  <c r="N43" i="58"/>
  <c r="R45" i="24"/>
  <c r="N38" i="53"/>
  <c r="Q15" i="58"/>
  <c r="E17" i="24"/>
  <c r="E15" i="58" s="1"/>
  <c r="H43" i="11"/>
  <c r="AA39" i="58"/>
  <c r="AC45" i="58"/>
  <c r="I46" i="24"/>
  <c r="I44" i="58" s="1"/>
  <c r="U44" i="58"/>
  <c r="D50" i="24"/>
  <c r="D48" i="58" s="1"/>
  <c r="P48" i="58"/>
  <c r="AC22" i="58"/>
  <c r="K17" i="11"/>
  <c r="D44" i="24"/>
  <c r="D42" i="58" s="1"/>
  <c r="P42" i="58"/>
  <c r="E48" i="11"/>
  <c r="H20" i="24"/>
  <c r="H18" i="58" s="1"/>
  <c r="T18" i="58"/>
  <c r="O13" i="53"/>
  <c r="X20" i="24"/>
  <c r="I56" i="24"/>
  <c r="I54" i="58" s="1"/>
  <c r="U54" i="58"/>
  <c r="K38" i="24"/>
  <c r="K36" i="58" s="1"/>
  <c r="W36" i="58"/>
  <c r="E18" i="11"/>
  <c r="B24" i="24"/>
  <c r="B22" i="58" s="1"/>
  <c r="N17" i="53"/>
  <c r="R24" i="24"/>
  <c r="N22" i="58"/>
  <c r="D57" i="24"/>
  <c r="D55" i="58" s="1"/>
  <c r="P55" i="58"/>
  <c r="K47" i="11"/>
  <c r="E54" i="11"/>
  <c r="AH56" i="58"/>
  <c r="AB19" i="58"/>
  <c r="I45" i="24"/>
  <c r="I43" i="58" s="1"/>
  <c r="U43" i="58"/>
  <c r="P9" i="53"/>
  <c r="Z14" i="58"/>
  <c r="AD16" i="24"/>
  <c r="AD14" i="58" s="1"/>
  <c r="F55" i="11"/>
  <c r="AH36" i="58"/>
  <c r="AD22" i="24"/>
  <c r="AD20" i="58" s="1"/>
  <c r="P15" i="53"/>
  <c r="Z20" i="58"/>
  <c r="P51" i="53"/>
  <c r="AD58" i="24"/>
  <c r="AD56" i="58" s="1"/>
  <c r="Z56" i="58"/>
  <c r="T17" i="58"/>
  <c r="X19" i="24"/>
  <c r="O12" i="53"/>
  <c r="H19" i="24"/>
  <c r="H17" i="58" s="1"/>
  <c r="B11" i="11"/>
  <c r="AB37" i="58"/>
  <c r="B47" i="11"/>
  <c r="D43" i="53" s="1"/>
  <c r="AB12" i="58"/>
  <c r="E32" i="24"/>
  <c r="E30" i="58" s="1"/>
  <c r="Q30" i="58"/>
  <c r="AJ53" i="24"/>
  <c r="AJ51" i="58" s="1"/>
  <c r="Q46" i="53"/>
  <c r="AF51" i="58"/>
  <c r="F8" i="11"/>
  <c r="C55" i="24"/>
  <c r="C53" i="58" s="1"/>
  <c r="O53" i="58"/>
  <c r="AA18" i="58"/>
  <c r="Q29" i="53"/>
  <c r="AF34" i="58"/>
  <c r="AJ36" i="24"/>
  <c r="AJ34" i="58" s="1"/>
  <c r="L11" i="11"/>
  <c r="AG54" i="58"/>
  <c r="AI10" i="58"/>
  <c r="AC46" i="58"/>
  <c r="AA17" i="58"/>
  <c r="AI8" i="58"/>
  <c r="N47" i="53"/>
  <c r="N52" i="58"/>
  <c r="B54" i="24"/>
  <c r="B52" i="58" s="1"/>
  <c r="R54" i="24"/>
  <c r="E27" i="11"/>
  <c r="H52" i="11"/>
  <c r="C55" i="11"/>
  <c r="F39" i="11"/>
  <c r="AA53" i="58"/>
  <c r="H45" i="11"/>
  <c r="AA34" i="58"/>
  <c r="K34" i="24"/>
  <c r="K32" i="58" s="1"/>
  <c r="W32" i="58"/>
  <c r="K14" i="24"/>
  <c r="K12" i="58" s="1"/>
  <c r="W12" i="58"/>
  <c r="H10" i="24"/>
  <c r="H8" i="58" s="1"/>
  <c r="X10" i="24"/>
  <c r="O3" i="53"/>
  <c r="T8" i="58"/>
  <c r="C21" i="11"/>
  <c r="K37" i="24"/>
  <c r="K35" i="58" s="1"/>
  <c r="W35" i="58"/>
  <c r="AG51" i="58"/>
  <c r="AI22" i="58"/>
  <c r="K43" i="11"/>
  <c r="B20" i="11"/>
  <c r="D16" i="53" s="1"/>
  <c r="I27" i="11"/>
  <c r="K46" i="11"/>
  <c r="H50" i="11"/>
  <c r="E45" i="11"/>
  <c r="AA49" i="58"/>
  <c r="T12" i="58"/>
  <c r="X14" i="24"/>
  <c r="H14" i="24"/>
  <c r="H12" i="58" s="1"/>
  <c r="O7" i="53"/>
  <c r="H53" i="11"/>
  <c r="W39" i="58"/>
  <c r="K41" i="24"/>
  <c r="K39" i="58" s="1"/>
  <c r="Q39" i="58"/>
  <c r="E41" i="24"/>
  <c r="E39" i="58" s="1"/>
  <c r="P13" i="58"/>
  <c r="D15" i="24"/>
  <c r="D13" i="58" s="1"/>
  <c r="AB48" i="58"/>
  <c r="Z52" i="58"/>
  <c r="P47" i="53"/>
  <c r="AD54" i="24"/>
  <c r="AD52" i="58" s="1"/>
  <c r="O47" i="53"/>
  <c r="T52" i="58"/>
  <c r="X54" i="24"/>
  <c r="H54" i="24"/>
  <c r="H52" i="58" s="1"/>
  <c r="P14" i="58"/>
  <c r="D16" i="24"/>
  <c r="D14" i="58" s="1"/>
  <c r="U15" i="58"/>
  <c r="I17" i="24"/>
  <c r="I15" i="58" s="1"/>
  <c r="L32" i="11"/>
  <c r="J33" i="24"/>
  <c r="J31" i="58" s="1"/>
  <c r="V31" i="58"/>
  <c r="V25" i="58"/>
  <c r="J27" i="24"/>
  <c r="J25" i="58" s="1"/>
  <c r="AH49" i="58"/>
  <c r="AC39" i="58"/>
  <c r="H37" i="11"/>
  <c r="C24" i="11"/>
  <c r="Q51" i="58"/>
  <c r="E53" i="24"/>
  <c r="E51" i="58" s="1"/>
  <c r="AB49" i="58"/>
  <c r="AG18" i="58"/>
  <c r="C15" i="11"/>
  <c r="I9" i="11"/>
  <c r="AC9" i="58"/>
  <c r="F9" i="11"/>
  <c r="U40" i="58"/>
  <c r="I42" i="24"/>
  <c r="I40" i="58" s="1"/>
  <c r="AB47" i="58"/>
  <c r="C51" i="24"/>
  <c r="C49" i="58" s="1"/>
  <c r="O49" i="58"/>
  <c r="I44" i="24"/>
  <c r="I42" i="58" s="1"/>
  <c r="U42" i="58"/>
  <c r="I9" i="24"/>
  <c r="I7" i="58" s="1"/>
  <c r="U7" i="58"/>
  <c r="F33" i="11"/>
  <c r="AG15" i="58"/>
  <c r="AG29" i="58"/>
  <c r="U56" i="58"/>
  <c r="I58" i="24"/>
  <c r="I56" i="58" s="1"/>
  <c r="H10" i="11"/>
  <c r="AB53" i="58"/>
  <c r="E35" i="11"/>
  <c r="O17" i="53"/>
  <c r="H24" i="24"/>
  <c r="H22" i="58" s="1"/>
  <c r="T22" i="58"/>
  <c r="X24" i="24"/>
  <c r="U31" i="58"/>
  <c r="I33" i="24"/>
  <c r="I31" i="58" s="1"/>
  <c r="O48" i="53"/>
  <c r="H55" i="24"/>
  <c r="H53" i="58" s="1"/>
  <c r="T53" i="58"/>
  <c r="X55" i="24"/>
  <c r="AF43" i="58"/>
  <c r="Q38" i="53"/>
  <c r="AJ45" i="24"/>
  <c r="AJ43" i="58" s="1"/>
  <c r="C43" i="11"/>
  <c r="AC44" i="58"/>
  <c r="AI14" i="58"/>
  <c r="Z38" i="58"/>
  <c r="P33" i="53"/>
  <c r="AD40" i="24"/>
  <c r="AD38" i="58" s="1"/>
  <c r="I20" i="11"/>
  <c r="AD21" i="24"/>
  <c r="AD19" i="58" s="1"/>
  <c r="P14" i="53"/>
  <c r="Z19" i="58"/>
  <c r="B19" i="11"/>
  <c r="D15" i="53" s="1"/>
  <c r="P32" i="53"/>
  <c r="AD39" i="24"/>
  <c r="AD37" i="58" s="1"/>
  <c r="Z37" i="58"/>
  <c r="B53" i="11"/>
  <c r="D49" i="53" s="1"/>
  <c r="AG47" i="58"/>
  <c r="C51" i="11"/>
  <c r="I36" i="11"/>
  <c r="F41" i="11"/>
  <c r="AA48" i="58"/>
  <c r="AB41" i="58"/>
  <c r="Q40" i="53"/>
  <c r="AF45" i="58"/>
  <c r="AJ47" i="24"/>
  <c r="AJ45" i="58" s="1"/>
  <c r="AB43" i="58"/>
  <c r="C31" i="24"/>
  <c r="C29" i="58" s="1"/>
  <c r="O29" i="58"/>
  <c r="K19" i="11"/>
  <c r="H22" i="11"/>
  <c r="K28" i="24"/>
  <c r="K26" i="58" s="1"/>
  <c r="W26" i="58"/>
  <c r="F11" i="11"/>
  <c r="AG8" i="58"/>
  <c r="AC38" i="58"/>
  <c r="J16" i="24"/>
  <c r="J14" i="58" s="1"/>
  <c r="V14" i="58"/>
  <c r="L33" i="11"/>
  <c r="F23" i="11"/>
  <c r="AH13" i="58"/>
  <c r="B27" i="11"/>
  <c r="D23" i="53" s="1"/>
  <c r="Q53" i="58"/>
  <c r="E55" i="24"/>
  <c r="E53" i="58" s="1"/>
  <c r="AH9" i="58"/>
  <c r="B30" i="11"/>
  <c r="D26" i="53" s="1"/>
  <c r="I46" i="11"/>
  <c r="AI7" i="58"/>
  <c r="V54" i="58"/>
  <c r="J56" i="24"/>
  <c r="J54" i="58" s="1"/>
  <c r="P26" i="58"/>
  <c r="D28" i="24"/>
  <c r="D26" i="58" s="1"/>
  <c r="I35" i="24"/>
  <c r="I33" i="58" s="1"/>
  <c r="U33" i="58"/>
  <c r="AH44" i="58"/>
  <c r="B55" i="11"/>
  <c r="AJ44" i="24"/>
  <c r="AJ42" i="58" s="1"/>
  <c r="AF42" i="58"/>
  <c r="Q37" i="53"/>
  <c r="L38" i="11"/>
  <c r="F34" i="11"/>
  <c r="P4" i="53"/>
  <c r="Z9" i="58"/>
  <c r="AD11" i="24"/>
  <c r="AD9" i="58" s="1"/>
  <c r="H36" i="11"/>
  <c r="AC17" i="58"/>
  <c r="K31" i="11"/>
  <c r="AG7" i="58"/>
  <c r="AB13" i="58"/>
  <c r="Z40" i="58"/>
  <c r="P35" i="53"/>
  <c r="AD42" i="24"/>
  <c r="AD40" i="58" s="1"/>
  <c r="N28" i="58"/>
  <c r="N23" i="53"/>
  <c r="R30" i="24"/>
  <c r="B30" i="24"/>
  <c r="B28" i="58" s="1"/>
  <c r="F54" i="11"/>
  <c r="L52" i="11"/>
  <c r="C13" i="24"/>
  <c r="C11" i="58" s="1"/>
  <c r="O11" i="58"/>
  <c r="Q13" i="58"/>
  <c r="E15" i="24"/>
  <c r="E13" i="58" s="1"/>
  <c r="E25" i="11"/>
  <c r="B49" i="11"/>
  <c r="D45" i="53" s="1"/>
  <c r="F49" i="11"/>
  <c r="W57" i="58"/>
  <c r="K59" i="24"/>
  <c r="K57" i="58" s="1"/>
  <c r="P37" i="53"/>
  <c r="Z42" i="58"/>
  <c r="AD44" i="24"/>
  <c r="AD42" i="58" s="1"/>
  <c r="AD10" i="24"/>
  <c r="AD8" i="58" s="1"/>
  <c r="P3" i="53"/>
  <c r="Z8" i="58"/>
  <c r="L37" i="11"/>
  <c r="B32" i="11"/>
  <c r="D28" i="53" s="1"/>
  <c r="AH55" i="58"/>
  <c r="E12" i="11"/>
  <c r="N22" i="53"/>
  <c r="B29" i="24"/>
  <c r="B27" i="58" s="1"/>
  <c r="R29" i="24"/>
  <c r="N27" i="58"/>
  <c r="E14" i="11"/>
  <c r="C38" i="24"/>
  <c r="C36" i="58" s="1"/>
  <c r="O36" i="58"/>
  <c r="AH19" i="58"/>
  <c r="AB34" i="58"/>
  <c r="L56" i="11"/>
  <c r="L14" i="11"/>
  <c r="H11" i="11"/>
  <c r="AA30" i="58"/>
  <c r="X29" i="24"/>
  <c r="O22" i="53"/>
  <c r="H29" i="24"/>
  <c r="H27" i="58" s="1"/>
  <c r="T27" i="58"/>
  <c r="J40" i="24"/>
  <c r="J38" i="58" s="1"/>
  <c r="V38" i="58"/>
  <c r="K13" i="11"/>
  <c r="I7" i="11"/>
  <c r="L53" i="11"/>
  <c r="AD48" i="24"/>
  <c r="AD46" i="58" s="1"/>
  <c r="Z46" i="58"/>
  <c r="P41" i="53"/>
  <c r="AH47" i="58"/>
  <c r="C27" i="11"/>
  <c r="C19" i="11"/>
  <c r="B23" i="24"/>
  <c r="B21" i="58" s="1"/>
  <c r="N16" i="53"/>
  <c r="R23" i="24"/>
  <c r="N21" i="58"/>
  <c r="AF46" i="58"/>
  <c r="Q41" i="53"/>
  <c r="AJ48" i="24"/>
  <c r="AJ46" i="58" s="1"/>
  <c r="C33" i="24"/>
  <c r="C31" i="58" s="1"/>
  <c r="O31" i="58"/>
  <c r="E47" i="11"/>
  <c r="AB7" i="58"/>
  <c r="E37" i="11"/>
  <c r="Z16" i="58"/>
  <c r="P11" i="53"/>
  <c r="AD18" i="24"/>
  <c r="AD16" i="58" s="1"/>
  <c r="D30" i="24"/>
  <c r="D28" i="58" s="1"/>
  <c r="P28" i="58"/>
  <c r="W45" i="58"/>
  <c r="K47" i="24"/>
  <c r="K45" i="58" s="1"/>
  <c r="P32" i="58"/>
  <c r="D34" i="24"/>
  <c r="D32" i="58" s="1"/>
  <c r="AD46" i="24"/>
  <c r="AD44" i="58" s="1"/>
  <c r="P39" i="53"/>
  <c r="Z44" i="58"/>
  <c r="W8" i="58"/>
  <c r="K10" i="24"/>
  <c r="K8" i="58" s="1"/>
  <c r="I53" i="11"/>
  <c r="X11" i="24"/>
  <c r="H11" i="24"/>
  <c r="H9" i="58" s="1"/>
  <c r="T9" i="58"/>
  <c r="O4" i="53"/>
  <c r="F36" i="11"/>
  <c r="AH52" i="58"/>
  <c r="C49" i="11"/>
  <c r="J14" i="24"/>
  <c r="J12" i="58" s="1"/>
  <c r="V12" i="58"/>
  <c r="X22" i="24"/>
  <c r="O15" i="53"/>
  <c r="H22" i="24"/>
  <c r="H20" i="58" s="1"/>
  <c r="T20" i="58"/>
  <c r="X41" i="24"/>
  <c r="T39" i="58"/>
  <c r="O34" i="53"/>
  <c r="H41" i="24"/>
  <c r="H39" i="58" s="1"/>
  <c r="W40" i="58"/>
  <c r="K42" i="24"/>
  <c r="K40" i="58" s="1"/>
  <c r="V40" i="58"/>
  <c r="J42" i="24"/>
  <c r="J40" i="58" s="1"/>
  <c r="AH11" i="58"/>
  <c r="C42" i="11"/>
  <c r="K9" i="24"/>
  <c r="K7" i="58" s="1"/>
  <c r="W7" i="58"/>
  <c r="K8" i="11"/>
  <c r="V46" i="58"/>
  <c r="J48" i="24"/>
  <c r="J46" i="58" s="1"/>
  <c r="F21" i="11"/>
  <c r="AD20" i="24"/>
  <c r="AD18" i="58" s="1"/>
  <c r="Z18" i="58"/>
  <c r="P13" i="53"/>
  <c r="B7" i="11"/>
  <c r="C18" i="24"/>
  <c r="C16" i="58" s="1"/>
  <c r="O16" i="58"/>
  <c r="AA57" i="58"/>
  <c r="O23" i="53"/>
  <c r="T28" i="58"/>
  <c r="X30" i="24"/>
  <c r="H30" i="24"/>
  <c r="H28" i="58" s="1"/>
  <c r="AI34" i="58"/>
  <c r="I12" i="24"/>
  <c r="I10" i="58" s="1"/>
  <c r="U10" i="58"/>
  <c r="AI31" i="58"/>
  <c r="AH35" i="58"/>
  <c r="T34" i="58"/>
  <c r="X36" i="24"/>
  <c r="O29" i="53"/>
  <c r="H36" i="24"/>
  <c r="H34" i="58" s="1"/>
  <c r="W33" i="58"/>
  <c r="K35" i="24"/>
  <c r="K33" i="58" s="1"/>
  <c r="Z53" i="58"/>
  <c r="P48" i="53"/>
  <c r="AD55" i="24"/>
  <c r="AD53" i="58" s="1"/>
  <c r="K11" i="11"/>
  <c r="L27" i="11"/>
  <c r="AA21" i="58"/>
  <c r="F29" i="11"/>
  <c r="AI33" i="58"/>
  <c r="I36" i="24"/>
  <c r="I34" i="58" s="1"/>
  <c r="U34" i="58"/>
  <c r="AI30" i="58"/>
  <c r="AA44" i="58"/>
  <c r="Q25" i="58"/>
  <c r="E27" i="24"/>
  <c r="E25" i="58" s="1"/>
  <c r="H47" i="11"/>
  <c r="E59" i="24"/>
  <c r="E57" i="58" s="1"/>
  <c r="Q57" i="58"/>
  <c r="C47" i="24"/>
  <c r="C45" i="58" s="1"/>
  <c r="O45" i="58"/>
  <c r="K40" i="24"/>
  <c r="K38" i="58" s="1"/>
  <c r="W38" i="58"/>
  <c r="O42" i="58"/>
  <c r="C44" i="24"/>
  <c r="C42" i="58" s="1"/>
  <c r="AB33" i="58"/>
  <c r="AB51" i="58"/>
  <c r="E32" i="11"/>
  <c r="B23" i="11"/>
  <c r="D19" i="53" s="1"/>
  <c r="B17" i="11"/>
  <c r="D13" i="53" s="1"/>
  <c r="AG12" i="58"/>
  <c r="Z24" i="58"/>
  <c r="P19" i="53"/>
  <c r="AD26" i="24"/>
  <c r="AD24" i="58" s="1"/>
  <c r="O18" i="53"/>
  <c r="T23" i="58"/>
  <c r="H25" i="24"/>
  <c r="H23" i="58" s="1"/>
  <c r="X25" i="24"/>
  <c r="N48" i="58"/>
  <c r="R50" i="24"/>
  <c r="B50" i="24"/>
  <c r="B48" i="58" s="1"/>
  <c r="N43" i="53"/>
  <c r="AH16" i="58"/>
  <c r="C23" i="11"/>
  <c r="Q25" i="53"/>
  <c r="AF30" i="58"/>
  <c r="AJ32" i="24"/>
  <c r="AJ30" i="58" s="1"/>
  <c r="Q9" i="58"/>
  <c r="E11" i="24"/>
  <c r="E9" i="58" s="1"/>
  <c r="AI55" i="58"/>
  <c r="AI12" i="58"/>
  <c r="E56" i="11"/>
  <c r="E49" i="11"/>
  <c r="I45" i="11"/>
  <c r="I6" i="11"/>
  <c r="W53" i="58"/>
  <c r="K55" i="24"/>
  <c r="K53" i="58" s="1"/>
  <c r="K32" i="24"/>
  <c r="K30" i="58" s="1"/>
  <c r="W30" i="58"/>
  <c r="W16" i="58"/>
  <c r="K18" i="24"/>
  <c r="K16" i="58" s="1"/>
  <c r="K58" i="24"/>
  <c r="K56" i="58" s="1"/>
  <c r="W56" i="58"/>
  <c r="U50" i="58"/>
  <c r="I52" i="24"/>
  <c r="I50" i="58" s="1"/>
  <c r="H17" i="24"/>
  <c r="H15" i="58" s="1"/>
  <c r="T15" i="58"/>
  <c r="O10" i="53"/>
  <c r="X17" i="24"/>
  <c r="AF57" i="58"/>
  <c r="AJ59" i="24"/>
  <c r="AJ57" i="58" s="1"/>
  <c r="Q52" i="53"/>
  <c r="AG17" i="58"/>
  <c r="D18" i="24"/>
  <c r="D16" i="58" s="1"/>
  <c r="P16" i="58"/>
  <c r="O50" i="53"/>
  <c r="X57" i="24"/>
  <c r="T55" i="58"/>
  <c r="H57" i="24"/>
  <c r="H55" i="58" s="1"/>
  <c r="AH26" i="58"/>
  <c r="I39" i="11"/>
  <c r="Z54" i="58"/>
  <c r="P49" i="53"/>
  <c r="AD56" i="24"/>
  <c r="AD54" i="58" s="1"/>
  <c r="AA55" i="58"/>
  <c r="E43" i="24"/>
  <c r="E41" i="58" s="1"/>
  <c r="Q41" i="58"/>
  <c r="I10" i="11"/>
  <c r="K7" i="11"/>
  <c r="H59" i="24"/>
  <c r="H57" i="58" s="1"/>
  <c r="T57" i="58"/>
  <c r="O52" i="53"/>
  <c r="X59" i="24"/>
  <c r="V11" i="58"/>
  <c r="J13" i="24"/>
  <c r="J11" i="58" s="1"/>
  <c r="K12" i="24"/>
  <c r="K10" i="58" s="1"/>
  <c r="W10" i="58"/>
  <c r="V27" i="58"/>
  <c r="J29" i="24"/>
  <c r="J27" i="58" s="1"/>
  <c r="Q16" i="58"/>
  <c r="E18" i="24"/>
  <c r="E16" i="58" s="1"/>
  <c r="H32" i="11"/>
  <c r="H25" i="11"/>
  <c r="I35" i="11"/>
  <c r="AH34" i="58"/>
  <c r="AA24" i="58"/>
  <c r="AC21" i="58"/>
  <c r="V26" i="58"/>
  <c r="J28" i="24"/>
  <c r="J26" i="58" s="1"/>
  <c r="O7" i="58"/>
  <c r="C9" i="24"/>
  <c r="C7" i="58" s="1"/>
  <c r="AH38" i="58"/>
  <c r="AG57" i="58"/>
  <c r="F32" i="11"/>
  <c r="I11" i="11"/>
  <c r="E17" i="11"/>
  <c r="AA20" i="58"/>
  <c r="H35" i="11"/>
  <c r="AC43" i="58"/>
  <c r="AA22" i="58"/>
  <c r="AG44" i="58"/>
  <c r="O22" i="58"/>
  <c r="C24" i="24"/>
  <c r="C22" i="58" s="1"/>
  <c r="AC52" i="58"/>
  <c r="AJ19" i="24"/>
  <c r="AJ17" i="58" s="1"/>
  <c r="Q12" i="53"/>
  <c r="AF17" i="58"/>
  <c r="I53" i="24"/>
  <c r="I51" i="58" s="1"/>
  <c r="U51" i="58"/>
  <c r="K55" i="11"/>
  <c r="E9" i="11"/>
  <c r="U39" i="58"/>
  <c r="I41" i="24"/>
  <c r="I39" i="58" s="1"/>
  <c r="Z15" i="58"/>
  <c r="P10" i="53"/>
  <c r="AD17" i="24"/>
  <c r="AD15" i="58" s="1"/>
  <c r="F35" i="11"/>
  <c r="L46" i="11"/>
  <c r="E11" i="11"/>
  <c r="V56" i="58"/>
  <c r="J58" i="24"/>
  <c r="J56" i="58" s="1"/>
  <c r="P34" i="58"/>
  <c r="D36" i="24"/>
  <c r="D34" i="58" s="1"/>
  <c r="AC13" i="58"/>
  <c r="U21" i="58"/>
  <c r="I23" i="24"/>
  <c r="I21" i="58" s="1"/>
  <c r="C45" i="11"/>
  <c r="AH28" i="58"/>
  <c r="R15" i="24"/>
  <c r="N13" i="58"/>
  <c r="N8" i="53"/>
  <c r="B15" i="24"/>
  <c r="B13" i="58" s="1"/>
  <c r="AI47" i="58"/>
  <c r="P57" i="58"/>
  <c r="D59" i="24"/>
  <c r="D57" i="58" s="1"/>
  <c r="F56" i="11"/>
  <c r="I55" i="11"/>
  <c r="E15" i="11"/>
  <c r="D29" i="24"/>
  <c r="D27" i="58" s="1"/>
  <c r="P27" i="58"/>
  <c r="O47" i="58"/>
  <c r="C49" i="24"/>
  <c r="C47" i="58" s="1"/>
  <c r="Q46" i="58"/>
  <c r="E48" i="24"/>
  <c r="E46" i="58" s="1"/>
  <c r="B54" i="11"/>
  <c r="D50" i="53" s="1"/>
  <c r="E34" i="24"/>
  <c r="E32" i="58" s="1"/>
  <c r="Q32" i="58"/>
  <c r="K26" i="24"/>
  <c r="K24" i="58" s="1"/>
  <c r="W24" i="58"/>
  <c r="B26" i="11"/>
  <c r="D22" i="53" s="1"/>
  <c r="K51" i="24"/>
  <c r="K49" i="58" s="1"/>
  <c r="W49" i="58"/>
  <c r="I28" i="11"/>
  <c r="AG52" i="58"/>
  <c r="AH14" i="58"/>
  <c r="U46" i="58"/>
  <c r="I48" i="24"/>
  <c r="I46" i="58" s="1"/>
  <c r="E31" i="11"/>
  <c r="U22" i="58"/>
  <c r="I24" i="24"/>
  <c r="I22" i="58" s="1"/>
  <c r="K32" i="11"/>
  <c r="AB57" i="58"/>
  <c r="C52" i="11"/>
  <c r="AA36" i="58"/>
  <c r="D32" i="24"/>
  <c r="D30" i="58" s="1"/>
  <c r="P30" i="58"/>
  <c r="O16" i="53"/>
  <c r="T21" i="58"/>
  <c r="H23" i="24"/>
  <c r="H21" i="58" s="1"/>
  <c r="X23" i="24"/>
  <c r="AH50" i="58"/>
  <c r="AD14" i="24"/>
  <c r="AD12" i="58" s="1"/>
  <c r="P7" i="53"/>
  <c r="Z12" i="58"/>
  <c r="AG50" i="58"/>
  <c r="Q39" i="53"/>
  <c r="AJ46" i="24"/>
  <c r="AJ44" i="58" s="1"/>
  <c r="AF44" i="58"/>
  <c r="K51" i="11"/>
  <c r="R13" i="24"/>
  <c r="N6" i="53"/>
  <c r="R6" i="53" s="1"/>
  <c r="B13" i="24"/>
  <c r="B11" i="58" s="1"/>
  <c r="N11" i="58"/>
  <c r="AA42" i="58"/>
  <c r="H26" i="11"/>
  <c r="C45" i="24"/>
  <c r="C43" i="58" s="1"/>
  <c r="O43" i="58"/>
  <c r="H46" i="11"/>
  <c r="R17" i="24"/>
  <c r="N15" i="58"/>
  <c r="B17" i="24"/>
  <c r="B15" i="58" s="1"/>
  <c r="N10" i="53"/>
  <c r="E44" i="11"/>
  <c r="I40" i="24"/>
  <c r="I38" i="58" s="1"/>
  <c r="U38" i="58"/>
  <c r="P51" i="58"/>
  <c r="D53" i="24"/>
  <c r="D51" i="58" s="1"/>
  <c r="Q28" i="58"/>
  <c r="E30" i="24"/>
  <c r="E28" i="58" s="1"/>
  <c r="N36" i="58"/>
  <c r="R38" i="24"/>
  <c r="N31" i="53"/>
  <c r="B38" i="24"/>
  <c r="B36" i="58" s="1"/>
  <c r="Q21" i="53"/>
  <c r="AF26" i="58"/>
  <c r="AJ28" i="24"/>
  <c r="AJ26" i="58" s="1"/>
  <c r="I15" i="11"/>
  <c r="AC56" i="58"/>
  <c r="L54" i="11"/>
  <c r="F20" i="11"/>
  <c r="L50" i="11"/>
  <c r="T38" i="58"/>
  <c r="X40" i="24"/>
  <c r="O33" i="53"/>
  <c r="H40" i="24"/>
  <c r="H38" i="58" s="1"/>
  <c r="E24" i="11"/>
  <c r="I52" i="11"/>
  <c r="K24" i="11"/>
  <c r="AI9" i="58"/>
  <c r="K23" i="11"/>
  <c r="C36" i="11"/>
  <c r="AA27" i="58"/>
  <c r="V29" i="58"/>
  <c r="J31" i="24"/>
  <c r="J29" i="58" s="1"/>
  <c r="AH33" i="58"/>
  <c r="AF48" i="58"/>
  <c r="AJ50" i="24"/>
  <c r="AJ48" i="58" s="1"/>
  <c r="Q43" i="53"/>
  <c r="K20" i="11"/>
  <c r="H37" i="24"/>
  <c r="H35" i="58" s="1"/>
  <c r="O30" i="53"/>
  <c r="T35" i="58"/>
  <c r="X37" i="24"/>
  <c r="AG20" i="58"/>
  <c r="B52" i="11"/>
  <c r="D48" i="53" s="1"/>
  <c r="AD57" i="24"/>
  <c r="AD55" i="58" s="1"/>
  <c r="Z55" i="58"/>
  <c r="P50" i="53"/>
  <c r="K22" i="11"/>
  <c r="AD25" i="24"/>
  <c r="AD23" i="58" s="1"/>
  <c r="Z23" i="58"/>
  <c r="P18" i="53"/>
  <c r="AI57" i="58"/>
  <c r="R31" i="24"/>
  <c r="B31" i="24"/>
  <c r="B29" i="58" s="1"/>
  <c r="N29" i="58"/>
  <c r="N24" i="53"/>
  <c r="R24" i="53" s="1"/>
  <c r="J35" i="24"/>
  <c r="J33" i="58" s="1"/>
  <c r="V33" i="58"/>
  <c r="AD49" i="24"/>
  <c r="AD47" i="58" s="1"/>
  <c r="P42" i="53"/>
  <c r="Z47" i="58"/>
  <c r="U29" i="58"/>
  <c r="I31" i="24"/>
  <c r="I29" i="58" s="1"/>
  <c r="AA35" i="58"/>
  <c r="X15" i="24"/>
  <c r="H15" i="24"/>
  <c r="H13" i="58" s="1"/>
  <c r="T13" i="58"/>
  <c r="O8" i="53"/>
  <c r="AA8" i="58"/>
  <c r="AF41" i="58"/>
  <c r="AJ43" i="24"/>
  <c r="AJ41" i="58" s="1"/>
  <c r="Q36" i="53"/>
  <c r="J21" i="24"/>
  <c r="J19" i="58" s="1"/>
  <c r="V19" i="58"/>
  <c r="Q26" i="58"/>
  <c r="E28" i="24"/>
  <c r="E26" i="58" s="1"/>
  <c r="AI56" i="58"/>
  <c r="AI32" i="58"/>
  <c r="X43" i="24"/>
  <c r="O36" i="53"/>
  <c r="T41" i="58"/>
  <c r="H43" i="24"/>
  <c r="H41" i="58" s="1"/>
  <c r="K27" i="11"/>
  <c r="AC33" i="58"/>
  <c r="X52" i="24"/>
  <c r="T50" i="58"/>
  <c r="O45" i="53"/>
  <c r="H52" i="24"/>
  <c r="H50" i="58" s="1"/>
  <c r="W20" i="58"/>
  <c r="K22" i="24"/>
  <c r="K20" i="58" s="1"/>
  <c r="C14" i="24"/>
  <c r="C12" i="58" s="1"/>
  <c r="O12" i="58"/>
  <c r="H9" i="11"/>
  <c r="E38" i="11"/>
  <c r="AC37" i="58"/>
  <c r="AB11" i="58"/>
  <c r="V48" i="58"/>
  <c r="J50" i="24"/>
  <c r="J48" i="58" s="1"/>
  <c r="F46" i="11"/>
  <c r="R31" i="53" l="1"/>
  <c r="R43" i="53"/>
  <c r="R44" i="53"/>
  <c r="R8" i="53"/>
  <c r="L43" i="24"/>
  <c r="L41" i="58" s="1"/>
  <c r="X41" i="58"/>
  <c r="L25" i="24"/>
  <c r="L23" i="58" s="1"/>
  <c r="X23" i="58"/>
  <c r="X28" i="58"/>
  <c r="L30" i="24"/>
  <c r="L28" i="58" s="1"/>
  <c r="X27" i="58"/>
  <c r="L29" i="24"/>
  <c r="L27" i="58" s="1"/>
  <c r="R28" i="58"/>
  <c r="F30" i="24"/>
  <c r="F28" i="58" s="1"/>
  <c r="X53" i="58"/>
  <c r="L55" i="24"/>
  <c r="L53" i="58" s="1"/>
  <c r="R22" i="58"/>
  <c r="F24" i="24"/>
  <c r="F22" i="58" s="1"/>
  <c r="L20" i="24"/>
  <c r="L18" i="58" s="1"/>
  <c r="X18" i="58"/>
  <c r="F35" i="24"/>
  <c r="F33" i="58" s="1"/>
  <c r="R33" i="58"/>
  <c r="F47" i="24"/>
  <c r="F45" i="58" s="1"/>
  <c r="R45" i="58"/>
  <c r="R50" i="58"/>
  <c r="F52" i="24"/>
  <c r="F50" i="58" s="1"/>
  <c r="L46" i="24"/>
  <c r="L44" i="58" s="1"/>
  <c r="X44" i="58"/>
  <c r="L13" i="24"/>
  <c r="L11" i="58" s="1"/>
  <c r="X11" i="58"/>
  <c r="F14" i="24"/>
  <c r="F12" i="58" s="1"/>
  <c r="R12" i="58"/>
  <c r="X33" i="58"/>
  <c r="L35" i="24"/>
  <c r="L33" i="58" s="1"/>
  <c r="X7" i="58"/>
  <c r="L9" i="24"/>
  <c r="L7" i="58" s="1"/>
  <c r="F25" i="24"/>
  <c r="F23" i="58" s="1"/>
  <c r="R23" i="58"/>
  <c r="F55" i="24"/>
  <c r="F53" i="58" s="1"/>
  <c r="R53" i="58"/>
  <c r="R32" i="53"/>
  <c r="X42" i="58"/>
  <c r="L44" i="24"/>
  <c r="L42" i="58" s="1"/>
  <c r="R29" i="53"/>
  <c r="R19" i="53"/>
  <c r="R51" i="58"/>
  <c r="F53" i="24"/>
  <c r="F51" i="58" s="1"/>
  <c r="R4" i="53"/>
  <c r="R26" i="53"/>
  <c r="R39" i="58"/>
  <c r="F41" i="24"/>
  <c r="F39" i="58" s="1"/>
  <c r="X19" i="58"/>
  <c r="L21" i="24"/>
  <c r="L19" i="58" s="1"/>
  <c r="R37" i="53"/>
  <c r="F57" i="24"/>
  <c r="F55" i="58" s="1"/>
  <c r="R55" i="58"/>
  <c r="R41" i="53"/>
  <c r="R16" i="58"/>
  <c r="F18" i="24"/>
  <c r="F16" i="58" s="1"/>
  <c r="L37" i="24"/>
  <c r="L35" i="58" s="1"/>
  <c r="X35" i="58"/>
  <c r="L40" i="24"/>
  <c r="L38" i="58" s="1"/>
  <c r="X38" i="58"/>
  <c r="F38" i="24"/>
  <c r="F36" i="58" s="1"/>
  <c r="R36" i="58"/>
  <c r="F17" i="24"/>
  <c r="F15" i="58" s="1"/>
  <c r="R15" i="58"/>
  <c r="F15" i="24"/>
  <c r="F13" i="58" s="1"/>
  <c r="R13" i="58"/>
  <c r="L59" i="24"/>
  <c r="L57" i="58" s="1"/>
  <c r="X57" i="58"/>
  <c r="L57" i="24"/>
  <c r="L55" i="58" s="1"/>
  <c r="X55" i="58"/>
  <c r="L17" i="24"/>
  <c r="L15" i="58" s="1"/>
  <c r="X15" i="58"/>
  <c r="L41" i="24"/>
  <c r="L39" i="58" s="1"/>
  <c r="X39" i="58"/>
  <c r="L22" i="24"/>
  <c r="L20" i="58" s="1"/>
  <c r="X20" i="58"/>
  <c r="R22" i="53"/>
  <c r="R23" i="53"/>
  <c r="L54" i="24"/>
  <c r="L52" i="58" s="1"/>
  <c r="X52" i="58"/>
  <c r="X12" i="58"/>
  <c r="L14" i="24"/>
  <c r="L12" i="58" s="1"/>
  <c r="X8" i="58"/>
  <c r="L10" i="24"/>
  <c r="L8" i="58" s="1"/>
  <c r="R47" i="53"/>
  <c r="R17" i="53"/>
  <c r="R26" i="58"/>
  <c r="F28" i="24"/>
  <c r="F26" i="58" s="1"/>
  <c r="R39" i="53"/>
  <c r="R9" i="53"/>
  <c r="R17" i="58"/>
  <c r="F19" i="24"/>
  <c r="F17" i="58" s="1"/>
  <c r="F34" i="24"/>
  <c r="F32" i="58" s="1"/>
  <c r="R32" i="58"/>
  <c r="R14" i="53"/>
  <c r="F58" i="24"/>
  <c r="F56" i="58" s="1"/>
  <c r="R56" i="58"/>
  <c r="F20" i="24"/>
  <c r="F18" i="58" s="1"/>
  <c r="R18" i="58"/>
  <c r="X16" i="58"/>
  <c r="L18" i="24"/>
  <c r="L16" i="58" s="1"/>
  <c r="R25" i="53"/>
  <c r="R36" i="53"/>
  <c r="R35" i="53"/>
  <c r="F40" i="24"/>
  <c r="F38" i="58" s="1"/>
  <c r="R38" i="58"/>
  <c r="L16" i="24"/>
  <c r="L14" i="58" s="1"/>
  <c r="X14" i="58"/>
  <c r="R7" i="53"/>
  <c r="F51" i="24"/>
  <c r="F49" i="58" s="1"/>
  <c r="R49" i="58"/>
  <c r="R3" i="53"/>
  <c r="F36" i="24"/>
  <c r="F34" i="58" s="1"/>
  <c r="R34" i="58"/>
  <c r="R24" i="58"/>
  <c r="F26" i="24"/>
  <c r="F24" i="58" s="1"/>
  <c r="R46" i="53"/>
  <c r="F59" i="24"/>
  <c r="F57" i="58" s="1"/>
  <c r="R57" i="58"/>
  <c r="X43" i="58"/>
  <c r="L45" i="24"/>
  <c r="L43" i="58" s="1"/>
  <c r="L58" i="24"/>
  <c r="L56" i="58" s="1"/>
  <c r="X56" i="58"/>
  <c r="X37" i="58"/>
  <c r="L39" i="24"/>
  <c r="L37" i="58" s="1"/>
  <c r="F48" i="24"/>
  <c r="F46" i="58" s="1"/>
  <c r="R46" i="58"/>
  <c r="X29" i="58"/>
  <c r="L31" i="24"/>
  <c r="L29" i="58" s="1"/>
  <c r="X51" i="58"/>
  <c r="L53" i="24"/>
  <c r="L51" i="58" s="1"/>
  <c r="L23" i="24"/>
  <c r="L21" i="58" s="1"/>
  <c r="X21" i="58"/>
  <c r="L36" i="24"/>
  <c r="L34" i="58" s="1"/>
  <c r="X34" i="58"/>
  <c r="R16" i="53"/>
  <c r="X50" i="58"/>
  <c r="L52" i="24"/>
  <c r="L50" i="58" s="1"/>
  <c r="X13" i="58"/>
  <c r="L15" i="24"/>
  <c r="L13" i="58" s="1"/>
  <c r="R29" i="58"/>
  <c r="F31" i="24"/>
  <c r="F29" i="58" s="1"/>
  <c r="R10" i="53"/>
  <c r="R11" i="58"/>
  <c r="F13" i="24"/>
  <c r="F11" i="58" s="1"/>
  <c r="R48" i="58"/>
  <c r="F50" i="24"/>
  <c r="F48" i="58" s="1"/>
  <c r="L11" i="24"/>
  <c r="L9" i="58" s="1"/>
  <c r="X9" i="58"/>
  <c r="L24" i="24"/>
  <c r="L22" i="58" s="1"/>
  <c r="X22" i="58"/>
  <c r="F54" i="24"/>
  <c r="F52" i="58" s="1"/>
  <c r="R52" i="58"/>
  <c r="L19" i="24"/>
  <c r="L17" i="58" s="1"/>
  <c r="X17" i="58"/>
  <c r="R38" i="53"/>
  <c r="R21" i="53"/>
  <c r="F46" i="24"/>
  <c r="F44" i="58" s="1"/>
  <c r="R44" i="58"/>
  <c r="R14" i="58"/>
  <c r="F16" i="24"/>
  <c r="F14" i="58" s="1"/>
  <c r="R12" i="53"/>
  <c r="L48" i="24"/>
  <c r="L46" i="58" s="1"/>
  <c r="X46" i="58"/>
  <c r="R45" i="53"/>
  <c r="R2" i="53"/>
  <c r="X36" i="58"/>
  <c r="L38" i="24"/>
  <c r="L36" i="58" s="1"/>
  <c r="R51" i="53"/>
  <c r="L28" i="24"/>
  <c r="L26" i="58" s="1"/>
  <c r="X26" i="58"/>
  <c r="R30" i="58"/>
  <c r="F32" i="24"/>
  <c r="F30" i="58" s="1"/>
  <c r="F42" i="24"/>
  <c r="F40" i="58" s="1"/>
  <c r="R40" i="58"/>
  <c r="R33" i="53"/>
  <c r="L47" i="24"/>
  <c r="L45" i="58" s="1"/>
  <c r="X45" i="58"/>
  <c r="L50" i="24"/>
  <c r="L48" i="58" s="1"/>
  <c r="X48" i="58"/>
  <c r="R49" i="53"/>
  <c r="L33" i="24"/>
  <c r="L31" i="58" s="1"/>
  <c r="X31" i="58"/>
  <c r="R18" i="53"/>
  <c r="L34" i="24"/>
  <c r="L32" i="58" s="1"/>
  <c r="X32" i="58"/>
  <c r="R30" i="53"/>
  <c r="R9" i="58"/>
  <c r="F11" i="24"/>
  <c r="F9" i="58" s="1"/>
  <c r="L51" i="24"/>
  <c r="L49" i="58" s="1"/>
  <c r="X49" i="58"/>
  <c r="R34" i="53"/>
  <c r="X25" i="58"/>
  <c r="L27" i="24"/>
  <c r="L25" i="58" s="1"/>
  <c r="X10" i="58"/>
  <c r="L12" i="24"/>
  <c r="L10" i="58" s="1"/>
  <c r="F44" i="24"/>
  <c r="F42" i="58" s="1"/>
  <c r="R42" i="58"/>
  <c r="R50" i="53"/>
  <c r="R20" i="58"/>
  <c r="F22" i="24"/>
  <c r="F20" i="58" s="1"/>
  <c r="R42" i="53"/>
  <c r="L49" i="24"/>
  <c r="L47" i="58" s="1"/>
  <c r="X47" i="58"/>
  <c r="R11" i="53"/>
  <c r="R21" i="58"/>
  <c r="F23" i="24"/>
  <c r="F21" i="58" s="1"/>
  <c r="R27" i="58"/>
  <c r="F29" i="24"/>
  <c r="F27" i="58" s="1"/>
  <c r="F45" i="24"/>
  <c r="F43" i="58" s="1"/>
  <c r="R43" i="58"/>
  <c r="R40" i="53"/>
  <c r="R7" i="58"/>
  <c r="F9" i="24"/>
  <c r="F7" i="58" s="1"/>
  <c r="R19" i="58"/>
  <c r="F21" i="24"/>
  <c r="F19" i="58" s="1"/>
  <c r="R13" i="53"/>
  <c r="F12" i="24"/>
  <c r="F10" i="58" s="1"/>
  <c r="R10" i="58"/>
  <c r="F43" i="24"/>
  <c r="F41" i="58" s="1"/>
  <c r="R41" i="58"/>
  <c r="X30" i="58"/>
  <c r="L32" i="24"/>
  <c r="L30" i="58" s="1"/>
  <c r="F56" i="24"/>
  <c r="F54" i="58" s="1"/>
  <c r="R54" i="58"/>
  <c r="X54" i="58"/>
  <c r="L56" i="24"/>
  <c r="L54" i="58" s="1"/>
  <c r="R25" i="58"/>
  <c r="F27" i="24"/>
  <c r="F25" i="58" s="1"/>
  <c r="F10" i="24"/>
  <c r="F8" i="58" s="1"/>
  <c r="R8" i="58"/>
  <c r="R48" i="53"/>
  <c r="R37" i="58"/>
  <c r="F39" i="24"/>
  <c r="F37" i="58" s="1"/>
  <c r="R35" i="58"/>
  <c r="F37" i="24"/>
  <c r="F35" i="58" s="1"/>
  <c r="R52" i="53"/>
  <c r="X40" i="58"/>
  <c r="L42" i="24"/>
  <c r="L40" i="58" s="1"/>
  <c r="L26" i="24"/>
  <c r="L24" i="58" s="1"/>
  <c r="X24" i="58"/>
  <c r="F33" i="24"/>
  <c r="F31" i="58" s="1"/>
  <c r="R31" i="58"/>
  <c r="R15" i="53"/>
  <c r="R47" i="58"/>
  <c r="F49" i="24"/>
  <c r="F47" i="58" s="1"/>
</calcChain>
</file>

<file path=xl/sharedStrings.xml><?xml version="1.0" encoding="utf-8"?>
<sst xmlns="http://schemas.openxmlformats.org/spreadsheetml/2006/main" count="1757" uniqueCount="208">
  <si>
    <t>England</t>
  </si>
  <si>
    <t>https://www.gov.uk/government/collections/fire-statistics</t>
  </si>
  <si>
    <t>Source: Home Office Operational Statistics Data Collection, figures supplied by fire and rescue authorities.</t>
  </si>
  <si>
    <t>Avon</t>
  </si>
  <si>
    <t>Bedfordshire</t>
  </si>
  <si>
    <t>Berkshire</t>
  </si>
  <si>
    <t>Buckinghamshire</t>
  </si>
  <si>
    <t>Cambridgeshire</t>
  </si>
  <si>
    <t>Cheshire</t>
  </si>
  <si>
    <t>Cleveland</t>
  </si>
  <si>
    <t>Cornwall</t>
  </si>
  <si>
    <t>Cumbria</t>
  </si>
  <si>
    <t>Derbyshire</t>
  </si>
  <si>
    <t>Devon and Somerset</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</si>
  <si>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</si>
  <si>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</si>
  <si>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</si>
  <si>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</si>
  <si>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</si>
  <si>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</si>
  <si>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</si>
  <si>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</si>
  <si>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</si>
  <si>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</si>
  <si>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</si>
  <si>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</si>
  <si>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</si>
  <si>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</si>
  <si>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</si>
  <si>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</si>
  <si>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</si>
  <si>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</si>
  <si>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</si>
  <si>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</si>
  <si>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</si>
  <si>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</si>
  <si>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</si>
  <si>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</si>
  <si>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</si>
  <si>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</si>
  <si>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</si>
  <si>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</si>
  <si>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</si>
  <si>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</si>
  <si>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</si>
  <si>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</si>
  <si>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</si>
  <si>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2015-16</t>
  </si>
  <si>
    <t>Isle of Wight</t>
  </si>
  <si>
    <t>Metropolitan</t>
  </si>
  <si>
    <t>FRA</t>
  </si>
  <si>
    <t>Select a year from the drop-down list in the orange box below:</t>
  </si>
  <si>
    <t>2014-15</t>
  </si>
  <si>
    <t>2010-11</t>
  </si>
  <si>
    <t>2011-12</t>
  </si>
  <si>
    <t>2012-13</t>
  </si>
  <si>
    <t>2013-14</t>
  </si>
  <si>
    <t>The statistics in this table are Official Statistics.</t>
  </si>
  <si>
    <t>Number of Fire Risk Checks carried out by FRS</t>
  </si>
  <si>
    <t>Number of Fire Risk Checks carried out by Partners</t>
  </si>
  <si>
    <t>Number</t>
  </si>
  <si>
    <t>Hours</t>
  </si>
  <si>
    <t>N/A</t>
  </si>
  <si>
    <t>of which: Elderly (65+)</t>
  </si>
  <si>
    <t>of which: Disabled</t>
  </si>
  <si>
    <t>N/a</t>
  </si>
  <si>
    <t>Note on Imputed figures</t>
  </si>
  <si>
    <t>2015/16</t>
  </si>
  <si>
    <t>2014/15</t>
  </si>
  <si>
    <t>2013/14</t>
  </si>
  <si>
    <t>2012/13</t>
  </si>
  <si>
    <t>2011/12</t>
  </si>
  <si>
    <t>2010/11</t>
  </si>
  <si>
    <t>Note</t>
  </si>
  <si>
    <t>Dorset and Wiltshire</t>
  </si>
  <si>
    <t>2016/17</t>
  </si>
  <si>
    <t>2016-17</t>
  </si>
  <si>
    <t>Non-metropolitan</t>
  </si>
  <si>
    <t>2016/17: Staffordshire</t>
  </si>
  <si>
    <t>Some totals may not aggregate due to rounding.</t>
  </si>
  <si>
    <t>2015/16: Staffordshire</t>
  </si>
  <si>
    <t>2014/15: Staffordshire, Surrey</t>
  </si>
  <si>
    <t>2013/14: Cleveland, Staffordshire, Surrey</t>
  </si>
  <si>
    <t>2012/13: Cleveland, Staffordshire, Surrey</t>
  </si>
  <si>
    <t>2011/12: Cleveland, Lincolnshire</t>
  </si>
  <si>
    <t>The full set of fire statistics releases, tables and guidance can be found on our landing page, here:</t>
  </si>
  <si>
    <t>2017/18</t>
  </si>
  <si>
    <t>2017-18</t>
  </si>
  <si>
    <t>2017/18: Staffordshire</t>
  </si>
  <si>
    <t>N/A Not available</t>
  </si>
  <si>
    <t>2017/18 refers to the financial year, from 1st April 2017 to 31 March 2018. Other years follow the same pattern.</t>
  </si>
  <si>
    <t>Contact: FireStatistics@homeoffice.gov.uk</t>
  </si>
  <si>
    <t>Last Updated: 18 October 2018</t>
  </si>
  <si>
    <t>2010/11: Bedfordshire, Cleveland, Greater London</t>
  </si>
  <si>
    <t>2. Prior to 2016/17 data supplied by Greater London FRS did not account for multiple personnel attending Home Fire Safety Checks and therefore are likely to be under-reported.</t>
  </si>
  <si>
    <t>The England total hours figures above for "Number of Fire Safety Checks carried out by FRS" include imputed figures to ensure a robust national figure. These imputed figures are:</t>
  </si>
  <si>
    <t>2018-19</t>
  </si>
  <si>
    <t>Number of Home Fire Safety Checks</t>
  </si>
  <si>
    <t>Number of Safe and Well Visits</t>
  </si>
  <si>
    <t>Total</t>
  </si>
  <si>
    <t>Person aged 65+ BUT NO person disabled</t>
  </si>
  <si>
    <t>Person disabled BUT NO Person aged 65+</t>
  </si>
  <si>
    <t>Neither</t>
  </si>
  <si>
    <t>Person aged 65+ AND person disabled</t>
  </si>
  <si>
    <t xml:space="preserve">         community safety advocate(s)</t>
  </si>
  <si>
    <t>FRS volunteer(s)</t>
  </si>
  <si>
    <t>Firefighter(s)</t>
  </si>
  <si>
    <t>Non-operational fire prevention staff</t>
  </si>
  <si>
    <t>Fire control partner(s)</t>
  </si>
  <si>
    <t>Other</t>
  </si>
  <si>
    <t>Visits carried out by FRS personnel</t>
  </si>
  <si>
    <t>Visits carried out by Partners</t>
  </si>
  <si>
    <t>n/a</t>
  </si>
  <si>
    <t>2018/19</t>
  </si>
  <si>
    <t>Predominantly Urban</t>
  </si>
  <si>
    <t>Significantly Rural</t>
  </si>
  <si>
    <t>Predominantly Rural</t>
  </si>
  <si>
    <t>FRSs who don't collect DISABILITY as they collect RISK FACTORS (eh restricted mobility, hourding, unsafe smoking etc)</t>
  </si>
  <si>
    <t>DORSET &amp; WILTSHIRE</t>
  </si>
  <si>
    <t>478 or 435.5 FTE</t>
  </si>
  <si>
    <t>5 (all non-operational)</t>
  </si>
  <si>
    <t>FRS Name</t>
  </si>
  <si>
    <r>
      <t>Urban/Rural category</t>
    </r>
    <r>
      <rPr>
        <b/>
        <vertAlign val="superscript"/>
        <sz val="11"/>
        <color theme="1"/>
        <rFont val="Calibri"/>
        <family val="2"/>
        <scheme val="minor"/>
      </rPr>
      <t>1</t>
    </r>
  </si>
  <si>
    <t>Met/Non-met category</t>
  </si>
  <si>
    <t>Isles Of Scilly</t>
  </si>
  <si>
    <t>1  Rural Urban classifications of Fire and Rescue Service as defined by Department for Environment, Food and Rural Affairs (DEFRA)</t>
  </si>
  <si>
    <t>Predominantly rural: 50% or more of their area is 'rural'</t>
  </si>
  <si>
    <t>Significantly rural: less than 74% of their area is 'urban' and 26% or more of their area is 'rural'</t>
  </si>
  <si>
    <t>Predominantly urban: 74% or more of their area is 'urban'</t>
  </si>
  <si>
    <t>HFSC</t>
  </si>
  <si>
    <t>S&amp;W</t>
  </si>
  <si>
    <t>NORFOLK</t>
  </si>
  <si>
    <t>GLOUCESTERSHIRE</t>
  </si>
  <si>
    <t>Final Version</t>
  </si>
  <si>
    <t>Total Visits</t>
  </si>
  <si>
    <r>
      <t>Number of Home Fire Safety Checks</t>
    </r>
    <r>
      <rPr>
        <vertAlign val="superscript"/>
        <sz val="11"/>
        <color theme="1"/>
        <rFont val="Calibri"/>
        <family val="2"/>
        <scheme val="minor"/>
      </rPr>
      <t>1</t>
    </r>
  </si>
  <si>
    <t>2. Partners include organisations such as Home Improvement Services, Education, Social Services, the Voluntary Sector and Primary Care Trusts.</t>
  </si>
  <si>
    <t>3. For a list of FRAs and whether they are considered "Metropolitan", "Non Metropolitan", "Predominately Rural", "Significantly Rural" or "Predominantely Urban" please see the FRS geographical categories sheet.</t>
  </si>
  <si>
    <t>1. In 2016/17 Dorset FRS and Wiltshire FRS merged. The figures for presented merged for ease of long term comparison.</t>
  </si>
  <si>
    <t>Adjustments</t>
  </si>
  <si>
    <t>A few FRSs</t>
  </si>
  <si>
    <t>Visits carried out by FRS personnel - HFSC</t>
  </si>
  <si>
    <t>Visits carried out by FRS personnel - S&amp;W</t>
  </si>
  <si>
    <t>Visits carried out by Partners - HFSC</t>
  </si>
  <si>
    <t>Visits carried out by Partners - S&amp;W</t>
  </si>
  <si>
    <r>
      <t>Dorset and Wiltshire</t>
    </r>
    <r>
      <rPr>
        <vertAlign val="superscript"/>
        <sz val="11"/>
        <color theme="1"/>
        <rFont val="Calibri"/>
        <family val="2"/>
        <scheme val="minor"/>
      </rPr>
      <t>1</t>
    </r>
  </si>
  <si>
    <r>
      <t>Greater London</t>
    </r>
    <r>
      <rPr>
        <vertAlign val="superscript"/>
        <sz val="11"/>
        <color theme="1"/>
        <rFont val="Calibri"/>
        <family val="2"/>
        <scheme val="minor"/>
      </rPr>
      <t>2</t>
    </r>
  </si>
  <si>
    <t>2019-20</t>
  </si>
  <si>
    <t>Next Update: Autumn 2021</t>
  </si>
  <si>
    <t>2019/20</t>
  </si>
  <si>
    <t>% of staff at visits</t>
  </si>
  <si>
    <t>Started recording from Dec 2019, could *3 to get an estimate</t>
  </si>
  <si>
    <t>Not able to quantify</t>
  </si>
  <si>
    <t>Cannot determine the number of staff carrying out the visits</t>
  </si>
  <si>
    <t>Total staff</t>
  </si>
  <si>
    <t>Number of staff carrying out Home Fire Safety Checks</t>
  </si>
  <si>
    <t>Number of staff carying out Safe and Well Visits</t>
  </si>
  <si>
    <t>Community safety advocate(s)</t>
  </si>
  <si>
    <r>
      <t>Number of staff carrying out Home Fire Safety Checks</t>
    </r>
    <r>
      <rPr>
        <vertAlign val="superscript"/>
        <sz val="11"/>
        <color theme="1"/>
        <rFont val="Calibri"/>
        <family val="2"/>
        <scheme val="minor"/>
      </rPr>
      <t>1</t>
    </r>
  </si>
  <si>
    <r>
      <t>Visits carried out by Partners</t>
    </r>
    <r>
      <rPr>
        <vertAlign val="superscript"/>
        <sz val="11"/>
        <color theme="1"/>
        <rFont val="Calibri"/>
        <family val="2"/>
        <scheme val="minor"/>
      </rPr>
      <t>2</t>
    </r>
  </si>
  <si>
    <t>Notes</t>
  </si>
  <si>
    <t>Last Updated: 10 September 2020</t>
  </si>
  <si>
    <t>Contents</t>
  </si>
  <si>
    <t>Crown copyright © 2020</t>
  </si>
  <si>
    <r>
      <t xml:space="preserve">Press enquiries: </t>
    </r>
    <r>
      <rPr>
        <b/>
        <sz val="12"/>
        <color rgb="FF000000"/>
        <rFont val="Arial"/>
        <family val="2"/>
      </rPr>
      <t>020 7035 3535</t>
    </r>
  </si>
  <si>
    <t>Email: Firestatistics@homeoffice.gov.uk</t>
  </si>
  <si>
    <t>Responsible Statistician: Deborah Lader</t>
  </si>
  <si>
    <t>England, year ending March 2020: data tables</t>
  </si>
  <si>
    <t>How FRAs are categorised</t>
  </si>
  <si>
    <t>FRS geographical categories</t>
  </si>
  <si>
    <t>National Statistics?</t>
  </si>
  <si>
    <t>Period covered</t>
  </si>
  <si>
    <t>Title</t>
  </si>
  <si>
    <t>Sheet</t>
  </si>
  <si>
    <t>Cover sheet</t>
  </si>
  <si>
    <t xml:space="preserve">To access data tables, select the table number or tabs. </t>
  </si>
  <si>
    <t>Fire prevention and protection statistics</t>
  </si>
  <si>
    <t>Published: 10 September 2020</t>
  </si>
  <si>
    <t xml:space="preserve">Next update: Autumn 2021 </t>
  </si>
  <si>
    <t>Publication Date: 10 September 2020</t>
  </si>
  <si>
    <t>FIRE 1201_historical</t>
  </si>
  <si>
    <t>Home Fire Safety Checks carried out by Fire and Rescue Services and partners, by fire and rescue authority</t>
  </si>
  <si>
    <t>2010/11 to 2017/18</t>
  </si>
  <si>
    <t>No</t>
  </si>
  <si>
    <t>2018/19 to 2019/20</t>
  </si>
  <si>
    <t>FIRE 1201</t>
  </si>
  <si>
    <t>FIRE 1201a</t>
  </si>
  <si>
    <r>
      <t>FIRE STATISTICS TABLE 1201: Home Fire Safety Checks</t>
    </r>
    <r>
      <rPr>
        <b/>
        <vertAlign val="superscript"/>
        <sz val="11"/>
        <color rgb="FFFFFFFF"/>
        <rFont val="Arial Black"/>
        <family val="2"/>
      </rPr>
      <t>1</t>
    </r>
    <r>
      <rPr>
        <b/>
        <sz val="11"/>
        <color rgb="FFFFFFFF"/>
        <rFont val="Arial Black"/>
        <family val="2"/>
      </rPr>
      <t xml:space="preserve"> and Safe and Well visits carried out by FRS personnel and partners</t>
    </r>
    <r>
      <rPr>
        <b/>
        <vertAlign val="superscript"/>
        <sz val="11"/>
        <color rgb="FFFFFFFF"/>
        <rFont val="Arial Black"/>
        <family val="2"/>
      </rPr>
      <t>2</t>
    </r>
    <r>
      <rPr>
        <b/>
        <sz val="11"/>
        <color rgb="FFFFFFFF"/>
        <rFont val="Arial Black"/>
        <family val="2"/>
      </rPr>
      <t>, by fire and rescue authority</t>
    </r>
    <r>
      <rPr>
        <b/>
        <vertAlign val="superscript"/>
        <sz val="11"/>
        <color rgb="FFFFFFFF"/>
        <rFont val="Arial Black"/>
        <family val="2"/>
      </rPr>
      <t>3</t>
    </r>
  </si>
  <si>
    <t>Home Fire Safety Checks and Safe and Well visits carried out by FRS personnel and partners, by fire and rescue authority</t>
  </si>
  <si>
    <t>Tables 1201 and 1201a</t>
  </si>
  <si>
    <t>1. The number of staff carrying out Home Fire Safety Check (HFSC) visits must be equal to or be greater than the number of staff carrying out Safe and Well visits, as all Safe and Well visits include a HFSC.</t>
  </si>
  <si>
    <t>1. The number of Home Fire Safety Check (HFSC) visits must be equal to or be greater than the number of Safe and Well visits, as all Safe and Well visits include a HFSC.</t>
  </si>
  <si>
    <t>Number of HFSCs carried out by FRS: Elderly (65+)</t>
  </si>
  <si>
    <t>Number of Home Fire Safety Checks carried out by FRS</t>
  </si>
  <si>
    <t>Number of HFSCs carried out by FRS: Disabled</t>
  </si>
  <si>
    <t>Number of HFSCs carried out by Partners</t>
  </si>
  <si>
    <t>end of table</t>
  </si>
  <si>
    <t>We’re always looking to improve the accessibility of our documents.</t>
  </si>
  <si>
    <t>Staff carrying out Home Fire Safety Checks and Safe and Well visits, by role and by fire and rescue authority</t>
  </si>
  <si>
    <t>2. For a list of FRAs and whether they are considered "Metropolitan", "Non Metropolitan", "Predominately Rural", "Significantly Rural" or "Predominantely Urban" please see the FRS geographical categories sheet.</t>
  </si>
  <si>
    <r>
      <t>FIRE STATISTICS TABLE 1201a: Staff carrying out Home Fire Safety Checks</t>
    </r>
    <r>
      <rPr>
        <b/>
        <vertAlign val="superscript"/>
        <sz val="11"/>
        <color rgb="FFFFFFFF"/>
        <rFont val="Arial Black"/>
        <family val="2"/>
      </rPr>
      <t>1</t>
    </r>
    <r>
      <rPr>
        <b/>
        <sz val="11"/>
        <color rgb="FFFFFFFF"/>
        <rFont val="Arial Black"/>
        <family val="2"/>
      </rPr>
      <t xml:space="preserve"> and Safe and Well visits, by role and by fire and rescue authority</t>
    </r>
    <r>
      <rPr>
        <b/>
        <vertAlign val="superscript"/>
        <sz val="11"/>
        <color rgb="FFFFFFFF"/>
        <rFont val="Arial Black"/>
        <family val="2"/>
      </rPr>
      <t>2</t>
    </r>
  </si>
  <si>
    <t xml:space="preserve">The number of staff carrying out HFSCs and Safe and Well visits cannot be accurately reported for the following FRSs: Avon, Norfolk, Staffordshire, Tyne and Wear and West Yorkshire. </t>
  </si>
  <si>
    <t>Therefore, for these FRSs the number of staff carrying out the visits is fewer than the number of visits.</t>
  </si>
  <si>
    <t>FIRE STATISTICS TABLE 1201 (Historical): Home Fire Safety Checks (HFSCs) carried out by FRSs and partners, by fire and rescue authority</t>
  </si>
  <si>
    <t xml:space="preserve">Figures for "Fire Safety Checks carried out by Elderly (65+)", "Fire Safety Checks carried out by Disabled" and "Number of Fire Safety Checks carried out by Partners" </t>
  </si>
  <si>
    <t>firestatistics@homeoffice.gov.uk</t>
  </si>
  <si>
    <t xml:space="preserve">If you find any problems, or have any feedback, relating to accessibility please email us at </t>
  </si>
  <si>
    <t>do not include imputed figures because a large number of fire authorities are unable to supply these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</si>
</sst>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1"/>
      <color theme="1"/>
      <name val="Calibri"/>
      <family val="2"/>
      <scheme val="minor"/>
    </font>
    <font>
      <b/>
      <sz val="11"/>
      <color theme="1"/>
      <name val="Calibri"/>
      <family val="2"/>
      <scheme val="minor"/>
    </font>
    <font>
      <b/>
      <sz val="11"/>
      <color rgb="FFFFFFFF"/>
      <name val="Arial Black"/>
      <family val="2"/>
    </font>
    <font>
      <sz val="11"/>
      <color rgb="FF000000"/>
      <name val="Calibri"/>
      <family val="2"/>
    </font>
    <font>
      <b/>
      <sz val="11"/>
      <color rgb="FF000000"/>
      <name val="Calibri"/>
      <family val="2"/>
    </font>
    <font>
      <u/>
      <sz val="11"/>
      <color rgb="FF0563C1"/>
      <name val="Calibri"/>
      <family val="2"/>
    </font>
    <font>
      <sz val="10"/>
      <name val="MS Sans Serif"/>
      <family val="2"/>
    </font>
    <font>
      <sz val="10"/>
      <name val="Arial"/>
      <family val="2"/>
    </font>
    <font>
      <sz val="10"/>
      <name val="MS Sans Serif"/>
      <family val="2"/>
    </font>
    <font>
      <vertAlign val="superscript"/>
      <sz val="11"/>
      <color theme="1"/>
      <name val="Calibri"/>
      <family val="2"/>
      <scheme val="minor"/>
    </font>
    <font>
      <sz val="1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i/>
      <sz val="11"/>
      <color theme="1"/>
      <name val="Calibri"/>
      <family val="2"/>
      <scheme val="minor"/>
    </font>
    <font>
      <sz val="8"/>
      <color theme="1"/>
      <name val="Calibri"/>
      <family val="2"/>
      <scheme val="minor"/>
    </font>
    <font>
      <b/>
      <sz val="8"/>
      <color theme="1"/>
      <name val="Calibri"/>
      <family val="2"/>
      <scheme val="minor"/>
    </font>
    <font>
      <b/>
      <vertAlign val="superscript"/>
      <sz val="11"/>
      <color theme="1"/>
      <name val="Calibri"/>
      <family val="2"/>
      <scheme val="minor"/>
    </font>
    <font>
      <u/>
      <sz val="11"/>
      <color theme="10"/>
      <name val="Calibri"/>
      <family val="2"/>
      <scheme val="minor"/>
    </font>
    <font>
      <b/>
      <sz val="9"/>
      <color theme="1"/>
      <name val="Calibri"/>
      <family val="2"/>
      <scheme val="minor"/>
    </font>
    <font>
      <b/>
      <sz val="11"/>
      <color theme="0"/>
      <name val="Calibri"/>
      <family val="2"/>
      <scheme val="minor"/>
    </font>
    <font>
      <b/>
      <vertAlign val="superscript"/>
      <sz val="11"/>
      <color rgb="FFFFFFFF"/>
      <name val="Arial Black"/>
      <family val="2"/>
    </font>
    <font>
      <b/>
      <sz val="8"/>
      <color indexed="43"/>
      <name val="Arial"/>
      <family val="2"/>
    </font>
    <font>
      <sz val="8"/>
      <name val="Arial"/>
      <family val="2"/>
    </font>
    <font>
      <b/>
      <sz val="8"/>
      <name val="Arial"/>
      <family val="2"/>
    </font>
    <font>
      <b/>
      <sz val="8"/>
      <name val="MS Sans Serif"/>
      <family val="2"/>
    </font>
    <font>
      <sz val="9"/>
      <color theme="1"/>
      <name val="Calibri"/>
      <family val="2"/>
      <scheme val="minor"/>
    </font>
    <font>
      <sz val="12"/>
      <color rgb="FF000000"/>
      <name val="Arial"/>
      <family val="2"/>
    </font>
    <font>
      <sz val="10"/>
      <color rgb="FF000000"/>
      <name val="Arial"/>
      <family val="2"/>
    </font>
    <font>
      <u/>
      <sz val="12"/>
      <color rgb="FF0000FF"/>
      <name val="Arial"/>
      <family val="2"/>
    </font>
    <font>
      <u/>
      <sz val="10"/>
      <color rgb="FF0000FF"/>
      <name val="Arial"/>
      <family val="2"/>
    </font>
    <font>
      <b/>
      <sz val="12"/>
      <color rgb="FF000000"/>
      <name val="Arial"/>
      <family val="2"/>
    </font>
    <font>
      <u/>
      <sz val="12"/>
      <color theme="10"/>
      <name val="Arial"/>
      <family val="2"/>
    </font>
    <font>
      <sz val="10"/>
      <color rgb="FF0000FF"/>
      <name val="Arial"/>
      <family val="2"/>
    </font>
    <font>
      <b/>
      <sz val="18"/>
      <color rgb="FF0000FF"/>
      <name val="Arial"/>
      <family val="2"/>
    </font>
    <font>
      <sz val="14"/>
      <color rgb="FF000000"/>
      <name val="Arial"/>
      <family val="2"/>
    </font>
    <font>
      <sz val="18"/>
      <color rgb="FF0000FF"/>
      <name val="Arial"/>
      <family val="2"/>
    </font>
    <font>
      <sz val="22"/>
      <color rgb="FF0000FF"/>
      <name val="Arial"/>
      <family val="2"/>
    </font>
    <font>
      <sz val="11"/>
      <color rgb="FF000000"/>
      <name val="Arial"/>
      <family val="2"/>
    </font>
    <font>
      <sz val="9"/>
      <color rgb="FF000000"/>
      <name val="Arial"/>
      <family val="2"/>
    </font>
    <font>
      <sz val="9"/>
      <color theme="1"/>
      <name val="Arial"/>
      <family val="2"/>
    </font>
    <font>
      <u/>
      <sz val="9"/>
      <color rgb="FF0000FF"/>
      <name val="Arial"/>
      <family val="2"/>
    </font>
    <font>
      <b/>
      <sz val="9"/>
      <color rgb="FF000000"/>
      <name val="Arial"/>
      <family val="2"/>
    </font>
    <font>
      <u/>
      <sz val="12"/>
      <color rgb="FF0563C1"/>
      <name val="Arial"/>
      <family val="2"/>
    </font>
    <font>
      <sz val="11"/>
      <color theme="0"/>
      <name val="Calibri"/>
      <family val="2"/>
      <scheme val="minor"/>
    </font>
    <font>
      <b/>
      <sz val="11"/>
      <name val="Calibri"/>
      <family val="2"/>
      <scheme val="minor"/>
    </font>
  </fonts>
  <fills count="13">
    <fill>
      <patternFill patternType="none"/>
    </fill>
    <fill>
      <patternFill patternType="gray125"/>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indexed="10"/>
        <bgColor indexed="64"/>
      </patternFill>
    </fill>
    <fill>
      <patternFill patternType="solid">
        <fgColor rgb="FFFFCCFF"/>
        <bgColor indexed="64"/>
      </patternFill>
    </fill>
    <fill>
      <patternFill patternType="solid">
        <fgColor rgb="FFFF0000"/>
        <bgColor rgb="FFFFFFFF"/>
      </patternFill>
    </fill>
    <fill>
      <patternFill patternType="solid">
        <fgColor rgb="FFFF0000"/>
        <bgColor indexed="64"/>
      </patternFill>
    </fill>
    <fill>
      <patternFill patternType="solid">
        <fgColor rgb="FF00B0F0"/>
        <bgColor indexed="64"/>
      </patternFill>
    </fill>
    <fill>
      <patternFill patternType="solid">
        <fgColor rgb="FFFFFFFF"/>
        <bgColor rgb="FFFFFFFF"/>
      </patternFill>
    </fill>
  </fills>
  <borders count="24">
    <border>
      <left/>
      <right/>
      <top/>
      <bottom/>
      <diagonal/>
    </border>
    <border>
      <left/>
      <right/>
      <top/>
      <bottom style="medium">
        <color rgb="FFFF0000"/>
      </bottom>
      <diagonal/>
    </border>
    <border>
      <left/>
      <right/>
      <top style="medium">
        <color rgb="FFFF0000"/>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rgb="FFFF0000"/>
      </top>
      <bottom style="medium">
        <color rgb="FFFF0000"/>
      </bottom>
      <diagonal/>
    </border>
    <border>
      <left style="medium">
        <color indexed="64"/>
      </left>
      <right/>
      <top style="medium">
        <color indexed="64"/>
      </top>
      <bottom style="medium">
        <color rgb="FFFF0000"/>
      </bottom>
      <diagonal/>
    </border>
    <border>
      <left/>
      <right/>
      <top style="medium">
        <color indexed="64"/>
      </top>
      <bottom style="medium">
        <color rgb="FFFF0000"/>
      </bottom>
      <diagonal/>
    </border>
    <border>
      <left/>
      <right style="medium">
        <color indexed="64"/>
      </right>
      <top style="medium">
        <color indexed="64"/>
      </top>
      <bottom style="medium">
        <color rgb="FFFF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rgb="FFFF0000"/>
      </right>
      <top/>
      <bottom style="medium">
        <color rgb="FFFF0000"/>
      </bottom>
      <diagonal/>
    </border>
    <border>
      <left style="medium">
        <color indexed="64"/>
      </left>
      <right/>
      <top/>
      <bottom style="medium">
        <color rgb="FFFF0000"/>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style="medium">
        <color auto="1"/>
      </left>
      <right/>
      <top style="medium">
        <color rgb="FFFF0000"/>
      </top>
      <bottom/>
      <diagonal/>
    </border>
    <border>
      <left/>
      <right style="medium">
        <color auto="1"/>
      </right>
      <top style="medium">
        <color rgb="FFFF0000"/>
      </top>
      <bottom/>
      <diagonal/>
    </border>
  </borders>
  <cellStyleXfs count="16">
    <xf numFmtId="0" fontId="0" fillId="0" borderId="0"/>
    <xf numFmtId="0" fontId="3" fillId="0" borderId="0"/>
    <xf numFmtId="0" fontId="5" fillId="0" borderId="0" applyNumberFormat="0" applyFill="0" applyBorder="0" applyAlignment="0" applyProtection="0"/>
    <xf numFmtId="0" fontId="6" fillId="0" borderId="0"/>
    <xf numFmtId="0" fontId="8" fillId="0" borderId="0"/>
    <xf numFmtId="0" fontId="7" fillId="0" borderId="0"/>
    <xf numFmtId="9" fontId="11" fillId="0" borderId="0" applyFont="0" applyFill="0" applyBorder="0" applyAlignment="0" applyProtection="0"/>
    <xf numFmtId="0" fontId="19" fillId="0" borderId="0" applyNumberFormat="0" applyFill="0" applyBorder="0" applyAlignment="0" applyProtection="0"/>
    <xf numFmtId="0" fontId="28" fillId="0" borderId="0" applyNumberFormat="0" applyBorder="0" applyProtection="0"/>
    <xf numFmtId="0" fontId="30" fillId="0" borderId="0" applyNumberFormat="0" applyFill="0" applyBorder="0" applyAlignment="0" applyProtection="0"/>
    <xf numFmtId="0" fontId="3" fillId="0" borderId="0" applyNumberFormat="0" applyFont="0" applyBorder="0" applyProtection="0"/>
    <xf numFmtId="0" fontId="31" fillId="0" borderId="0" applyNumberFormat="0" applyFill="0" applyBorder="0" applyAlignment="0" applyProtection="0"/>
    <xf numFmtId="0" fontId="29" fillId="0" borderId="0" applyNumberFormat="0" applyBorder="0" applyProtection="0"/>
    <xf numFmtId="0" fontId="3" fillId="0" borderId="0"/>
    <xf numFmtId="0" fontId="3" fillId="0" borderId="0" applyNumberFormat="0" applyFont="0" applyBorder="0" applyProtection="0"/>
    <xf numFmtId="0" fontId="29" fillId="0" borderId="0" applyNumberFormat="0" applyBorder="0" applyProtection="0"/>
  </cellStyleXfs>
  <cellXfs count="202">
    <xf numFmtId="0" fontId="0" fillId="0" borderId="0" xfId="0"/>
    <xf numFmtId="0" fontId="2" fillId="3" borderId="0" xfId="0" applyFont="1" applyFill="1" applyAlignment="1">
      <alignment wrapText="1"/>
    </xf>
    <xf numFmtId="0" fontId="0" fillId="4" borderId="0" xfId="0" applyFill="1" applyAlignment="1">
      <alignment wrapText="1"/>
    </xf>
    <xf numFmtId="0" fontId="0" fillId="5" borderId="0" xfId="0" applyFill="1" applyAlignment="1">
      <alignment wrapText="1"/>
    </xf>
    <xf numFmtId="0" fontId="0" fillId="4" borderId="0" xfId="0" applyFill="1"/>
    <xf numFmtId="0" fontId="0" fillId="5" borderId="0" xfId="0" applyFill="1"/>
    <xf numFmtId="0" fontId="0" fillId="5" borderId="0" xfId="0" applyFill="1" applyAlignment="1">
      <alignment horizontal="center"/>
    </xf>
    <xf numFmtId="0" fontId="0" fillId="5" borderId="0" xfId="0" applyFill="1" applyAlignment="1"/>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0" fillId="4" borderId="0" xfId="0" applyFill="1" applyAlignment="1">
      <alignment horizontal="right" vertical="center" wrapText="1"/>
    </xf>
    <xf numFmtId="1" fontId="0" fillId="4" borderId="0" xfId="0" applyNumberFormat="1" applyFill="1"/>
    <xf numFmtId="164" fontId="0" fillId="5" borderId="0" xfId="0" applyNumberFormat="1" applyFill="1"/>
    <xf numFmtId="1" fontId="0" fillId="5" borderId="0" xfId="0" applyNumberFormat="1" applyFill="1"/>
    <xf numFmtId="3" fontId="0" fillId="5" borderId="0" xfId="0" applyNumberFormat="1" applyFill="1" applyBorder="1" applyAlignment="1">
      <alignment horizontal="right"/>
    </xf>
    <xf numFmtId="3" fontId="1" fillId="5" borderId="0" xfId="0" applyNumberFormat="1" applyFont="1" applyFill="1" applyBorder="1" applyAlignment="1">
      <alignment horizontal="right"/>
    </xf>
    <xf numFmtId="0" fontId="0" fillId="4" borderId="1" xfId="0" applyFill="1" applyBorder="1"/>
    <xf numFmtId="0" fontId="4" fillId="4" borderId="0" xfId="0" applyFont="1" applyFill="1"/>
    <xf numFmtId="0" fontId="5" fillId="4" borderId="0" xfId="2" applyFont="1" applyFill="1"/>
    <xf numFmtId="0" fontId="0" fillId="4" borderId="0" xfId="0" applyFill="1" applyAlignment="1">
      <alignment horizontal="right"/>
    </xf>
    <xf numFmtId="3" fontId="0" fillId="4" borderId="0" xfId="0" applyNumberFormat="1" applyFill="1"/>
    <xf numFmtId="0" fontId="4" fillId="4" borderId="0" xfId="1" applyFont="1" applyFill="1" applyAlignment="1">
      <alignment vertical="center"/>
    </xf>
    <xf numFmtId="0" fontId="3" fillId="5" borderId="0" xfId="1" applyFill="1"/>
    <xf numFmtId="0" fontId="1" fillId="4" borderId="0" xfId="0" applyFont="1" applyFill="1"/>
    <xf numFmtId="0" fontId="1" fillId="4" borderId="2" xfId="0" applyFont="1" applyFill="1" applyBorder="1"/>
    <xf numFmtId="0" fontId="1" fillId="4" borderId="0" xfId="0" applyFont="1" applyFill="1" applyBorder="1"/>
    <xf numFmtId="0" fontId="0" fillId="4" borderId="0" xfId="0" applyFill="1" applyAlignment="1">
      <alignment horizontal="left" wrapText="1"/>
    </xf>
    <xf numFmtId="0" fontId="0" fillId="4" borderId="1" xfId="0" applyFill="1" applyBorder="1" applyAlignment="1">
      <alignment horizontal="center"/>
    </xf>
    <xf numFmtId="0" fontId="0" fillId="5" borderId="0" xfId="0" applyFill="1" applyAlignment="1">
      <alignment horizontal="center" wrapText="1"/>
    </xf>
    <xf numFmtId="3" fontId="0" fillId="5" borderId="0" xfId="0" applyNumberFormat="1" applyFont="1" applyFill="1" applyBorder="1" applyAlignment="1">
      <alignment horizontal="right"/>
    </xf>
    <xf numFmtId="3" fontId="0" fillId="5" borderId="1" xfId="0" applyNumberFormat="1" applyFont="1" applyFill="1" applyBorder="1" applyAlignment="1">
      <alignment horizontal="right"/>
    </xf>
    <xf numFmtId="0" fontId="0" fillId="4" borderId="0" xfId="0" applyFill="1" applyBorder="1"/>
    <xf numFmtId="0" fontId="0" fillId="4" borderId="2" xfId="0" applyFill="1" applyBorder="1" applyAlignment="1">
      <alignment horizontal="center" wrapText="1"/>
    </xf>
    <xf numFmtId="0" fontId="0" fillId="4" borderId="0" xfId="0" applyFill="1" applyAlignment="1">
      <alignment horizontal="left" wrapText="1"/>
    </xf>
    <xf numFmtId="0" fontId="0" fillId="4" borderId="0" xfId="0" applyFill="1" applyAlignment="1">
      <alignment horizontal="left" wrapText="1"/>
    </xf>
    <xf numFmtId="0" fontId="0" fillId="4" borderId="0" xfId="0" applyFill="1" applyAlignment="1">
      <alignment horizontal="left"/>
    </xf>
    <xf numFmtId="0" fontId="1" fillId="4" borderId="0" xfId="0" applyFont="1" applyFill="1" applyAlignment="1">
      <alignment horizontal="left" wrapText="1"/>
    </xf>
    <xf numFmtId="1" fontId="0" fillId="4" borderId="0" xfId="0" quotePrefix="1" applyNumberFormat="1" applyFill="1"/>
    <xf numFmtId="0" fontId="0" fillId="5" borderId="0" xfId="0" quotePrefix="1" applyFill="1"/>
    <xf numFmtId="0" fontId="0" fillId="4" borderId="0" xfId="0" applyFill="1" applyAlignment="1">
      <alignment horizontal="left" wrapText="1"/>
    </xf>
    <xf numFmtId="0" fontId="0" fillId="4" borderId="0" xfId="0" applyFill="1" applyAlignment="1">
      <alignment horizontal="left" wrapText="1"/>
    </xf>
    <xf numFmtId="0" fontId="0" fillId="4" borderId="0" xfId="0" applyFill="1" applyAlignment="1">
      <alignment horizontal="left" wrapText="1"/>
    </xf>
    <xf numFmtId="0" fontId="5" fillId="4" borderId="0" xfId="2" applyFill="1"/>
    <xf numFmtId="0" fontId="0" fillId="4" borderId="0" xfId="0" applyFill="1" applyBorder="1" applyAlignment="1">
      <alignment horizontal="center" wrapText="1"/>
    </xf>
    <xf numFmtId="0" fontId="0" fillId="4" borderId="0" xfId="0" applyFill="1" applyBorder="1" applyAlignment="1">
      <alignment horizontal="center"/>
    </xf>
    <xf numFmtId="0" fontId="12" fillId="5" borderId="0" xfId="0" applyFont="1" applyFill="1" applyAlignment="1">
      <alignment wrapText="1"/>
    </xf>
    <xf numFmtId="0" fontId="12" fillId="4" borderId="1" xfId="0" applyFont="1" applyFill="1" applyBorder="1" applyAlignment="1">
      <alignment wrapText="1"/>
    </xf>
    <xf numFmtId="0" fontId="13" fillId="4" borderId="1" xfId="0" applyFont="1" applyFill="1" applyBorder="1" applyAlignment="1">
      <alignment horizontal="center" wrapText="1"/>
    </xf>
    <xf numFmtId="0" fontId="12" fillId="4" borderId="1" xfId="0" applyFont="1" applyFill="1" applyBorder="1" applyAlignment="1">
      <alignment horizontal="left" wrapText="1"/>
    </xf>
    <xf numFmtId="0" fontId="12" fillId="4" borderId="1" xfId="0" applyFont="1" applyFill="1" applyBorder="1" applyAlignment="1">
      <alignment horizontal="center" wrapText="1"/>
    </xf>
    <xf numFmtId="0" fontId="14" fillId="0" borderId="0" xfId="0" applyFont="1"/>
    <xf numFmtId="3" fontId="0" fillId="0" borderId="0" xfId="0" applyNumberFormat="1"/>
    <xf numFmtId="3" fontId="1" fillId="5" borderId="0" xfId="0" applyNumberFormat="1" applyFont="1" applyFill="1"/>
    <xf numFmtId="0" fontId="0" fillId="5" borderId="0" xfId="0" applyFill="1" applyBorder="1"/>
    <xf numFmtId="3" fontId="1" fillId="4" borderId="0" xfId="0" applyNumberFormat="1" applyFont="1" applyFill="1" applyBorder="1" applyAlignment="1">
      <alignment horizontal="right" wrapText="1"/>
    </xf>
    <xf numFmtId="9" fontId="15" fillId="0" borderId="0" xfId="6" applyFont="1"/>
    <xf numFmtId="0" fontId="16" fillId="0" borderId="0" xfId="0" applyFont="1" applyFill="1" applyAlignment="1">
      <alignment wrapText="1"/>
    </xf>
    <xf numFmtId="0" fontId="16" fillId="0" borderId="1" xfId="0" applyFont="1" applyFill="1" applyBorder="1" applyAlignment="1">
      <alignment wrapText="1"/>
    </xf>
    <xf numFmtId="0" fontId="16" fillId="0" borderId="0" xfId="0" applyFont="1" applyFill="1"/>
    <xf numFmtId="0" fontId="17" fillId="0" borderId="7" xfId="0" applyFont="1" applyFill="1" applyBorder="1" applyAlignment="1">
      <alignment horizontal="center" wrapText="1"/>
    </xf>
    <xf numFmtId="0" fontId="16" fillId="0" borderId="8" xfId="0" applyFont="1" applyFill="1" applyBorder="1" applyAlignment="1">
      <alignment horizontal="left" wrapText="1"/>
    </xf>
    <xf numFmtId="0" fontId="16" fillId="0" borderId="9" xfId="0" applyFont="1" applyFill="1" applyBorder="1" applyAlignment="1">
      <alignment horizontal="left" wrapText="1"/>
    </xf>
    <xf numFmtId="0" fontId="16" fillId="0" borderId="7" xfId="0" applyFont="1" applyFill="1" applyBorder="1" applyAlignment="1">
      <alignment horizontal="center" wrapText="1"/>
    </xf>
    <xf numFmtId="0" fontId="16" fillId="0" borderId="8" xfId="0" applyFont="1" applyFill="1" applyBorder="1" applyAlignment="1">
      <alignment horizontal="center" wrapText="1"/>
    </xf>
    <xf numFmtId="0" fontId="16" fillId="0" borderId="9" xfId="0" applyFont="1" applyFill="1" applyBorder="1" applyAlignment="1">
      <alignment horizontal="center" wrapText="1"/>
    </xf>
    <xf numFmtId="0" fontId="1" fillId="5" borderId="1" xfId="0" applyFont="1" applyFill="1" applyBorder="1"/>
    <xf numFmtId="0" fontId="0" fillId="5" borderId="13" xfId="0" applyFill="1" applyBorder="1"/>
    <xf numFmtId="0" fontId="10" fillId="5" borderId="0" xfId="0" applyFont="1" applyFill="1" applyAlignment="1">
      <alignment horizontal="left"/>
    </xf>
    <xf numFmtId="0" fontId="16" fillId="0" borderId="16" xfId="0" applyFont="1" applyFill="1" applyBorder="1" applyAlignment="1">
      <alignment horizontal="center" wrapText="1"/>
    </xf>
    <xf numFmtId="0" fontId="16" fillId="0" borderId="17" xfId="0" applyFont="1" applyFill="1" applyBorder="1" applyAlignment="1">
      <alignment horizontal="center" wrapText="1"/>
    </xf>
    <xf numFmtId="3" fontId="20" fillId="0" borderId="2" xfId="0" applyNumberFormat="1" applyFont="1" applyFill="1" applyBorder="1"/>
    <xf numFmtId="3" fontId="20" fillId="0" borderId="0" xfId="0" applyNumberFormat="1" applyFont="1"/>
    <xf numFmtId="3" fontId="20" fillId="0" borderId="16" xfId="0" applyNumberFormat="1" applyFont="1" applyBorder="1"/>
    <xf numFmtId="3" fontId="20" fillId="0" borderId="17" xfId="0" applyNumberFormat="1" applyFont="1" applyBorder="1"/>
    <xf numFmtId="3" fontId="20" fillId="0" borderId="15" xfId="0" applyNumberFormat="1" applyFont="1" applyBorder="1"/>
    <xf numFmtId="3" fontId="20" fillId="0" borderId="0" xfId="0" applyNumberFormat="1" applyFont="1" applyFill="1" applyBorder="1"/>
    <xf numFmtId="3" fontId="20" fillId="0" borderId="10" xfId="0" applyNumberFormat="1" applyFont="1" applyBorder="1"/>
    <xf numFmtId="3" fontId="20" fillId="0" borderId="0" xfId="0" applyNumberFormat="1" applyFont="1" applyBorder="1"/>
    <xf numFmtId="3" fontId="20" fillId="0" borderId="11" xfId="0" applyNumberFormat="1" applyFont="1" applyBorder="1"/>
    <xf numFmtId="0" fontId="17" fillId="0" borderId="8" xfId="0" applyFont="1" applyFill="1" applyBorder="1" applyAlignment="1">
      <alignment horizontal="center" wrapText="1"/>
    </xf>
    <xf numFmtId="3" fontId="16" fillId="0" borderId="10" xfId="0" applyNumberFormat="1" applyFont="1" applyFill="1" applyBorder="1"/>
    <xf numFmtId="3" fontId="16" fillId="0" borderId="0" xfId="0" applyNumberFormat="1" applyFont="1" applyFill="1" applyBorder="1"/>
    <xf numFmtId="3" fontId="16" fillId="0" borderId="11" xfId="0" applyNumberFormat="1" applyFont="1" applyFill="1" applyBorder="1"/>
    <xf numFmtId="3" fontId="16" fillId="0" borderId="12" xfId="0" applyNumberFormat="1" applyFont="1" applyFill="1" applyBorder="1"/>
    <xf numFmtId="3" fontId="16" fillId="0" borderId="13" xfId="0" applyNumberFormat="1" applyFont="1" applyFill="1" applyBorder="1"/>
    <xf numFmtId="3" fontId="16" fillId="0" borderId="14" xfId="0" applyNumberFormat="1" applyFont="1" applyFill="1" applyBorder="1"/>
    <xf numFmtId="0" fontId="0" fillId="0" borderId="0" xfId="0" applyAlignment="1">
      <alignment horizontal="center" vertical="center"/>
    </xf>
    <xf numFmtId="3" fontId="0" fillId="5" borderId="0" xfId="0" applyNumberFormat="1" applyFont="1" applyFill="1"/>
    <xf numFmtId="3" fontId="0" fillId="4" borderId="0" xfId="0" applyNumberFormat="1" applyFont="1" applyFill="1" applyBorder="1" applyAlignment="1">
      <alignment horizontal="right" wrapText="1"/>
    </xf>
    <xf numFmtId="0" fontId="0" fillId="4" borderId="0" xfId="0" applyFill="1" applyBorder="1" applyAlignment="1">
      <alignment horizontal="center"/>
    </xf>
    <xf numFmtId="3" fontId="20" fillId="0" borderId="22" xfId="0" applyNumberFormat="1" applyFont="1" applyBorder="1"/>
    <xf numFmtId="3" fontId="20" fillId="0" borderId="2" xfId="0" applyNumberFormat="1" applyFont="1" applyBorder="1"/>
    <xf numFmtId="3" fontId="20" fillId="0" borderId="23" xfId="0" applyNumberFormat="1" applyFont="1" applyBorder="1"/>
    <xf numFmtId="0" fontId="5" fillId="4" borderId="0" xfId="2" applyFill="1" applyAlignment="1">
      <alignment horizontal="right"/>
    </xf>
    <xf numFmtId="0" fontId="0" fillId="4" borderId="0" xfId="0" applyFill="1" applyBorder="1" applyAlignment="1">
      <alignment horizontal="center"/>
    </xf>
    <xf numFmtId="0" fontId="0" fillId="4" borderId="0" xfId="0" applyFont="1" applyFill="1"/>
    <xf numFmtId="3" fontId="1" fillId="5" borderId="2" xfId="0" applyNumberFormat="1" applyFont="1" applyFill="1" applyBorder="1"/>
    <xf numFmtId="3" fontId="1" fillId="5" borderId="0" xfId="0" applyNumberFormat="1" applyFont="1" applyFill="1" applyBorder="1"/>
    <xf numFmtId="3" fontId="0" fillId="5" borderId="0" xfId="0" applyNumberFormat="1" applyFont="1" applyFill="1" applyBorder="1"/>
    <xf numFmtId="3" fontId="0" fillId="4" borderId="0" xfId="0" applyNumberFormat="1" applyFill="1" applyBorder="1"/>
    <xf numFmtId="0" fontId="0" fillId="4" borderId="0" xfId="0" applyFont="1" applyFill="1" applyBorder="1"/>
    <xf numFmtId="3" fontId="0" fillId="5" borderId="1" xfId="0" applyNumberFormat="1" applyFont="1" applyFill="1" applyBorder="1"/>
    <xf numFmtId="0" fontId="21" fillId="4" borderId="0" xfId="0" applyFont="1" applyFill="1" applyAlignment="1">
      <alignment horizontal="right"/>
    </xf>
    <xf numFmtId="0" fontId="5" fillId="5" borderId="0" xfId="2" applyFill="1"/>
    <xf numFmtId="0" fontId="16" fillId="0" borderId="0" xfId="0" applyFont="1" applyFill="1" applyBorder="1"/>
    <xf numFmtId="0" fontId="25" fillId="0" borderId="3" xfId="5" applyFont="1" applyFill="1" applyBorder="1" applyAlignment="1">
      <alignment horizontal="right" vertical="center" wrapText="1"/>
    </xf>
    <xf numFmtId="0" fontId="25" fillId="0" borderId="3" xfId="5" applyFont="1" applyBorder="1" applyAlignment="1">
      <alignment horizontal="right" vertical="center" wrapText="1"/>
    </xf>
    <xf numFmtId="0" fontId="17" fillId="0" borderId="0" xfId="0" applyFont="1" applyFill="1" applyBorder="1"/>
    <xf numFmtId="0" fontId="16" fillId="0" borderId="0" xfId="0" applyFont="1"/>
    <xf numFmtId="3" fontId="17" fillId="0" borderId="0" xfId="0" applyNumberFormat="1" applyFont="1" applyFill="1" applyBorder="1"/>
    <xf numFmtId="3" fontId="16" fillId="0" borderId="0" xfId="0" applyNumberFormat="1" applyFont="1" applyFill="1" applyBorder="1" applyAlignment="1">
      <alignment horizontal="right"/>
    </xf>
    <xf numFmtId="0" fontId="4" fillId="4" borderId="0" xfId="0" applyFont="1" applyFill="1" applyBorder="1"/>
    <xf numFmtId="0" fontId="24" fillId="0" borderId="5" xfId="5" applyFont="1" applyBorder="1" applyAlignment="1">
      <alignment vertical="center"/>
    </xf>
    <xf numFmtId="0" fontId="24" fillId="0" borderId="4" xfId="5" applyFont="1" applyBorder="1" applyAlignment="1">
      <alignment vertical="center"/>
    </xf>
    <xf numFmtId="0" fontId="0" fillId="0" borderId="0" xfId="0" applyAlignment="1">
      <alignment horizontal="center"/>
    </xf>
    <xf numFmtId="0" fontId="0" fillId="8" borderId="0" xfId="0" applyFill="1" applyAlignment="1">
      <alignment horizontal="center"/>
    </xf>
    <xf numFmtId="9" fontId="27" fillId="0" borderId="0" xfId="6" applyFont="1" applyFill="1"/>
    <xf numFmtId="9" fontId="27" fillId="11" borderId="0" xfId="6" applyFont="1" applyFill="1"/>
    <xf numFmtId="9" fontId="0" fillId="4" borderId="0" xfId="6" applyFont="1" applyFill="1"/>
    <xf numFmtId="0" fontId="0" fillId="4" borderId="0" xfId="0" applyFill="1" applyBorder="1" applyAlignment="1">
      <alignment horizontal="center"/>
    </xf>
    <xf numFmtId="3" fontId="1" fillId="5" borderId="1" xfId="0" applyNumberFormat="1" applyFont="1" applyFill="1" applyBorder="1"/>
    <xf numFmtId="0" fontId="29" fillId="12" borderId="0" xfId="8" applyFont="1" applyFill="1" applyAlignment="1"/>
    <xf numFmtId="0" fontId="28" fillId="12" borderId="0" xfId="8" applyFont="1" applyFill="1" applyAlignment="1"/>
    <xf numFmtId="0" fontId="28" fillId="12" borderId="0" xfId="10" applyFont="1" applyFill="1" applyAlignment="1"/>
    <xf numFmtId="0" fontId="30" fillId="12" borderId="0" xfId="11" applyFont="1" applyFill="1" applyAlignment="1"/>
    <xf numFmtId="0" fontId="33" fillId="12" borderId="0" xfId="7" applyFont="1" applyFill="1" applyAlignment="1"/>
    <xf numFmtId="0" fontId="34" fillId="0" borderId="0" xfId="8" applyFont="1" applyFill="1" applyAlignment="1"/>
    <xf numFmtId="0" fontId="35" fillId="0" borderId="0" xfId="12" applyFont="1" applyFill="1" applyAlignment="1">
      <alignment vertical="center"/>
    </xf>
    <xf numFmtId="0" fontId="36" fillId="12" borderId="0" xfId="8" applyFont="1" applyFill="1" applyAlignment="1"/>
    <xf numFmtId="0" fontId="37" fillId="12" borderId="0" xfId="12" applyFont="1" applyFill="1" applyAlignment="1">
      <alignment vertical="center"/>
    </xf>
    <xf numFmtId="0" fontId="38" fillId="12" borderId="0" xfId="8" applyFont="1" applyFill="1" applyAlignment="1"/>
    <xf numFmtId="0" fontId="39" fillId="12" borderId="0" xfId="13" applyFont="1" applyFill="1"/>
    <xf numFmtId="0" fontId="39" fillId="12" borderId="0" xfId="13" applyFont="1" applyFill="1" applyAlignment="1">
      <alignment wrapText="1"/>
    </xf>
    <xf numFmtId="0" fontId="3" fillId="12" borderId="0" xfId="13" applyFill="1"/>
    <xf numFmtId="0" fontId="39" fillId="12" borderId="0" xfId="13" applyFont="1" applyFill="1" applyAlignment="1">
      <alignment horizontal="left"/>
    </xf>
    <xf numFmtId="0" fontId="40" fillId="12" borderId="0" xfId="14" applyFont="1" applyFill="1" applyAlignment="1">
      <alignment horizontal="left" vertical="center" wrapText="1"/>
    </xf>
    <xf numFmtId="1" fontId="40" fillId="12" borderId="0" xfId="14" applyNumberFormat="1" applyFont="1" applyFill="1" applyAlignment="1">
      <alignment horizontal="left" vertical="center"/>
    </xf>
    <xf numFmtId="0" fontId="40" fillId="12" borderId="0" xfId="13" applyFont="1" applyFill="1"/>
    <xf numFmtId="0" fontId="41" fillId="5" borderId="0" xfId="0" applyFont="1" applyFill="1"/>
    <xf numFmtId="0" fontId="42" fillId="12" borderId="0" xfId="11" applyFont="1" applyFill="1" applyAlignment="1"/>
    <xf numFmtId="0" fontId="43" fillId="12" borderId="0" xfId="15" applyFont="1" applyFill="1" applyAlignment="1">
      <alignment horizontal="left" wrapText="1"/>
    </xf>
    <xf numFmtId="0" fontId="43" fillId="12" borderId="0" xfId="15" applyFont="1" applyFill="1" applyAlignment="1">
      <alignment wrapText="1"/>
    </xf>
    <xf numFmtId="0" fontId="40" fillId="12" borderId="0" xfId="12" applyFont="1" applyFill="1" applyAlignment="1"/>
    <xf numFmtId="0" fontId="40" fillId="12" borderId="0" xfId="12" applyFont="1" applyFill="1" applyAlignment="1">
      <alignment horizontal="left"/>
    </xf>
    <xf numFmtId="0" fontId="40" fillId="12" borderId="0" xfId="15" applyFont="1" applyFill="1" applyAlignment="1"/>
    <xf numFmtId="0" fontId="40" fillId="12" borderId="0" xfId="15" applyFont="1" applyFill="1" applyAlignment="1">
      <alignment horizontal="left"/>
    </xf>
    <xf numFmtId="0" fontId="43" fillId="12" borderId="0" xfId="12" applyFont="1" applyFill="1" applyAlignment="1"/>
    <xf numFmtId="0" fontId="44" fillId="12" borderId="0" xfId="2" applyFont="1" applyFill="1" applyAlignment="1"/>
    <xf numFmtId="0" fontId="45" fillId="4" borderId="0" xfId="0" applyFont="1" applyFill="1"/>
    <xf numFmtId="0" fontId="5" fillId="4" borderId="0" xfId="2" applyFill="1" applyAlignment="1">
      <alignment horizontal="right"/>
    </xf>
    <xf numFmtId="0" fontId="0" fillId="4" borderId="0" xfId="0" applyFill="1" applyBorder="1" applyAlignment="1">
      <alignment horizontal="center"/>
    </xf>
    <xf numFmtId="0" fontId="0" fillId="4" borderId="6" xfId="0" applyFill="1" applyBorder="1" applyAlignment="1">
      <alignment horizontal="center"/>
    </xf>
    <xf numFmtId="0" fontId="0" fillId="4" borderId="6" xfId="0" applyFill="1" applyBorder="1" applyAlignment="1">
      <alignment horizontal="center" vertical="center"/>
    </xf>
    <xf numFmtId="9" fontId="1" fillId="5" borderId="0" xfId="6" applyFont="1" applyFill="1"/>
    <xf numFmtId="0" fontId="4" fillId="6" borderId="0" xfId="1" applyFont="1" applyFill="1" applyAlignment="1">
      <alignment vertical="center"/>
    </xf>
    <xf numFmtId="0" fontId="0" fillId="4" borderId="6" xfId="0" applyFill="1" applyBorder="1" applyAlignment="1">
      <alignment vertical="center"/>
    </xf>
    <xf numFmtId="0" fontId="0" fillId="4" borderId="0" xfId="0" applyFill="1" applyAlignment="1"/>
    <xf numFmtId="0" fontId="5" fillId="4" borderId="0" xfId="2" applyFill="1" applyAlignment="1"/>
    <xf numFmtId="0" fontId="5" fillId="4" borderId="0" xfId="2" applyFont="1" applyFill="1" applyAlignment="1"/>
    <xf numFmtId="0" fontId="2" fillId="2" borderId="0" xfId="0" applyFont="1" applyFill="1" applyAlignment="1"/>
    <xf numFmtId="0" fontId="2" fillId="10" borderId="0" xfId="0" applyFont="1" applyFill="1" applyAlignment="1"/>
    <xf numFmtId="0" fontId="0" fillId="4" borderId="6" xfId="0" applyFill="1" applyBorder="1" applyAlignment="1"/>
    <xf numFmtId="0" fontId="19" fillId="5" borderId="0" xfId="7" applyFill="1" applyAlignment="1"/>
    <xf numFmtId="0" fontId="5" fillId="5" borderId="0" xfId="2" applyFill="1" applyAlignment="1">
      <alignment horizontal="right"/>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center"/>
    </xf>
    <xf numFmtId="0" fontId="1" fillId="4" borderId="1" xfId="0" applyFont="1" applyFill="1" applyBorder="1" applyAlignment="1">
      <alignment vertical="center"/>
    </xf>
    <xf numFmtId="0" fontId="0" fillId="4" borderId="1" xfId="0" applyFill="1" applyBorder="1" applyAlignment="1">
      <alignment vertical="center"/>
    </xf>
    <xf numFmtId="0" fontId="13" fillId="4" borderId="1" xfId="0" applyFont="1" applyFill="1" applyBorder="1" applyAlignment="1">
      <alignment horizontal="right" wrapText="1"/>
    </xf>
    <xf numFmtId="0" fontId="12" fillId="4" borderId="1" xfId="0" applyFont="1" applyFill="1" applyBorder="1" applyAlignment="1">
      <alignment horizontal="right" wrapText="1"/>
    </xf>
    <xf numFmtId="0" fontId="12" fillId="5" borderId="0" xfId="0" applyFont="1" applyFill="1" applyAlignment="1">
      <alignment horizontal="right" wrapText="1"/>
    </xf>
    <xf numFmtId="0" fontId="2" fillId="5" borderId="0" xfId="0" applyFont="1" applyFill="1" applyAlignment="1"/>
    <xf numFmtId="9" fontId="1" fillId="4" borderId="1" xfId="6" applyFont="1" applyFill="1" applyBorder="1" applyAlignment="1">
      <alignment vertical="center"/>
    </xf>
    <xf numFmtId="3" fontId="10" fillId="5" borderId="0" xfId="0" applyNumberFormat="1" applyFont="1" applyFill="1" applyAlignment="1"/>
    <xf numFmtId="9" fontId="0" fillId="5" borderId="0" xfId="6" applyFont="1" applyFill="1" applyAlignment="1">
      <alignment wrapText="1"/>
    </xf>
    <xf numFmtId="0" fontId="0" fillId="4" borderId="0" xfId="0" applyFill="1" applyAlignment="1">
      <alignment horizontal="left" wrapText="1"/>
    </xf>
    <xf numFmtId="0" fontId="46" fillId="9" borderId="0" xfId="0" applyFont="1" applyFill="1" applyAlignment="1">
      <alignment horizontal="right"/>
    </xf>
    <xf numFmtId="0" fontId="23" fillId="7" borderId="0" xfId="4" applyFont="1" applyFill="1" applyAlignment="1">
      <alignment vertical="center" wrapText="1"/>
    </xf>
    <xf numFmtId="0" fontId="24" fillId="0" borderId="5" xfId="5" applyFont="1" applyBorder="1" applyAlignment="1">
      <alignment vertical="center"/>
    </xf>
    <xf numFmtId="0" fontId="24" fillId="0" borderId="4" xfId="5" applyFont="1" applyBorder="1" applyAlignment="1">
      <alignment vertical="center"/>
    </xf>
    <xf numFmtId="0" fontId="25" fillId="0" borderId="5" xfId="5" applyFont="1" applyFill="1" applyBorder="1" applyAlignment="1">
      <alignment horizontal="center" vertical="center" wrapText="1"/>
    </xf>
    <xf numFmtId="0" fontId="26" fillId="0" borderId="5" xfId="4" applyFont="1" applyBorder="1" applyAlignment="1">
      <alignment horizontal="center" vertical="center"/>
    </xf>
    <xf numFmtId="0" fontId="26" fillId="0" borderId="3" xfId="4" applyFont="1" applyBorder="1" applyAlignment="1">
      <alignment horizontal="center" vertical="center"/>
    </xf>
    <xf numFmtId="0" fontId="0" fillId="4" borderId="0" xfId="0" applyFill="1" applyAlignment="1">
      <alignment horizontal="left" wrapText="1"/>
    </xf>
    <xf numFmtId="0" fontId="4" fillId="6" borderId="0" xfId="1" applyFont="1" applyFill="1" applyAlignment="1">
      <alignment horizontal="center" vertical="center"/>
    </xf>
    <xf numFmtId="0" fontId="0" fillId="4" borderId="1" xfId="0" applyFill="1" applyBorder="1" applyAlignment="1">
      <alignment horizontal="center"/>
    </xf>
    <xf numFmtId="0" fontId="2" fillId="3" borderId="0" xfId="0" applyFont="1" applyFill="1" applyAlignment="1">
      <alignment horizontal="left" wrapText="1"/>
    </xf>
    <xf numFmtId="0" fontId="0" fillId="4" borderId="6" xfId="0" applyFill="1" applyBorder="1" applyAlignment="1">
      <alignment horizontal="center" wrapText="1"/>
    </xf>
    <xf numFmtId="0" fontId="0" fillId="4" borderId="0" xfId="0" applyFill="1" applyBorder="1" applyAlignment="1">
      <alignment horizontal="left" wrapText="1"/>
    </xf>
    <xf numFmtId="0" fontId="0" fillId="4" borderId="0" xfId="0" applyFill="1" applyBorder="1" applyAlignment="1">
      <alignment horizontal="left"/>
    </xf>
    <xf numFmtId="0" fontId="0" fillId="4" borderId="6" xfId="0" applyFill="1" applyBorder="1" applyAlignment="1">
      <alignment horizontal="center" vertical="center" wrapText="1"/>
    </xf>
    <xf numFmtId="0" fontId="16" fillId="0" borderId="1" xfId="0" applyFont="1" applyFill="1" applyBorder="1" applyAlignment="1">
      <alignment horizontal="center"/>
    </xf>
    <xf numFmtId="0" fontId="16" fillId="0" borderId="18" xfId="0" applyFont="1" applyFill="1" applyBorder="1" applyAlignment="1">
      <alignment horizontal="center"/>
    </xf>
    <xf numFmtId="0" fontId="16" fillId="0" borderId="19" xfId="0" applyFont="1" applyFill="1" applyBorder="1" applyAlignment="1">
      <alignment horizontal="center"/>
    </xf>
    <xf numFmtId="0" fontId="16" fillId="0" borderId="2" xfId="0" applyFont="1" applyFill="1" applyBorder="1" applyAlignment="1">
      <alignment horizontal="center"/>
    </xf>
    <xf numFmtId="0" fontId="16" fillId="0" borderId="20" xfId="0" applyFont="1" applyFill="1" applyBorder="1" applyAlignment="1">
      <alignment horizontal="center"/>
    </xf>
    <xf numFmtId="0" fontId="16" fillId="0" borderId="21" xfId="0" applyFont="1" applyFill="1" applyBorder="1" applyAlignment="1">
      <alignment horizontal="center"/>
    </xf>
    <xf numFmtId="0" fontId="2" fillId="0" borderId="0" xfId="0" applyFont="1" applyFill="1" applyAlignment="1">
      <alignment wrapText="1"/>
    </xf>
    <xf numFmtId="0" fontId="0" fillId="4" borderId="0" xfId="0" applyFill="1" applyBorder="1" applyAlignment="1">
      <alignment horizontal="center"/>
    </xf>
    <xf numFmtId="0" fontId="0" fillId="4" borderId="6" xfId="0" applyFill="1" applyBorder="1" applyAlignment="1">
      <alignment horizontal="center"/>
    </xf>
    <xf numFmtId="0" fontId="0" fillId="4" borderId="2" xfId="0" applyFill="1" applyBorder="1" applyAlignment="1">
      <alignment horizontal="center"/>
    </xf>
  </cellXfs>
  <cellStyles count="16">
    <cellStyle name="Hyperlink" xfId="2" xr:uid="{00000000-0005-0000-0000-000001000000}"/>
    <cellStyle name="Hyperlink 2" xfId="7" xr:uid="{A08FA7CC-09D6-46C8-8618-5CAC171DE14E}"/>
    <cellStyle name="Hyperlink 2 2" xfId="11" xr:uid="{9209F512-D508-44B6-8866-EC79D8A1EE5C}"/>
    <cellStyle name="Hyperlink 6" xfId="9" xr:uid="{E3E1D63A-7B54-49AB-BC82-27447D10CF2B}"/>
    <cellStyle name="Normal" xfId="0" builtinId="0"/>
    <cellStyle name="Normal 2" xfId="1" xr:uid="{00000000-0005-0000-0000-000003000000}"/>
    <cellStyle name="Normal 2 2" xfId="3" xr:uid="{00000000-0005-0000-0000-000004000000}"/>
    <cellStyle name="Normal 2 2 2" xfId="12" xr:uid="{3A51F975-2771-4D58-A5D1-486D771A5339}"/>
    <cellStyle name="Normal 2 3" xfId="15" xr:uid="{96AD8950-5299-49A8-ADA0-4C7FCE72D0E3}"/>
    <cellStyle name="Normal 2 4" xfId="14" xr:uid="{CC33070B-FB94-48D7-B86F-EB56CC0D2C5E}"/>
    <cellStyle name="Normal 3" xfId="4" xr:uid="{00000000-0005-0000-0000-000005000000}"/>
    <cellStyle name="Normal 5" xfId="13" xr:uid="{16E09372-EE36-46A1-8745-DC96F5F21140}"/>
    <cellStyle name="Normal 6 2" xfId="8" xr:uid="{97FD5B60-9293-4E19-9BC2-3D8A1547FB2F}"/>
    <cellStyle name="Normal 7 2" xfId="10" xr:uid="{4BA1211B-61E6-4C43-B43B-EC83EDB98036}"/>
    <cellStyle name="Normal_Operational Activities" xfId="5" xr:uid="{00000000-0005-0000-0000-00000C000000}"/>
    <cellStyle name="Percent" xfId="6" builtinId="5"/>
  </cellStyles>
  <dxfs count="3">
    <dxf>
      <font>
        <b/>
        <i val="0"/>
        <color rgb="FF2634EA"/>
      </font>
      <fill>
        <patternFill>
          <bgColor rgb="FFFF99FF"/>
        </patternFill>
      </fill>
    </dxf>
    <dxf>
      <font>
        <b/>
        <i val="0"/>
        <color rgb="FF2634EA"/>
      </font>
      <fill>
        <patternFill>
          <bgColor rgb="FFFF99FF"/>
        </patternFill>
      </fill>
    </dxf>
    <dxf>
      <font>
        <b/>
        <i val="0"/>
        <color rgb="FF2634EA"/>
      </font>
      <fill>
        <patternFill>
          <bgColor rgb="FFFF99FF"/>
        </patternFill>
      </fill>
    </dxf>
  </dxfs>
  <tableStyles count="0" defaultTableStyle="TableStyleMedium2" defaultPivotStyle="PivotStyleLight16"/>
  <colors>
    <mruColors>
      <color rgb="FF99CCFF"/>
      <color rgb="FFFFCCFF"/>
      <color rgb="FF2634EA"/>
      <color rgb="FFFF99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6078551F-9608-4185-A0A6-591FB155135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7D10FDD2-591F-4BBF-BA90-683F3E3577F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2516773"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2.bin"/><Relationship Id="rId4" Type="http://schemas.openxmlformats.org/officeDocument/2006/relationships/hyperlink" Target="https://www.gov.uk/government/collections/fire-prevention-and-protection-statistic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gov.uk/government/collections/fire-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6.bin"/><Relationship Id="rId4" Type="http://schemas.openxmlformats.org/officeDocument/2006/relationships/hyperlink" Target="https://www.gov.uk/search/research-and-statistics?keywords=fire&amp;content_store_document_type=upcoming_statistics&amp;organisations%5B%5D=home-office&amp;order=relevance"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gov.uk/search/research-and-statistics?keywords=fire&amp;content_store_document_type=upcoming_statistics&amp;organisations%5B%5D=home-office&amp;order=relevance"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8.bin"/><Relationship Id="rId4" Type="http://schemas.openxmlformats.org/officeDocument/2006/relationships/hyperlink" Target="https://www.gov.uk/government/collections/fire-prevention-and-protection-statistics"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045A0-B4F3-42F5-A1C2-E5C7517F4DC5}">
  <sheetPr codeName="Sheet1"/>
  <dimension ref="A1:L56"/>
  <sheetViews>
    <sheetView workbookViewId="0">
      <selection sqref="A1:J1"/>
    </sheetView>
  </sheetViews>
  <sheetFormatPr defaultColWidth="8.77734375" defaultRowHeight="10.199999999999999" x14ac:dyDescent="0.2"/>
  <cols>
    <col min="1" max="1" width="21" style="104" bestFit="1" customWidth="1"/>
    <col min="2" max="2" width="4.44140625" style="104" customWidth="1"/>
    <col min="3" max="10" width="8.77734375" style="104"/>
    <col min="11" max="11" width="18.44140625" style="104" bestFit="1" customWidth="1"/>
    <col min="12" max="12" width="15.77734375" style="104" bestFit="1" customWidth="1"/>
    <col min="13" max="16384" width="8.77734375" style="104"/>
  </cols>
  <sheetData>
    <row r="1" spans="1:12" ht="41.55" customHeight="1" x14ac:dyDescent="0.2">
      <c r="A1" s="178"/>
      <c r="B1" s="178"/>
      <c r="C1" s="178"/>
      <c r="D1" s="178"/>
      <c r="E1" s="178"/>
      <c r="F1" s="178"/>
      <c r="G1" s="178"/>
      <c r="H1" s="178"/>
      <c r="I1" s="178"/>
      <c r="J1" s="178"/>
    </row>
    <row r="2" spans="1:12" ht="36.6" customHeight="1" x14ac:dyDescent="0.2">
      <c r="A2" s="179"/>
      <c r="B2" s="112"/>
      <c r="C2" s="181" t="s">
        <v>58</v>
      </c>
      <c r="D2" s="182"/>
      <c r="E2" s="183" t="s">
        <v>63</v>
      </c>
      <c r="F2" s="183"/>
      <c r="G2" s="183" t="s">
        <v>64</v>
      </c>
      <c r="H2" s="183"/>
      <c r="I2" s="181" t="s">
        <v>59</v>
      </c>
      <c r="J2" s="182"/>
    </row>
    <row r="3" spans="1:12" ht="27.6" customHeight="1" x14ac:dyDescent="0.2">
      <c r="A3" s="180"/>
      <c r="B3" s="113"/>
      <c r="C3" s="105" t="s">
        <v>60</v>
      </c>
      <c r="D3" s="106" t="s">
        <v>61</v>
      </c>
      <c r="E3" s="105" t="s">
        <v>60</v>
      </c>
      <c r="F3" s="106" t="s">
        <v>61</v>
      </c>
      <c r="G3" s="105" t="s">
        <v>60</v>
      </c>
      <c r="H3" s="106" t="s">
        <v>61</v>
      </c>
      <c r="I3" s="105" t="s">
        <v>60</v>
      </c>
      <c r="J3" s="106" t="s">
        <v>61</v>
      </c>
    </row>
    <row r="6" spans="1:12" x14ac:dyDescent="0.2">
      <c r="A6" s="107" t="s">
        <v>0</v>
      </c>
      <c r="B6" s="107"/>
      <c r="C6" s="109">
        <f>SUM(C12:C56)</f>
        <v>775019</v>
      </c>
      <c r="D6" s="109">
        <f t="shared" ref="D6:J6" si="0">SUM(D12:D56)</f>
        <v>984787.42999999993</v>
      </c>
      <c r="E6" s="109">
        <f t="shared" si="0"/>
        <v>277773</v>
      </c>
      <c r="F6" s="109">
        <f t="shared" si="0"/>
        <v>342072.44999999995</v>
      </c>
      <c r="G6" s="109">
        <f t="shared" si="0"/>
        <v>86543</v>
      </c>
      <c r="H6" s="109">
        <f t="shared" si="0"/>
        <v>112638.3</v>
      </c>
      <c r="I6" s="109">
        <f t="shared" si="0"/>
        <v>50105</v>
      </c>
      <c r="J6" s="109">
        <f t="shared" si="0"/>
        <v>42705.260255560628</v>
      </c>
    </row>
    <row r="7" spans="1:12" x14ac:dyDescent="0.2">
      <c r="A7" s="107" t="s">
        <v>77</v>
      </c>
      <c r="B7" s="107"/>
      <c r="C7" s="109">
        <f t="shared" ref="C7:J8" si="1">SUMIF($L$12:$L$56,$A7,C$12:C$56)</f>
        <v>409706</v>
      </c>
      <c r="D7" s="109">
        <f t="shared" si="1"/>
        <v>514566.43</v>
      </c>
      <c r="E7" s="109">
        <f t="shared" si="1"/>
        <v>147679</v>
      </c>
      <c r="F7" s="109">
        <f t="shared" si="1"/>
        <v>178500.45</v>
      </c>
      <c r="G7" s="109">
        <f t="shared" si="1"/>
        <v>46368</v>
      </c>
      <c r="H7" s="109">
        <f t="shared" si="1"/>
        <v>58966.3</v>
      </c>
      <c r="I7" s="109">
        <f t="shared" si="1"/>
        <v>17360</v>
      </c>
      <c r="J7" s="109">
        <f t="shared" si="1"/>
        <v>12602.186666666666</v>
      </c>
    </row>
    <row r="8" spans="1:12" x14ac:dyDescent="0.2">
      <c r="A8" s="107" t="s">
        <v>49</v>
      </c>
      <c r="B8" s="107"/>
      <c r="C8" s="109">
        <f t="shared" si="1"/>
        <v>365313</v>
      </c>
      <c r="D8" s="109">
        <f t="shared" si="1"/>
        <v>470221</v>
      </c>
      <c r="E8" s="109">
        <f t="shared" si="1"/>
        <v>130094</v>
      </c>
      <c r="F8" s="109">
        <f t="shared" si="1"/>
        <v>163572</v>
      </c>
      <c r="G8" s="109">
        <f t="shared" si="1"/>
        <v>40175</v>
      </c>
      <c r="H8" s="109">
        <f t="shared" si="1"/>
        <v>53672</v>
      </c>
      <c r="I8" s="109">
        <f t="shared" si="1"/>
        <v>32745</v>
      </c>
      <c r="J8" s="109">
        <f t="shared" si="1"/>
        <v>30103.073588893967</v>
      </c>
    </row>
    <row r="9" spans="1:12" x14ac:dyDescent="0.2">
      <c r="A9" s="107" t="s">
        <v>114</v>
      </c>
      <c r="B9" s="107"/>
      <c r="C9" s="109">
        <f t="shared" ref="C9:J11" si="2">SUMIF($K$12:$K$56,$A9,C$12:C$56)</f>
        <v>485019</v>
      </c>
      <c r="D9" s="109">
        <f t="shared" si="2"/>
        <v>625776.42999999993</v>
      </c>
      <c r="E9" s="109">
        <f t="shared" si="2"/>
        <v>177131</v>
      </c>
      <c r="F9" s="109">
        <f t="shared" si="2"/>
        <v>224449.45</v>
      </c>
      <c r="G9" s="109">
        <f t="shared" si="2"/>
        <v>59023</v>
      </c>
      <c r="H9" s="109">
        <f t="shared" si="2"/>
        <v>78879.8</v>
      </c>
      <c r="I9" s="109">
        <f t="shared" si="2"/>
        <v>34615</v>
      </c>
      <c r="J9" s="109">
        <f t="shared" si="2"/>
        <v>31293.510255560632</v>
      </c>
    </row>
    <row r="10" spans="1:12" x14ac:dyDescent="0.2">
      <c r="A10" s="107" t="s">
        <v>115</v>
      </c>
      <c r="B10" s="107"/>
      <c r="C10" s="109">
        <f t="shared" si="2"/>
        <v>208054</v>
      </c>
      <c r="D10" s="109">
        <f t="shared" si="2"/>
        <v>250437.75</v>
      </c>
      <c r="E10" s="109">
        <f t="shared" si="2"/>
        <v>73323</v>
      </c>
      <c r="F10" s="109">
        <f t="shared" si="2"/>
        <v>83762.5</v>
      </c>
      <c r="G10" s="109">
        <f t="shared" si="2"/>
        <v>25488</v>
      </c>
      <c r="H10" s="109">
        <f t="shared" si="2"/>
        <v>31338.25</v>
      </c>
      <c r="I10" s="109">
        <f t="shared" si="2"/>
        <v>13087</v>
      </c>
      <c r="J10" s="109">
        <f t="shared" si="2"/>
        <v>9873.5</v>
      </c>
    </row>
    <row r="11" spans="1:12" x14ac:dyDescent="0.2">
      <c r="A11" s="107" t="s">
        <v>116</v>
      </c>
      <c r="B11" s="107"/>
      <c r="C11" s="109">
        <f t="shared" si="2"/>
        <v>81946</v>
      </c>
      <c r="D11" s="109">
        <f t="shared" si="2"/>
        <v>108573.25</v>
      </c>
      <c r="E11" s="109">
        <f t="shared" si="2"/>
        <v>27319</v>
      </c>
      <c r="F11" s="109">
        <f t="shared" si="2"/>
        <v>33860.5</v>
      </c>
      <c r="G11" s="109">
        <f t="shared" si="2"/>
        <v>2032</v>
      </c>
      <c r="H11" s="109">
        <f t="shared" si="2"/>
        <v>2420.25</v>
      </c>
      <c r="I11" s="109">
        <f t="shared" si="2"/>
        <v>2403</v>
      </c>
      <c r="J11" s="109">
        <f t="shared" si="2"/>
        <v>1538.25</v>
      </c>
    </row>
    <row r="12" spans="1:12" x14ac:dyDescent="0.2">
      <c r="A12" s="104" t="s">
        <v>3</v>
      </c>
      <c r="C12" s="110">
        <v>15985</v>
      </c>
      <c r="D12" s="110">
        <v>11137</v>
      </c>
      <c r="E12" s="110">
        <v>5495</v>
      </c>
      <c r="F12" s="110">
        <v>3844</v>
      </c>
      <c r="G12" s="110">
        <v>2237</v>
      </c>
      <c r="H12" s="110">
        <v>1712</v>
      </c>
      <c r="I12" s="110">
        <v>343</v>
      </c>
      <c r="J12" s="110" t="s">
        <v>65</v>
      </c>
      <c r="K12" s="108" t="str">
        <f>VLOOKUP(A12,'FRS geographical categories'!A:C,2,FALSE)</f>
        <v>Predominantly Urban</v>
      </c>
      <c r="L12" s="108" t="str">
        <f>VLOOKUP(A12,'FRS geographical categories'!A:C,3,FALSE)</f>
        <v>Non-metropolitan</v>
      </c>
    </row>
    <row r="13" spans="1:12" x14ac:dyDescent="0.2">
      <c r="A13" s="104" t="s">
        <v>4</v>
      </c>
      <c r="C13" s="110">
        <v>6437</v>
      </c>
      <c r="D13" s="110">
        <v>8084</v>
      </c>
      <c r="E13" s="110" t="s">
        <v>65</v>
      </c>
      <c r="F13" s="110" t="s">
        <v>65</v>
      </c>
      <c r="G13" s="110" t="s">
        <v>65</v>
      </c>
      <c r="H13" s="110" t="s">
        <v>65</v>
      </c>
      <c r="I13" s="110">
        <v>329</v>
      </c>
      <c r="J13" s="110" t="s">
        <v>65</v>
      </c>
      <c r="K13" s="108" t="str">
        <f>VLOOKUP(A13,'FRS geographical categories'!A:C,2,FALSE)</f>
        <v>Significantly Rural</v>
      </c>
      <c r="L13" s="108" t="str">
        <f>VLOOKUP(A13,'FRS geographical categories'!A:C,3,FALSE)</f>
        <v>Non-metropolitan</v>
      </c>
    </row>
    <row r="14" spans="1:12" x14ac:dyDescent="0.2">
      <c r="A14" s="104" t="s">
        <v>5</v>
      </c>
      <c r="C14" s="110">
        <v>6696</v>
      </c>
      <c r="D14" s="110">
        <v>11147</v>
      </c>
      <c r="E14" s="110">
        <v>2530</v>
      </c>
      <c r="F14" s="110">
        <v>2950</v>
      </c>
      <c r="G14" s="110">
        <v>1100</v>
      </c>
      <c r="H14" s="110">
        <v>1283</v>
      </c>
      <c r="I14" s="110" t="s">
        <v>65</v>
      </c>
      <c r="J14" s="110" t="s">
        <v>65</v>
      </c>
      <c r="K14" s="108" t="str">
        <f>VLOOKUP(A14,'FRS geographical categories'!A:C,2,FALSE)</f>
        <v>Predominantly Urban</v>
      </c>
      <c r="L14" s="108" t="str">
        <f>VLOOKUP(A14,'FRS geographical categories'!A:C,3,FALSE)</f>
        <v>Non-metropolitan</v>
      </c>
    </row>
    <row r="15" spans="1:12" x14ac:dyDescent="0.2">
      <c r="A15" s="104" t="s">
        <v>6</v>
      </c>
      <c r="C15" s="110">
        <v>5766</v>
      </c>
      <c r="D15" s="110">
        <v>8649</v>
      </c>
      <c r="E15" s="110">
        <v>1576</v>
      </c>
      <c r="F15" s="110">
        <v>2364</v>
      </c>
      <c r="G15" s="110">
        <v>971</v>
      </c>
      <c r="H15" s="110">
        <v>1457</v>
      </c>
      <c r="I15" s="110">
        <v>617</v>
      </c>
      <c r="J15" s="110" t="s">
        <v>65</v>
      </c>
      <c r="K15" s="108" t="str">
        <f>VLOOKUP(A15,'FRS geographical categories'!A:C,2,FALSE)</f>
        <v>Significantly Rural</v>
      </c>
      <c r="L15" s="108" t="str">
        <f>VLOOKUP(A15,'FRS geographical categories'!A:C,3,FALSE)</f>
        <v>Non-metropolitan</v>
      </c>
    </row>
    <row r="16" spans="1:12" x14ac:dyDescent="0.2">
      <c r="A16" s="104" t="s">
        <v>7</v>
      </c>
      <c r="C16" s="110">
        <v>7015</v>
      </c>
      <c r="D16" s="110">
        <v>5602</v>
      </c>
      <c r="E16" s="110">
        <v>2456</v>
      </c>
      <c r="F16" s="110">
        <v>2178</v>
      </c>
      <c r="G16" s="110">
        <v>1444</v>
      </c>
      <c r="H16" s="110">
        <v>1403</v>
      </c>
      <c r="I16" s="110">
        <v>60</v>
      </c>
      <c r="J16" s="110">
        <v>139</v>
      </c>
      <c r="K16" s="108" t="str">
        <f>VLOOKUP(A16,'FRS geographical categories'!A:C,2,FALSE)</f>
        <v>Predominantly Rural</v>
      </c>
      <c r="L16" s="108" t="str">
        <f>VLOOKUP(A16,'FRS geographical categories'!A:C,3,FALSE)</f>
        <v>Non-metropolitan</v>
      </c>
    </row>
    <row r="17" spans="1:12" x14ac:dyDescent="0.2">
      <c r="A17" s="104" t="s">
        <v>8</v>
      </c>
      <c r="C17" s="110">
        <v>62707</v>
      </c>
      <c r="D17" s="110">
        <v>25083</v>
      </c>
      <c r="E17" s="110">
        <v>20517</v>
      </c>
      <c r="F17" s="110">
        <v>8206</v>
      </c>
      <c r="G17" s="110">
        <v>3013</v>
      </c>
      <c r="H17" s="110">
        <v>906</v>
      </c>
      <c r="I17" s="110">
        <v>130</v>
      </c>
      <c r="J17" s="110">
        <v>100</v>
      </c>
      <c r="K17" s="108" t="str">
        <f>VLOOKUP(A17,'FRS geographical categories'!A:C,2,FALSE)</f>
        <v>Significantly Rural</v>
      </c>
      <c r="L17" s="108" t="str">
        <f>VLOOKUP(A17,'FRS geographical categories'!A:C,3,FALSE)</f>
        <v>Non-metropolitan</v>
      </c>
    </row>
    <row r="18" spans="1:12" x14ac:dyDescent="0.2">
      <c r="A18" s="104" t="s">
        <v>9</v>
      </c>
      <c r="C18" s="110">
        <v>17469</v>
      </c>
      <c r="D18" s="110">
        <v>8734.5</v>
      </c>
      <c r="E18" s="110">
        <v>4124</v>
      </c>
      <c r="F18" s="110">
        <v>2062</v>
      </c>
      <c r="G18" s="110">
        <v>648</v>
      </c>
      <c r="H18" s="110">
        <v>324</v>
      </c>
      <c r="I18" s="110">
        <v>0</v>
      </c>
      <c r="J18" s="110">
        <v>0</v>
      </c>
      <c r="K18" s="108" t="str">
        <f>VLOOKUP(A18,'FRS geographical categories'!A:C,2,FALSE)</f>
        <v>Predominantly Urban</v>
      </c>
      <c r="L18" s="108" t="str">
        <f>VLOOKUP(A18,'FRS geographical categories'!A:C,3,FALSE)</f>
        <v>Non-metropolitan</v>
      </c>
    </row>
    <row r="19" spans="1:12" x14ac:dyDescent="0.2">
      <c r="A19" s="104" t="s">
        <v>10</v>
      </c>
      <c r="C19" s="110">
        <v>3222</v>
      </c>
      <c r="D19" s="110">
        <v>3998</v>
      </c>
      <c r="E19" s="110" t="s">
        <v>65</v>
      </c>
      <c r="F19" s="110" t="s">
        <v>65</v>
      </c>
      <c r="G19" s="110" t="s">
        <v>65</v>
      </c>
      <c r="H19" s="110" t="s">
        <v>65</v>
      </c>
      <c r="I19" s="110">
        <v>417</v>
      </c>
      <c r="J19" s="110">
        <v>290.5</v>
      </c>
      <c r="K19" s="108" t="str">
        <f>VLOOKUP(A19,'FRS geographical categories'!A:C,2,FALSE)</f>
        <v>Predominantly Rural</v>
      </c>
      <c r="L19" s="108" t="str">
        <f>VLOOKUP(A19,'FRS geographical categories'!A:C,3,FALSE)</f>
        <v>Non-metropolitan</v>
      </c>
    </row>
    <row r="20" spans="1:12" x14ac:dyDescent="0.2">
      <c r="A20" s="104" t="s">
        <v>11</v>
      </c>
      <c r="C20" s="110">
        <v>18175</v>
      </c>
      <c r="D20" s="110">
        <v>13631.25</v>
      </c>
      <c r="E20" s="110">
        <v>9656</v>
      </c>
      <c r="F20" s="110">
        <v>7242</v>
      </c>
      <c r="G20" s="110" t="s">
        <v>65</v>
      </c>
      <c r="H20" s="110" t="s">
        <v>65</v>
      </c>
      <c r="I20" s="110">
        <v>114</v>
      </c>
      <c r="J20" s="110">
        <v>85.5</v>
      </c>
      <c r="K20" s="108" t="str">
        <f>VLOOKUP(A20,'FRS geographical categories'!A:C,2,FALSE)</f>
        <v>Predominantly Rural</v>
      </c>
      <c r="L20" s="108" t="str">
        <f>VLOOKUP(A20,'FRS geographical categories'!A:C,3,FALSE)</f>
        <v>Non-metropolitan</v>
      </c>
    </row>
    <row r="21" spans="1:12" x14ac:dyDescent="0.2">
      <c r="A21" s="81" t="s">
        <v>12</v>
      </c>
      <c r="B21" s="81"/>
      <c r="C21" s="110">
        <v>5407</v>
      </c>
      <c r="D21" s="110">
        <v>9980</v>
      </c>
      <c r="E21" s="110">
        <v>1968</v>
      </c>
      <c r="F21" s="110">
        <v>3556</v>
      </c>
      <c r="G21" s="110">
        <v>1875</v>
      </c>
      <c r="H21" s="110">
        <v>3178</v>
      </c>
      <c r="I21" s="110">
        <v>4645</v>
      </c>
      <c r="J21" s="110">
        <v>4820</v>
      </c>
      <c r="K21" s="108" t="str">
        <f>VLOOKUP(A21,'FRS geographical categories'!A:C,2,FALSE)</f>
        <v>Significantly Rural</v>
      </c>
      <c r="L21" s="108" t="str">
        <f>VLOOKUP(A21,'FRS geographical categories'!A:C,3,FALSE)</f>
        <v>Non-metropolitan</v>
      </c>
    </row>
    <row r="22" spans="1:12" x14ac:dyDescent="0.2">
      <c r="A22" s="81" t="s">
        <v>13</v>
      </c>
      <c r="B22" s="81"/>
      <c r="C22" s="110">
        <v>9455</v>
      </c>
      <c r="D22" s="110">
        <v>23938.5</v>
      </c>
      <c r="E22" s="110" t="s">
        <v>65</v>
      </c>
      <c r="F22" s="110" t="s">
        <v>65</v>
      </c>
      <c r="G22" s="110" t="s">
        <v>65</v>
      </c>
      <c r="H22" s="110" t="s">
        <v>65</v>
      </c>
      <c r="I22" s="110">
        <v>0</v>
      </c>
      <c r="J22" s="110">
        <v>0</v>
      </c>
      <c r="K22" s="108" t="str">
        <f>VLOOKUP(A22,'FRS geographical categories'!A:C,2,FALSE)</f>
        <v>Predominantly Rural</v>
      </c>
      <c r="L22" s="108" t="str">
        <f>VLOOKUP(A22,'FRS geographical categories'!A:C,3,FALSE)</f>
        <v>Non-metropolitan</v>
      </c>
    </row>
    <row r="23" spans="1:12" x14ac:dyDescent="0.2">
      <c r="A23" s="81" t="s">
        <v>74</v>
      </c>
      <c r="B23" s="81"/>
      <c r="C23" s="110">
        <v>11855</v>
      </c>
      <c r="D23" s="110">
        <v>16626</v>
      </c>
      <c r="E23" s="110">
        <v>6075</v>
      </c>
      <c r="F23" s="110">
        <v>8025</v>
      </c>
      <c r="G23" s="110">
        <v>2265</v>
      </c>
      <c r="H23" s="110">
        <v>3017</v>
      </c>
      <c r="I23" s="110">
        <v>980</v>
      </c>
      <c r="J23" s="110">
        <v>475</v>
      </c>
      <c r="K23" s="108" t="str">
        <f>VLOOKUP(A23,'FRS geographical categories'!A:C,2,FALSE)</f>
        <v>Significantly Rural</v>
      </c>
      <c r="L23" s="108" t="str">
        <f>VLOOKUP(A23,'FRS geographical categories'!A:C,3,FALSE)</f>
        <v>Non-metropolitan</v>
      </c>
    </row>
    <row r="24" spans="1:12" x14ac:dyDescent="0.2">
      <c r="A24" s="104" t="s">
        <v>14</v>
      </c>
      <c r="C24" s="110">
        <v>9583</v>
      </c>
      <c r="D24" s="110">
        <v>8671</v>
      </c>
      <c r="E24" s="110">
        <v>3212</v>
      </c>
      <c r="F24" s="110">
        <v>3882</v>
      </c>
      <c r="G24" s="110">
        <v>4</v>
      </c>
      <c r="H24" s="110">
        <v>5</v>
      </c>
      <c r="I24" s="110">
        <v>0</v>
      </c>
      <c r="J24" s="110">
        <v>0</v>
      </c>
      <c r="K24" s="108" t="str">
        <f>VLOOKUP(A24,'FRS geographical categories'!A:C,2,FALSE)</f>
        <v>Predominantly Rural</v>
      </c>
      <c r="L24" s="108" t="str">
        <f>VLOOKUP(A24,'FRS geographical categories'!A:C,3,FALSE)</f>
        <v>Non-metropolitan</v>
      </c>
    </row>
    <row r="25" spans="1:12" x14ac:dyDescent="0.2">
      <c r="A25" s="104" t="s">
        <v>15</v>
      </c>
      <c r="C25" s="110">
        <v>10144</v>
      </c>
      <c r="D25" s="110">
        <v>15883.5</v>
      </c>
      <c r="E25" s="110">
        <v>5328</v>
      </c>
      <c r="F25" s="110">
        <v>6369</v>
      </c>
      <c r="G25" s="110">
        <v>352</v>
      </c>
      <c r="H25" s="110">
        <v>792</v>
      </c>
      <c r="I25" s="110" t="s">
        <v>65</v>
      </c>
      <c r="J25" s="110" t="s">
        <v>65</v>
      </c>
      <c r="K25" s="108" t="str">
        <f>VLOOKUP(A25,'FRS geographical categories'!A:C,2,FALSE)</f>
        <v>Significantly Rural</v>
      </c>
      <c r="L25" s="108" t="str">
        <f>VLOOKUP(A25,'FRS geographical categories'!A:C,3,FALSE)</f>
        <v>Non-metropolitan</v>
      </c>
    </row>
    <row r="26" spans="1:12" x14ac:dyDescent="0.2">
      <c r="A26" s="104" t="s">
        <v>16</v>
      </c>
      <c r="C26" s="110">
        <v>6770</v>
      </c>
      <c r="D26" s="110">
        <v>10161</v>
      </c>
      <c r="E26" s="110">
        <v>3149</v>
      </c>
      <c r="F26" s="110">
        <v>4703</v>
      </c>
      <c r="G26" s="110">
        <v>1039</v>
      </c>
      <c r="H26" s="110">
        <v>1568</v>
      </c>
      <c r="I26" s="110">
        <v>697</v>
      </c>
      <c r="J26" s="110">
        <v>508</v>
      </c>
      <c r="K26" s="108" t="str">
        <f>VLOOKUP(A26,'FRS geographical categories'!A:C,2,FALSE)</f>
        <v>Significantly Rural</v>
      </c>
      <c r="L26" s="108" t="str">
        <f>VLOOKUP(A26,'FRS geographical categories'!A:C,3,FALSE)</f>
        <v>Non-metropolitan</v>
      </c>
    </row>
    <row r="27" spans="1:12" x14ac:dyDescent="0.2">
      <c r="A27" s="104" t="s">
        <v>17</v>
      </c>
      <c r="C27" s="110">
        <v>2896</v>
      </c>
      <c r="D27" s="110">
        <v>3134</v>
      </c>
      <c r="E27" s="110">
        <v>1178</v>
      </c>
      <c r="F27" s="110">
        <v>1232</v>
      </c>
      <c r="G27" s="110">
        <v>500</v>
      </c>
      <c r="H27" s="110">
        <v>1229.25</v>
      </c>
      <c r="I27" s="110">
        <v>71</v>
      </c>
      <c r="J27" s="110">
        <v>40</v>
      </c>
      <c r="K27" s="108" t="str">
        <f>VLOOKUP(A27,'FRS geographical categories'!A:C,2,FALSE)</f>
        <v>Significantly Rural</v>
      </c>
      <c r="L27" s="108" t="str">
        <f>VLOOKUP(A27,'FRS geographical categories'!A:C,3,FALSE)</f>
        <v>Non-metropolitan</v>
      </c>
    </row>
    <row r="28" spans="1:12" x14ac:dyDescent="0.2">
      <c r="A28" s="104" t="s">
        <v>18</v>
      </c>
      <c r="C28" s="110">
        <v>70016</v>
      </c>
      <c r="D28" s="110">
        <v>71842</v>
      </c>
      <c r="E28" s="110">
        <v>27042</v>
      </c>
      <c r="F28" s="110">
        <v>28258</v>
      </c>
      <c r="G28" s="110">
        <v>10272</v>
      </c>
      <c r="H28" s="110">
        <v>10464</v>
      </c>
      <c r="I28" s="110">
        <v>8797</v>
      </c>
      <c r="J28" s="110">
        <v>9026.4235888939675</v>
      </c>
      <c r="K28" s="108" t="str">
        <f>VLOOKUP(A28,'FRS geographical categories'!A:C,2,FALSE)</f>
        <v>Predominantly Urban</v>
      </c>
      <c r="L28" s="108" t="str">
        <f>VLOOKUP(A28,'FRS geographical categories'!A:C,3,FALSE)</f>
        <v>Metropolitan</v>
      </c>
    </row>
    <row r="29" spans="1:12" x14ac:dyDescent="0.2">
      <c r="A29" s="104" t="s">
        <v>19</v>
      </c>
      <c r="C29" s="110">
        <v>55115</v>
      </c>
      <c r="D29" s="110">
        <v>108642</v>
      </c>
      <c r="E29" s="110">
        <v>16238</v>
      </c>
      <c r="F29" s="110">
        <v>32745</v>
      </c>
      <c r="G29" s="110" t="s">
        <v>65</v>
      </c>
      <c r="H29" s="110" t="s">
        <v>65</v>
      </c>
      <c r="I29" s="110">
        <v>18961</v>
      </c>
      <c r="J29" s="110">
        <v>13940.5</v>
      </c>
      <c r="K29" s="108" t="str">
        <f>VLOOKUP(A29,'FRS geographical categories'!A:C,2,FALSE)</f>
        <v>Predominantly Urban</v>
      </c>
      <c r="L29" s="108" t="str">
        <f>VLOOKUP(A29,'FRS geographical categories'!A:C,3,FALSE)</f>
        <v>Metropolitan</v>
      </c>
    </row>
    <row r="30" spans="1:12" x14ac:dyDescent="0.2">
      <c r="A30" s="104" t="s">
        <v>20</v>
      </c>
      <c r="C30" s="110">
        <v>11023</v>
      </c>
      <c r="D30" s="110">
        <v>20984.93</v>
      </c>
      <c r="E30" s="110">
        <v>5680</v>
      </c>
      <c r="F30" s="110">
        <v>10123</v>
      </c>
      <c r="G30" s="110">
        <v>1502</v>
      </c>
      <c r="H30" s="110">
        <v>2503.15</v>
      </c>
      <c r="I30" s="110">
        <v>113</v>
      </c>
      <c r="J30" s="110">
        <v>149.66999999999999</v>
      </c>
      <c r="K30" s="108" t="str">
        <f>VLOOKUP(A30,'FRS geographical categories'!A:C,2,FALSE)</f>
        <v>Predominantly Urban</v>
      </c>
      <c r="L30" s="108" t="str">
        <f>VLOOKUP(A30,'FRS geographical categories'!A:C,3,FALSE)</f>
        <v>Non-metropolitan</v>
      </c>
    </row>
    <row r="31" spans="1:12" x14ac:dyDescent="0.2">
      <c r="A31" s="104" t="s">
        <v>21</v>
      </c>
      <c r="C31" s="110">
        <v>3868</v>
      </c>
      <c r="D31" s="110">
        <v>9487</v>
      </c>
      <c r="E31" s="110">
        <v>986</v>
      </c>
      <c r="F31" s="110">
        <v>2902</v>
      </c>
      <c r="G31" s="110" t="s">
        <v>65</v>
      </c>
      <c r="H31" s="110" t="s">
        <v>65</v>
      </c>
      <c r="I31" s="110">
        <v>0</v>
      </c>
      <c r="J31" s="110">
        <v>0</v>
      </c>
      <c r="K31" s="108" t="str">
        <f>VLOOKUP(A31,'FRS geographical categories'!A:C,2,FALSE)</f>
        <v>Significantly Rural</v>
      </c>
      <c r="L31" s="108" t="str">
        <f>VLOOKUP(A31,'FRS geographical categories'!A:C,3,FALSE)</f>
        <v>Non-metropolitan</v>
      </c>
    </row>
    <row r="32" spans="1:12" x14ac:dyDescent="0.2">
      <c r="A32" s="104" t="s">
        <v>22</v>
      </c>
      <c r="C32" s="110">
        <v>3519</v>
      </c>
      <c r="D32" s="110">
        <v>9308.5</v>
      </c>
      <c r="E32" s="110">
        <v>1335</v>
      </c>
      <c r="F32" s="110">
        <v>2430.1666666666665</v>
      </c>
      <c r="G32" s="110">
        <v>19</v>
      </c>
      <c r="H32" s="110">
        <v>96.4</v>
      </c>
      <c r="I32" s="110">
        <v>441</v>
      </c>
      <c r="J32" s="110">
        <v>286.60000000000002</v>
      </c>
      <c r="K32" s="108" t="str">
        <f>VLOOKUP(A32,'FRS geographical categories'!A:C,2,FALSE)</f>
        <v>Predominantly Urban</v>
      </c>
      <c r="L32" s="108" t="str">
        <f>VLOOKUP(A32,'FRS geographical categories'!A:C,3,FALSE)</f>
        <v>Non-metropolitan</v>
      </c>
    </row>
    <row r="33" spans="1:12" x14ac:dyDescent="0.2">
      <c r="A33" s="104" t="s">
        <v>23</v>
      </c>
      <c r="C33" s="110">
        <v>23347</v>
      </c>
      <c r="D33" s="110">
        <v>36116</v>
      </c>
      <c r="E33" s="110">
        <v>6649</v>
      </c>
      <c r="F33" s="110">
        <v>10306</v>
      </c>
      <c r="G33" s="110">
        <v>1723</v>
      </c>
      <c r="H33" s="110">
        <v>2671</v>
      </c>
      <c r="I33" s="110">
        <v>2896</v>
      </c>
      <c r="J33" s="110">
        <v>1535</v>
      </c>
      <c r="K33" s="108" t="str">
        <f>VLOOKUP(A33,'FRS geographical categories'!A:C,2,FALSE)</f>
        <v>Significantly Rural</v>
      </c>
      <c r="L33" s="108" t="str">
        <f>VLOOKUP(A33,'FRS geographical categories'!A:C,3,FALSE)</f>
        <v>Non-metropolitan</v>
      </c>
    </row>
    <row r="34" spans="1:12" x14ac:dyDescent="0.2">
      <c r="A34" s="104" t="s">
        <v>48</v>
      </c>
      <c r="C34" s="110">
        <v>562</v>
      </c>
      <c r="D34" s="110">
        <v>371</v>
      </c>
      <c r="E34" s="110">
        <v>323</v>
      </c>
      <c r="F34" s="110">
        <v>113</v>
      </c>
      <c r="G34" s="110" t="s">
        <v>65</v>
      </c>
      <c r="H34" s="110" t="s">
        <v>65</v>
      </c>
      <c r="I34" s="110">
        <v>88</v>
      </c>
      <c r="J34" s="110" t="s">
        <v>65</v>
      </c>
      <c r="K34" s="108" t="str">
        <f>VLOOKUP(A34,'FRS geographical categories'!A:C,2,FALSE)</f>
        <v>Predominantly Rural</v>
      </c>
      <c r="L34" s="108" t="str">
        <f>VLOOKUP(A34,'FRS geographical categories'!A:C,3,FALSE)</f>
        <v>Non-metropolitan</v>
      </c>
    </row>
    <row r="35" spans="1:12" x14ac:dyDescent="0.2">
      <c r="A35" s="104" t="s">
        <v>25</v>
      </c>
      <c r="C35" s="110">
        <v>47</v>
      </c>
      <c r="D35" s="110">
        <v>25</v>
      </c>
      <c r="E35" s="110" t="s">
        <v>65</v>
      </c>
      <c r="F35" s="110" t="s">
        <v>65</v>
      </c>
      <c r="G35" s="110" t="s">
        <v>65</v>
      </c>
      <c r="H35" s="110" t="s">
        <v>65</v>
      </c>
      <c r="I35" s="110">
        <v>0</v>
      </c>
      <c r="J35" s="110">
        <v>0</v>
      </c>
      <c r="K35" s="108" t="str">
        <f>VLOOKUP(A35,'FRS geographical categories'!A:C,2,FALSE)</f>
        <v>Predominantly Rural</v>
      </c>
      <c r="L35" s="108" t="str">
        <f>VLOOKUP(A35,'FRS geographical categories'!A:C,3,FALSE)</f>
        <v>Non-metropolitan</v>
      </c>
    </row>
    <row r="36" spans="1:12" x14ac:dyDescent="0.2">
      <c r="A36" s="104" t="s">
        <v>26</v>
      </c>
      <c r="C36" s="110">
        <v>12919</v>
      </c>
      <c r="D36" s="110">
        <v>18542</v>
      </c>
      <c r="E36" s="110">
        <v>2253</v>
      </c>
      <c r="F36" s="110">
        <v>3319</v>
      </c>
      <c r="G36" s="110">
        <v>3298</v>
      </c>
      <c r="H36" s="110">
        <v>4091</v>
      </c>
      <c r="I36" s="110">
        <v>664</v>
      </c>
      <c r="J36" s="110" t="s">
        <v>65</v>
      </c>
      <c r="K36" s="108" t="str">
        <f>VLOOKUP(A36,'FRS geographical categories'!A:C,2,FALSE)</f>
        <v>Significantly Rural</v>
      </c>
      <c r="L36" s="108" t="str">
        <f>VLOOKUP(A36,'FRS geographical categories'!A:C,3,FALSE)</f>
        <v>Non-metropolitan</v>
      </c>
    </row>
    <row r="37" spans="1:12" x14ac:dyDescent="0.2">
      <c r="A37" s="104" t="s">
        <v>27</v>
      </c>
      <c r="C37" s="110">
        <v>54680</v>
      </c>
      <c r="D37" s="110">
        <v>73252</v>
      </c>
      <c r="E37" s="110">
        <v>22674</v>
      </c>
      <c r="F37" s="110">
        <v>31512</v>
      </c>
      <c r="G37" s="110">
        <v>12522</v>
      </c>
      <c r="H37" s="110">
        <v>18090</v>
      </c>
      <c r="I37" s="110">
        <v>562</v>
      </c>
      <c r="J37" s="110">
        <v>378</v>
      </c>
      <c r="K37" s="108" t="str">
        <f>VLOOKUP(A37,'FRS geographical categories'!A:C,2,FALSE)</f>
        <v>Predominantly Urban</v>
      </c>
      <c r="L37" s="108" t="str">
        <f>VLOOKUP(A37,'FRS geographical categories'!A:C,3,FALSE)</f>
        <v>Non-metropolitan</v>
      </c>
    </row>
    <row r="38" spans="1:12" x14ac:dyDescent="0.2">
      <c r="A38" s="104" t="s">
        <v>28</v>
      </c>
      <c r="C38" s="110">
        <v>4235</v>
      </c>
      <c r="D38" s="110">
        <v>7411.25</v>
      </c>
      <c r="E38" s="110">
        <v>1238</v>
      </c>
      <c r="F38" s="110">
        <v>2166.5</v>
      </c>
      <c r="G38" s="110">
        <v>716</v>
      </c>
      <c r="H38" s="110">
        <v>1253</v>
      </c>
      <c r="I38" s="110">
        <v>86</v>
      </c>
      <c r="J38" s="110">
        <v>150.5</v>
      </c>
      <c r="K38" s="108" t="str">
        <f>VLOOKUP(A38,'FRS geographical categories'!A:C,2,FALSE)</f>
        <v>Significantly Rural</v>
      </c>
      <c r="L38" s="108" t="str">
        <f>VLOOKUP(A38,'FRS geographical categories'!A:C,3,FALSE)</f>
        <v>Non-metropolitan</v>
      </c>
    </row>
    <row r="39" spans="1:12" x14ac:dyDescent="0.2">
      <c r="A39" s="104" t="s">
        <v>29</v>
      </c>
      <c r="C39" s="110">
        <v>9300</v>
      </c>
      <c r="D39" s="110">
        <v>13900</v>
      </c>
      <c r="E39" s="110" t="s">
        <v>65</v>
      </c>
      <c r="F39" s="110" t="s">
        <v>65</v>
      </c>
      <c r="G39" s="110" t="s">
        <v>65</v>
      </c>
      <c r="H39" s="110" t="s">
        <v>65</v>
      </c>
      <c r="I39" s="110" t="s">
        <v>65</v>
      </c>
      <c r="J39" s="110" t="s">
        <v>65</v>
      </c>
      <c r="K39" s="108" t="str">
        <f>VLOOKUP(A39,'FRS geographical categories'!A:C,2,FALSE)</f>
        <v>Predominantly Rural</v>
      </c>
      <c r="L39" s="108" t="str">
        <f>VLOOKUP(A39,'FRS geographical categories'!A:C,3,FALSE)</f>
        <v>Non-metropolitan</v>
      </c>
    </row>
    <row r="40" spans="1:12" x14ac:dyDescent="0.2">
      <c r="A40" s="104" t="s">
        <v>30</v>
      </c>
      <c r="C40" s="110">
        <v>70477</v>
      </c>
      <c r="D40" s="110">
        <v>110181</v>
      </c>
      <c r="E40" s="110">
        <v>25134</v>
      </c>
      <c r="F40" s="110">
        <v>39294</v>
      </c>
      <c r="G40" s="110">
        <v>7924</v>
      </c>
      <c r="H40" s="110">
        <v>12388</v>
      </c>
      <c r="I40" s="110">
        <v>4459</v>
      </c>
      <c r="J40" s="110">
        <v>6689</v>
      </c>
      <c r="K40" s="108" t="str">
        <f>VLOOKUP(A40,'FRS geographical categories'!A:C,2,FALSE)</f>
        <v>Predominantly Urban</v>
      </c>
      <c r="L40" s="108" t="str">
        <f>VLOOKUP(A40,'FRS geographical categories'!A:C,3,FALSE)</f>
        <v>Metropolitan</v>
      </c>
    </row>
    <row r="41" spans="1:12" x14ac:dyDescent="0.2">
      <c r="A41" s="104" t="s">
        <v>31</v>
      </c>
      <c r="C41" s="110">
        <v>2175</v>
      </c>
      <c r="D41" s="110">
        <v>2505</v>
      </c>
      <c r="E41" s="110">
        <v>1450</v>
      </c>
      <c r="F41" s="110">
        <v>1669</v>
      </c>
      <c r="G41" s="110" t="s">
        <v>65</v>
      </c>
      <c r="H41" s="110" t="s">
        <v>65</v>
      </c>
      <c r="I41" s="110">
        <v>476</v>
      </c>
      <c r="J41" s="110">
        <v>534</v>
      </c>
      <c r="K41" s="108" t="str">
        <f>VLOOKUP(A41,'FRS geographical categories'!A:C,2,FALSE)</f>
        <v>Predominantly Rural</v>
      </c>
      <c r="L41" s="108" t="str">
        <f>VLOOKUP(A41,'FRS geographical categories'!A:C,3,FALSE)</f>
        <v>Non-metropolitan</v>
      </c>
    </row>
    <row r="42" spans="1:12" x14ac:dyDescent="0.2">
      <c r="A42" s="104" t="s">
        <v>32</v>
      </c>
      <c r="C42" s="110">
        <v>4870</v>
      </c>
      <c r="D42" s="110">
        <v>6353</v>
      </c>
      <c r="E42" s="110">
        <v>2642</v>
      </c>
      <c r="F42" s="110">
        <v>3402</v>
      </c>
      <c r="G42" s="110" t="s">
        <v>65</v>
      </c>
      <c r="H42" s="110" t="s">
        <v>65</v>
      </c>
      <c r="I42" s="110">
        <v>357</v>
      </c>
      <c r="J42" s="110">
        <v>97</v>
      </c>
      <c r="K42" s="108" t="str">
        <f>VLOOKUP(A42,'FRS geographical categories'!A:C,2,FALSE)</f>
        <v>Predominantly Rural</v>
      </c>
      <c r="L42" s="108" t="str">
        <f>VLOOKUP(A42,'FRS geographical categories'!A:C,3,FALSE)</f>
        <v>Non-metropolitan</v>
      </c>
    </row>
    <row r="43" spans="1:12" x14ac:dyDescent="0.2">
      <c r="A43" s="104" t="s">
        <v>33</v>
      </c>
      <c r="C43" s="110">
        <v>11262</v>
      </c>
      <c r="D43" s="110">
        <v>22524</v>
      </c>
      <c r="E43" s="110">
        <v>2959</v>
      </c>
      <c r="F43" s="110">
        <v>5918</v>
      </c>
      <c r="G43" s="110">
        <v>1175</v>
      </c>
      <c r="H43" s="110">
        <v>2938</v>
      </c>
      <c r="I43" s="110">
        <v>459</v>
      </c>
      <c r="J43" s="110">
        <v>1148</v>
      </c>
      <c r="K43" s="108" t="str">
        <f>VLOOKUP(A43,'FRS geographical categories'!A:C,2,FALSE)</f>
        <v>Significantly Rural</v>
      </c>
      <c r="L43" s="108" t="str">
        <f>VLOOKUP(A43,'FRS geographical categories'!A:C,3,FALSE)</f>
        <v>Non-metropolitan</v>
      </c>
    </row>
    <row r="44" spans="1:12" x14ac:dyDescent="0.2">
      <c r="A44" s="104" t="s">
        <v>34</v>
      </c>
      <c r="C44" s="110">
        <v>10291</v>
      </c>
      <c r="D44" s="110">
        <v>10564.5</v>
      </c>
      <c r="E44" s="110">
        <v>2999</v>
      </c>
      <c r="F44" s="110">
        <v>3064.5</v>
      </c>
      <c r="G44" s="110">
        <v>396</v>
      </c>
      <c r="H44" s="110">
        <v>431.25</v>
      </c>
      <c r="I44" s="110">
        <v>273</v>
      </c>
      <c r="J44" s="110">
        <v>237.25</v>
      </c>
      <c r="K44" s="108" t="str">
        <f>VLOOKUP(A44,'FRS geographical categories'!A:C,2,FALSE)</f>
        <v>Predominantly Rural</v>
      </c>
      <c r="L44" s="108" t="str">
        <f>VLOOKUP(A44,'FRS geographical categories'!A:C,3,FALSE)</f>
        <v>Non-metropolitan</v>
      </c>
    </row>
    <row r="45" spans="1:12" x14ac:dyDescent="0.2">
      <c r="A45" s="104" t="s">
        <v>35</v>
      </c>
      <c r="C45" s="110">
        <v>4799</v>
      </c>
      <c r="D45" s="110">
        <v>13044.5</v>
      </c>
      <c r="E45" s="110">
        <v>2359</v>
      </c>
      <c r="F45" s="110">
        <v>3833.2833333333333</v>
      </c>
      <c r="G45" s="110">
        <v>81</v>
      </c>
      <c r="H45" s="110">
        <v>103.25</v>
      </c>
      <c r="I45" s="110">
        <v>394</v>
      </c>
      <c r="J45" s="110">
        <v>352.16666666666669</v>
      </c>
      <c r="K45" s="108" t="str">
        <f>VLOOKUP(A45,'FRS geographical categories'!A:C,2,FALSE)</f>
        <v>Predominantly Urban</v>
      </c>
      <c r="L45" s="108" t="str">
        <f>VLOOKUP(A45,'FRS geographical categories'!A:C,3,FALSE)</f>
        <v>Non-metropolitan</v>
      </c>
    </row>
    <row r="46" spans="1:12" x14ac:dyDescent="0.2">
      <c r="A46" s="104" t="s">
        <v>36</v>
      </c>
      <c r="C46" s="110">
        <v>1880</v>
      </c>
      <c r="D46" s="110">
        <v>6973</v>
      </c>
      <c r="E46" s="110">
        <v>870</v>
      </c>
      <c r="F46" s="110">
        <v>3484</v>
      </c>
      <c r="G46" s="110" t="s">
        <v>65</v>
      </c>
      <c r="H46" s="110" t="s">
        <v>65</v>
      </c>
      <c r="I46" s="110">
        <v>58</v>
      </c>
      <c r="J46" s="110">
        <v>155</v>
      </c>
      <c r="K46" s="108" t="str">
        <f>VLOOKUP(A46,'FRS geographical categories'!A:C,2,FALSE)</f>
        <v>Predominantly Rural</v>
      </c>
      <c r="L46" s="108" t="str">
        <f>VLOOKUP(A46,'FRS geographical categories'!A:C,3,FALSE)</f>
        <v>Non-metropolitan</v>
      </c>
    </row>
    <row r="47" spans="1:12" x14ac:dyDescent="0.2">
      <c r="A47" s="104" t="s">
        <v>37</v>
      </c>
      <c r="C47" s="110">
        <v>1477</v>
      </c>
      <c r="D47" s="110">
        <v>1332</v>
      </c>
      <c r="E47" s="110">
        <v>1025</v>
      </c>
      <c r="F47" s="110">
        <v>1085</v>
      </c>
      <c r="G47" s="110" t="s">
        <v>65</v>
      </c>
      <c r="H47" s="110" t="s">
        <v>65</v>
      </c>
      <c r="I47" s="110">
        <v>560</v>
      </c>
      <c r="J47" s="110" t="s">
        <v>65</v>
      </c>
      <c r="K47" s="108" t="str">
        <f>VLOOKUP(A47,'FRS geographical categories'!A:C,2,FALSE)</f>
        <v>Predominantly Rural</v>
      </c>
      <c r="L47" s="108" t="str">
        <f>VLOOKUP(A47,'FRS geographical categories'!A:C,3,FALSE)</f>
        <v>Non-metropolitan</v>
      </c>
    </row>
    <row r="48" spans="1:12" x14ac:dyDescent="0.2">
      <c r="A48" s="104" t="s">
        <v>38</v>
      </c>
      <c r="C48" s="110">
        <v>35634</v>
      </c>
      <c r="D48" s="110">
        <v>30050</v>
      </c>
      <c r="E48" s="110">
        <v>13076</v>
      </c>
      <c r="F48" s="110">
        <v>11046</v>
      </c>
      <c r="G48" s="110">
        <v>7214</v>
      </c>
      <c r="H48" s="110">
        <v>6123</v>
      </c>
      <c r="I48" s="110">
        <v>345</v>
      </c>
      <c r="J48" s="110">
        <v>345</v>
      </c>
      <c r="K48" s="108" t="str">
        <f>VLOOKUP(A48,'FRS geographical categories'!A:C,2,FALSE)</f>
        <v>Predominantly Urban</v>
      </c>
      <c r="L48" s="108" t="str">
        <f>VLOOKUP(A48,'FRS geographical categories'!A:C,3,FALSE)</f>
        <v>Metropolitan</v>
      </c>
    </row>
    <row r="49" spans="1:12" x14ac:dyDescent="0.2">
      <c r="A49" s="104" t="s">
        <v>39</v>
      </c>
      <c r="C49" s="110">
        <v>22578</v>
      </c>
      <c r="D49" s="110">
        <v>29245</v>
      </c>
      <c r="E49" s="110">
        <v>10688</v>
      </c>
      <c r="F49" s="110">
        <v>13367</v>
      </c>
      <c r="G49" s="110">
        <v>4930</v>
      </c>
      <c r="H49" s="110">
        <v>6041</v>
      </c>
      <c r="I49" s="110">
        <v>988</v>
      </c>
      <c r="J49" s="110">
        <v>1097</v>
      </c>
      <c r="K49" s="108" t="str">
        <f>VLOOKUP(A49,'FRS geographical categories'!A:C,2,FALSE)</f>
        <v>Significantly Rural</v>
      </c>
      <c r="L49" s="108" t="str">
        <f>VLOOKUP(A49,'FRS geographical categories'!A:C,3,FALSE)</f>
        <v>Non-metropolitan</v>
      </c>
    </row>
    <row r="50" spans="1:12" x14ac:dyDescent="0.2">
      <c r="A50" s="104" t="s">
        <v>40</v>
      </c>
      <c r="C50" s="110">
        <v>3894</v>
      </c>
      <c r="D50" s="110">
        <v>10709</v>
      </c>
      <c r="E50" s="110">
        <v>2686</v>
      </c>
      <c r="F50" s="110">
        <v>7741</v>
      </c>
      <c r="G50" s="110">
        <v>188</v>
      </c>
      <c r="H50" s="110">
        <v>581</v>
      </c>
      <c r="I50" s="110" t="s">
        <v>65</v>
      </c>
      <c r="J50" s="110" t="s">
        <v>65</v>
      </c>
      <c r="K50" s="108" t="str">
        <f>VLOOKUP(A50,'FRS geographical categories'!A:C,2,FALSE)</f>
        <v>Predominantly Rural</v>
      </c>
      <c r="L50" s="108" t="str">
        <f>VLOOKUP(A50,'FRS geographical categories'!A:C,3,FALSE)</f>
        <v>Non-metropolitan</v>
      </c>
    </row>
    <row r="51" spans="1:12" x14ac:dyDescent="0.2">
      <c r="A51" s="104" t="s">
        <v>41</v>
      </c>
      <c r="C51" s="110">
        <v>5535</v>
      </c>
      <c r="D51" s="110">
        <v>7947</v>
      </c>
      <c r="E51" s="110">
        <v>2840</v>
      </c>
      <c r="F51" s="110">
        <v>4123</v>
      </c>
      <c r="G51" s="110">
        <v>739</v>
      </c>
      <c r="H51" s="110">
        <v>1096</v>
      </c>
      <c r="I51" s="110">
        <v>17</v>
      </c>
      <c r="J51" s="110">
        <v>24</v>
      </c>
      <c r="K51" s="108" t="str">
        <f>VLOOKUP(A51,'FRS geographical categories'!A:C,2,FALSE)</f>
        <v>Predominantly Urban</v>
      </c>
      <c r="L51" s="108" t="str">
        <f>VLOOKUP(A51,'FRS geographical categories'!A:C,3,FALSE)</f>
        <v>Non-metropolitan</v>
      </c>
    </row>
    <row r="52" spans="1:12" x14ac:dyDescent="0.2">
      <c r="A52" s="104" t="s">
        <v>42</v>
      </c>
      <c r="C52" s="110">
        <v>30153</v>
      </c>
      <c r="D52" s="110">
        <v>11737</v>
      </c>
      <c r="E52" s="110">
        <v>13870</v>
      </c>
      <c r="F52" s="110">
        <v>5412</v>
      </c>
      <c r="G52" s="110">
        <v>3263</v>
      </c>
      <c r="H52" s="110">
        <v>1397</v>
      </c>
      <c r="I52" s="110">
        <v>106</v>
      </c>
      <c r="J52" s="110">
        <v>35</v>
      </c>
      <c r="K52" s="108" t="str">
        <f>VLOOKUP(A52,'FRS geographical categories'!A:C,2,FALSE)</f>
        <v>Predominantly Urban</v>
      </c>
      <c r="L52" s="108" t="str">
        <f>VLOOKUP(A52,'FRS geographical categories'!A:C,3,FALSE)</f>
        <v>Metropolitan</v>
      </c>
    </row>
    <row r="53" spans="1:12" x14ac:dyDescent="0.2">
      <c r="A53" s="104" t="s">
        <v>43</v>
      </c>
      <c r="C53" s="110">
        <v>10893</v>
      </c>
      <c r="D53" s="110">
        <v>20999</v>
      </c>
      <c r="E53" s="110">
        <v>3781</v>
      </c>
      <c r="F53" s="110">
        <v>7800</v>
      </c>
      <c r="G53" s="110">
        <v>1747</v>
      </c>
      <c r="H53" s="110">
        <v>860</v>
      </c>
      <c r="I53" s="110">
        <v>525</v>
      </c>
      <c r="J53" s="110" t="s">
        <v>65</v>
      </c>
      <c r="K53" s="108" t="str">
        <f>VLOOKUP(A53,'FRS geographical categories'!A:C,2,FALSE)</f>
        <v>Significantly Rural</v>
      </c>
      <c r="L53" s="108" t="str">
        <f>VLOOKUP(A53,'FRS geographical categories'!A:C,3,FALSE)</f>
        <v>Non-metropolitan</v>
      </c>
    </row>
    <row r="54" spans="1:12" x14ac:dyDescent="0.2">
      <c r="A54" s="104" t="s">
        <v>44</v>
      </c>
      <c r="C54" s="110">
        <v>40908</v>
      </c>
      <c r="D54" s="110">
        <v>82816</v>
      </c>
      <c r="E54" s="110">
        <v>14651</v>
      </c>
      <c r="F54" s="110">
        <v>29302</v>
      </c>
      <c r="G54" s="110">
        <v>11502</v>
      </c>
      <c r="H54" s="110">
        <v>23300</v>
      </c>
      <c r="I54" s="110" t="s">
        <v>65</v>
      </c>
      <c r="J54" s="110" t="s">
        <v>65</v>
      </c>
      <c r="K54" s="108" t="str">
        <f>VLOOKUP(A54,'FRS geographical categories'!A:C,2,FALSE)</f>
        <v>Predominantly Urban</v>
      </c>
      <c r="L54" s="108" t="str">
        <f>VLOOKUP(A54,'FRS geographical categories'!A:C,3,FALSE)</f>
        <v>Metropolitan</v>
      </c>
    </row>
    <row r="55" spans="1:12" x14ac:dyDescent="0.2">
      <c r="A55" s="104" t="s">
        <v>45</v>
      </c>
      <c r="C55" s="110">
        <v>6970</v>
      </c>
      <c r="D55" s="110">
        <v>8513</v>
      </c>
      <c r="E55" s="110">
        <v>4978</v>
      </c>
      <c r="F55" s="110">
        <v>3529</v>
      </c>
      <c r="G55" s="110">
        <v>1884</v>
      </c>
      <c r="H55" s="110">
        <v>1337</v>
      </c>
      <c r="I55" s="110" t="s">
        <v>65</v>
      </c>
      <c r="J55" s="110" t="s">
        <v>65</v>
      </c>
      <c r="K55" s="108" t="str">
        <f>VLOOKUP(A55,'FRS geographical categories'!A:C,2,FALSE)</f>
        <v>Significantly Rural</v>
      </c>
      <c r="L55" s="108" t="str">
        <f>VLOOKUP(A55,'FRS geographical categories'!A:C,3,FALSE)</f>
        <v>Non-metropolitan</v>
      </c>
    </row>
    <row r="56" spans="1:12" x14ac:dyDescent="0.2">
      <c r="A56" s="104" t="s">
        <v>46</v>
      </c>
      <c r="C56" s="110">
        <v>63010</v>
      </c>
      <c r="D56" s="110">
        <v>54953</v>
      </c>
      <c r="E56" s="110">
        <v>20083</v>
      </c>
      <c r="F56" s="110">
        <v>17515</v>
      </c>
      <c r="G56" s="110" t="s">
        <v>65</v>
      </c>
      <c r="H56" s="110" t="s">
        <v>65</v>
      </c>
      <c r="I56" s="110">
        <v>77</v>
      </c>
      <c r="J56" s="110">
        <v>67.150000000000006</v>
      </c>
      <c r="K56" s="108" t="str">
        <f>VLOOKUP(A56,'FRS geographical categories'!A:C,2,FALSE)</f>
        <v>Predominantly Urban</v>
      </c>
      <c r="L56" s="108" t="str">
        <f>VLOOKUP(A56,'FRS geographical categories'!A:C,3,FALSE)</f>
        <v>Metropolitan</v>
      </c>
    </row>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1FBE8-74E1-4FF9-8BCF-90C9DA95F149}">
  <sheetPr codeName="Sheet10"/>
  <dimension ref="A1:K14"/>
  <sheetViews>
    <sheetView tabSelected="1" workbookViewId="0"/>
  </sheetViews>
  <sheetFormatPr defaultRowHeight="13.2" x14ac:dyDescent="0.25"/>
  <cols>
    <col min="1" max="1" width="74" style="121" bestFit="1" customWidth="1"/>
    <col min="2" max="255" width="9.44140625" style="121" customWidth="1"/>
    <col min="256" max="256" width="2.77734375" style="121" customWidth="1"/>
    <col min="257" max="257" width="74" style="121" bestFit="1" customWidth="1"/>
    <col min="258" max="511" width="9.44140625" style="121" customWidth="1"/>
    <col min="512" max="512" width="2.77734375" style="121" customWidth="1"/>
    <col min="513" max="513" width="74" style="121" bestFit="1" customWidth="1"/>
    <col min="514" max="767" width="9.44140625" style="121" customWidth="1"/>
    <col min="768" max="768" width="2.77734375" style="121" customWidth="1"/>
    <col min="769" max="769" width="74" style="121" bestFit="1" customWidth="1"/>
    <col min="770" max="1023" width="9.44140625" style="121" customWidth="1"/>
    <col min="1024" max="1024" width="2.77734375" style="121" customWidth="1"/>
    <col min="1025" max="1025" width="74" style="121" bestFit="1" customWidth="1"/>
    <col min="1026" max="1279" width="9.44140625" style="121" customWidth="1"/>
    <col min="1280" max="1280" width="2.77734375" style="121" customWidth="1"/>
    <col min="1281" max="1281" width="74" style="121" bestFit="1" customWidth="1"/>
    <col min="1282" max="1535" width="9.44140625" style="121" customWidth="1"/>
    <col min="1536" max="1536" width="2.77734375" style="121" customWidth="1"/>
    <col min="1537" max="1537" width="74" style="121" bestFit="1" customWidth="1"/>
    <col min="1538" max="1791" width="9.44140625" style="121" customWidth="1"/>
    <col min="1792" max="1792" width="2.77734375" style="121" customWidth="1"/>
    <col min="1793" max="1793" width="74" style="121" bestFit="1" customWidth="1"/>
    <col min="1794" max="2047" width="9.44140625" style="121" customWidth="1"/>
    <col min="2048" max="2048" width="2.77734375" style="121" customWidth="1"/>
    <col min="2049" max="2049" width="74" style="121" bestFit="1" customWidth="1"/>
    <col min="2050" max="2303" width="9.44140625" style="121" customWidth="1"/>
    <col min="2304" max="2304" width="2.77734375" style="121" customWidth="1"/>
    <col min="2305" max="2305" width="74" style="121" bestFit="1" customWidth="1"/>
    <col min="2306" max="2559" width="9.44140625" style="121" customWidth="1"/>
    <col min="2560" max="2560" width="2.77734375" style="121" customWidth="1"/>
    <col min="2561" max="2561" width="74" style="121" bestFit="1" customWidth="1"/>
    <col min="2562" max="2815" width="9.44140625" style="121" customWidth="1"/>
    <col min="2816" max="2816" width="2.77734375" style="121" customWidth="1"/>
    <col min="2817" max="2817" width="74" style="121" bestFit="1" customWidth="1"/>
    <col min="2818" max="3071" width="9.44140625" style="121" customWidth="1"/>
    <col min="3072" max="3072" width="2.77734375" style="121" customWidth="1"/>
    <col min="3073" max="3073" width="74" style="121" bestFit="1" customWidth="1"/>
    <col min="3074" max="3327" width="9.44140625" style="121" customWidth="1"/>
    <col min="3328" max="3328" width="2.77734375" style="121" customWidth="1"/>
    <col min="3329" max="3329" width="74" style="121" bestFit="1" customWidth="1"/>
    <col min="3330" max="3583" width="9.44140625" style="121" customWidth="1"/>
    <col min="3584" max="3584" width="2.77734375" style="121" customWidth="1"/>
    <col min="3585" max="3585" width="74" style="121" bestFit="1" customWidth="1"/>
    <col min="3586" max="3839" width="9.44140625" style="121" customWidth="1"/>
    <col min="3840" max="3840" width="2.77734375" style="121" customWidth="1"/>
    <col min="3841" max="3841" width="74" style="121" bestFit="1" customWidth="1"/>
    <col min="3842" max="4095" width="9.44140625" style="121" customWidth="1"/>
    <col min="4096" max="4096" width="2.77734375" style="121" customWidth="1"/>
    <col min="4097" max="4097" width="74" style="121" bestFit="1" customWidth="1"/>
    <col min="4098" max="4351" width="9.44140625" style="121" customWidth="1"/>
    <col min="4352" max="4352" width="2.77734375" style="121" customWidth="1"/>
    <col min="4353" max="4353" width="74" style="121" bestFit="1" customWidth="1"/>
    <col min="4354" max="4607" width="9.44140625" style="121" customWidth="1"/>
    <col min="4608" max="4608" width="2.77734375" style="121" customWidth="1"/>
    <col min="4609" max="4609" width="74" style="121" bestFit="1" customWidth="1"/>
    <col min="4610" max="4863" width="9.44140625" style="121" customWidth="1"/>
    <col min="4864" max="4864" width="2.77734375" style="121" customWidth="1"/>
    <col min="4865" max="4865" width="74" style="121" bestFit="1" customWidth="1"/>
    <col min="4866" max="5119" width="9.44140625" style="121" customWidth="1"/>
    <col min="5120" max="5120" width="2.77734375" style="121" customWidth="1"/>
    <col min="5121" max="5121" width="74" style="121" bestFit="1" customWidth="1"/>
    <col min="5122" max="5375" width="9.44140625" style="121" customWidth="1"/>
    <col min="5376" max="5376" width="2.77734375" style="121" customWidth="1"/>
    <col min="5377" max="5377" width="74" style="121" bestFit="1" customWidth="1"/>
    <col min="5378" max="5631" width="9.44140625" style="121" customWidth="1"/>
    <col min="5632" max="5632" width="2.77734375" style="121" customWidth="1"/>
    <col min="5633" max="5633" width="74" style="121" bestFit="1" customWidth="1"/>
    <col min="5634" max="5887" width="9.44140625" style="121" customWidth="1"/>
    <col min="5888" max="5888" width="2.77734375" style="121" customWidth="1"/>
    <col min="5889" max="5889" width="74" style="121" bestFit="1" customWidth="1"/>
    <col min="5890" max="6143" width="9.44140625" style="121" customWidth="1"/>
    <col min="6144" max="6144" width="2.77734375" style="121" customWidth="1"/>
    <col min="6145" max="6145" width="74" style="121" bestFit="1" customWidth="1"/>
    <col min="6146" max="6399" width="9.44140625" style="121" customWidth="1"/>
    <col min="6400" max="6400" width="2.77734375" style="121" customWidth="1"/>
    <col min="6401" max="6401" width="74" style="121" bestFit="1" customWidth="1"/>
    <col min="6402" max="6655" width="9.44140625" style="121" customWidth="1"/>
    <col min="6656" max="6656" width="2.77734375" style="121" customWidth="1"/>
    <col min="6657" max="6657" width="74" style="121" bestFit="1" customWidth="1"/>
    <col min="6658" max="6911" width="9.44140625" style="121" customWidth="1"/>
    <col min="6912" max="6912" width="2.77734375" style="121" customWidth="1"/>
    <col min="6913" max="6913" width="74" style="121" bestFit="1" customWidth="1"/>
    <col min="6914" max="7167" width="9.44140625" style="121" customWidth="1"/>
    <col min="7168" max="7168" width="2.77734375" style="121" customWidth="1"/>
    <col min="7169" max="7169" width="74" style="121" bestFit="1" customWidth="1"/>
    <col min="7170" max="7423" width="9.44140625" style="121" customWidth="1"/>
    <col min="7424" max="7424" width="2.77734375" style="121" customWidth="1"/>
    <col min="7425" max="7425" width="74" style="121" bestFit="1" customWidth="1"/>
    <col min="7426" max="7679" width="9.44140625" style="121" customWidth="1"/>
    <col min="7680" max="7680" width="2.77734375" style="121" customWidth="1"/>
    <col min="7681" max="7681" width="74" style="121" bestFit="1" customWidth="1"/>
    <col min="7682" max="7935" width="9.44140625" style="121" customWidth="1"/>
    <col min="7936" max="7936" width="2.77734375" style="121" customWidth="1"/>
    <col min="7937" max="7937" width="74" style="121" bestFit="1" customWidth="1"/>
    <col min="7938" max="8191" width="9.44140625" style="121" customWidth="1"/>
    <col min="8192" max="8192" width="2.77734375" style="121" customWidth="1"/>
    <col min="8193" max="8193" width="74" style="121" bestFit="1" customWidth="1"/>
    <col min="8194" max="8447" width="9.44140625" style="121" customWidth="1"/>
    <col min="8448" max="8448" width="2.77734375" style="121" customWidth="1"/>
    <col min="8449" max="8449" width="74" style="121" bestFit="1" customWidth="1"/>
    <col min="8450" max="8703" width="9.44140625" style="121" customWidth="1"/>
    <col min="8704" max="8704" width="2.77734375" style="121" customWidth="1"/>
    <col min="8705" max="8705" width="74" style="121" bestFit="1" customWidth="1"/>
    <col min="8706" max="8959" width="9.44140625" style="121" customWidth="1"/>
    <col min="8960" max="8960" width="2.77734375" style="121" customWidth="1"/>
    <col min="8961" max="8961" width="74" style="121" bestFit="1" customWidth="1"/>
    <col min="8962" max="9215" width="9.44140625" style="121" customWidth="1"/>
    <col min="9216" max="9216" width="2.77734375" style="121" customWidth="1"/>
    <col min="9217" max="9217" width="74" style="121" bestFit="1" customWidth="1"/>
    <col min="9218" max="9471" width="9.44140625" style="121" customWidth="1"/>
    <col min="9472" max="9472" width="2.77734375" style="121" customWidth="1"/>
    <col min="9473" max="9473" width="74" style="121" bestFit="1" customWidth="1"/>
    <col min="9474" max="9727" width="9.44140625" style="121" customWidth="1"/>
    <col min="9728" max="9728" width="2.77734375" style="121" customWidth="1"/>
    <col min="9729" max="9729" width="74" style="121" bestFit="1" customWidth="1"/>
    <col min="9730" max="9983" width="9.44140625" style="121" customWidth="1"/>
    <col min="9984" max="9984" width="2.77734375" style="121" customWidth="1"/>
    <col min="9985" max="9985" width="74" style="121" bestFit="1" customWidth="1"/>
    <col min="9986" max="10239" width="9.44140625" style="121" customWidth="1"/>
    <col min="10240" max="10240" width="2.77734375" style="121" customWidth="1"/>
    <col min="10241" max="10241" width="74" style="121" bestFit="1" customWidth="1"/>
    <col min="10242" max="10495" width="9.44140625" style="121" customWidth="1"/>
    <col min="10496" max="10496" width="2.77734375" style="121" customWidth="1"/>
    <col min="10497" max="10497" width="74" style="121" bestFit="1" customWidth="1"/>
    <col min="10498" max="10751" width="9.44140625" style="121" customWidth="1"/>
    <col min="10752" max="10752" width="2.77734375" style="121" customWidth="1"/>
    <col min="10753" max="10753" width="74" style="121" bestFit="1" customWidth="1"/>
    <col min="10754" max="11007" width="9.44140625" style="121" customWidth="1"/>
    <col min="11008" max="11008" width="2.77734375" style="121" customWidth="1"/>
    <col min="11009" max="11009" width="74" style="121" bestFit="1" customWidth="1"/>
    <col min="11010" max="11263" width="9.44140625" style="121" customWidth="1"/>
    <col min="11264" max="11264" width="2.77734375" style="121" customWidth="1"/>
    <col min="11265" max="11265" width="74" style="121" bestFit="1" customWidth="1"/>
    <col min="11266" max="11519" width="9.44140625" style="121" customWidth="1"/>
    <col min="11520" max="11520" width="2.77734375" style="121" customWidth="1"/>
    <col min="11521" max="11521" width="74" style="121" bestFit="1" customWidth="1"/>
    <col min="11522" max="11775" width="9.44140625" style="121" customWidth="1"/>
    <col min="11776" max="11776" width="2.77734375" style="121" customWidth="1"/>
    <col min="11777" max="11777" width="74" style="121" bestFit="1" customWidth="1"/>
    <col min="11778" max="12031" width="9.44140625" style="121" customWidth="1"/>
    <col min="12032" max="12032" width="2.77734375" style="121" customWidth="1"/>
    <col min="12033" max="12033" width="74" style="121" bestFit="1" customWidth="1"/>
    <col min="12034" max="12287" width="9.44140625" style="121" customWidth="1"/>
    <col min="12288" max="12288" width="2.77734375" style="121" customWidth="1"/>
    <col min="12289" max="12289" width="74" style="121" bestFit="1" customWidth="1"/>
    <col min="12290" max="12543" width="9.44140625" style="121" customWidth="1"/>
    <col min="12544" max="12544" width="2.77734375" style="121" customWidth="1"/>
    <col min="12545" max="12545" width="74" style="121" bestFit="1" customWidth="1"/>
    <col min="12546" max="12799" width="9.44140625" style="121" customWidth="1"/>
    <col min="12800" max="12800" width="2.77734375" style="121" customWidth="1"/>
    <col min="12801" max="12801" width="74" style="121" bestFit="1" customWidth="1"/>
    <col min="12802" max="13055" width="9.44140625" style="121" customWidth="1"/>
    <col min="13056" max="13056" width="2.77734375" style="121" customWidth="1"/>
    <col min="13057" max="13057" width="74" style="121" bestFit="1" customWidth="1"/>
    <col min="13058" max="13311" width="9.44140625" style="121" customWidth="1"/>
    <col min="13312" max="13312" width="2.77734375" style="121" customWidth="1"/>
    <col min="13313" max="13313" width="74" style="121" bestFit="1" customWidth="1"/>
    <col min="13314" max="13567" width="9.44140625" style="121" customWidth="1"/>
    <col min="13568" max="13568" width="2.77734375" style="121" customWidth="1"/>
    <col min="13569" max="13569" width="74" style="121" bestFit="1" customWidth="1"/>
    <col min="13570" max="13823" width="9.44140625" style="121" customWidth="1"/>
    <col min="13824" max="13824" width="2.77734375" style="121" customWidth="1"/>
    <col min="13825" max="13825" width="74" style="121" bestFit="1" customWidth="1"/>
    <col min="13826" max="14079" width="9.44140625" style="121" customWidth="1"/>
    <col min="14080" max="14080" width="2.77734375" style="121" customWidth="1"/>
    <col min="14081" max="14081" width="74" style="121" bestFit="1" customWidth="1"/>
    <col min="14082" max="14335" width="9.44140625" style="121" customWidth="1"/>
    <col min="14336" max="14336" width="2.77734375" style="121" customWidth="1"/>
    <col min="14337" max="14337" width="74" style="121" bestFit="1" customWidth="1"/>
    <col min="14338" max="14591" width="9.44140625" style="121" customWidth="1"/>
    <col min="14592" max="14592" width="2.77734375" style="121" customWidth="1"/>
    <col min="14593" max="14593" width="74" style="121" bestFit="1" customWidth="1"/>
    <col min="14594" max="14847" width="9.44140625" style="121" customWidth="1"/>
    <col min="14848" max="14848" width="2.77734375" style="121" customWidth="1"/>
    <col min="14849" max="14849" width="74" style="121" bestFit="1" customWidth="1"/>
    <col min="14850" max="15103" width="9.44140625" style="121" customWidth="1"/>
    <col min="15104" max="15104" width="2.77734375" style="121" customWidth="1"/>
    <col min="15105" max="15105" width="74" style="121" bestFit="1" customWidth="1"/>
    <col min="15106" max="15359" width="9.44140625" style="121" customWidth="1"/>
    <col min="15360" max="15360" width="2.77734375" style="121" customWidth="1"/>
    <col min="15361" max="15361" width="74" style="121" bestFit="1" customWidth="1"/>
    <col min="15362" max="15615" width="9.44140625" style="121" customWidth="1"/>
    <col min="15616" max="15616" width="2.77734375" style="121" customWidth="1"/>
    <col min="15617" max="15617" width="74" style="121" bestFit="1" customWidth="1"/>
    <col min="15618" max="15871" width="9.44140625" style="121" customWidth="1"/>
    <col min="15872" max="15872" width="2.77734375" style="121" customWidth="1"/>
    <col min="15873" max="15873" width="74" style="121" bestFit="1" customWidth="1"/>
    <col min="15874" max="16127" width="9.44140625" style="121" customWidth="1"/>
    <col min="16128" max="16128" width="2.77734375" style="121" customWidth="1"/>
    <col min="16129" max="16129" width="74" style="121" bestFit="1" customWidth="1"/>
    <col min="16130" max="16384" width="9.44140625" style="121" customWidth="1"/>
  </cols>
  <sheetData>
    <row r="1" spans="1:11" ht="84" customHeight="1" x14ac:dyDescent="0.25"/>
    <row r="2" spans="1:11" ht="27.6" x14ac:dyDescent="0.45">
      <c r="A2" s="130" t="s">
        <v>176</v>
      </c>
    </row>
    <row r="3" spans="1:11" ht="22.8" x14ac:dyDescent="0.25">
      <c r="A3" s="129" t="s">
        <v>167</v>
      </c>
    </row>
    <row r="4" spans="1:11" ht="45" customHeight="1" x14ac:dyDescent="0.3">
      <c r="A4" s="128" t="s">
        <v>189</v>
      </c>
      <c r="C4" s="127"/>
      <c r="K4" s="126"/>
    </row>
    <row r="5" spans="1:11" ht="32.25" customHeight="1" x14ac:dyDescent="0.25">
      <c r="A5" s="122" t="s">
        <v>166</v>
      </c>
      <c r="B5" s="122"/>
    </row>
    <row r="6" spans="1:11" ht="15" x14ac:dyDescent="0.25">
      <c r="A6" s="125" t="s">
        <v>165</v>
      </c>
      <c r="B6" s="122"/>
    </row>
    <row r="7" spans="1:11" ht="15.6" x14ac:dyDescent="0.3">
      <c r="A7" s="123" t="s">
        <v>164</v>
      </c>
      <c r="B7" s="124"/>
    </row>
    <row r="8" spans="1:11" ht="28.5" customHeight="1" x14ac:dyDescent="0.25">
      <c r="A8" s="122" t="s">
        <v>177</v>
      </c>
      <c r="B8" s="123"/>
    </row>
    <row r="9" spans="1:11" ht="15" x14ac:dyDescent="0.25">
      <c r="A9" s="122" t="s">
        <v>178</v>
      </c>
      <c r="B9" s="123"/>
    </row>
    <row r="10" spans="1:11" ht="30" customHeight="1" x14ac:dyDescent="0.25">
      <c r="A10" s="122" t="s">
        <v>163</v>
      </c>
    </row>
    <row r="11" spans="1:11" ht="15" x14ac:dyDescent="0.25">
      <c r="A11" s="147" t="s">
        <v>162</v>
      </c>
    </row>
    <row r="12" spans="1:11" ht="26.25" customHeight="1" x14ac:dyDescent="0.25">
      <c r="A12" s="122" t="s">
        <v>197</v>
      </c>
    </row>
    <row r="13" spans="1:11" ht="15" x14ac:dyDescent="0.25">
      <c r="A13" s="122" t="s">
        <v>206</v>
      </c>
    </row>
    <row r="14" spans="1:11" ht="15" x14ac:dyDescent="0.25">
      <c r="A14" s="125" t="s">
        <v>205</v>
      </c>
    </row>
  </sheetData>
  <hyperlinks>
    <hyperlink ref="A6" r:id="rId1" xr:uid="{8806315F-33FE-4007-A6D2-8EC41ED08B75}"/>
    <hyperlink ref="A11" location="Contents!A1" display="Contents" xr:uid="{8348A59D-68AB-4F60-BA72-F63A71C8A534}"/>
    <hyperlink ref="A14" r:id="rId2" display="If you find any problems, or have any feedback, relating to accessibility please email us at firestatistics@homeoffice.gov.uk" xr:uid="{F9603C8F-B84E-4E73-A8A5-BED920E1A764}"/>
  </hyperlinks>
  <pageMargins left="0.70000000000000007" right="0.70000000000000007" top="0.75" bottom="0.75" header="0.30000000000000004" footer="0.30000000000000004"/>
  <pageSetup paperSize="9" fitToWidth="0" fitToHeight="0"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A98B0-EA3B-4306-AB34-5F7E317F8FB6}">
  <sheetPr codeName="Sheet11"/>
  <dimension ref="A1:Q26"/>
  <sheetViews>
    <sheetView workbookViewId="0"/>
  </sheetViews>
  <sheetFormatPr defaultColWidth="9.44140625" defaultRowHeight="13.8" x14ac:dyDescent="0.25"/>
  <cols>
    <col min="1" max="1" width="24.5546875" style="131" customWidth="1"/>
    <col min="2" max="2" width="107.21875" style="132" customWidth="1"/>
    <col min="3" max="3" width="39.21875" style="131" customWidth="1"/>
    <col min="4" max="4" width="16.21875" style="131" customWidth="1"/>
    <col min="5" max="5" width="9.44140625" style="131" customWidth="1"/>
    <col min="6" max="16384" width="9.44140625" style="131"/>
  </cols>
  <sheetData>
    <row r="1" spans="1:17" s="144" customFormat="1" ht="15.6" customHeight="1" x14ac:dyDescent="0.25">
      <c r="A1" s="146" t="s">
        <v>176</v>
      </c>
      <c r="C1" s="145"/>
      <c r="D1" s="145"/>
    </row>
    <row r="2" spans="1:17" s="144" customFormat="1" ht="21.6" customHeight="1" x14ac:dyDescent="0.25">
      <c r="A2" s="146" t="s">
        <v>179</v>
      </c>
      <c r="C2" s="145"/>
      <c r="D2" s="145"/>
    </row>
    <row r="3" spans="1:17" s="142" customFormat="1" ht="18" customHeight="1" x14ac:dyDescent="0.2">
      <c r="A3" s="142" t="s">
        <v>175</v>
      </c>
      <c r="C3" s="143"/>
      <c r="D3" s="143"/>
    </row>
    <row r="4" spans="1:17" s="142" customFormat="1" ht="15.75" customHeight="1" x14ac:dyDescent="0.2">
      <c r="A4" s="139" t="s">
        <v>174</v>
      </c>
      <c r="C4" s="143"/>
      <c r="D4" s="143"/>
    </row>
    <row r="5" spans="1:17" s="133" customFormat="1" ht="24" customHeight="1" x14ac:dyDescent="0.3">
      <c r="A5" s="141" t="s">
        <v>173</v>
      </c>
      <c r="B5" s="141" t="s">
        <v>172</v>
      </c>
      <c r="C5" s="141" t="s">
        <v>171</v>
      </c>
      <c r="D5" s="140" t="s">
        <v>170</v>
      </c>
    </row>
    <row r="6" spans="1:17" s="137" customFormat="1" ht="12.75" customHeight="1" x14ac:dyDescent="0.2">
      <c r="A6" s="139" t="s">
        <v>180</v>
      </c>
      <c r="B6" s="135" t="s">
        <v>181</v>
      </c>
      <c r="C6" s="136" t="s">
        <v>182</v>
      </c>
      <c r="D6" s="136" t="s">
        <v>183</v>
      </c>
    </row>
    <row r="7" spans="1:17" s="137" customFormat="1" ht="13.95" customHeight="1" x14ac:dyDescent="0.2">
      <c r="A7" s="139" t="s">
        <v>185</v>
      </c>
      <c r="B7" s="135" t="s">
        <v>188</v>
      </c>
      <c r="C7" s="138" t="s">
        <v>184</v>
      </c>
      <c r="D7" s="136" t="s">
        <v>183</v>
      </c>
    </row>
    <row r="8" spans="1:17" s="137" customFormat="1" ht="12" customHeight="1" x14ac:dyDescent="0.2">
      <c r="A8" s="139" t="s">
        <v>186</v>
      </c>
      <c r="B8" s="135" t="s">
        <v>198</v>
      </c>
      <c r="C8" s="135" t="s">
        <v>149</v>
      </c>
      <c r="D8" s="135" t="s">
        <v>183</v>
      </c>
      <c r="E8" s="135"/>
      <c r="F8" s="135"/>
      <c r="G8" s="135"/>
      <c r="H8" s="135"/>
      <c r="I8" s="135"/>
      <c r="J8" s="135"/>
      <c r="K8" s="135"/>
      <c r="L8" s="135"/>
      <c r="M8" s="135"/>
      <c r="N8" s="135"/>
      <c r="O8" s="135"/>
      <c r="P8" s="135"/>
      <c r="Q8" s="135"/>
    </row>
    <row r="9" spans="1:17" s="133" customFormat="1" ht="14.4" x14ac:dyDescent="0.3">
      <c r="A9" s="139" t="s">
        <v>169</v>
      </c>
      <c r="B9" s="135" t="s">
        <v>168</v>
      </c>
      <c r="C9" s="134"/>
      <c r="D9" s="131"/>
    </row>
    <row r="10" spans="1:17" s="133" customFormat="1" ht="14.4" x14ac:dyDescent="0.3">
      <c r="A10" s="131"/>
      <c r="B10" s="132"/>
      <c r="C10" s="134"/>
      <c r="D10" s="131"/>
    </row>
    <row r="11" spans="1:17" s="133" customFormat="1" ht="14.4" x14ac:dyDescent="0.3">
      <c r="A11" s="131"/>
      <c r="B11" s="132"/>
      <c r="C11" s="134"/>
      <c r="D11" s="131"/>
    </row>
    <row r="12" spans="1:17" s="133" customFormat="1" ht="14.4" x14ac:dyDescent="0.3">
      <c r="A12" s="131"/>
      <c r="B12" s="132"/>
      <c r="C12" s="134"/>
      <c r="D12" s="131"/>
    </row>
    <row r="13" spans="1:17" s="133" customFormat="1" ht="14.4" x14ac:dyDescent="0.3">
      <c r="A13" s="131"/>
      <c r="B13" s="132"/>
      <c r="C13" s="134"/>
      <c r="D13" s="131"/>
    </row>
    <row r="14" spans="1:17" s="133" customFormat="1" ht="14.4" x14ac:dyDescent="0.3">
      <c r="A14" s="131"/>
      <c r="B14" s="132"/>
      <c r="C14" s="134"/>
      <c r="D14" s="131"/>
    </row>
    <row r="15" spans="1:17" s="133" customFormat="1" ht="14.4" x14ac:dyDescent="0.3">
      <c r="A15" s="131"/>
      <c r="B15" s="132"/>
      <c r="C15" s="134"/>
      <c r="D15" s="131"/>
    </row>
    <row r="16" spans="1:17" s="133" customFormat="1" ht="14.4" x14ac:dyDescent="0.3">
      <c r="A16" s="131"/>
      <c r="B16" s="132"/>
      <c r="C16" s="134"/>
      <c r="D16" s="131"/>
    </row>
    <row r="17" spans="1:4" s="133" customFormat="1" ht="14.4" x14ac:dyDescent="0.3">
      <c r="A17" s="131"/>
      <c r="B17" s="132"/>
      <c r="C17" s="134"/>
      <c r="D17" s="131"/>
    </row>
    <row r="18" spans="1:4" s="133" customFormat="1" ht="14.4" x14ac:dyDescent="0.3">
      <c r="A18" s="131"/>
      <c r="B18" s="132"/>
      <c r="C18" s="134"/>
      <c r="D18" s="131"/>
    </row>
    <row r="19" spans="1:4" s="133" customFormat="1" ht="14.4" x14ac:dyDescent="0.3">
      <c r="A19" s="131"/>
      <c r="B19" s="132"/>
      <c r="C19" s="134"/>
      <c r="D19" s="131"/>
    </row>
    <row r="20" spans="1:4" s="133" customFormat="1" ht="14.4" x14ac:dyDescent="0.3">
      <c r="A20" s="131"/>
      <c r="B20" s="132"/>
      <c r="C20" s="134"/>
      <c r="D20" s="131"/>
    </row>
    <row r="21" spans="1:4" s="133" customFormat="1" ht="14.4" x14ac:dyDescent="0.3">
      <c r="A21" s="131"/>
      <c r="B21" s="132"/>
      <c r="C21" s="134"/>
      <c r="D21" s="131"/>
    </row>
    <row r="22" spans="1:4" s="133" customFormat="1" ht="14.4" x14ac:dyDescent="0.3">
      <c r="A22" s="131"/>
      <c r="B22" s="132"/>
      <c r="C22" s="134"/>
      <c r="D22" s="131"/>
    </row>
    <row r="23" spans="1:4" s="133" customFormat="1" ht="14.4" x14ac:dyDescent="0.3">
      <c r="B23" s="132"/>
      <c r="C23" s="134"/>
      <c r="D23" s="131"/>
    </row>
    <row r="24" spans="1:4" s="133" customFormat="1" ht="14.4" x14ac:dyDescent="0.3">
      <c r="B24" s="132"/>
      <c r="C24" s="134"/>
      <c r="D24" s="131"/>
    </row>
    <row r="25" spans="1:4" s="133" customFormat="1" ht="14.4" x14ac:dyDescent="0.3">
      <c r="B25" s="132"/>
      <c r="C25" s="134"/>
      <c r="D25" s="131"/>
    </row>
    <row r="26" spans="1:4" s="133" customFormat="1" ht="14.4" x14ac:dyDescent="0.3">
      <c r="B26" s="132"/>
      <c r="C26" s="134"/>
      <c r="D26" s="131"/>
    </row>
  </sheetData>
  <hyperlinks>
    <hyperlink ref="A4" location="Cover_sheet!A1" display="Cover sheet" xr:uid="{75A6F4DA-5CDD-49B0-B48E-3A72B94EF15E}"/>
    <hyperlink ref="A6" location="FIRE1201_historical!A1" display="FIRE 1201_historical" xr:uid="{7DE8B589-8FFD-4586-9ED6-867F0AA321B7}"/>
    <hyperlink ref="A7" location="FIRE1201!A1" display="FIRE 1201" xr:uid="{63C09636-1223-4351-8735-590A89C89FA0}"/>
    <hyperlink ref="A9" location="'FRS geographical categories'!A1" display="FRS geographical categories" xr:uid="{37524865-C469-4A9A-9826-F1C5879DB4FD}"/>
    <hyperlink ref="A8" location="FIRE1201a!A1" display="FIRE 1201a" xr:uid="{A9DDC7AF-2032-4F5E-8B2A-48FE97F30469}"/>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K96"/>
  <sheetViews>
    <sheetView zoomScaleNormal="100" workbookViewId="0">
      <pane ySplit="6" topLeftCell="A7" activePane="bottomLeft" state="frozen"/>
      <selection pane="bottomLeft" activeCell="A3" sqref="A3"/>
    </sheetView>
  </sheetViews>
  <sheetFormatPr defaultColWidth="9.21875" defaultRowHeight="14.4" x14ac:dyDescent="0.3"/>
  <cols>
    <col min="1" max="1" width="39.21875" style="4" customWidth="1"/>
    <col min="2" max="3" width="12.77734375" style="4" customWidth="1"/>
    <col min="4" max="4" width="4.109375" style="4" customWidth="1"/>
    <col min="5" max="6" width="12.77734375" style="4" customWidth="1"/>
    <col min="7" max="7" width="4.109375" style="4" customWidth="1"/>
    <col min="8" max="9" width="12.77734375" style="4" customWidth="1"/>
    <col min="10" max="10" width="4.109375" style="4" customWidth="1"/>
    <col min="11" max="12" width="12.77734375" style="4" customWidth="1"/>
    <col min="13" max="14" width="9.21875" style="4" customWidth="1"/>
    <col min="15" max="15" width="7.77734375" style="4" hidden="1" customWidth="1"/>
    <col min="16" max="16" width="9.21875" style="4" customWidth="1"/>
    <col min="17" max="17" width="10" style="4" bestFit="1" customWidth="1"/>
    <col min="18" max="18" width="9.5546875" style="4" customWidth="1"/>
    <col min="19" max="23" width="9.21875" style="4"/>
    <col min="24" max="24" width="9.77734375" style="4" customWidth="1"/>
    <col min="25" max="16384" width="9.21875" style="4"/>
  </cols>
  <sheetData>
    <row r="1" spans="1:37" s="3" customFormat="1" ht="17.399999999999999" x14ac:dyDescent="0.45">
      <c r="A1" s="159" t="s">
        <v>203</v>
      </c>
      <c r="B1" s="159"/>
      <c r="C1" s="159"/>
      <c r="D1" s="159"/>
      <c r="E1" s="159"/>
      <c r="F1" s="159"/>
      <c r="G1" s="159"/>
      <c r="H1" s="159"/>
      <c r="I1" s="159"/>
      <c r="J1" s="159"/>
      <c r="K1" s="159"/>
      <c r="L1" s="159"/>
      <c r="M1" s="1"/>
      <c r="N1" s="1"/>
      <c r="O1" s="2"/>
      <c r="P1" s="2"/>
    </row>
    <row r="2" spans="1:37" s="5" customFormat="1" ht="29.25" customHeight="1" x14ac:dyDescent="0.3">
      <c r="A2" s="21" t="s">
        <v>51</v>
      </c>
      <c r="B2" s="22"/>
      <c r="C2" s="22"/>
      <c r="D2" s="22"/>
      <c r="E2" s="22"/>
      <c r="F2" s="22"/>
      <c r="G2" s="22"/>
      <c r="H2" s="4"/>
      <c r="I2" s="4"/>
      <c r="J2" s="4"/>
      <c r="K2" s="4"/>
      <c r="L2" s="4"/>
      <c r="M2" s="4"/>
      <c r="N2" s="4"/>
      <c r="O2" s="4"/>
      <c r="P2" s="4"/>
    </row>
    <row r="3" spans="1:37" s="5" customFormat="1" ht="15" customHeight="1" thickBot="1" x14ac:dyDescent="0.35">
      <c r="A3" s="154" t="s">
        <v>86</v>
      </c>
      <c r="B3" s="22"/>
      <c r="C3" s="22"/>
      <c r="D3" s="22"/>
      <c r="E3" s="22"/>
      <c r="F3" s="22"/>
      <c r="G3" s="4"/>
      <c r="H3" s="4"/>
      <c r="I3" s="4"/>
      <c r="J3" s="4"/>
      <c r="K3" s="4"/>
      <c r="L3" s="4"/>
      <c r="M3" s="4"/>
      <c r="N3" s="4"/>
      <c r="O3" s="4"/>
      <c r="P3" s="4"/>
      <c r="Q3" s="4"/>
    </row>
    <row r="4" spans="1:37" s="3" customFormat="1" ht="39" customHeight="1" thickBot="1" x14ac:dyDescent="0.35">
      <c r="A4" s="2"/>
      <c r="B4" s="191" t="s">
        <v>193</v>
      </c>
      <c r="C4" s="191"/>
      <c r="D4" s="32"/>
      <c r="E4" s="191" t="s">
        <v>192</v>
      </c>
      <c r="F4" s="191"/>
      <c r="G4" s="32"/>
      <c r="H4" s="191" t="s">
        <v>194</v>
      </c>
      <c r="I4" s="191"/>
      <c r="J4" s="32"/>
      <c r="K4" s="191" t="s">
        <v>195</v>
      </c>
      <c r="L4" s="191"/>
      <c r="M4" s="2"/>
      <c r="N4" s="2"/>
      <c r="O4" s="28"/>
      <c r="P4" s="28"/>
      <c r="R4" s="28"/>
      <c r="S4" s="28"/>
      <c r="U4" s="28"/>
      <c r="V4" s="28"/>
      <c r="W4" s="28"/>
      <c r="X4" s="28"/>
      <c r="Y4" s="28"/>
    </row>
    <row r="5" spans="1:37" s="10" customFormat="1" ht="15" thickBot="1" x14ac:dyDescent="0.35">
      <c r="A5" s="8" t="s">
        <v>50</v>
      </c>
      <c r="B5" s="9" t="s">
        <v>60</v>
      </c>
      <c r="C5" s="9" t="s">
        <v>61</v>
      </c>
      <c r="D5" s="9"/>
      <c r="E5" s="9" t="s">
        <v>60</v>
      </c>
      <c r="F5" s="9" t="s">
        <v>61</v>
      </c>
      <c r="G5" s="9"/>
      <c r="H5" s="9" t="s">
        <v>60</v>
      </c>
      <c r="I5" s="9" t="s">
        <v>61</v>
      </c>
      <c r="J5" s="9"/>
      <c r="K5" s="9" t="s">
        <v>60</v>
      </c>
      <c r="L5" s="9" t="s">
        <v>61</v>
      </c>
      <c r="Q5" s="4"/>
    </row>
    <row r="6" spans="1:37" s="5" customFormat="1" ht="15" customHeight="1" x14ac:dyDescent="0.3">
      <c r="A6" s="24" t="s">
        <v>0</v>
      </c>
      <c r="B6" s="15">
        <f ca="1">IF(FIRE1201_historical_raw!B8="N/A","N/A",IF(FIRE1201_historical_raw!B8="..","..",ROUND(FIRE1201_historical_raw!B8,0)))</f>
        <v>576077</v>
      </c>
      <c r="C6" s="15">
        <f ca="1">IF(FIRE1201_historical_raw!C8="N/A","N/A",IF(FIRE1201_historical_raw!C8="..","..",ROUND(FIRE1201_historical_raw!C8,0)))</f>
        <v>994270</v>
      </c>
      <c r="D6" s="15"/>
      <c r="E6" s="15">
        <f ca="1">IF(FIRE1201_historical_raw!D8="N/A","N/A",IF(FIRE1201_historical_raw!D8="..","..",ROUND(FIRE1201_historical_raw!D8,0)))</f>
        <v>316017</v>
      </c>
      <c r="F6" s="15">
        <f ca="1">IF(FIRE1201_historical_raw!E8="N/A","N/A",IF(FIRE1201_historical_raw!E8="..","..",ROUND(FIRE1201_historical_raw!E8,0)))</f>
        <v>506216</v>
      </c>
      <c r="G6" s="15"/>
      <c r="H6" s="15">
        <f ca="1">IF(FIRE1201_historical_raw!F8="N/A","N/A",IF(FIRE1201_historical_raw!F8="..","..",ROUND(FIRE1201_historical_raw!F8,0)))</f>
        <v>146464</v>
      </c>
      <c r="I6" s="15">
        <f ca="1">IF(FIRE1201_historical_raw!G8="N/A","N/A",IF(FIRE1201_historical_raw!G8="..","..",ROUND(FIRE1201_historical_raw!G8,0)))</f>
        <v>308836</v>
      </c>
      <c r="J6" s="15"/>
      <c r="K6" s="15">
        <f ca="1">IF(FIRE1201_historical_raw!H8="N/A","N/A",IF(FIRE1201_historical_raw!H8="..","..",ROUND(FIRE1201_historical_raw!H8,0)))</f>
        <v>24284</v>
      </c>
      <c r="L6" s="15">
        <f ca="1">IF(FIRE1201_historical_raw!I8="N/A","N/A",IF(FIRE1201_historical_raw!I8="..","..",ROUND(FIRE1201_historical_raw!I8,0)))</f>
        <v>23888</v>
      </c>
      <c r="M6" s="4"/>
      <c r="O6" s="11"/>
      <c r="P6" s="11"/>
      <c r="Q6" s="11"/>
      <c r="R6" s="11"/>
      <c r="S6" s="11"/>
      <c r="T6" s="11"/>
      <c r="U6" s="11"/>
      <c r="V6" s="11"/>
      <c r="W6" s="11"/>
      <c r="AB6" s="12"/>
      <c r="AC6" s="12"/>
      <c r="AD6" s="12"/>
      <c r="AE6" s="12"/>
      <c r="AF6" s="12"/>
      <c r="AG6" s="12"/>
      <c r="AH6" s="12"/>
      <c r="AI6" s="12"/>
      <c r="AJ6" s="12"/>
      <c r="AK6" s="12"/>
    </row>
    <row r="7" spans="1:37" s="5" customFormat="1" ht="15" customHeight="1" x14ac:dyDescent="0.3">
      <c r="A7" s="25" t="s">
        <v>77</v>
      </c>
      <c r="B7" s="15">
        <f ca="1">IF(FIRE1201_historical_raw!B9="N/A","N/A",IF(FIRE1201_historical_raw!B9="..","..",ROUND(FIRE1201_historical_raw!B9,0)))</f>
        <v>309999</v>
      </c>
      <c r="C7" s="15">
        <f ca="1">IF(FIRE1201_historical_raw!C9="N/A","N/A",IF(FIRE1201_historical_raw!C9="..","..",ROUND(FIRE1201_historical_raw!C9,0)))</f>
        <v>468630</v>
      </c>
      <c r="D7" s="15"/>
      <c r="E7" s="15">
        <f ca="1">IF(FIRE1201_historical_raw!D9="N/A","N/A",IF(FIRE1201_historical_raw!D9="..","..",ROUND(FIRE1201_historical_raw!D9,0)))</f>
        <v>196507</v>
      </c>
      <c r="F7" s="15">
        <f ca="1">IF(FIRE1201_historical_raw!E9="N/A","N/A",IF(FIRE1201_historical_raw!E9="..","..",ROUND(FIRE1201_historical_raw!E9,0)))</f>
        <v>263512</v>
      </c>
      <c r="G7" s="15"/>
      <c r="H7" s="15">
        <f ca="1">IF(FIRE1201_historical_raw!F9="N/A","N/A",IF(FIRE1201_historical_raw!F9="..","..",ROUND(FIRE1201_historical_raw!F9,0)))</f>
        <v>67905</v>
      </c>
      <c r="I7" s="15">
        <f ca="1">IF(FIRE1201_historical_raw!G9="N/A","N/A",IF(FIRE1201_historical_raw!G9="..","..",ROUND(FIRE1201_historical_raw!G9,0)))</f>
        <v>114131</v>
      </c>
      <c r="J7" s="15"/>
      <c r="K7" s="15">
        <f ca="1">IF(FIRE1201_historical_raw!H9="N/A","N/A",IF(FIRE1201_historical_raw!H9="..","..",ROUND(FIRE1201_historical_raw!H9,0)))</f>
        <v>17350</v>
      </c>
      <c r="L7" s="15">
        <f ca="1">IF(FIRE1201_historical_raw!I9="N/A","N/A",IF(FIRE1201_historical_raw!I9="..","..",ROUND(FIRE1201_historical_raw!I9,0)))</f>
        <v>22552</v>
      </c>
      <c r="M7" s="4"/>
      <c r="O7" s="11"/>
      <c r="P7" s="11"/>
      <c r="Q7" s="11"/>
      <c r="R7" s="11"/>
      <c r="S7" s="11"/>
      <c r="T7" s="11"/>
      <c r="U7" s="11"/>
      <c r="V7" s="11"/>
      <c r="W7" s="11"/>
      <c r="AB7" s="12"/>
      <c r="AC7" s="12"/>
      <c r="AD7" s="12"/>
      <c r="AE7" s="12"/>
      <c r="AF7" s="12"/>
      <c r="AG7" s="12"/>
      <c r="AH7" s="12"/>
      <c r="AI7" s="12"/>
      <c r="AJ7" s="12"/>
      <c r="AK7" s="12"/>
    </row>
    <row r="8" spans="1:37" s="5" customFormat="1" ht="15" customHeight="1" x14ac:dyDescent="0.3">
      <c r="A8" s="23" t="s">
        <v>49</v>
      </c>
      <c r="B8" s="15">
        <f ca="1">IF(FIRE1201_historical_raw!B10="N/A","N/A",IF(FIRE1201_historical_raw!B10="..","..",ROUND(FIRE1201_historical_raw!B10,0)))</f>
        <v>266078</v>
      </c>
      <c r="C8" s="15">
        <f ca="1">IF(FIRE1201_historical_raw!C10="N/A","N/A",IF(FIRE1201_historical_raw!C10="..","..",ROUND(FIRE1201_historical_raw!C10,0)))</f>
        <v>525640</v>
      </c>
      <c r="D8" s="15"/>
      <c r="E8" s="15">
        <f ca="1">IF(FIRE1201_historical_raw!D10="N/A","N/A",IF(FIRE1201_historical_raw!D10="..","..",ROUND(FIRE1201_historical_raw!D10,0)))</f>
        <v>119510</v>
      </c>
      <c r="F8" s="15">
        <f ca="1">IF(FIRE1201_historical_raw!E10="N/A","N/A",IF(FIRE1201_historical_raw!E10="..","..",ROUND(FIRE1201_historical_raw!E10,0)))</f>
        <v>242704</v>
      </c>
      <c r="G8" s="15"/>
      <c r="H8" s="15">
        <f ca="1">IF(FIRE1201_historical_raw!F10="N/A","N/A",IF(FIRE1201_historical_raw!F10="..","..",ROUND(FIRE1201_historical_raw!F10,0)))</f>
        <v>78559</v>
      </c>
      <c r="I8" s="15">
        <f ca="1">IF(FIRE1201_historical_raw!G10="N/A","N/A",IF(FIRE1201_historical_raw!G10="..","..",ROUND(FIRE1201_historical_raw!G10,0)))</f>
        <v>194705</v>
      </c>
      <c r="J8" s="15"/>
      <c r="K8" s="15">
        <f ca="1">IF(FIRE1201_historical_raw!H10="N/A","N/A",IF(FIRE1201_historical_raw!H10="..","..",ROUND(FIRE1201_historical_raw!H10,0)))</f>
        <v>6934</v>
      </c>
      <c r="L8" s="15">
        <f ca="1">IF(FIRE1201_historical_raw!I10="N/A","N/A",IF(FIRE1201_historical_raw!I10="..","..",ROUND(FIRE1201_historical_raw!I10,0)))</f>
        <v>1336</v>
      </c>
      <c r="M8" s="4"/>
      <c r="O8" s="11"/>
      <c r="P8" s="11"/>
      <c r="Q8" s="11"/>
      <c r="R8" s="11"/>
      <c r="S8" s="11"/>
      <c r="T8" s="11"/>
      <c r="U8" s="11"/>
      <c r="V8" s="11"/>
      <c r="W8" s="11"/>
      <c r="AB8" s="12"/>
      <c r="AC8" s="12"/>
      <c r="AD8" s="12"/>
      <c r="AE8" s="12"/>
      <c r="AF8" s="12"/>
      <c r="AG8" s="12"/>
      <c r="AH8" s="12"/>
      <c r="AI8" s="12"/>
      <c r="AJ8" s="12"/>
      <c r="AK8" s="12"/>
    </row>
    <row r="9" spans="1:37" s="5" customFormat="1" ht="15" customHeight="1" x14ac:dyDescent="0.3">
      <c r="A9" s="23" t="s">
        <v>114</v>
      </c>
      <c r="B9" s="15">
        <f ca="1">IF(FIRE1201_historical_raw!B11="N/A","N/A",IF(FIRE1201_historical_raw!B11="..","..",ROUND(FIRE1201_historical_raw!B11,0)))</f>
        <v>329772</v>
      </c>
      <c r="C9" s="15">
        <f ca="1">IF(FIRE1201_historical_raw!C11="N/A","N/A",IF(FIRE1201_historical_raw!C11="..","..",ROUND(FIRE1201_historical_raw!C11,0)))</f>
        <v>683717</v>
      </c>
      <c r="D9" s="15"/>
      <c r="E9" s="15">
        <f ca="1">IF(FIRE1201_historical_raw!D11="N/A","N/A",IF(FIRE1201_historical_raw!D11="..","..",ROUND(FIRE1201_historical_raw!D11,0)))</f>
        <v>160249</v>
      </c>
      <c r="F9" s="15">
        <f ca="1">IF(FIRE1201_historical_raw!E11="N/A","N/A",IF(FIRE1201_historical_raw!E11="..","..",ROUND(FIRE1201_historical_raw!E11,0)))</f>
        <v>335328</v>
      </c>
      <c r="G9" s="15"/>
      <c r="H9" s="15">
        <f ca="1">IF(FIRE1201_historical_raw!F11="N/A","N/A",IF(FIRE1201_historical_raw!F11="..","..",ROUND(FIRE1201_historical_raw!F11,0)))</f>
        <v>99010</v>
      </c>
      <c r="I9" s="15">
        <f ca="1">IF(FIRE1201_historical_raw!G11="N/A","N/A",IF(FIRE1201_historical_raw!G11="..","..",ROUND(FIRE1201_historical_raw!G11,0)))</f>
        <v>239325</v>
      </c>
      <c r="J9" s="15"/>
      <c r="K9" s="15">
        <f ca="1">IF(FIRE1201_historical_raw!H11="N/A","N/A",IF(FIRE1201_historical_raw!H11="..","..",ROUND(FIRE1201_historical_raw!H11,0)))</f>
        <v>15874</v>
      </c>
      <c r="L9" s="15">
        <f ca="1">IF(FIRE1201_historical_raw!I11="N/A","N/A",IF(FIRE1201_historical_raw!I11="..","..",ROUND(FIRE1201_historical_raw!I11,0)))</f>
        <v>16891</v>
      </c>
      <c r="M9" s="4"/>
      <c r="O9" s="11"/>
      <c r="P9" s="11"/>
      <c r="R9" s="11"/>
      <c r="S9" s="11"/>
      <c r="U9" s="13"/>
      <c r="V9" s="13"/>
      <c r="W9" s="13"/>
      <c r="X9" s="13"/>
      <c r="Y9" s="13"/>
      <c r="AA9" s="12"/>
      <c r="AB9" s="12"/>
      <c r="AC9" s="12"/>
      <c r="AD9" s="12"/>
      <c r="AE9" s="12"/>
      <c r="AF9" s="12"/>
      <c r="AG9" s="12"/>
      <c r="AH9" s="12"/>
      <c r="AI9" s="12"/>
      <c r="AJ9" s="12"/>
      <c r="AK9" s="12"/>
    </row>
    <row r="10" spans="1:37" s="5" customFormat="1" ht="15" customHeight="1" x14ac:dyDescent="0.3">
      <c r="A10" s="23" t="s">
        <v>115</v>
      </c>
      <c r="B10" s="15">
        <f ca="1">IF(FIRE1201_historical_raw!B12="N/A","N/A",IF(FIRE1201_historical_raw!B12="..","..",ROUND(FIRE1201_historical_raw!B12,0)))</f>
        <v>167847</v>
      </c>
      <c r="C10" s="15">
        <f ca="1">IF(FIRE1201_historical_raw!C12="N/A","N/A",IF(FIRE1201_historical_raw!C12="..","..",ROUND(FIRE1201_historical_raw!C12,0)))</f>
        <v>220537</v>
      </c>
      <c r="D10" s="15"/>
      <c r="E10" s="15">
        <f ca="1">IF(FIRE1201_historical_raw!D12="N/A","N/A",IF(FIRE1201_historical_raw!D12="..","..",ROUND(FIRE1201_historical_raw!D12,0)))</f>
        <v>113954</v>
      </c>
      <c r="F10" s="15">
        <f ca="1">IF(FIRE1201_historical_raw!E12="N/A","N/A",IF(FIRE1201_historical_raw!E12="..","..",ROUND(FIRE1201_historical_raw!E12,0)))</f>
        <v>119284</v>
      </c>
      <c r="G10" s="15"/>
      <c r="H10" s="15">
        <f ca="1">IF(FIRE1201_historical_raw!F12="N/A","N/A",IF(FIRE1201_historical_raw!F12="..","..",ROUND(FIRE1201_historical_raw!F12,0)))</f>
        <v>31821</v>
      </c>
      <c r="I10" s="15">
        <f ca="1">IF(FIRE1201_historical_raw!G12="N/A","N/A",IF(FIRE1201_historical_raw!G12="..","..",ROUND(FIRE1201_historical_raw!G12,0)))</f>
        <v>48660</v>
      </c>
      <c r="J10" s="15"/>
      <c r="K10" s="15">
        <f ca="1">IF(FIRE1201_historical_raw!H12="N/A","N/A",IF(FIRE1201_historical_raw!H12="..","..",ROUND(FIRE1201_historical_raw!H12,0)))</f>
        <v>5827</v>
      </c>
      <c r="L10" s="15">
        <f ca="1">IF(FIRE1201_historical_raw!I12="N/A","N/A",IF(FIRE1201_historical_raw!I12="..","..",ROUND(FIRE1201_historical_raw!I12,0)))</f>
        <v>5904</v>
      </c>
      <c r="M10" s="4"/>
      <c r="O10" s="11"/>
      <c r="P10" s="11"/>
      <c r="R10" s="11"/>
      <c r="S10" s="11"/>
      <c r="U10" s="13"/>
      <c r="V10" s="13"/>
      <c r="W10" s="13"/>
      <c r="X10" s="13"/>
      <c r="Y10" s="13"/>
      <c r="AA10" s="12"/>
      <c r="AB10" s="12"/>
      <c r="AC10" s="12"/>
      <c r="AD10" s="12"/>
      <c r="AE10" s="12"/>
      <c r="AF10" s="12"/>
      <c r="AG10" s="12"/>
      <c r="AH10" s="12"/>
      <c r="AI10" s="12"/>
      <c r="AJ10" s="12"/>
      <c r="AK10" s="12"/>
    </row>
    <row r="11" spans="1:37" s="5" customFormat="1" ht="15" customHeight="1" x14ac:dyDescent="0.3">
      <c r="A11" s="23" t="s">
        <v>116</v>
      </c>
      <c r="B11" s="15">
        <f ca="1">IF(FIRE1201_historical_raw!B13="N/A","N/A",IF(FIRE1201_historical_raw!B13="..","..",ROUND(FIRE1201_historical_raw!B13,0)))</f>
        <v>78458</v>
      </c>
      <c r="C11" s="15">
        <f ca="1">IF(FIRE1201_historical_raw!C13="N/A","N/A",IF(FIRE1201_historical_raw!C13="..","..",ROUND(FIRE1201_historical_raw!C13,0)))</f>
        <v>90016</v>
      </c>
      <c r="D11" s="15"/>
      <c r="E11" s="15">
        <f ca="1">IF(FIRE1201_historical_raw!D13="N/A","N/A",IF(FIRE1201_historical_raw!D13="..","..",ROUND(FIRE1201_historical_raw!D13,0)))</f>
        <v>41814</v>
      </c>
      <c r="F11" s="15">
        <f ca="1">IF(FIRE1201_historical_raw!E13="N/A","N/A",IF(FIRE1201_historical_raw!E13="..","..",ROUND(FIRE1201_historical_raw!E13,0)))</f>
        <v>51604</v>
      </c>
      <c r="G11" s="15"/>
      <c r="H11" s="15">
        <f ca="1">IF(FIRE1201_historical_raw!F13="N/A","N/A",IF(FIRE1201_historical_raw!F13="..","..",ROUND(FIRE1201_historical_raw!F13,0)))</f>
        <v>15633</v>
      </c>
      <c r="I11" s="15">
        <f ca="1">IF(FIRE1201_historical_raw!G13="N/A","N/A",IF(FIRE1201_historical_raw!G13="..","..",ROUND(FIRE1201_historical_raw!G13,0)))</f>
        <v>20851</v>
      </c>
      <c r="J11" s="15"/>
      <c r="K11" s="15">
        <f ca="1">IF(FIRE1201_historical_raw!H13="N/A","N/A",IF(FIRE1201_historical_raw!H13="..","..",ROUND(FIRE1201_historical_raw!H13,0)))</f>
        <v>2583</v>
      </c>
      <c r="L11" s="15">
        <f ca="1">IF(FIRE1201_historical_raw!I13="N/A","N/A",IF(FIRE1201_historical_raw!I13="..","..",ROUND(FIRE1201_historical_raw!I13,0)))</f>
        <v>1093</v>
      </c>
      <c r="M11" s="4"/>
      <c r="O11" s="11"/>
      <c r="P11" s="11"/>
      <c r="R11" s="11"/>
      <c r="S11" s="11"/>
      <c r="U11" s="13"/>
      <c r="V11" s="13"/>
      <c r="W11" s="13"/>
      <c r="X11" s="13"/>
      <c r="Y11" s="13"/>
      <c r="AA11" s="12"/>
      <c r="AB11" s="12"/>
      <c r="AC11" s="12"/>
      <c r="AD11" s="12"/>
      <c r="AE11" s="12"/>
      <c r="AF11" s="12"/>
      <c r="AG11" s="12"/>
      <c r="AH11" s="12"/>
      <c r="AI11" s="12"/>
      <c r="AJ11" s="12"/>
      <c r="AK11" s="12"/>
    </row>
    <row r="12" spans="1:37" s="5" customFormat="1" ht="15" customHeight="1" x14ac:dyDescent="0.3">
      <c r="A12" s="4" t="s">
        <v>3</v>
      </c>
      <c r="B12" s="29">
        <f ca="1">IF(FIRE1201_historical_raw!B14="N/A","N/A",IF(FIRE1201_historical_raw!B14="..","..",ROUND(FIRE1201_historical_raw!B14,0)))</f>
        <v>8402</v>
      </c>
      <c r="C12" s="29">
        <f ca="1">IF(FIRE1201_historical_raw!C14="N/A","N/A",IF(FIRE1201_historical_raw!C14="..","..",ROUND(FIRE1201_historical_raw!C14,0)))</f>
        <v>9140</v>
      </c>
      <c r="D12" s="29"/>
      <c r="E12" s="29">
        <f ca="1">IF(FIRE1201_historical_raw!D14="N/A","N/A",IF(FIRE1201_historical_raw!D14="..","..",ROUND(FIRE1201_historical_raw!D14,0)))</f>
        <v>5426</v>
      </c>
      <c r="F12" s="29">
        <f ca="1">IF(FIRE1201_historical_raw!E14="N/A","N/A",IF(FIRE1201_historical_raw!E14="..","..",ROUND(FIRE1201_historical_raw!E14,0)))</f>
        <v>6078</v>
      </c>
      <c r="G12" s="29"/>
      <c r="H12" s="29">
        <f ca="1">IF(FIRE1201_historical_raw!F14="N/A","N/A",IF(FIRE1201_historical_raw!F14="..","..",ROUND(FIRE1201_historical_raw!F14,0)))</f>
        <v>3299</v>
      </c>
      <c r="I12" s="29">
        <f ca="1">IF(FIRE1201_historical_raw!G14="N/A","N/A",IF(FIRE1201_historical_raw!G14="..","..",ROUND(FIRE1201_historical_raw!G14,0)))</f>
        <v>3604</v>
      </c>
      <c r="J12" s="29"/>
      <c r="K12" s="29">
        <f ca="1">IF(FIRE1201_historical_raw!H14="N/A","N/A",IF(FIRE1201_historical_raw!H14="..","..",ROUND(FIRE1201_historical_raw!H14,0)))</f>
        <v>1094</v>
      </c>
      <c r="L12" s="29">
        <f ca="1">IF(FIRE1201_historical_raw!I14="N/A","N/A",IF(FIRE1201_historical_raw!I14="..","..",ROUND(FIRE1201_historical_raw!I14,0)))</f>
        <v>549</v>
      </c>
      <c r="M12" s="4"/>
      <c r="O12" s="11"/>
      <c r="P12" s="11"/>
      <c r="R12" s="11"/>
      <c r="S12" s="11"/>
      <c r="U12" s="13"/>
      <c r="V12" s="13"/>
      <c r="W12" s="13"/>
      <c r="X12" s="13"/>
      <c r="Y12" s="13"/>
      <c r="AA12" s="12"/>
      <c r="AB12" s="12"/>
      <c r="AC12" s="12"/>
      <c r="AD12" s="12"/>
      <c r="AE12" s="12"/>
      <c r="AF12" s="12"/>
      <c r="AG12" s="12"/>
      <c r="AH12" s="12"/>
      <c r="AI12" s="12"/>
      <c r="AJ12" s="12"/>
      <c r="AK12" s="12"/>
    </row>
    <row r="13" spans="1:37" s="5" customFormat="1" ht="15" customHeight="1" x14ac:dyDescent="0.3">
      <c r="A13" s="4" t="s">
        <v>4</v>
      </c>
      <c r="B13" s="29">
        <f ca="1">IF(FIRE1201_historical_raw!B15="N/A","N/A",IF(FIRE1201_historical_raw!B15="..","..",ROUND(FIRE1201_historical_raw!B15,0)))</f>
        <v>2101</v>
      </c>
      <c r="C13" s="29">
        <f ca="1">IF(FIRE1201_historical_raw!C15="N/A","N/A",IF(FIRE1201_historical_raw!C15="..","..",ROUND(FIRE1201_historical_raw!C15,0)))</f>
        <v>3089</v>
      </c>
      <c r="D13" s="29"/>
      <c r="E13" s="29">
        <f ca="1">IF(FIRE1201_historical_raw!D15="N/A","N/A",IF(FIRE1201_historical_raw!D15="..","..",ROUND(FIRE1201_historical_raw!D15,0)))</f>
        <v>938</v>
      </c>
      <c r="F13" s="29">
        <f ca="1">IF(FIRE1201_historical_raw!E15="N/A","N/A",IF(FIRE1201_historical_raw!E15="..","..",ROUND(FIRE1201_historical_raw!E15,0)))</f>
        <v>1668</v>
      </c>
      <c r="G13" s="29"/>
      <c r="H13" s="29" t="str">
        <f ca="1">IF(FIRE1201_historical_raw!F15="N/A","N/A",IF(FIRE1201_historical_raw!F15="..","..",ROUND(FIRE1201_historical_raw!F15,0)))</f>
        <v>N/A</v>
      </c>
      <c r="I13" s="29" t="str">
        <f ca="1">IF(FIRE1201_historical_raw!G15="N/A","N/A",IF(FIRE1201_historical_raw!G15="..","..",ROUND(FIRE1201_historical_raw!G15,0)))</f>
        <v>N/A</v>
      </c>
      <c r="J13" s="29"/>
      <c r="K13" s="29">
        <f ca="1">IF(FIRE1201_historical_raw!H15="N/A","N/A",IF(FIRE1201_historical_raw!H15="..","..",ROUND(FIRE1201_historical_raw!H15,0)))</f>
        <v>738</v>
      </c>
      <c r="L13" s="29" t="str">
        <f ca="1">IF(FIRE1201_historical_raw!I15="N/A","N/A",IF(FIRE1201_historical_raw!I15="..","..",ROUND(FIRE1201_historical_raw!I15,0)))</f>
        <v>N/A</v>
      </c>
      <c r="M13" s="4"/>
      <c r="O13" s="11"/>
      <c r="P13" s="11"/>
      <c r="R13" s="11"/>
      <c r="S13" s="11"/>
      <c r="U13" s="13"/>
      <c r="V13" s="13"/>
      <c r="W13" s="13"/>
      <c r="X13" s="13"/>
      <c r="Y13" s="13"/>
      <c r="AA13" s="12"/>
      <c r="AB13" s="12"/>
      <c r="AC13" s="12"/>
      <c r="AD13" s="12"/>
      <c r="AE13" s="12"/>
      <c r="AF13" s="12"/>
      <c r="AG13" s="12"/>
      <c r="AH13" s="12"/>
      <c r="AI13" s="12"/>
      <c r="AJ13" s="12"/>
      <c r="AK13" s="12"/>
    </row>
    <row r="14" spans="1:37" s="5" customFormat="1" ht="15" customHeight="1" x14ac:dyDescent="0.3">
      <c r="A14" s="4" t="s">
        <v>5</v>
      </c>
      <c r="B14" s="29">
        <f ca="1">IF(FIRE1201_historical_raw!B16="N/A","N/A",IF(FIRE1201_historical_raw!B16="..","..",ROUND(FIRE1201_historical_raw!B16,0)))</f>
        <v>9203</v>
      </c>
      <c r="C14" s="29">
        <f ca="1">IF(FIRE1201_historical_raw!C16="N/A","N/A",IF(FIRE1201_historical_raw!C16="..","..",ROUND(FIRE1201_historical_raw!C16,0)))</f>
        <v>10580</v>
      </c>
      <c r="D14" s="29"/>
      <c r="E14" s="29">
        <f ca="1">IF(FIRE1201_historical_raw!D16="N/A","N/A",IF(FIRE1201_historical_raw!D16="..","..",ROUND(FIRE1201_historical_raw!D16,0)))</f>
        <v>6556</v>
      </c>
      <c r="F14" s="29">
        <f ca="1">IF(FIRE1201_historical_raw!E16="N/A","N/A",IF(FIRE1201_historical_raw!E16="..","..",ROUND(FIRE1201_historical_raw!E16,0)))</f>
        <v>7512</v>
      </c>
      <c r="G14" s="29"/>
      <c r="H14" s="29">
        <f ca="1">IF(FIRE1201_historical_raw!F16="N/A","N/A",IF(FIRE1201_historical_raw!F16="..","..",ROUND(FIRE1201_historical_raw!F16,0)))</f>
        <v>2117</v>
      </c>
      <c r="I14" s="29">
        <f ca="1">IF(FIRE1201_historical_raw!G16="N/A","N/A",IF(FIRE1201_historical_raw!G16="..","..",ROUND(FIRE1201_historical_raw!G16,0)))</f>
        <v>2433</v>
      </c>
      <c r="J14" s="29"/>
      <c r="K14" s="29">
        <f ca="1">IF(FIRE1201_historical_raw!H16="N/A","N/A",IF(FIRE1201_historical_raw!H16="..","..",ROUND(FIRE1201_historical_raw!H16,0)))</f>
        <v>0</v>
      </c>
      <c r="L14" s="29">
        <f ca="1">IF(FIRE1201_historical_raw!I16="N/A","N/A",IF(FIRE1201_historical_raw!I16="..","..",ROUND(FIRE1201_historical_raw!I16,0)))</f>
        <v>0</v>
      </c>
      <c r="M14" s="4"/>
      <c r="O14" s="11"/>
      <c r="P14" s="11"/>
      <c r="R14" s="11"/>
      <c r="S14" s="11"/>
      <c r="U14" s="13"/>
      <c r="V14" s="13"/>
      <c r="W14" s="13"/>
      <c r="X14" s="13"/>
      <c r="Y14" s="13"/>
      <c r="AA14" s="12"/>
      <c r="AB14" s="12"/>
      <c r="AC14" s="12"/>
      <c r="AD14" s="12"/>
      <c r="AE14" s="12"/>
      <c r="AF14" s="12"/>
      <c r="AG14" s="12"/>
      <c r="AH14" s="12"/>
      <c r="AI14" s="12"/>
      <c r="AJ14" s="12"/>
      <c r="AK14" s="12"/>
    </row>
    <row r="15" spans="1:37" s="5" customFormat="1" ht="15" customHeight="1" x14ac:dyDescent="0.3">
      <c r="A15" s="4" t="s">
        <v>6</v>
      </c>
      <c r="B15" s="29">
        <f ca="1">IF(FIRE1201_historical_raw!B17="N/A","N/A",IF(FIRE1201_historical_raw!B17="..","..",ROUND(FIRE1201_historical_raw!B17,0)))</f>
        <v>3171</v>
      </c>
      <c r="C15" s="29">
        <f ca="1">IF(FIRE1201_historical_raw!C17="N/A","N/A",IF(FIRE1201_historical_raw!C17="..","..",ROUND(FIRE1201_historical_raw!C17,0)))</f>
        <v>1754</v>
      </c>
      <c r="D15" s="29"/>
      <c r="E15" s="29">
        <f ca="1">IF(FIRE1201_historical_raw!D17="N/A","N/A",IF(FIRE1201_historical_raw!D17="..","..",ROUND(FIRE1201_historical_raw!D17,0)))</f>
        <v>1104</v>
      </c>
      <c r="F15" s="29">
        <f ca="1">IF(FIRE1201_historical_raw!E17="N/A","N/A",IF(FIRE1201_historical_raw!E17="..","..",ROUND(FIRE1201_historical_raw!E17,0)))</f>
        <v>1010</v>
      </c>
      <c r="G15" s="29"/>
      <c r="H15" s="29">
        <f ca="1">IF(FIRE1201_historical_raw!F17="N/A","N/A",IF(FIRE1201_historical_raw!F17="..","..",ROUND(FIRE1201_historical_raw!F17,0)))</f>
        <v>399</v>
      </c>
      <c r="I15" s="29">
        <f ca="1">IF(FIRE1201_historical_raw!G17="N/A","N/A",IF(FIRE1201_historical_raw!G17="..","..",ROUND(FIRE1201_historical_raw!G17,0)))</f>
        <v>234</v>
      </c>
      <c r="J15" s="29"/>
      <c r="K15" s="29">
        <f ca="1">IF(FIRE1201_historical_raw!H17="N/A","N/A",IF(FIRE1201_historical_raw!H17="..","..",ROUND(FIRE1201_historical_raw!H17,0)))</f>
        <v>0</v>
      </c>
      <c r="L15" s="29">
        <f ca="1">IF(FIRE1201_historical_raw!I17="N/A","N/A",IF(FIRE1201_historical_raw!I17="..","..",ROUND(FIRE1201_historical_raw!I17,0)))</f>
        <v>0</v>
      </c>
      <c r="M15" s="4"/>
      <c r="O15" s="11"/>
      <c r="P15" s="11"/>
      <c r="R15" s="11"/>
      <c r="S15" s="11"/>
      <c r="U15" s="13"/>
      <c r="V15" s="13"/>
      <c r="W15" s="13"/>
      <c r="X15" s="13"/>
      <c r="Y15" s="13"/>
      <c r="AA15" s="12"/>
      <c r="AB15" s="12"/>
      <c r="AC15" s="12"/>
      <c r="AD15" s="12"/>
      <c r="AE15" s="12"/>
      <c r="AF15" s="12"/>
      <c r="AG15" s="12"/>
      <c r="AH15" s="12"/>
      <c r="AI15" s="12"/>
      <c r="AJ15" s="12"/>
      <c r="AK15" s="12"/>
    </row>
    <row r="16" spans="1:37" s="5" customFormat="1" ht="15" customHeight="1" x14ac:dyDescent="0.3">
      <c r="A16" s="4" t="s">
        <v>7</v>
      </c>
      <c r="B16" s="29">
        <f ca="1">IF(FIRE1201_historical_raw!B18="N/A","N/A",IF(FIRE1201_historical_raw!B18="..","..",ROUND(FIRE1201_historical_raw!B18,0)))</f>
        <v>4318</v>
      </c>
      <c r="C16" s="29">
        <f ca="1">IF(FIRE1201_historical_raw!C18="N/A","N/A",IF(FIRE1201_historical_raw!C18="..","..",ROUND(FIRE1201_historical_raw!C18,0)))</f>
        <v>4581</v>
      </c>
      <c r="D16" s="29"/>
      <c r="E16" s="29">
        <f ca="1">IF(FIRE1201_historical_raw!D18="N/A","N/A",IF(FIRE1201_historical_raw!D18="..","..",ROUND(FIRE1201_historical_raw!D18,0)))</f>
        <v>3399</v>
      </c>
      <c r="F16" s="29">
        <f ca="1">IF(FIRE1201_historical_raw!E18="N/A","N/A",IF(FIRE1201_historical_raw!E18="..","..",ROUND(FIRE1201_historical_raw!E18,0)))</f>
        <v>3697</v>
      </c>
      <c r="G16" s="29"/>
      <c r="H16" s="29">
        <f ca="1">IF(FIRE1201_historical_raw!F18="N/A","N/A",IF(FIRE1201_historical_raw!F18="..","..",ROUND(FIRE1201_historical_raw!F18,0)))</f>
        <v>2104</v>
      </c>
      <c r="I16" s="29">
        <f ca="1">IF(FIRE1201_historical_raw!G18="N/A","N/A",IF(FIRE1201_historical_raw!G18="..","..",ROUND(FIRE1201_historical_raw!G18,0)))</f>
        <v>2490</v>
      </c>
      <c r="J16" s="29"/>
      <c r="K16" s="29">
        <f ca="1">IF(FIRE1201_historical_raw!H18="N/A","N/A",IF(FIRE1201_historical_raw!H18="..","..",ROUND(FIRE1201_historical_raw!H18,0)))</f>
        <v>952</v>
      </c>
      <c r="L16" s="29">
        <f ca="1">IF(FIRE1201_historical_raw!I18="N/A","N/A",IF(FIRE1201_historical_raw!I18="..","..",ROUND(FIRE1201_historical_raw!I18,0)))</f>
        <v>682</v>
      </c>
      <c r="M16" s="4"/>
      <c r="O16" s="11"/>
      <c r="P16" s="11"/>
      <c r="R16" s="11"/>
      <c r="S16" s="11"/>
      <c r="U16" s="13"/>
      <c r="V16" s="13"/>
      <c r="W16" s="13"/>
      <c r="X16" s="13"/>
      <c r="Y16" s="13"/>
      <c r="AA16" s="12"/>
      <c r="AB16" s="12"/>
      <c r="AC16" s="12"/>
      <c r="AD16" s="12"/>
      <c r="AE16" s="12"/>
      <c r="AF16" s="12"/>
      <c r="AG16" s="12"/>
      <c r="AH16" s="12"/>
      <c r="AI16" s="12"/>
      <c r="AJ16" s="12"/>
      <c r="AK16" s="12"/>
    </row>
    <row r="17" spans="1:37" s="5" customFormat="1" ht="15" customHeight="1" x14ac:dyDescent="0.3">
      <c r="A17" s="20" t="s">
        <v>8</v>
      </c>
      <c r="B17" s="29">
        <f ca="1">IF(FIRE1201_historical_raw!B19="N/A","N/A",IF(FIRE1201_historical_raw!B19="..","..",ROUND(FIRE1201_historical_raw!B19,0)))</f>
        <v>42395</v>
      </c>
      <c r="C17" s="29">
        <f ca="1">IF(FIRE1201_historical_raw!C19="N/A","N/A",IF(FIRE1201_historical_raw!C19="..","..",ROUND(FIRE1201_historical_raw!C19,0)))</f>
        <v>21198</v>
      </c>
      <c r="D17" s="29"/>
      <c r="E17" s="29">
        <f ca="1">IF(FIRE1201_historical_raw!D19="N/A","N/A",IF(FIRE1201_historical_raw!D19="..","..",ROUND(FIRE1201_historical_raw!D19,0)))</f>
        <v>36379</v>
      </c>
      <c r="F17" s="29">
        <f ca="1">IF(FIRE1201_historical_raw!E19="N/A","N/A",IF(FIRE1201_historical_raw!E19="..","..",ROUND(FIRE1201_historical_raw!E19,0)))</f>
        <v>18190</v>
      </c>
      <c r="G17" s="29"/>
      <c r="H17" s="29">
        <f ca="1">IF(FIRE1201_historical_raw!F19="N/A","N/A",IF(FIRE1201_historical_raw!F19="..","..",ROUND(FIRE1201_historical_raw!F19,0)))</f>
        <v>1465</v>
      </c>
      <c r="I17" s="29">
        <f ca="1">IF(FIRE1201_historical_raw!G19="N/A","N/A",IF(FIRE1201_historical_raw!G19="..","..",ROUND(FIRE1201_historical_raw!G19,0)))</f>
        <v>733</v>
      </c>
      <c r="J17" s="29"/>
      <c r="K17" s="29">
        <f ca="1">IF(FIRE1201_historical_raw!H19="N/A","N/A",IF(FIRE1201_historical_raw!H19="..","..",ROUND(FIRE1201_historical_raw!H19,0)))</f>
        <v>0</v>
      </c>
      <c r="L17" s="29">
        <f ca="1">IF(FIRE1201_historical_raw!I19="N/A","N/A",IF(FIRE1201_historical_raw!I19="..","..",ROUND(FIRE1201_historical_raw!I19,0)))</f>
        <v>0</v>
      </c>
      <c r="M17" s="4"/>
      <c r="O17" s="11"/>
      <c r="P17" s="11"/>
      <c r="R17" s="11"/>
      <c r="S17" s="11"/>
      <c r="U17" s="13"/>
      <c r="V17" s="13"/>
      <c r="W17" s="13"/>
      <c r="X17" s="13"/>
      <c r="Y17" s="13"/>
      <c r="AA17" s="12"/>
      <c r="AB17" s="12"/>
      <c r="AC17" s="12"/>
      <c r="AD17" s="12"/>
      <c r="AE17" s="12"/>
      <c r="AF17" s="12"/>
      <c r="AG17" s="12"/>
      <c r="AH17" s="12"/>
      <c r="AI17" s="12"/>
      <c r="AJ17" s="12"/>
      <c r="AK17" s="12"/>
    </row>
    <row r="18" spans="1:37" s="5" customFormat="1" ht="15" customHeight="1" x14ac:dyDescent="0.3">
      <c r="A18" s="20" t="s">
        <v>9</v>
      </c>
      <c r="B18" s="29">
        <f ca="1">IF(FIRE1201_historical_raw!B20="N/A","N/A",IF(FIRE1201_historical_raw!B20="..","..",ROUND(FIRE1201_historical_raw!B20,0)))</f>
        <v>18315</v>
      </c>
      <c r="C18" s="29">
        <f ca="1">IF(FIRE1201_historical_raw!C20="N/A","N/A",IF(FIRE1201_historical_raw!C20="..","..",ROUND(FIRE1201_historical_raw!C20,0)))</f>
        <v>76000</v>
      </c>
      <c r="D18" s="29"/>
      <c r="E18" s="29">
        <f ca="1">IF(FIRE1201_historical_raw!D20="N/A","N/A",IF(FIRE1201_historical_raw!D20="..","..",ROUND(FIRE1201_historical_raw!D20,0)))</f>
        <v>10760</v>
      </c>
      <c r="F18" s="29">
        <f ca="1">IF(FIRE1201_historical_raw!E20="N/A","N/A",IF(FIRE1201_historical_raw!E20="..","..",ROUND(FIRE1201_historical_raw!E20,0)))</f>
        <v>40328</v>
      </c>
      <c r="G18" s="29"/>
      <c r="H18" s="29">
        <f ca="1">IF(FIRE1201_historical_raw!F20="N/A","N/A",IF(FIRE1201_historical_raw!F20="..","..",ROUND(FIRE1201_historical_raw!F20,0)))</f>
        <v>3378</v>
      </c>
      <c r="I18" s="29">
        <f ca="1">IF(FIRE1201_historical_raw!G20="N/A","N/A",IF(FIRE1201_historical_raw!G20="..","..",ROUND(FIRE1201_historical_raw!G20,0)))</f>
        <v>6777</v>
      </c>
      <c r="J18" s="29"/>
      <c r="K18" s="29">
        <f ca="1">IF(FIRE1201_historical_raw!H20="N/A","N/A",IF(FIRE1201_historical_raw!H20="..","..",ROUND(FIRE1201_historical_raw!H20,0)))</f>
        <v>3935</v>
      </c>
      <c r="L18" s="29">
        <f ca="1">IF(FIRE1201_historical_raw!I20="N/A","N/A",IF(FIRE1201_historical_raw!I20="..","..",ROUND(FIRE1201_historical_raw!I20,0)))</f>
        <v>7870</v>
      </c>
      <c r="M18" s="4"/>
      <c r="O18" s="11"/>
      <c r="P18" s="11"/>
      <c r="R18" s="11"/>
      <c r="S18" s="11"/>
      <c r="U18" s="13"/>
      <c r="V18" s="13"/>
      <c r="W18" s="13"/>
      <c r="X18" s="13"/>
      <c r="Y18" s="13"/>
      <c r="AA18" s="12"/>
      <c r="AB18" s="12"/>
      <c r="AC18" s="12"/>
      <c r="AD18" s="12"/>
      <c r="AE18" s="12"/>
      <c r="AF18" s="12"/>
      <c r="AG18" s="12"/>
      <c r="AH18" s="12"/>
      <c r="AI18" s="12"/>
      <c r="AJ18" s="12"/>
      <c r="AK18" s="12"/>
    </row>
    <row r="19" spans="1:37" s="5" customFormat="1" ht="15" customHeight="1" x14ac:dyDescent="0.3">
      <c r="A19" s="20" t="s">
        <v>10</v>
      </c>
      <c r="B19" s="29">
        <f ca="1">IF(FIRE1201_historical_raw!B21="N/A","N/A",IF(FIRE1201_historical_raw!B21="..","..",ROUND(FIRE1201_historical_raw!B21,0)))</f>
        <v>5373</v>
      </c>
      <c r="C19" s="29">
        <f ca="1">IF(FIRE1201_historical_raw!C21="N/A","N/A",IF(FIRE1201_historical_raw!C21="..","..",ROUND(FIRE1201_historical_raw!C21,0)))</f>
        <v>4622</v>
      </c>
      <c r="D19" s="29"/>
      <c r="E19" s="29">
        <f ca="1">IF(FIRE1201_historical_raw!D21="N/A","N/A",IF(FIRE1201_historical_raw!D21="..","..",ROUND(FIRE1201_historical_raw!D21,0)))</f>
        <v>1279</v>
      </c>
      <c r="F19" s="29">
        <f ca="1">IF(FIRE1201_historical_raw!E21="N/A","N/A",IF(FIRE1201_historical_raw!E21="..","..",ROUND(FIRE1201_historical_raw!E21,0)))</f>
        <v>1083</v>
      </c>
      <c r="G19" s="29"/>
      <c r="H19" s="29">
        <f ca="1">IF(FIRE1201_historical_raw!F21="N/A","N/A",IF(FIRE1201_historical_raw!F21="..","..",ROUND(FIRE1201_historical_raw!F21,0)))</f>
        <v>3135</v>
      </c>
      <c r="I19" s="29">
        <f ca="1">IF(FIRE1201_historical_raw!G21="N/A","N/A",IF(FIRE1201_historical_raw!G21="..","..",ROUND(FIRE1201_historical_raw!G21,0)))</f>
        <v>2213</v>
      </c>
      <c r="J19" s="29"/>
      <c r="K19" s="29">
        <f ca="1">IF(FIRE1201_historical_raw!H21="N/A","N/A",IF(FIRE1201_historical_raw!H21="..","..",ROUND(FIRE1201_historical_raw!H21,0)))</f>
        <v>792</v>
      </c>
      <c r="L19" s="29">
        <f ca="1">IF(FIRE1201_historical_raw!I21="N/A","N/A",IF(FIRE1201_historical_raw!I21="..","..",ROUND(FIRE1201_historical_raw!I21,0)))</f>
        <v>179</v>
      </c>
      <c r="M19" s="4"/>
      <c r="O19" s="11"/>
      <c r="P19" s="11"/>
      <c r="R19" s="11"/>
      <c r="S19" s="11"/>
      <c r="U19" s="13"/>
      <c r="V19" s="13"/>
      <c r="W19" s="13"/>
      <c r="X19" s="13"/>
      <c r="Y19" s="13"/>
      <c r="AA19" s="12"/>
      <c r="AB19" s="12"/>
      <c r="AC19" s="12"/>
      <c r="AD19" s="12"/>
      <c r="AE19" s="12"/>
      <c r="AF19" s="12"/>
      <c r="AG19" s="12"/>
      <c r="AH19" s="12"/>
      <c r="AI19" s="12"/>
      <c r="AJ19" s="12"/>
      <c r="AK19" s="12"/>
    </row>
    <row r="20" spans="1:37" s="5" customFormat="1" ht="15" customHeight="1" x14ac:dyDescent="0.3">
      <c r="A20" s="4" t="s">
        <v>11</v>
      </c>
      <c r="B20" s="29">
        <f ca="1">IF(FIRE1201_historical_raw!B22="N/A","N/A",IF(FIRE1201_historical_raw!B22="..","..",ROUND(FIRE1201_historical_raw!B22,0)))</f>
        <v>10070</v>
      </c>
      <c r="C20" s="29">
        <f ca="1">IF(FIRE1201_historical_raw!C22="N/A","N/A",IF(FIRE1201_historical_raw!C22="..","..",ROUND(FIRE1201_historical_raw!C22,0)))</f>
        <v>20140</v>
      </c>
      <c r="D20" s="29"/>
      <c r="E20" s="29">
        <f ca="1">IF(FIRE1201_historical_raw!D22="N/A","N/A",IF(FIRE1201_historical_raw!D22="..","..",ROUND(FIRE1201_historical_raw!D22,0)))</f>
        <v>5244</v>
      </c>
      <c r="F20" s="29">
        <f ca="1">IF(FIRE1201_historical_raw!E22="N/A","N/A",IF(FIRE1201_historical_raw!E22="..","..",ROUND(FIRE1201_historical_raw!E22,0)))</f>
        <v>10488</v>
      </c>
      <c r="G20" s="29"/>
      <c r="H20" s="29">
        <f ca="1">IF(FIRE1201_historical_raw!F22="N/A","N/A",IF(FIRE1201_historical_raw!F22="..","..",ROUND(FIRE1201_historical_raw!F22,0)))</f>
        <v>3754</v>
      </c>
      <c r="I20" s="29">
        <f ca="1">IF(FIRE1201_historical_raw!G22="N/A","N/A",IF(FIRE1201_historical_raw!G22="..","..",ROUND(FIRE1201_historical_raw!G22,0)))</f>
        <v>7508</v>
      </c>
      <c r="J20" s="29"/>
      <c r="K20" s="29">
        <f ca="1">IF(FIRE1201_historical_raw!H22="N/A","N/A",IF(FIRE1201_historical_raw!H22="..","..",ROUND(FIRE1201_historical_raw!H22,0)))</f>
        <v>10</v>
      </c>
      <c r="L20" s="29">
        <f ca="1">IF(FIRE1201_historical_raw!I22="N/A","N/A",IF(FIRE1201_historical_raw!I22="..","..",ROUND(FIRE1201_historical_raw!I22,0)))</f>
        <v>20</v>
      </c>
      <c r="M20" s="4"/>
      <c r="O20" s="11"/>
      <c r="P20" s="11"/>
      <c r="R20" s="11"/>
      <c r="S20" s="11"/>
      <c r="U20" s="13"/>
      <c r="V20" s="13"/>
      <c r="W20" s="13"/>
      <c r="X20" s="13"/>
      <c r="Y20" s="13"/>
      <c r="AA20" s="12"/>
      <c r="AB20" s="12"/>
      <c r="AC20" s="12"/>
      <c r="AD20" s="12"/>
      <c r="AE20" s="12"/>
      <c r="AF20" s="12"/>
      <c r="AG20" s="12"/>
      <c r="AH20" s="12"/>
      <c r="AI20" s="12"/>
      <c r="AJ20" s="12"/>
      <c r="AK20" s="12"/>
    </row>
    <row r="21" spans="1:37" s="5" customFormat="1" ht="15" customHeight="1" x14ac:dyDescent="0.3">
      <c r="A21" s="4" t="s">
        <v>12</v>
      </c>
      <c r="B21" s="29">
        <f ca="1">IF(FIRE1201_historical_raw!B23="N/A","N/A",IF(FIRE1201_historical_raw!B23="..","..",ROUND(FIRE1201_historical_raw!B23,0)))</f>
        <v>9531</v>
      </c>
      <c r="C21" s="29">
        <f ca="1">IF(FIRE1201_historical_raw!C23="N/A","N/A",IF(FIRE1201_historical_raw!C23="..","..",ROUND(FIRE1201_historical_raw!C23,0)))</f>
        <v>15372</v>
      </c>
      <c r="D21" s="29"/>
      <c r="E21" s="29">
        <f ca="1">IF(FIRE1201_historical_raw!D23="N/A","N/A",IF(FIRE1201_historical_raw!D23="..","..",ROUND(FIRE1201_historical_raw!D23,0)))</f>
        <v>7384</v>
      </c>
      <c r="F21" s="29">
        <f ca="1">IF(FIRE1201_historical_raw!E23="N/A","N/A",IF(FIRE1201_historical_raw!E23="..","..",ROUND(FIRE1201_historical_raw!E23,0)))</f>
        <v>11610</v>
      </c>
      <c r="G21" s="29"/>
      <c r="H21" s="29">
        <f ca="1">IF(FIRE1201_historical_raw!F23="N/A","N/A",IF(FIRE1201_historical_raw!F23="..","..",ROUND(FIRE1201_historical_raw!F23,0)))</f>
        <v>3352</v>
      </c>
      <c r="I21" s="29">
        <f ca="1">IF(FIRE1201_historical_raw!G23="N/A","N/A",IF(FIRE1201_historical_raw!G23="..","..",ROUND(FIRE1201_historical_raw!G23,0)))</f>
        <v>5873</v>
      </c>
      <c r="J21" s="29"/>
      <c r="K21" s="29">
        <f ca="1">IF(FIRE1201_historical_raw!H23="N/A","N/A",IF(FIRE1201_historical_raw!H23="..","..",ROUND(FIRE1201_historical_raw!H23,0)))</f>
        <v>3881</v>
      </c>
      <c r="L21" s="29">
        <f ca="1">IF(FIRE1201_historical_raw!I23="N/A","N/A",IF(FIRE1201_historical_raw!I23="..","..",ROUND(FIRE1201_historical_raw!I23,0)))</f>
        <v>4837</v>
      </c>
      <c r="M21" s="4"/>
      <c r="O21" s="11"/>
      <c r="P21" s="11"/>
      <c r="R21" s="11"/>
      <c r="S21" s="11"/>
      <c r="U21" s="13"/>
      <c r="V21" s="13"/>
      <c r="W21" s="13"/>
      <c r="X21" s="13"/>
      <c r="Y21" s="13"/>
      <c r="AA21" s="12"/>
      <c r="AB21" s="12"/>
      <c r="AC21" s="12"/>
      <c r="AD21" s="12"/>
      <c r="AE21" s="12"/>
      <c r="AF21" s="12"/>
      <c r="AG21" s="12"/>
      <c r="AH21" s="12"/>
      <c r="AI21" s="12"/>
      <c r="AJ21" s="12"/>
      <c r="AK21" s="12"/>
    </row>
    <row r="22" spans="1:37" s="5" customFormat="1" ht="15" customHeight="1" x14ac:dyDescent="0.3">
      <c r="A22" s="4" t="s">
        <v>13</v>
      </c>
      <c r="B22" s="29">
        <f ca="1">IF(FIRE1201_historical_raw!B24="N/A","N/A",IF(FIRE1201_historical_raw!B24="..","..",ROUND(FIRE1201_historical_raw!B24,0)))</f>
        <v>10864</v>
      </c>
      <c r="C22" s="29">
        <f ca="1">IF(FIRE1201_historical_raw!C24="N/A","N/A",IF(FIRE1201_historical_raw!C24="..","..",ROUND(FIRE1201_historical_raw!C24,0)))</f>
        <v>13164</v>
      </c>
      <c r="D22" s="29"/>
      <c r="E22" s="29">
        <f ca="1">IF(FIRE1201_historical_raw!D24="N/A","N/A",IF(FIRE1201_historical_raw!D24="..","..",ROUND(FIRE1201_historical_raw!D24,0)))</f>
        <v>7103</v>
      </c>
      <c r="F22" s="29">
        <f ca="1">IF(FIRE1201_historical_raw!E24="N/A","N/A",IF(FIRE1201_historical_raw!E24="..","..",ROUND(FIRE1201_historical_raw!E24,0)))</f>
        <v>9024</v>
      </c>
      <c r="G22" s="29"/>
      <c r="H22" s="29">
        <f ca="1">IF(FIRE1201_historical_raw!F24="N/A","N/A",IF(FIRE1201_historical_raw!F24="..","..",ROUND(FIRE1201_historical_raw!F24,0)))</f>
        <v>2217</v>
      </c>
      <c r="I22" s="29">
        <f ca="1">IF(FIRE1201_historical_raw!G24="N/A","N/A",IF(FIRE1201_historical_raw!G24="..","..",ROUND(FIRE1201_historical_raw!G24,0)))</f>
        <v>2806</v>
      </c>
      <c r="J22" s="29"/>
      <c r="K22" s="29">
        <f ca="1">IF(FIRE1201_historical_raw!H24="N/A","N/A",IF(FIRE1201_historical_raw!H24="..","..",ROUND(FIRE1201_historical_raw!H24,0)))</f>
        <v>0</v>
      </c>
      <c r="L22" s="29">
        <f ca="1">IF(FIRE1201_historical_raw!I24="N/A","N/A",IF(FIRE1201_historical_raw!I24="..","..",ROUND(FIRE1201_historical_raw!I24,0)))</f>
        <v>0</v>
      </c>
      <c r="M22" s="4"/>
      <c r="O22" s="11"/>
      <c r="P22" s="11"/>
      <c r="R22" s="11"/>
      <c r="S22" s="11"/>
      <c r="U22" s="13"/>
      <c r="V22" s="13"/>
      <c r="W22" s="13"/>
      <c r="X22" s="13"/>
      <c r="Y22" s="13"/>
      <c r="AA22" s="12"/>
      <c r="AB22" s="12"/>
      <c r="AC22" s="12"/>
      <c r="AD22" s="12"/>
      <c r="AE22" s="12"/>
      <c r="AF22" s="12"/>
      <c r="AG22" s="12"/>
      <c r="AH22" s="12"/>
      <c r="AI22" s="12"/>
      <c r="AJ22" s="12"/>
      <c r="AK22" s="12"/>
    </row>
    <row r="23" spans="1:37" s="5" customFormat="1" ht="15" customHeight="1" x14ac:dyDescent="0.3">
      <c r="A23" s="4" t="s">
        <v>145</v>
      </c>
      <c r="B23" s="29">
        <f ca="1">IF(FIRE1201_historical_raw!B25="N/A","N/A",IF(FIRE1201_historical_raw!B25="..","..",ROUND(FIRE1201_historical_raw!B25,0)))</f>
        <v>11783</v>
      </c>
      <c r="C23" s="29">
        <f ca="1">IF(FIRE1201_historical_raw!C25="N/A","N/A",IF(FIRE1201_historical_raw!C25="..","..",ROUND(FIRE1201_historical_raw!C25,0)))</f>
        <v>15441</v>
      </c>
      <c r="D23" s="29"/>
      <c r="E23" s="29">
        <f ca="1">IF(FIRE1201_historical_raw!D25="N/A","N/A",IF(FIRE1201_historical_raw!D25="..","..",ROUND(FIRE1201_historical_raw!D25,0)))</f>
        <v>7779</v>
      </c>
      <c r="F23" s="29">
        <f ca="1">IF(FIRE1201_historical_raw!E25="N/A","N/A",IF(FIRE1201_historical_raw!E25="..","..",ROUND(FIRE1201_historical_raw!E25,0)))</f>
        <v>10455</v>
      </c>
      <c r="G23" s="29"/>
      <c r="H23" s="29" t="str">
        <f ca="1">IF(FIRE1201_historical_raw!F25="N/A","N/A",IF(FIRE1201_historical_raw!F25="..","..",ROUND(FIRE1201_historical_raw!F25,0)))</f>
        <v>N/A</v>
      </c>
      <c r="I23" s="29" t="str">
        <f ca="1">IF(FIRE1201_historical_raw!G25="N/A","N/A",IF(FIRE1201_historical_raw!G25="..","..",ROUND(FIRE1201_historical_raw!G25,0)))</f>
        <v>N/A</v>
      </c>
      <c r="J23" s="29"/>
      <c r="K23" s="29">
        <f ca="1">IF(FIRE1201_historical_raw!H25="N/A","N/A",IF(FIRE1201_historical_raw!H25="..","..",ROUND(FIRE1201_historical_raw!H25,0)))</f>
        <v>366</v>
      </c>
      <c r="L23" s="29">
        <f ca="1">IF(FIRE1201_historical_raw!I25="N/A","N/A",IF(FIRE1201_historical_raw!I25="..","..",ROUND(FIRE1201_historical_raw!I25,0)))</f>
        <v>183</v>
      </c>
      <c r="M23" s="4"/>
      <c r="O23" s="11"/>
      <c r="P23" s="11"/>
      <c r="R23" s="11"/>
      <c r="S23" s="11"/>
      <c r="U23" s="13"/>
      <c r="V23" s="13"/>
      <c r="W23" s="13"/>
      <c r="X23" s="13"/>
      <c r="Y23" s="13"/>
      <c r="AA23" s="12"/>
      <c r="AB23" s="12"/>
      <c r="AC23" s="12"/>
      <c r="AD23" s="12"/>
      <c r="AE23" s="12"/>
      <c r="AF23" s="12"/>
      <c r="AG23" s="12"/>
      <c r="AH23" s="12"/>
      <c r="AI23" s="12"/>
      <c r="AJ23" s="12"/>
      <c r="AK23" s="12"/>
    </row>
    <row r="24" spans="1:37" s="5" customFormat="1" ht="15" customHeight="1" x14ac:dyDescent="0.3">
      <c r="A24" s="4" t="s">
        <v>14</v>
      </c>
      <c r="B24" s="29">
        <f ca="1">IF(FIRE1201_historical_raw!B26="N/A","N/A",IF(FIRE1201_historical_raw!B26="..","..",ROUND(FIRE1201_historical_raw!B26,0)))</f>
        <v>19545</v>
      </c>
      <c r="C24" s="29">
        <f ca="1">IF(FIRE1201_historical_raw!C26="N/A","N/A",IF(FIRE1201_historical_raw!C26="..","..",ROUND(FIRE1201_historical_raw!C26,0)))</f>
        <v>14614</v>
      </c>
      <c r="D24" s="29"/>
      <c r="E24" s="29">
        <f ca="1">IF(FIRE1201_historical_raw!D26="N/A","N/A",IF(FIRE1201_historical_raw!D26="..","..",ROUND(FIRE1201_historical_raw!D26,0)))</f>
        <v>7072</v>
      </c>
      <c r="F24" s="29">
        <f ca="1">IF(FIRE1201_historical_raw!E26="N/A","N/A",IF(FIRE1201_historical_raw!E26="..","..",ROUND(FIRE1201_historical_raw!E26,0)))</f>
        <v>5621</v>
      </c>
      <c r="G24" s="29"/>
      <c r="H24" s="29">
        <f ca="1">IF(FIRE1201_historical_raw!F26="N/A","N/A",IF(FIRE1201_historical_raw!F26="..","..",ROUND(FIRE1201_historical_raw!F26,0)))</f>
        <v>1196</v>
      </c>
      <c r="I24" s="29">
        <f ca="1">IF(FIRE1201_historical_raw!G26="N/A","N/A",IF(FIRE1201_historical_raw!G26="..","..",ROUND(FIRE1201_historical_raw!G26,0)))</f>
        <v>1288</v>
      </c>
      <c r="J24" s="29"/>
      <c r="K24" s="29">
        <f ca="1">IF(FIRE1201_historical_raw!H26="N/A","N/A",IF(FIRE1201_historical_raw!H26="..","..",ROUND(FIRE1201_historical_raw!H26,0)))</f>
        <v>0</v>
      </c>
      <c r="L24" s="29">
        <f ca="1">IF(FIRE1201_historical_raw!I26="N/A","N/A",IF(FIRE1201_historical_raw!I26="..","..",ROUND(FIRE1201_historical_raw!I26,0)))</f>
        <v>0</v>
      </c>
      <c r="M24" s="4"/>
      <c r="O24" s="11"/>
      <c r="P24" s="11"/>
      <c r="R24" s="11"/>
      <c r="S24" s="11"/>
      <c r="U24" s="13"/>
      <c r="V24" s="13"/>
      <c r="W24" s="13"/>
      <c r="X24" s="13"/>
      <c r="Y24" s="13"/>
      <c r="AA24" s="12"/>
      <c r="AB24" s="12"/>
      <c r="AC24" s="12"/>
      <c r="AD24" s="12"/>
      <c r="AE24" s="12"/>
      <c r="AF24" s="12"/>
      <c r="AG24" s="12"/>
      <c r="AH24" s="12"/>
      <c r="AI24" s="12"/>
      <c r="AJ24" s="12"/>
      <c r="AK24" s="12"/>
    </row>
    <row r="25" spans="1:37" s="5" customFormat="1" ht="15" customHeight="1" x14ac:dyDescent="0.3">
      <c r="A25" s="4" t="s">
        <v>15</v>
      </c>
      <c r="B25" s="29">
        <f ca="1">IF(FIRE1201_historical_raw!B27="N/A","N/A",IF(FIRE1201_historical_raw!B27="..","..",ROUND(FIRE1201_historical_raw!B27,0)))</f>
        <v>11019</v>
      </c>
      <c r="C25" s="29">
        <f ca="1">IF(FIRE1201_historical_raw!C27="N/A","N/A",IF(FIRE1201_historical_raw!C27="..","..",ROUND(FIRE1201_historical_raw!C27,0)))</f>
        <v>18750</v>
      </c>
      <c r="D25" s="29"/>
      <c r="E25" s="29">
        <f ca="1">IF(FIRE1201_historical_raw!D27="N/A","N/A",IF(FIRE1201_historical_raw!D27="..","..",ROUND(FIRE1201_historical_raw!D27,0)))</f>
        <v>6794</v>
      </c>
      <c r="F25" s="29">
        <f ca="1">IF(FIRE1201_historical_raw!E27="N/A","N/A",IF(FIRE1201_historical_raw!E27="..","..",ROUND(FIRE1201_historical_raw!E27,0)))</f>
        <v>10865</v>
      </c>
      <c r="G25" s="29"/>
      <c r="H25" s="29">
        <f ca="1">IF(FIRE1201_historical_raw!F27="N/A","N/A",IF(FIRE1201_historical_raw!F27="..","..",ROUND(FIRE1201_historical_raw!F27,0)))</f>
        <v>5441</v>
      </c>
      <c r="I25" s="29">
        <f ca="1">IF(FIRE1201_historical_raw!G27="N/A","N/A",IF(FIRE1201_historical_raw!G27="..","..",ROUND(FIRE1201_historical_raw!G27,0)))</f>
        <v>8577</v>
      </c>
      <c r="J25" s="29"/>
      <c r="K25" s="29">
        <f ca="1">IF(FIRE1201_historical_raw!H27="N/A","N/A",IF(FIRE1201_historical_raw!H27="..","..",ROUND(FIRE1201_historical_raw!H27,0)))</f>
        <v>0</v>
      </c>
      <c r="L25" s="29">
        <f ca="1">IF(FIRE1201_historical_raw!I27="N/A","N/A",IF(FIRE1201_historical_raw!I27="..","..",ROUND(FIRE1201_historical_raw!I27,0)))</f>
        <v>0</v>
      </c>
      <c r="M25" s="4"/>
      <c r="O25" s="11"/>
      <c r="P25" s="11"/>
      <c r="R25" s="11"/>
      <c r="S25" s="11"/>
      <c r="U25" s="13"/>
      <c r="V25" s="13"/>
      <c r="W25" s="13"/>
      <c r="X25" s="13"/>
      <c r="Y25" s="13"/>
      <c r="AA25" s="12"/>
      <c r="AB25" s="12"/>
      <c r="AC25" s="12"/>
      <c r="AD25" s="12"/>
      <c r="AE25" s="12"/>
      <c r="AF25" s="12"/>
      <c r="AG25" s="12"/>
      <c r="AH25" s="12"/>
      <c r="AI25" s="12"/>
      <c r="AJ25" s="12"/>
      <c r="AK25" s="12"/>
    </row>
    <row r="26" spans="1:37" s="5" customFormat="1" ht="15" customHeight="1" x14ac:dyDescent="0.3">
      <c r="A26" s="4" t="s">
        <v>16</v>
      </c>
      <c r="B26" s="29">
        <f ca="1">IF(FIRE1201_historical_raw!B28="N/A","N/A",IF(FIRE1201_historical_raw!B28="..","..",ROUND(FIRE1201_historical_raw!B28,0)))</f>
        <v>8513</v>
      </c>
      <c r="C26" s="29">
        <f ca="1">IF(FIRE1201_historical_raw!C28="N/A","N/A",IF(FIRE1201_historical_raw!C28="..","..",ROUND(FIRE1201_historical_raw!C28,0)))</f>
        <v>27589</v>
      </c>
      <c r="D26" s="29"/>
      <c r="E26" s="29">
        <f ca="1">IF(FIRE1201_historical_raw!D28="N/A","N/A",IF(FIRE1201_historical_raw!D28="..","..",ROUND(FIRE1201_historical_raw!D28,0)))</f>
        <v>5003</v>
      </c>
      <c r="F26" s="29">
        <f ca="1">IF(FIRE1201_historical_raw!E28="N/A","N/A",IF(FIRE1201_historical_raw!E28="..","..",ROUND(FIRE1201_historical_raw!E28,0)))</f>
        <v>16277</v>
      </c>
      <c r="G26" s="29"/>
      <c r="H26" s="29">
        <f ca="1">IF(FIRE1201_historical_raw!F28="N/A","N/A",IF(FIRE1201_historical_raw!F28="..","..",ROUND(FIRE1201_historical_raw!F28,0)))</f>
        <v>2435</v>
      </c>
      <c r="I26" s="29">
        <f ca="1">IF(FIRE1201_historical_raw!G28="N/A","N/A",IF(FIRE1201_historical_raw!G28="..","..",ROUND(FIRE1201_historical_raw!G28,0)))</f>
        <v>7725</v>
      </c>
      <c r="J26" s="29"/>
      <c r="K26" s="29">
        <f ca="1">IF(FIRE1201_historical_raw!H28="N/A","N/A",IF(FIRE1201_historical_raw!H28="..","..",ROUND(FIRE1201_historical_raw!H28,0)))</f>
        <v>0</v>
      </c>
      <c r="L26" s="29">
        <f ca="1">IF(FIRE1201_historical_raw!I28="N/A","N/A",IF(FIRE1201_historical_raw!I28="..","..",ROUND(FIRE1201_historical_raw!I28,0)))</f>
        <v>0</v>
      </c>
      <c r="M26" s="4"/>
      <c r="O26" s="11"/>
      <c r="P26" s="11"/>
      <c r="R26" s="11"/>
      <c r="S26" s="11"/>
      <c r="U26" s="13"/>
      <c r="V26" s="13"/>
      <c r="W26" s="13"/>
      <c r="X26" s="13"/>
      <c r="Y26" s="13"/>
      <c r="AA26" s="12"/>
      <c r="AB26" s="12"/>
      <c r="AC26" s="12"/>
      <c r="AD26" s="12"/>
      <c r="AE26" s="12"/>
      <c r="AF26" s="12"/>
      <c r="AG26" s="12"/>
      <c r="AH26" s="12"/>
      <c r="AI26" s="12"/>
      <c r="AJ26" s="12"/>
      <c r="AK26" s="12"/>
    </row>
    <row r="27" spans="1:37" s="5" customFormat="1" ht="15" customHeight="1" x14ac:dyDescent="0.3">
      <c r="A27" s="4" t="s">
        <v>17</v>
      </c>
      <c r="B27" s="29">
        <f ca="1">IF(FIRE1201_historical_raw!B29="N/A","N/A",IF(FIRE1201_historical_raw!B29="..","..",ROUND(FIRE1201_historical_raw!B29,0)))</f>
        <v>7649</v>
      </c>
      <c r="C27" s="29">
        <f ca="1">IF(FIRE1201_historical_raw!C29="N/A","N/A",IF(FIRE1201_historical_raw!C29="..","..",ROUND(FIRE1201_historical_raw!C29,0)))</f>
        <v>13692</v>
      </c>
      <c r="D27" s="29"/>
      <c r="E27" s="29">
        <f ca="1">IF(FIRE1201_historical_raw!D29="N/A","N/A",IF(FIRE1201_historical_raw!D29="..","..",ROUND(FIRE1201_historical_raw!D29,0)))</f>
        <v>4151</v>
      </c>
      <c r="F27" s="29">
        <f ca="1">IF(FIRE1201_historical_raw!E29="N/A","N/A",IF(FIRE1201_historical_raw!E29="..","..",ROUND(FIRE1201_historical_raw!E29,0)))</f>
        <v>7430</v>
      </c>
      <c r="G27" s="29"/>
      <c r="H27" s="29">
        <f ca="1">IF(FIRE1201_historical_raw!F29="N/A","N/A",IF(FIRE1201_historical_raw!F29="..","..",ROUND(FIRE1201_historical_raw!F29,0)))</f>
        <v>2860</v>
      </c>
      <c r="I27" s="29">
        <f ca="1">IF(FIRE1201_historical_raw!G29="N/A","N/A",IF(FIRE1201_historical_raw!G29="..","..",ROUND(FIRE1201_historical_raw!G29,0)))</f>
        <v>5119</v>
      </c>
      <c r="J27" s="29"/>
      <c r="K27" s="29">
        <f ca="1">IF(FIRE1201_historical_raw!H29="N/A","N/A",IF(FIRE1201_historical_raw!H29="..","..",ROUND(FIRE1201_historical_raw!H29,0)))</f>
        <v>0</v>
      </c>
      <c r="L27" s="29">
        <f ca="1">IF(FIRE1201_historical_raw!I29="N/A","N/A",IF(FIRE1201_historical_raw!I29="..","..",ROUND(FIRE1201_historical_raw!I29,0)))</f>
        <v>0</v>
      </c>
      <c r="M27" s="4"/>
      <c r="O27" s="11"/>
      <c r="P27" s="11"/>
      <c r="R27" s="11"/>
      <c r="S27" s="11"/>
      <c r="U27" s="13"/>
      <c r="V27" s="13"/>
      <c r="W27" s="13"/>
      <c r="X27" s="13"/>
      <c r="Y27" s="13"/>
      <c r="AA27" s="12"/>
      <c r="AB27" s="12"/>
      <c r="AC27" s="12"/>
      <c r="AD27" s="12"/>
      <c r="AE27" s="12"/>
      <c r="AF27" s="12"/>
      <c r="AG27" s="12"/>
      <c r="AH27" s="12"/>
      <c r="AI27" s="12"/>
      <c r="AJ27" s="12"/>
      <c r="AK27" s="12"/>
    </row>
    <row r="28" spans="1:37" s="5" customFormat="1" ht="15" customHeight="1" x14ac:dyDescent="0.3">
      <c r="A28" s="4" t="s">
        <v>146</v>
      </c>
      <c r="B28" s="29">
        <f ca="1">IF(FIRE1201_historical_raw!B30="N/A","N/A",IF(FIRE1201_historical_raw!B30="..","..",ROUND(FIRE1201_historical_raw!B30,0)))</f>
        <v>83331</v>
      </c>
      <c r="C28" s="29">
        <f ca="1">IF(FIRE1201_historical_raw!C30="N/A","N/A",IF(FIRE1201_historical_raw!C30="..","..",ROUND(FIRE1201_historical_raw!C30,0)))</f>
        <v>153044</v>
      </c>
      <c r="D28" s="29"/>
      <c r="E28" s="29">
        <f ca="1">IF(FIRE1201_historical_raw!D30="N/A","N/A",IF(FIRE1201_historical_raw!D30="..","..",ROUND(FIRE1201_historical_raw!D30,0)))</f>
        <v>29731</v>
      </c>
      <c r="F28" s="29">
        <f ca="1">IF(FIRE1201_historical_raw!E30="N/A","N/A",IF(FIRE1201_historical_raw!E30="..","..",ROUND(FIRE1201_historical_raw!E30,0)))</f>
        <v>57024</v>
      </c>
      <c r="G28" s="29"/>
      <c r="H28" s="29">
        <f ca="1">IF(FIRE1201_historical_raw!F30="N/A","N/A",IF(FIRE1201_historical_raw!F30="..","..",ROUND(FIRE1201_historical_raw!F30,0)))</f>
        <v>30672</v>
      </c>
      <c r="I28" s="29">
        <f ca="1">IF(FIRE1201_historical_raw!G30="N/A","N/A",IF(FIRE1201_historical_raw!G30="..","..",ROUND(FIRE1201_historical_raw!G30,0)))</f>
        <v>60867</v>
      </c>
      <c r="J28" s="29"/>
      <c r="K28" s="29">
        <f ca="1">IF(FIRE1201_historical_raw!H30="N/A","N/A",IF(FIRE1201_historical_raw!H30="..","..",ROUND(FIRE1201_historical_raw!H30,0)))</f>
        <v>1471</v>
      </c>
      <c r="L28" s="29" t="str">
        <f ca="1">IF(FIRE1201_historical_raw!I30="N/A","N/A",IF(FIRE1201_historical_raw!I30="..","..",ROUND(FIRE1201_historical_raw!I30,0)))</f>
        <v>N/A</v>
      </c>
      <c r="M28" s="4"/>
      <c r="O28" s="11"/>
      <c r="P28" s="11"/>
      <c r="R28" s="11"/>
      <c r="S28" s="11"/>
      <c r="U28" s="13"/>
      <c r="V28" s="13"/>
      <c r="W28" s="13"/>
      <c r="X28" s="13"/>
      <c r="Y28" s="13"/>
      <c r="AA28" s="12"/>
      <c r="AB28" s="12"/>
      <c r="AC28" s="12"/>
      <c r="AD28" s="12"/>
      <c r="AE28" s="12"/>
      <c r="AF28" s="12"/>
      <c r="AG28" s="12"/>
      <c r="AH28" s="12"/>
      <c r="AI28" s="12"/>
      <c r="AJ28" s="12"/>
      <c r="AK28" s="12"/>
    </row>
    <row r="29" spans="1:37" s="5" customFormat="1" ht="15" customHeight="1" x14ac:dyDescent="0.3">
      <c r="A29" s="4" t="s">
        <v>19</v>
      </c>
      <c r="B29" s="29">
        <f ca="1">IF(FIRE1201_historical_raw!B31="N/A","N/A",IF(FIRE1201_historical_raw!B31="..","..",ROUND(FIRE1201_historical_raw!B31,0)))</f>
        <v>33418</v>
      </c>
      <c r="C29" s="29">
        <f ca="1">IF(FIRE1201_historical_raw!C31="N/A","N/A",IF(FIRE1201_historical_raw!C31="..","..",ROUND(FIRE1201_historical_raw!C31,0)))</f>
        <v>39660</v>
      </c>
      <c r="D29" s="29"/>
      <c r="E29" s="29">
        <f ca="1">IF(FIRE1201_historical_raw!D31="N/A","N/A",IF(FIRE1201_historical_raw!D31="..","..",ROUND(FIRE1201_historical_raw!D31,0)))</f>
        <v>11782</v>
      </c>
      <c r="F29" s="29">
        <f ca="1">IF(FIRE1201_historical_raw!E31="N/A","N/A",IF(FIRE1201_historical_raw!E31="..","..",ROUND(FIRE1201_historical_raw!E31,0)))</f>
        <v>15058</v>
      </c>
      <c r="G29" s="29"/>
      <c r="H29" s="29">
        <f ca="1">IF(FIRE1201_historical_raw!F31="N/A","N/A",IF(FIRE1201_historical_raw!F31="..","..",ROUND(FIRE1201_historical_raw!F31,0)))</f>
        <v>2660</v>
      </c>
      <c r="I29" s="29">
        <f ca="1">IF(FIRE1201_historical_raw!G31="N/A","N/A",IF(FIRE1201_historical_raw!G31="..","..",ROUND(FIRE1201_historical_raw!G31,0)))</f>
        <v>7833</v>
      </c>
      <c r="J29" s="29"/>
      <c r="K29" s="29">
        <f ca="1">IF(FIRE1201_historical_raw!H31="N/A","N/A",IF(FIRE1201_historical_raw!H31="..","..",ROUND(FIRE1201_historical_raw!H31,0)))</f>
        <v>0</v>
      </c>
      <c r="L29" s="29">
        <f ca="1">IF(FIRE1201_historical_raw!I31="N/A","N/A",IF(FIRE1201_historical_raw!I31="..","..",ROUND(FIRE1201_historical_raw!I31,0)))</f>
        <v>0</v>
      </c>
      <c r="M29" s="4"/>
      <c r="O29" s="11"/>
      <c r="P29" s="11"/>
      <c r="R29" s="11"/>
      <c r="S29" s="11"/>
      <c r="U29" s="13"/>
      <c r="V29" s="13"/>
      <c r="W29" s="13"/>
      <c r="X29" s="13"/>
      <c r="Y29" s="13"/>
      <c r="AA29" s="12"/>
      <c r="AB29" s="12"/>
      <c r="AC29" s="12"/>
      <c r="AD29" s="12"/>
      <c r="AE29" s="12"/>
      <c r="AF29" s="12"/>
      <c r="AG29" s="12"/>
      <c r="AH29" s="12"/>
      <c r="AI29" s="12"/>
      <c r="AJ29" s="12"/>
      <c r="AK29" s="12"/>
    </row>
    <row r="30" spans="1:37" s="5" customFormat="1" ht="15" customHeight="1" x14ac:dyDescent="0.3">
      <c r="A30" s="5" t="s">
        <v>20</v>
      </c>
      <c r="B30" s="29">
        <f ca="1">IF(FIRE1201_historical_raw!B32="N/A","N/A",IF(FIRE1201_historical_raw!B32="..","..",ROUND(FIRE1201_historical_raw!B32,0)))</f>
        <v>5030</v>
      </c>
      <c r="C30" s="29">
        <f ca="1">IF(FIRE1201_historical_raw!C32="N/A","N/A",IF(FIRE1201_historical_raw!C32="..","..",ROUND(FIRE1201_historical_raw!C32,0)))</f>
        <v>8593</v>
      </c>
      <c r="D30" s="29"/>
      <c r="E30" s="29">
        <f ca="1">IF(FIRE1201_historical_raw!D32="N/A","N/A",IF(FIRE1201_historical_raw!D32="..","..",ROUND(FIRE1201_historical_raw!D32,0)))</f>
        <v>3305</v>
      </c>
      <c r="F30" s="29">
        <f ca="1">IF(FIRE1201_historical_raw!E32="N/A","N/A",IF(FIRE1201_historical_raw!E32="..","..",ROUND(FIRE1201_historical_raw!E32,0)))</f>
        <v>6917</v>
      </c>
      <c r="G30" s="29"/>
      <c r="H30" s="29">
        <f ca="1">IF(FIRE1201_historical_raw!F32="N/A","N/A",IF(FIRE1201_historical_raw!F32="..","..",ROUND(FIRE1201_historical_raw!F32,0)))</f>
        <v>17</v>
      </c>
      <c r="I30" s="29">
        <f ca="1">IF(FIRE1201_historical_raw!G32="N/A","N/A",IF(FIRE1201_historical_raw!G32="..","..",ROUND(FIRE1201_historical_raw!G32,0)))</f>
        <v>60</v>
      </c>
      <c r="J30" s="29"/>
      <c r="K30" s="29">
        <f ca="1">IF(FIRE1201_historical_raw!H32="N/A","N/A",IF(FIRE1201_historical_raw!H32="..","..",ROUND(FIRE1201_historical_raw!H32,0)))</f>
        <v>133</v>
      </c>
      <c r="L30" s="29">
        <f ca="1">IF(FIRE1201_historical_raw!I32="N/A","N/A",IF(FIRE1201_historical_raw!I32="..","..",ROUND(FIRE1201_historical_raw!I32,0)))</f>
        <v>68</v>
      </c>
      <c r="M30" s="4"/>
      <c r="O30" s="11"/>
      <c r="P30" s="11"/>
      <c r="R30" s="11"/>
      <c r="S30" s="11"/>
      <c r="U30" s="13"/>
      <c r="V30" s="13"/>
      <c r="W30" s="13"/>
      <c r="X30" s="13"/>
      <c r="Y30" s="13"/>
      <c r="AA30" s="12"/>
      <c r="AB30" s="12"/>
      <c r="AC30" s="12"/>
      <c r="AD30" s="12"/>
      <c r="AE30" s="12"/>
      <c r="AF30" s="12"/>
      <c r="AG30" s="12"/>
      <c r="AH30" s="12"/>
      <c r="AI30" s="12"/>
      <c r="AJ30" s="12"/>
      <c r="AK30" s="12"/>
    </row>
    <row r="31" spans="1:37" s="5" customFormat="1" ht="15" customHeight="1" x14ac:dyDescent="0.3">
      <c r="A31" s="5" t="s">
        <v>21</v>
      </c>
      <c r="B31" s="29">
        <f ca="1">IF(FIRE1201_historical_raw!B33="N/A","N/A",IF(FIRE1201_historical_raw!B33="..","..",ROUND(FIRE1201_historical_raw!B33,0)))</f>
        <v>4113</v>
      </c>
      <c r="C31" s="29">
        <f ca="1">IF(FIRE1201_historical_raw!C33="N/A","N/A",IF(FIRE1201_historical_raw!C33="..","..",ROUND(FIRE1201_historical_raw!C33,0)))</f>
        <v>4485</v>
      </c>
      <c r="D31" s="29"/>
      <c r="E31" s="29">
        <f ca="1">IF(FIRE1201_historical_raw!D33="N/A","N/A",IF(FIRE1201_historical_raw!D33="..","..",ROUND(FIRE1201_historical_raw!D33,0)))</f>
        <v>2546</v>
      </c>
      <c r="F31" s="29">
        <f ca="1">IF(FIRE1201_historical_raw!E33="N/A","N/A",IF(FIRE1201_historical_raw!E33="..","..",ROUND(FIRE1201_historical_raw!E33,0)))</f>
        <v>2885</v>
      </c>
      <c r="G31" s="29"/>
      <c r="H31" s="29">
        <f ca="1">IF(FIRE1201_historical_raw!F33="N/A","N/A",IF(FIRE1201_historical_raw!F33="..","..",ROUND(FIRE1201_historical_raw!F33,0)))</f>
        <v>1260</v>
      </c>
      <c r="I31" s="29">
        <f ca="1">IF(FIRE1201_historical_raw!G33="N/A","N/A",IF(FIRE1201_historical_raw!G33="..","..",ROUND(FIRE1201_historical_raw!G33,0)))</f>
        <v>1537</v>
      </c>
      <c r="J31" s="29"/>
      <c r="K31" s="29">
        <f ca="1">IF(FIRE1201_historical_raw!H33="N/A","N/A",IF(FIRE1201_historical_raw!H33="..","..",ROUND(FIRE1201_historical_raw!H33,0)))</f>
        <v>0</v>
      </c>
      <c r="L31" s="29">
        <f ca="1">IF(FIRE1201_historical_raw!I33="N/A","N/A",IF(FIRE1201_historical_raw!I33="..","..",ROUND(FIRE1201_historical_raw!I33,0)))</f>
        <v>0</v>
      </c>
      <c r="M31" s="4"/>
      <c r="O31" s="11"/>
      <c r="P31" s="11"/>
      <c r="R31" s="11"/>
      <c r="S31" s="11"/>
      <c r="U31" s="13"/>
      <c r="V31" s="13"/>
      <c r="W31" s="13"/>
      <c r="X31" s="13"/>
      <c r="Y31" s="13"/>
      <c r="AA31" s="12"/>
      <c r="AB31" s="12"/>
      <c r="AC31" s="12"/>
      <c r="AD31" s="12"/>
      <c r="AE31" s="12"/>
      <c r="AF31" s="12"/>
      <c r="AG31" s="12"/>
      <c r="AH31" s="12"/>
      <c r="AI31" s="12"/>
      <c r="AJ31" s="12"/>
      <c r="AK31" s="12"/>
    </row>
    <row r="32" spans="1:37" s="5" customFormat="1" ht="15" customHeight="1" x14ac:dyDescent="0.3">
      <c r="A32" s="4" t="s">
        <v>22</v>
      </c>
      <c r="B32" s="29">
        <f ca="1">IF(FIRE1201_historical_raw!B34="N/A","N/A",IF(FIRE1201_historical_raw!B34="..","..",ROUND(FIRE1201_historical_raw!B34,0)))</f>
        <v>3512</v>
      </c>
      <c r="C32" s="29">
        <f ca="1">IF(FIRE1201_historical_raw!C34="N/A","N/A",IF(FIRE1201_historical_raw!C34="..","..",ROUND(FIRE1201_historical_raw!C34,0)))</f>
        <v>2613</v>
      </c>
      <c r="D32" s="29"/>
      <c r="E32" s="29">
        <f ca="1">IF(FIRE1201_historical_raw!D34="N/A","N/A",IF(FIRE1201_historical_raw!D34="..","..",ROUND(FIRE1201_historical_raw!D34,0)))</f>
        <v>1831</v>
      </c>
      <c r="F32" s="29">
        <f ca="1">IF(FIRE1201_historical_raw!E34="N/A","N/A",IF(FIRE1201_historical_raw!E34="..","..",ROUND(FIRE1201_historical_raw!E34,0)))</f>
        <v>1430</v>
      </c>
      <c r="G32" s="29"/>
      <c r="H32" s="29">
        <f ca="1">IF(FIRE1201_historical_raw!F34="N/A","N/A",IF(FIRE1201_historical_raw!F34="..","..",ROUND(FIRE1201_historical_raw!F34,0)))</f>
        <v>444</v>
      </c>
      <c r="I32" s="29">
        <f ca="1">IF(FIRE1201_historical_raw!G34="N/A","N/A",IF(FIRE1201_historical_raw!G34="..","..",ROUND(FIRE1201_historical_raw!G34,0)))</f>
        <v>384</v>
      </c>
      <c r="J32" s="29"/>
      <c r="K32" s="29">
        <f ca="1">IF(FIRE1201_historical_raw!H34="N/A","N/A",IF(FIRE1201_historical_raw!H34="..","..",ROUND(FIRE1201_historical_raw!H34,0)))</f>
        <v>2320</v>
      </c>
      <c r="L32" s="29">
        <f ca="1">IF(FIRE1201_historical_raw!I34="N/A","N/A",IF(FIRE1201_historical_raw!I34="..","..",ROUND(FIRE1201_historical_raw!I34,0)))</f>
        <v>2589</v>
      </c>
      <c r="M32" s="4"/>
      <c r="O32" s="11"/>
      <c r="P32" s="11"/>
      <c r="R32" s="11"/>
      <c r="S32" s="11"/>
      <c r="U32" s="13"/>
      <c r="V32" s="13"/>
      <c r="W32" s="13"/>
      <c r="X32" s="13"/>
      <c r="Y32" s="13"/>
      <c r="AA32" s="12"/>
      <c r="AB32" s="12"/>
      <c r="AC32" s="12"/>
      <c r="AD32" s="12"/>
      <c r="AE32" s="12"/>
      <c r="AF32" s="12"/>
      <c r="AG32" s="12"/>
      <c r="AH32" s="12"/>
      <c r="AI32" s="12"/>
      <c r="AJ32" s="12"/>
      <c r="AK32" s="12"/>
    </row>
    <row r="33" spans="1:37" s="5" customFormat="1" ht="15" customHeight="1" x14ac:dyDescent="0.3">
      <c r="A33" s="5" t="s">
        <v>23</v>
      </c>
      <c r="B33" s="29">
        <f ca="1">IF(FIRE1201_historical_raw!B35="N/A","N/A",IF(FIRE1201_historical_raw!B35="..","..",ROUND(FIRE1201_historical_raw!B35,0)))</f>
        <v>5376</v>
      </c>
      <c r="C33" s="29">
        <f ca="1">IF(FIRE1201_historical_raw!C35="N/A","N/A",IF(FIRE1201_historical_raw!C35="..","..",ROUND(FIRE1201_historical_raw!C35,0)))</f>
        <v>3982</v>
      </c>
      <c r="D33" s="29"/>
      <c r="E33" s="29">
        <f ca="1">IF(FIRE1201_historical_raw!D35="N/A","N/A",IF(FIRE1201_historical_raw!D35="..","..",ROUND(FIRE1201_historical_raw!D35,0)))</f>
        <v>2457</v>
      </c>
      <c r="F33" s="29">
        <f ca="1">IF(FIRE1201_historical_raw!E35="N/A","N/A",IF(FIRE1201_historical_raw!E35="..","..",ROUND(FIRE1201_historical_raw!E35,0)))</f>
        <v>1744</v>
      </c>
      <c r="G33" s="29"/>
      <c r="H33" s="29">
        <f ca="1">IF(FIRE1201_historical_raw!F35="N/A","N/A",IF(FIRE1201_historical_raw!F35="..","..",ROUND(FIRE1201_historical_raw!F35,0)))</f>
        <v>1035</v>
      </c>
      <c r="I33" s="29">
        <f ca="1">IF(FIRE1201_historical_raw!G35="N/A","N/A",IF(FIRE1201_historical_raw!G35="..","..",ROUND(FIRE1201_historical_raw!G35,0)))</f>
        <v>817</v>
      </c>
      <c r="J33" s="29"/>
      <c r="K33" s="29">
        <f ca="1">IF(FIRE1201_historical_raw!H35="N/A","N/A",IF(FIRE1201_historical_raw!H35="..","..",ROUND(FIRE1201_historical_raw!H35,0)))</f>
        <v>0</v>
      </c>
      <c r="L33" s="29">
        <f ca="1">IF(FIRE1201_historical_raw!I35="N/A","N/A",IF(FIRE1201_historical_raw!I35="..","..",ROUND(FIRE1201_historical_raw!I35,0)))</f>
        <v>0</v>
      </c>
      <c r="M33" s="4"/>
      <c r="O33" s="11"/>
      <c r="P33" s="11"/>
      <c r="R33" s="11"/>
      <c r="S33" s="11"/>
      <c r="U33" s="13"/>
      <c r="V33" s="13"/>
      <c r="W33" s="13"/>
      <c r="X33" s="13"/>
      <c r="Y33" s="13"/>
      <c r="AA33" s="12"/>
      <c r="AB33" s="12"/>
      <c r="AC33" s="12"/>
      <c r="AD33" s="12"/>
      <c r="AE33" s="12"/>
      <c r="AF33" s="12"/>
      <c r="AG33" s="12"/>
      <c r="AH33" s="12"/>
      <c r="AI33" s="12"/>
      <c r="AJ33" s="12"/>
      <c r="AK33" s="12"/>
    </row>
    <row r="34" spans="1:37" s="5" customFormat="1" ht="15" customHeight="1" x14ac:dyDescent="0.3">
      <c r="A34" s="5" t="s">
        <v>48</v>
      </c>
      <c r="B34" s="29">
        <f ca="1">IF(FIRE1201_historical_raw!B36="N/A","N/A",IF(FIRE1201_historical_raw!B36="..","..",ROUND(FIRE1201_historical_raw!B36,0)))</f>
        <v>647</v>
      </c>
      <c r="C34" s="29">
        <f ca="1">IF(FIRE1201_historical_raw!C36="N/A","N/A",IF(FIRE1201_historical_raw!C36="..","..",ROUND(FIRE1201_historical_raw!C36,0)))</f>
        <v>467</v>
      </c>
      <c r="D34" s="29"/>
      <c r="E34" s="29">
        <f ca="1">IF(FIRE1201_historical_raw!D36="N/A","N/A",IF(FIRE1201_historical_raw!D36="..","..",ROUND(FIRE1201_historical_raw!D36,0)))</f>
        <v>480</v>
      </c>
      <c r="F34" s="29">
        <f ca="1">IF(FIRE1201_historical_raw!E36="N/A","N/A",IF(FIRE1201_historical_raw!E36="..","..",ROUND(FIRE1201_historical_raw!E36,0)))</f>
        <v>356</v>
      </c>
      <c r="G34" s="29"/>
      <c r="H34" s="29" t="str">
        <f ca="1">IF(FIRE1201_historical_raw!F36="N/A","N/A",IF(FIRE1201_historical_raw!F36="..","..",ROUND(FIRE1201_historical_raw!F36,0)))</f>
        <v>N/A</v>
      </c>
      <c r="I34" s="29" t="str">
        <f ca="1">IF(FIRE1201_historical_raw!G36="N/A","N/A",IF(FIRE1201_historical_raw!G36="..","..",ROUND(FIRE1201_historical_raw!G36,0)))</f>
        <v>N/A</v>
      </c>
      <c r="J34" s="29"/>
      <c r="K34" s="29">
        <f ca="1">IF(FIRE1201_historical_raw!H36="N/A","N/A",IF(FIRE1201_historical_raw!H36="..","..",ROUND(FIRE1201_historical_raw!H36,0)))</f>
        <v>230</v>
      </c>
      <c r="L34" s="29">
        <f ca="1">IF(FIRE1201_historical_raw!I36="N/A","N/A",IF(FIRE1201_historical_raw!I36="..","..",ROUND(FIRE1201_historical_raw!I36,0)))</f>
        <v>163</v>
      </c>
      <c r="M34" s="4"/>
      <c r="O34" s="11"/>
      <c r="P34" s="11"/>
      <c r="R34" s="11"/>
      <c r="S34" s="11"/>
      <c r="U34" s="13"/>
      <c r="V34" s="13"/>
      <c r="W34" s="13"/>
      <c r="X34" s="13"/>
      <c r="Y34" s="13"/>
      <c r="AA34" s="12"/>
      <c r="AB34" s="12"/>
      <c r="AC34" s="12"/>
      <c r="AD34" s="12"/>
      <c r="AE34" s="12"/>
      <c r="AF34" s="12"/>
      <c r="AG34" s="12"/>
      <c r="AH34" s="12"/>
      <c r="AI34" s="12"/>
      <c r="AJ34" s="12"/>
      <c r="AK34" s="12"/>
    </row>
    <row r="35" spans="1:37" s="5" customFormat="1" ht="15" customHeight="1" x14ac:dyDescent="0.3">
      <c r="A35" s="5" t="s">
        <v>25</v>
      </c>
      <c r="B35" s="29">
        <f ca="1">IF(FIRE1201_historical_raw!B37="N/A","N/A",IF(FIRE1201_historical_raw!B37="..","..",ROUND(FIRE1201_historical_raw!B37,0)))</f>
        <v>54</v>
      </c>
      <c r="C35" s="29">
        <f ca="1">IF(FIRE1201_historical_raw!C37="N/A","N/A",IF(FIRE1201_historical_raw!C37="..","..",ROUND(FIRE1201_historical_raw!C37,0)))</f>
        <v>15</v>
      </c>
      <c r="D35" s="29"/>
      <c r="E35" s="29">
        <f ca="1">IF(FIRE1201_historical_raw!D37="N/A","N/A",IF(FIRE1201_historical_raw!D37="..","..",ROUND(FIRE1201_historical_raw!D37,0)))</f>
        <v>21</v>
      </c>
      <c r="F35" s="29">
        <f ca="1">IF(FIRE1201_historical_raw!E37="N/A","N/A",IF(FIRE1201_historical_raw!E37="..","..",ROUND(FIRE1201_historical_raw!E37,0)))</f>
        <v>8</v>
      </c>
      <c r="G35" s="29"/>
      <c r="H35" s="29">
        <f ca="1">IF(FIRE1201_historical_raw!F37="N/A","N/A",IF(FIRE1201_historical_raw!F37="..","..",ROUND(FIRE1201_historical_raw!F37,0)))</f>
        <v>1</v>
      </c>
      <c r="I35" s="29">
        <f ca="1">IF(FIRE1201_historical_raw!G37="N/A","N/A",IF(FIRE1201_historical_raw!G37="..","..",ROUND(FIRE1201_historical_raw!G37,0)))</f>
        <v>1</v>
      </c>
      <c r="J35" s="29"/>
      <c r="K35" s="29">
        <f ca="1">IF(FIRE1201_historical_raw!H37="N/A","N/A",IF(FIRE1201_historical_raw!H37="..","..",ROUND(FIRE1201_historical_raw!H37,0)))</f>
        <v>0</v>
      </c>
      <c r="L35" s="29">
        <f ca="1">IF(FIRE1201_historical_raw!I37="N/A","N/A",IF(FIRE1201_historical_raw!I37="..","..",ROUND(FIRE1201_historical_raw!I37,0)))</f>
        <v>0</v>
      </c>
      <c r="M35" s="4"/>
      <c r="O35" s="11"/>
      <c r="P35" s="11"/>
      <c r="R35" s="11"/>
      <c r="S35" s="11"/>
      <c r="U35" s="13"/>
      <c r="V35" s="13"/>
      <c r="W35" s="13"/>
      <c r="X35" s="13"/>
      <c r="Y35" s="13"/>
      <c r="AA35" s="12"/>
      <c r="AB35" s="12"/>
      <c r="AC35" s="12"/>
      <c r="AD35" s="12"/>
      <c r="AE35" s="12"/>
      <c r="AF35" s="12"/>
      <c r="AG35" s="12"/>
      <c r="AH35" s="12"/>
      <c r="AI35" s="12"/>
      <c r="AJ35" s="12"/>
      <c r="AK35" s="12"/>
    </row>
    <row r="36" spans="1:37" s="5" customFormat="1" ht="15" customHeight="1" x14ac:dyDescent="0.3">
      <c r="A36" s="5" t="s">
        <v>26</v>
      </c>
      <c r="B36" s="29">
        <f ca="1">IF(FIRE1201_historical_raw!B38="N/A","N/A",IF(FIRE1201_historical_raw!B38="..","..",ROUND(FIRE1201_historical_raw!B38,0)))</f>
        <v>15933</v>
      </c>
      <c r="C36" s="29">
        <f ca="1">IF(FIRE1201_historical_raw!C38="N/A","N/A",IF(FIRE1201_historical_raw!C38="..","..",ROUND(FIRE1201_historical_raw!C38,0)))</f>
        <v>23900</v>
      </c>
      <c r="D36" s="29"/>
      <c r="E36" s="29">
        <f ca="1">IF(FIRE1201_historical_raw!D38="N/A","N/A",IF(FIRE1201_historical_raw!D38="..","..",ROUND(FIRE1201_historical_raw!D38,0)))</f>
        <v>10050</v>
      </c>
      <c r="F36" s="29">
        <f ca="1">IF(FIRE1201_historical_raw!E38="N/A","N/A",IF(FIRE1201_historical_raw!E38="..","..",ROUND(FIRE1201_historical_raw!E38,0)))</f>
        <v>15075</v>
      </c>
      <c r="G36" s="29"/>
      <c r="H36" s="29">
        <f ca="1">IF(FIRE1201_historical_raw!F38="N/A","N/A",IF(FIRE1201_historical_raw!F38="..","..",ROUND(FIRE1201_historical_raw!F38,0)))</f>
        <v>6510</v>
      </c>
      <c r="I36" s="29">
        <f ca="1">IF(FIRE1201_historical_raw!G38="N/A","N/A",IF(FIRE1201_historical_raw!G38="..","..",ROUND(FIRE1201_historical_raw!G38,0)))</f>
        <v>9765</v>
      </c>
      <c r="J36" s="29"/>
      <c r="K36" s="29">
        <f ca="1">IF(FIRE1201_historical_raw!H38="N/A","N/A",IF(FIRE1201_historical_raw!H38="..","..",ROUND(FIRE1201_historical_raw!H38,0)))</f>
        <v>0</v>
      </c>
      <c r="L36" s="29">
        <f ca="1">IF(FIRE1201_historical_raw!I38="N/A","N/A",IF(FIRE1201_historical_raw!I38="..","..",ROUND(FIRE1201_historical_raw!I38,0)))</f>
        <v>0</v>
      </c>
      <c r="M36" s="4"/>
      <c r="O36" s="11"/>
      <c r="P36" s="11"/>
      <c r="R36" s="11"/>
      <c r="S36" s="11"/>
      <c r="U36" s="13"/>
      <c r="V36" s="13"/>
      <c r="W36" s="13"/>
      <c r="X36" s="13"/>
      <c r="Y36" s="13"/>
      <c r="AA36" s="12"/>
      <c r="AB36" s="12"/>
      <c r="AC36" s="12"/>
      <c r="AD36" s="12"/>
      <c r="AE36" s="12"/>
      <c r="AF36" s="12"/>
      <c r="AG36" s="12"/>
      <c r="AH36" s="12"/>
      <c r="AI36" s="12"/>
      <c r="AJ36" s="12"/>
      <c r="AK36" s="12"/>
    </row>
    <row r="37" spans="1:37" s="5" customFormat="1" ht="15" customHeight="1" x14ac:dyDescent="0.3">
      <c r="A37" s="5" t="s">
        <v>27</v>
      </c>
      <c r="B37" s="29">
        <f ca="1">IF(FIRE1201_historical_raw!B39="N/A","N/A",IF(FIRE1201_historical_raw!B39="..","..",ROUND(FIRE1201_historical_raw!B39,0)))</f>
        <v>11954</v>
      </c>
      <c r="C37" s="29">
        <f ca="1">IF(FIRE1201_historical_raw!C39="N/A","N/A",IF(FIRE1201_historical_raw!C39="..","..",ROUND(FIRE1201_historical_raw!C39,0)))</f>
        <v>21959</v>
      </c>
      <c r="D37" s="29"/>
      <c r="E37" s="29">
        <f ca="1">IF(FIRE1201_historical_raw!D39="N/A","N/A",IF(FIRE1201_historical_raw!D39="..","..",ROUND(FIRE1201_historical_raw!D39,0)))</f>
        <v>8507</v>
      </c>
      <c r="F37" s="29">
        <f ca="1">IF(FIRE1201_historical_raw!E39="N/A","N/A",IF(FIRE1201_historical_raw!E39="..","..",ROUND(FIRE1201_historical_raw!E39,0)))</f>
        <v>14462</v>
      </c>
      <c r="G37" s="29"/>
      <c r="H37" s="29">
        <f ca="1">IF(FIRE1201_historical_raw!F39="N/A","N/A",IF(FIRE1201_historical_raw!F39="..","..",ROUND(FIRE1201_historical_raw!F39,0)))</f>
        <v>8131</v>
      </c>
      <c r="I37" s="29">
        <f ca="1">IF(FIRE1201_historical_raw!G39="N/A","N/A",IF(FIRE1201_historical_raw!G39="..","..",ROUND(FIRE1201_historical_raw!G39,0)))</f>
        <v>13823</v>
      </c>
      <c r="J37" s="29"/>
      <c r="K37" s="29">
        <f ca="1">IF(FIRE1201_historical_raw!H39="N/A","N/A",IF(FIRE1201_historical_raw!H39="..","..",ROUND(FIRE1201_historical_raw!H39,0)))</f>
        <v>0</v>
      </c>
      <c r="L37" s="29">
        <f ca="1">IF(FIRE1201_historical_raw!I39="N/A","N/A",IF(FIRE1201_historical_raw!I39="..","..",ROUND(FIRE1201_historical_raw!I39,0)))</f>
        <v>0</v>
      </c>
      <c r="M37" s="4"/>
      <c r="O37" s="11"/>
      <c r="P37" s="11"/>
      <c r="R37" s="11"/>
      <c r="S37" s="11"/>
      <c r="U37" s="13"/>
      <c r="V37" s="13"/>
      <c r="W37" s="13"/>
      <c r="X37" s="13"/>
      <c r="Y37" s="13"/>
      <c r="AA37" s="12"/>
      <c r="AB37" s="12"/>
      <c r="AC37" s="12"/>
      <c r="AD37" s="12"/>
      <c r="AE37" s="12"/>
      <c r="AF37" s="12"/>
      <c r="AG37" s="12"/>
      <c r="AH37" s="12"/>
      <c r="AI37" s="12"/>
      <c r="AJ37" s="12"/>
      <c r="AK37" s="12"/>
    </row>
    <row r="38" spans="1:37" s="5" customFormat="1" ht="15" customHeight="1" x14ac:dyDescent="0.3">
      <c r="A38" s="4" t="s">
        <v>28</v>
      </c>
      <c r="B38" s="29">
        <f ca="1">IF(FIRE1201_historical_raw!B40="N/A","N/A",IF(FIRE1201_historical_raw!B40="..","..",ROUND(FIRE1201_historical_raw!B40,0)))</f>
        <v>7926</v>
      </c>
      <c r="C38" s="29">
        <f ca="1">IF(FIRE1201_historical_raw!C40="N/A","N/A",IF(FIRE1201_historical_raw!C40="..","..",ROUND(FIRE1201_historical_raw!C40,0)))</f>
        <v>13871</v>
      </c>
      <c r="D38" s="29"/>
      <c r="E38" s="29">
        <f ca="1">IF(FIRE1201_historical_raw!D40="N/A","N/A",IF(FIRE1201_historical_raw!D40="..","..",ROUND(FIRE1201_historical_raw!D40,0)))</f>
        <v>4743</v>
      </c>
      <c r="F38" s="29">
        <f ca="1">IF(FIRE1201_historical_raw!E40="N/A","N/A",IF(FIRE1201_historical_raw!E40="..","..",ROUND(FIRE1201_historical_raw!E40,0)))</f>
        <v>8300</v>
      </c>
      <c r="G38" s="29"/>
      <c r="H38" s="29">
        <f ca="1">IF(FIRE1201_historical_raw!F40="N/A","N/A",IF(FIRE1201_historical_raw!F40="..","..",ROUND(FIRE1201_historical_raw!F40,0)))</f>
        <v>2299</v>
      </c>
      <c r="I38" s="29">
        <f ca="1">IF(FIRE1201_historical_raw!G40="N/A","N/A",IF(FIRE1201_historical_raw!G40="..","..",ROUND(FIRE1201_historical_raw!G40,0)))</f>
        <v>4023</v>
      </c>
      <c r="J38" s="29"/>
      <c r="K38" s="29">
        <f ca="1">IF(FIRE1201_historical_raw!H40="N/A","N/A",IF(FIRE1201_historical_raw!H40="..","..",ROUND(FIRE1201_historical_raw!H40,0)))</f>
        <v>480</v>
      </c>
      <c r="L38" s="29">
        <f ca="1">IF(FIRE1201_historical_raw!I40="N/A","N/A",IF(FIRE1201_historical_raw!I40="..","..",ROUND(FIRE1201_historical_raw!I40,0)))</f>
        <v>840</v>
      </c>
      <c r="M38" s="4"/>
      <c r="O38" s="11"/>
      <c r="P38" s="11"/>
      <c r="R38" s="11"/>
      <c r="S38" s="11"/>
      <c r="U38" s="13"/>
      <c r="V38" s="13"/>
      <c r="W38" s="13"/>
      <c r="X38" s="13"/>
      <c r="Y38" s="13"/>
      <c r="AA38" s="12"/>
      <c r="AB38" s="12"/>
      <c r="AC38" s="12"/>
      <c r="AD38" s="12"/>
      <c r="AE38" s="12"/>
      <c r="AF38" s="12"/>
      <c r="AG38" s="12"/>
      <c r="AH38" s="12"/>
      <c r="AI38" s="12"/>
      <c r="AJ38" s="12"/>
      <c r="AK38" s="12"/>
    </row>
    <row r="39" spans="1:37" s="5" customFormat="1" ht="15" customHeight="1" x14ac:dyDescent="0.3">
      <c r="A39" s="4" t="s">
        <v>29</v>
      </c>
      <c r="B39" s="29">
        <f ca="1">IF(FIRE1201_historical_raw!B41="N/A","N/A",IF(FIRE1201_historical_raw!B41="..","..",ROUND(FIRE1201_historical_raw!B41,0)))</f>
        <v>5274</v>
      </c>
      <c r="C39" s="29">
        <f ca="1">IF(FIRE1201_historical_raw!C41="N/A","N/A",IF(FIRE1201_historical_raw!C41="..","..",ROUND(FIRE1201_historical_raw!C41,0)))</f>
        <v>4490</v>
      </c>
      <c r="D39" s="29"/>
      <c r="E39" s="29">
        <f ca="1">IF(FIRE1201_historical_raw!D41="N/A","N/A",IF(FIRE1201_historical_raw!D41="..","..",ROUND(FIRE1201_historical_raw!D41,0)))</f>
        <v>2044</v>
      </c>
      <c r="F39" s="29">
        <f ca="1">IF(FIRE1201_historical_raw!E41="N/A","N/A",IF(FIRE1201_historical_raw!E41="..","..",ROUND(FIRE1201_historical_raw!E41,0)))</f>
        <v>2594</v>
      </c>
      <c r="G39" s="29"/>
      <c r="H39" s="29">
        <f ca="1">IF(FIRE1201_historical_raw!F41="N/A","N/A",IF(FIRE1201_historical_raw!F41="..","..",ROUND(FIRE1201_historical_raw!F41,0)))</f>
        <v>2031</v>
      </c>
      <c r="I39" s="29">
        <f ca="1">IF(FIRE1201_historical_raw!G41="N/A","N/A",IF(FIRE1201_historical_raw!G41="..","..",ROUND(FIRE1201_historical_raw!G41,0)))</f>
        <v>2803</v>
      </c>
      <c r="J39" s="29"/>
      <c r="K39" s="29">
        <f ca="1">IF(FIRE1201_historical_raw!H41="N/A","N/A",IF(FIRE1201_historical_raw!H41="..","..",ROUND(FIRE1201_historical_raw!H41,0)))</f>
        <v>15</v>
      </c>
      <c r="L39" s="29">
        <f ca="1">IF(FIRE1201_historical_raw!I41="N/A","N/A",IF(FIRE1201_historical_raw!I41="..","..",ROUND(FIRE1201_historical_raw!I41,0)))</f>
        <v>23</v>
      </c>
      <c r="M39" s="4"/>
      <c r="O39" s="11"/>
      <c r="P39" s="11"/>
      <c r="R39" s="11"/>
      <c r="S39" s="11"/>
      <c r="U39" s="13"/>
      <c r="V39" s="13"/>
      <c r="W39" s="13"/>
      <c r="X39" s="13"/>
      <c r="Y39" s="13"/>
      <c r="AA39" s="12"/>
      <c r="AB39" s="12"/>
      <c r="AC39" s="12"/>
      <c r="AD39" s="12"/>
      <c r="AE39" s="12"/>
      <c r="AF39" s="12"/>
      <c r="AG39" s="12"/>
      <c r="AH39" s="12"/>
      <c r="AI39" s="12"/>
      <c r="AJ39" s="12"/>
      <c r="AK39" s="12"/>
    </row>
    <row r="40" spans="1:37" s="5" customFormat="1" ht="15" customHeight="1" x14ac:dyDescent="0.3">
      <c r="A40" s="4" t="s">
        <v>30</v>
      </c>
      <c r="B40" s="29">
        <f ca="1">IF(FIRE1201_historical_raw!B42="N/A","N/A",IF(FIRE1201_historical_raw!B42="..","..",ROUND(FIRE1201_historical_raw!B42,0)))</f>
        <v>52564</v>
      </c>
      <c r="C40" s="29">
        <f ca="1">IF(FIRE1201_historical_raw!C42="N/A","N/A",IF(FIRE1201_historical_raw!C42="..","..",ROUND(FIRE1201_historical_raw!C42,0)))</f>
        <v>83577</v>
      </c>
      <c r="D40" s="29"/>
      <c r="E40" s="29">
        <f ca="1">IF(FIRE1201_historical_raw!D42="N/A","N/A",IF(FIRE1201_historical_raw!D42="..","..",ROUND(FIRE1201_historical_raw!D42,0)))</f>
        <v>30932</v>
      </c>
      <c r="F40" s="29">
        <f ca="1">IF(FIRE1201_historical_raw!E42="N/A","N/A",IF(FIRE1201_historical_raw!E42="..","..",ROUND(FIRE1201_historical_raw!E42,0)))</f>
        <v>49182</v>
      </c>
      <c r="G40" s="29"/>
      <c r="H40" s="29">
        <f ca="1">IF(FIRE1201_historical_raw!F42="N/A","N/A",IF(FIRE1201_historical_raw!F42="..","..",ROUND(FIRE1201_historical_raw!F42,0)))</f>
        <v>8745</v>
      </c>
      <c r="I40" s="29">
        <f ca="1">IF(FIRE1201_historical_raw!G42="N/A","N/A",IF(FIRE1201_historical_raw!G42="..","..",ROUND(FIRE1201_historical_raw!G42,0)))</f>
        <v>13905</v>
      </c>
      <c r="J40" s="29"/>
      <c r="K40" s="29">
        <f ca="1">IF(FIRE1201_historical_raw!H42="N/A","N/A",IF(FIRE1201_historical_raw!H42="..","..",ROUND(FIRE1201_historical_raw!H42,0)))</f>
        <v>0</v>
      </c>
      <c r="L40" s="29">
        <f ca="1">IF(FIRE1201_historical_raw!I42="N/A","N/A",IF(FIRE1201_historical_raw!I42="..","..",ROUND(FIRE1201_historical_raw!I42,0)))</f>
        <v>0</v>
      </c>
      <c r="M40" s="4"/>
      <c r="O40" s="11"/>
      <c r="P40" s="11"/>
      <c r="R40" s="11"/>
      <c r="S40" s="11"/>
      <c r="U40" s="13"/>
      <c r="V40" s="13"/>
      <c r="W40" s="13"/>
      <c r="X40" s="13"/>
      <c r="Y40" s="13"/>
      <c r="AA40" s="12"/>
      <c r="AB40" s="12"/>
      <c r="AC40" s="12"/>
      <c r="AD40" s="12"/>
      <c r="AE40" s="12"/>
      <c r="AF40" s="12"/>
      <c r="AG40" s="12"/>
      <c r="AH40" s="12"/>
      <c r="AI40" s="12"/>
      <c r="AJ40" s="12"/>
      <c r="AK40" s="12"/>
    </row>
    <row r="41" spans="1:37" s="5" customFormat="1" ht="15" customHeight="1" x14ac:dyDescent="0.3">
      <c r="A41" s="4" t="s">
        <v>31</v>
      </c>
      <c r="B41" s="29">
        <f ca="1">IF(FIRE1201_historical_raw!B43="N/A","N/A",IF(FIRE1201_historical_raw!B43="..","..",ROUND(FIRE1201_historical_raw!B43,0)))</f>
        <v>3751</v>
      </c>
      <c r="C41" s="29">
        <f ca="1">IF(FIRE1201_historical_raw!C43="N/A","N/A",IF(FIRE1201_historical_raw!C43="..","..",ROUND(FIRE1201_historical_raw!C43,0)))</f>
        <v>3620</v>
      </c>
      <c r="D41" s="29"/>
      <c r="E41" s="29">
        <f ca="1">IF(FIRE1201_historical_raw!D43="N/A","N/A",IF(FIRE1201_historical_raw!D43="..","..",ROUND(FIRE1201_historical_raw!D43,0)))</f>
        <v>2047</v>
      </c>
      <c r="F41" s="29">
        <f ca="1">IF(FIRE1201_historical_raw!E43="N/A","N/A",IF(FIRE1201_historical_raw!E43="..","..",ROUND(FIRE1201_historical_raw!E43,0)))</f>
        <v>1965</v>
      </c>
      <c r="G41" s="29"/>
      <c r="H41" s="29" t="str">
        <f ca="1">IF(FIRE1201_historical_raw!F43="N/A","N/A",IF(FIRE1201_historical_raw!F43="..","..",ROUND(FIRE1201_historical_raw!F43,0)))</f>
        <v>N/A</v>
      </c>
      <c r="I41" s="29" t="str">
        <f ca="1">IF(FIRE1201_historical_raw!G43="N/A","N/A",IF(FIRE1201_historical_raw!G43="..","..",ROUND(FIRE1201_historical_raw!G43,0)))</f>
        <v>N/A</v>
      </c>
      <c r="J41" s="29"/>
      <c r="K41" s="29">
        <f ca="1">IF(FIRE1201_historical_raw!H43="N/A","N/A",IF(FIRE1201_historical_raw!H43="..","..",ROUND(FIRE1201_historical_raw!H43,0)))</f>
        <v>13</v>
      </c>
      <c r="L41" s="29">
        <f ca="1">IF(FIRE1201_historical_raw!I43="N/A","N/A",IF(FIRE1201_historical_raw!I43="..","..",ROUND(FIRE1201_historical_raw!I43,0)))</f>
        <v>7</v>
      </c>
      <c r="M41" s="4"/>
      <c r="O41" s="11"/>
      <c r="P41" s="11"/>
      <c r="R41" s="11"/>
      <c r="S41" s="11"/>
      <c r="U41" s="13"/>
      <c r="V41" s="13"/>
      <c r="W41" s="13"/>
      <c r="X41" s="13"/>
      <c r="Y41" s="13"/>
      <c r="AA41" s="12"/>
      <c r="AB41" s="12"/>
      <c r="AC41" s="12"/>
      <c r="AD41" s="12"/>
      <c r="AE41" s="12"/>
      <c r="AF41" s="12"/>
      <c r="AG41" s="12"/>
      <c r="AH41" s="12"/>
      <c r="AI41" s="12"/>
      <c r="AJ41" s="12"/>
      <c r="AK41" s="12"/>
    </row>
    <row r="42" spans="1:37" s="5" customFormat="1" ht="15" customHeight="1" x14ac:dyDescent="0.3">
      <c r="A42" s="4" t="s">
        <v>32</v>
      </c>
      <c r="B42" s="29">
        <f ca="1">IF(FIRE1201_historical_raw!B44="N/A","N/A",IF(FIRE1201_historical_raw!B44="..","..",ROUND(FIRE1201_historical_raw!B44,0)))</f>
        <v>2956</v>
      </c>
      <c r="C42" s="29">
        <f ca="1">IF(FIRE1201_historical_raw!C44="N/A","N/A",IF(FIRE1201_historical_raw!C44="..","..",ROUND(FIRE1201_historical_raw!C44,0)))</f>
        <v>4482</v>
      </c>
      <c r="D42" s="29"/>
      <c r="E42" s="29">
        <f ca="1">IF(FIRE1201_historical_raw!D44="N/A","N/A",IF(FIRE1201_historical_raw!D44="..","..",ROUND(FIRE1201_historical_raw!D44,0)))</f>
        <v>1905</v>
      </c>
      <c r="F42" s="29">
        <f ca="1">IF(FIRE1201_historical_raw!E44="N/A","N/A",IF(FIRE1201_historical_raw!E44="..","..",ROUND(FIRE1201_historical_raw!E44,0)))</f>
        <v>2868</v>
      </c>
      <c r="G42" s="29"/>
      <c r="H42" s="29">
        <f ca="1">IF(FIRE1201_historical_raw!F44="N/A","N/A",IF(FIRE1201_historical_raw!F44="..","..",ROUND(FIRE1201_historical_raw!F44,0)))</f>
        <v>0</v>
      </c>
      <c r="I42" s="29">
        <f ca="1">IF(FIRE1201_historical_raw!G44="N/A","N/A",IF(FIRE1201_historical_raw!G44="..","..",ROUND(FIRE1201_historical_raw!G44,0)))</f>
        <v>0</v>
      </c>
      <c r="J42" s="29"/>
      <c r="K42" s="29">
        <f ca="1">IF(FIRE1201_historical_raw!H44="N/A","N/A",IF(FIRE1201_historical_raw!H44="..","..",ROUND(FIRE1201_historical_raw!H44,0)))</f>
        <v>8</v>
      </c>
      <c r="L42" s="29">
        <f ca="1">IF(FIRE1201_historical_raw!I44="N/A","N/A",IF(FIRE1201_historical_raw!I44="..","..",ROUND(FIRE1201_historical_raw!I44,0)))</f>
        <v>4</v>
      </c>
      <c r="M42" s="4"/>
      <c r="O42" s="11"/>
      <c r="P42" s="11"/>
      <c r="R42" s="11"/>
      <c r="S42" s="11"/>
      <c r="U42" s="13"/>
      <c r="V42" s="13"/>
      <c r="W42" s="13"/>
      <c r="X42" s="13"/>
      <c r="Y42" s="13"/>
      <c r="AA42" s="12"/>
      <c r="AB42" s="12"/>
      <c r="AC42" s="12"/>
      <c r="AD42" s="12"/>
      <c r="AE42" s="12"/>
      <c r="AF42" s="12"/>
      <c r="AG42" s="12"/>
      <c r="AH42" s="12"/>
      <c r="AI42" s="12"/>
      <c r="AJ42" s="12"/>
      <c r="AK42" s="12"/>
    </row>
    <row r="43" spans="1:37" s="5" customFormat="1" ht="15" customHeight="1" x14ac:dyDescent="0.3">
      <c r="A43" s="4" t="s">
        <v>33</v>
      </c>
      <c r="B43" s="29">
        <f ca="1">IF(FIRE1201_historical_raw!B45="N/A","N/A",IF(FIRE1201_historical_raw!B45="..","..",ROUND(FIRE1201_historical_raw!B45,0)))</f>
        <v>2445</v>
      </c>
      <c r="C43" s="29">
        <f ca="1">IF(FIRE1201_historical_raw!C45="N/A","N/A",IF(FIRE1201_historical_raw!C45="..","..",ROUND(FIRE1201_historical_raw!C45,0)))</f>
        <v>1698</v>
      </c>
      <c r="D43" s="29"/>
      <c r="E43" s="29">
        <f ca="1">IF(FIRE1201_historical_raw!D45="N/A","N/A",IF(FIRE1201_historical_raw!D45="..","..",ROUND(FIRE1201_historical_raw!D45,0)))</f>
        <v>1390</v>
      </c>
      <c r="F43" s="29">
        <f ca="1">IF(FIRE1201_historical_raw!E45="N/A","N/A",IF(FIRE1201_historical_raw!E45="..","..",ROUND(FIRE1201_historical_raw!E45,0)))</f>
        <v>926</v>
      </c>
      <c r="G43" s="29"/>
      <c r="H43" s="29">
        <f ca="1">IF(FIRE1201_historical_raw!F45="N/A","N/A",IF(FIRE1201_historical_raw!F45="..","..",ROUND(FIRE1201_historical_raw!F45,0)))</f>
        <v>412</v>
      </c>
      <c r="I43" s="29">
        <f ca="1">IF(FIRE1201_historical_raw!G45="N/A","N/A",IF(FIRE1201_historical_raw!G45="..","..",ROUND(FIRE1201_historical_raw!G45,0)))</f>
        <v>274</v>
      </c>
      <c r="J43" s="29"/>
      <c r="K43" s="29">
        <f ca="1">IF(FIRE1201_historical_raw!H45="N/A","N/A",IF(FIRE1201_historical_raw!H45="..","..",ROUND(FIRE1201_historical_raw!H45,0)))</f>
        <v>44</v>
      </c>
      <c r="L43" s="29">
        <f ca="1">IF(FIRE1201_historical_raw!I45="N/A","N/A",IF(FIRE1201_historical_raw!I45="..","..",ROUND(FIRE1201_historical_raw!I45,0)))</f>
        <v>44</v>
      </c>
      <c r="M43" s="4"/>
      <c r="O43" s="11"/>
      <c r="P43" s="11"/>
      <c r="R43" s="11"/>
      <c r="S43" s="11"/>
      <c r="U43" s="13"/>
      <c r="V43" s="13"/>
      <c r="W43" s="13"/>
      <c r="X43" s="13"/>
      <c r="Y43" s="13"/>
      <c r="AA43" s="12"/>
      <c r="AB43" s="12"/>
      <c r="AC43" s="12"/>
      <c r="AD43" s="12"/>
      <c r="AE43" s="12"/>
      <c r="AF43" s="12"/>
      <c r="AG43" s="12"/>
      <c r="AH43" s="12"/>
      <c r="AI43" s="12"/>
      <c r="AJ43" s="12"/>
      <c r="AK43" s="12"/>
    </row>
    <row r="44" spans="1:37" s="5" customFormat="1" ht="15" customHeight="1" x14ac:dyDescent="0.3">
      <c r="A44" s="4" t="s">
        <v>34</v>
      </c>
      <c r="B44" s="29">
        <f ca="1">IF(FIRE1201_historical_raw!B46="N/A","N/A",IF(FIRE1201_historical_raw!B46="..","..",ROUND(FIRE1201_historical_raw!B46,0)))</f>
        <v>7839</v>
      </c>
      <c r="C44" s="29">
        <f ca="1">IF(FIRE1201_historical_raw!C46="N/A","N/A",IF(FIRE1201_historical_raw!C46="..","..",ROUND(FIRE1201_historical_raw!C46,0)))</f>
        <v>7647</v>
      </c>
      <c r="D44" s="29"/>
      <c r="E44" s="29">
        <f ca="1">IF(FIRE1201_historical_raw!D46="N/A","N/A",IF(FIRE1201_historical_raw!D46="..","..",ROUND(FIRE1201_historical_raw!D46,0)))</f>
        <v>4991</v>
      </c>
      <c r="F44" s="29">
        <f ca="1">IF(FIRE1201_historical_raw!E46="N/A","N/A",IF(FIRE1201_historical_raw!E46="..","..",ROUND(FIRE1201_historical_raw!E46,0)))</f>
        <v>4878</v>
      </c>
      <c r="G44" s="29"/>
      <c r="H44" s="29">
        <f ca="1">IF(FIRE1201_historical_raw!F46="N/A","N/A",IF(FIRE1201_historical_raw!F46="..","..",ROUND(FIRE1201_historical_raw!F46,0)))</f>
        <v>1030</v>
      </c>
      <c r="I44" s="29">
        <f ca="1">IF(FIRE1201_historical_raw!G46="N/A","N/A",IF(FIRE1201_historical_raw!G46="..","..",ROUND(FIRE1201_historical_raw!G46,0)))</f>
        <v>1319</v>
      </c>
      <c r="J44" s="29"/>
      <c r="K44" s="29">
        <f ca="1">IF(FIRE1201_historical_raw!H46="N/A","N/A",IF(FIRE1201_historical_raw!H46="..","..",ROUND(FIRE1201_historical_raw!H46,0)))</f>
        <v>4</v>
      </c>
      <c r="L44" s="29">
        <f ca="1">IF(FIRE1201_historical_raw!I46="N/A","N/A",IF(FIRE1201_historical_raw!I46="..","..",ROUND(FIRE1201_historical_raw!I46,0)))</f>
        <v>2</v>
      </c>
      <c r="M44" s="4"/>
      <c r="O44" s="11"/>
      <c r="P44" s="11"/>
      <c r="R44" s="11"/>
      <c r="S44" s="11"/>
      <c r="U44" s="13"/>
      <c r="V44" s="13"/>
      <c r="W44" s="13"/>
      <c r="X44" s="13"/>
      <c r="Y44" s="13"/>
      <c r="AA44" s="12"/>
      <c r="AB44" s="12"/>
      <c r="AC44" s="12"/>
      <c r="AD44" s="12"/>
      <c r="AE44" s="12"/>
      <c r="AF44" s="12"/>
      <c r="AG44" s="12"/>
      <c r="AH44" s="12"/>
      <c r="AI44" s="12"/>
      <c r="AJ44" s="12"/>
      <c r="AK44" s="12"/>
    </row>
    <row r="45" spans="1:37" s="5" customFormat="1" ht="15" customHeight="1" x14ac:dyDescent="0.3">
      <c r="A45" s="4" t="s">
        <v>35</v>
      </c>
      <c r="B45" s="29">
        <f ca="1">IF(FIRE1201_historical_raw!B47="N/A","N/A",IF(FIRE1201_historical_raw!B47="..","..",ROUND(FIRE1201_historical_raw!B47,0)))</f>
        <v>3757</v>
      </c>
      <c r="C45" s="29">
        <f ca="1">IF(FIRE1201_historical_raw!C47="N/A","N/A",IF(FIRE1201_historical_raw!C47="..","..",ROUND(FIRE1201_historical_raw!C47,0)))</f>
        <v>11344</v>
      </c>
      <c r="D45" s="29"/>
      <c r="E45" s="29">
        <f ca="1">IF(FIRE1201_historical_raw!D47="N/A","N/A",IF(FIRE1201_historical_raw!D47="..","..",ROUND(FIRE1201_historical_raw!D47,0)))</f>
        <v>1879</v>
      </c>
      <c r="F45" s="29">
        <f ca="1">IF(FIRE1201_historical_raw!E47="N/A","N/A",IF(FIRE1201_historical_raw!E47="..","..",ROUND(FIRE1201_historical_raw!E47,0)))</f>
        <v>5715</v>
      </c>
      <c r="G45" s="29"/>
      <c r="H45" s="29">
        <f ca="1">IF(FIRE1201_historical_raw!F47="N/A","N/A",IF(FIRE1201_historical_raw!F47="..","..",ROUND(FIRE1201_historical_raw!F47,0)))</f>
        <v>1692</v>
      </c>
      <c r="I45" s="29">
        <f ca="1">IF(FIRE1201_historical_raw!G47="N/A","N/A",IF(FIRE1201_historical_raw!G47="..","..",ROUND(FIRE1201_historical_raw!G47,0)))</f>
        <v>5696</v>
      </c>
      <c r="J45" s="29"/>
      <c r="K45" s="29">
        <f ca="1">IF(FIRE1201_historical_raw!H47="N/A","N/A",IF(FIRE1201_historical_raw!H47="..","..",ROUND(FIRE1201_historical_raw!H47,0)))</f>
        <v>571</v>
      </c>
      <c r="L45" s="29">
        <f ca="1">IF(FIRE1201_historical_raw!I47="N/A","N/A",IF(FIRE1201_historical_raw!I47="..","..",ROUND(FIRE1201_historical_raw!I47,0)))</f>
        <v>879</v>
      </c>
      <c r="M45" s="4"/>
      <c r="O45" s="11"/>
      <c r="P45" s="11"/>
      <c r="R45" s="11"/>
      <c r="S45" s="11"/>
      <c r="U45" s="13"/>
      <c r="V45" s="13"/>
      <c r="W45" s="13"/>
      <c r="X45" s="13"/>
      <c r="Y45" s="13"/>
      <c r="AA45" s="12"/>
      <c r="AB45" s="12"/>
      <c r="AC45" s="12"/>
      <c r="AD45" s="12"/>
      <c r="AE45" s="12"/>
      <c r="AF45" s="12"/>
      <c r="AG45" s="12"/>
      <c r="AH45" s="12"/>
      <c r="AI45" s="12"/>
      <c r="AJ45" s="12"/>
      <c r="AK45" s="12"/>
    </row>
    <row r="46" spans="1:37" s="5" customFormat="1" ht="15" customHeight="1" x14ac:dyDescent="0.3">
      <c r="A46" s="4" t="s">
        <v>36</v>
      </c>
      <c r="B46" s="29">
        <f ca="1">IF(FIRE1201_historical_raw!B48="N/A","N/A",IF(FIRE1201_historical_raw!B48="..","..",ROUND(FIRE1201_historical_raw!B48,0)))</f>
        <v>2252</v>
      </c>
      <c r="C46" s="29">
        <f ca="1">IF(FIRE1201_historical_raw!C48="N/A","N/A",IF(FIRE1201_historical_raw!C48="..","..",ROUND(FIRE1201_historical_raw!C48,0)))</f>
        <v>5594</v>
      </c>
      <c r="D46" s="29"/>
      <c r="E46" s="29">
        <f ca="1">IF(FIRE1201_historical_raw!D48="N/A","N/A",IF(FIRE1201_historical_raw!D48="..","..",ROUND(FIRE1201_historical_raw!D48,0)))</f>
        <v>1916</v>
      </c>
      <c r="F46" s="29">
        <f ca="1">IF(FIRE1201_historical_raw!E48="N/A","N/A",IF(FIRE1201_historical_raw!E48="..","..",ROUND(FIRE1201_historical_raw!E48,0)))</f>
        <v>3723</v>
      </c>
      <c r="G46" s="29"/>
      <c r="H46" s="29">
        <f ca="1">IF(FIRE1201_historical_raw!F48="N/A","N/A",IF(FIRE1201_historical_raw!F48="..","..",ROUND(FIRE1201_historical_raw!F48,0)))</f>
        <v>6</v>
      </c>
      <c r="I46" s="29">
        <f ca="1">IF(FIRE1201_historical_raw!G48="N/A","N/A",IF(FIRE1201_historical_raw!G48="..","..",ROUND(FIRE1201_historical_raw!G48,0)))</f>
        <v>13</v>
      </c>
      <c r="J46" s="29"/>
      <c r="K46" s="29">
        <f ca="1">IF(FIRE1201_historical_raw!H48="N/A","N/A",IF(FIRE1201_historical_raw!H48="..","..",ROUND(FIRE1201_historical_raw!H48,0)))</f>
        <v>13</v>
      </c>
      <c r="L46" s="29">
        <f ca="1">IF(FIRE1201_historical_raw!I48="N/A","N/A",IF(FIRE1201_historical_raw!I48="..","..",ROUND(FIRE1201_historical_raw!I48,0)))</f>
        <v>13</v>
      </c>
      <c r="M46" s="4"/>
      <c r="O46" s="11"/>
      <c r="P46" s="11"/>
      <c r="R46" s="11"/>
      <c r="S46" s="11"/>
      <c r="U46" s="13"/>
      <c r="V46" s="13"/>
      <c r="W46" s="13"/>
      <c r="X46" s="13"/>
      <c r="Y46" s="13"/>
      <c r="AA46" s="12"/>
      <c r="AB46" s="12"/>
      <c r="AC46" s="12"/>
      <c r="AD46" s="12"/>
      <c r="AE46" s="12"/>
      <c r="AF46" s="12"/>
      <c r="AG46" s="12"/>
      <c r="AH46" s="12"/>
      <c r="AI46" s="12"/>
      <c r="AJ46" s="12"/>
      <c r="AK46" s="12"/>
    </row>
    <row r="47" spans="1:37" s="5" customFormat="1" ht="15" customHeight="1" x14ac:dyDescent="0.3">
      <c r="A47" s="4" t="s">
        <v>37</v>
      </c>
      <c r="B47" s="29">
        <f ca="1">IF(FIRE1201_historical_raw!B49="N/A","N/A",IF(FIRE1201_historical_raw!B49="..","..",ROUND(FIRE1201_historical_raw!B49,0)))</f>
        <v>4205</v>
      </c>
      <c r="C47" s="29">
        <f ca="1">IF(FIRE1201_historical_raw!C49="N/A","N/A",IF(FIRE1201_historical_raw!C49="..","..",ROUND(FIRE1201_historical_raw!C49,0)))</f>
        <v>3889</v>
      </c>
      <c r="D47" s="29"/>
      <c r="E47" s="29">
        <f ca="1">IF(FIRE1201_historical_raw!D49="N/A","N/A",IF(FIRE1201_historical_raw!D49="..","..",ROUND(FIRE1201_historical_raw!D49,0)))</f>
        <v>3504</v>
      </c>
      <c r="F47" s="29">
        <f ca="1">IF(FIRE1201_historical_raw!E49="N/A","N/A",IF(FIRE1201_historical_raw!E49="..","..",ROUND(FIRE1201_historical_raw!E49,0)))</f>
        <v>3420</v>
      </c>
      <c r="G47" s="29"/>
      <c r="H47" s="29" t="str">
        <f ca="1">IF(FIRE1201_historical_raw!F49="N/A","N/A",IF(FIRE1201_historical_raw!F49="..","..",ROUND(FIRE1201_historical_raw!F49,0)))</f>
        <v>N/A</v>
      </c>
      <c r="I47" s="29" t="str">
        <f ca="1">IF(FIRE1201_historical_raw!G49="N/A","N/A",IF(FIRE1201_historical_raw!G49="..","..",ROUND(FIRE1201_historical_raw!G49,0)))</f>
        <v>N/A</v>
      </c>
      <c r="J47" s="29"/>
      <c r="K47" s="29">
        <f ca="1">IF(FIRE1201_historical_raw!H49="N/A","N/A",IF(FIRE1201_historical_raw!H49="..","..",ROUND(FIRE1201_historical_raw!H49,0)))</f>
        <v>546</v>
      </c>
      <c r="L47" s="29" t="str">
        <f ca="1">IF(FIRE1201_historical_raw!I49="N/A","N/A",IF(FIRE1201_historical_raw!I49="..","..",ROUND(FIRE1201_historical_raw!I49,0)))</f>
        <v>N/A</v>
      </c>
      <c r="M47" s="4"/>
      <c r="O47" s="11"/>
      <c r="P47" s="11"/>
      <c r="R47" s="11"/>
      <c r="S47" s="11"/>
      <c r="U47" s="13"/>
      <c r="V47" s="13"/>
      <c r="W47" s="13"/>
      <c r="X47" s="13"/>
      <c r="Y47" s="13"/>
      <c r="AA47" s="12"/>
      <c r="AB47" s="12"/>
      <c r="AC47" s="12"/>
      <c r="AD47" s="12"/>
      <c r="AE47" s="12"/>
      <c r="AF47" s="12"/>
      <c r="AG47" s="12"/>
      <c r="AH47" s="12"/>
      <c r="AI47" s="12"/>
      <c r="AJ47" s="12"/>
      <c r="AK47" s="12"/>
    </row>
    <row r="48" spans="1:37" s="5" customFormat="1" ht="15" customHeight="1" x14ac:dyDescent="0.3">
      <c r="A48" s="95" t="s">
        <v>38</v>
      </c>
      <c r="B48" s="29">
        <f ca="1">IF(FIRE1201_historical_raw!B50="N/A","N/A",IF(FIRE1201_historical_raw!B50="..","..",ROUND(FIRE1201_historical_raw!B50,0)))</f>
        <v>20578</v>
      </c>
      <c r="C48" s="29">
        <f ca="1">IF(FIRE1201_historical_raw!C50="N/A","N/A",IF(FIRE1201_historical_raw!C50="..","..",ROUND(FIRE1201_historical_raw!C50,0)))</f>
        <v>27368</v>
      </c>
      <c r="D48" s="29"/>
      <c r="E48" s="29">
        <f ca="1">IF(FIRE1201_historical_raw!D50="N/A","N/A",IF(FIRE1201_historical_raw!D50="..","..",ROUND(FIRE1201_historical_raw!D50,0)))</f>
        <v>7036</v>
      </c>
      <c r="F48" s="29">
        <f ca="1">IF(FIRE1201_historical_raw!E50="N/A","N/A",IF(FIRE1201_historical_raw!E50="..","..",ROUND(FIRE1201_historical_raw!E50,0)))</f>
        <v>9358</v>
      </c>
      <c r="G48" s="29"/>
      <c r="H48" s="29">
        <f ca="1">IF(FIRE1201_historical_raw!F50="N/A","N/A",IF(FIRE1201_historical_raw!F50="..","..",ROUND(FIRE1201_historical_raw!F50,0)))</f>
        <v>4019</v>
      </c>
      <c r="I48" s="29">
        <f ca="1">IF(FIRE1201_historical_raw!G50="N/A","N/A",IF(FIRE1201_historical_raw!G50="..","..",ROUND(FIRE1201_historical_raw!G50,0)))</f>
        <v>5345</v>
      </c>
      <c r="J48" s="29"/>
      <c r="K48" s="29">
        <f ca="1">IF(FIRE1201_historical_raw!H50="N/A","N/A",IF(FIRE1201_historical_raw!H50="..","..",ROUND(FIRE1201_historical_raw!H50,0)))</f>
        <v>478</v>
      </c>
      <c r="L48" s="29">
        <f ca="1">IF(FIRE1201_historical_raw!I50="N/A","N/A",IF(FIRE1201_historical_raw!I50="..","..",ROUND(FIRE1201_historical_raw!I50,0)))</f>
        <v>315</v>
      </c>
      <c r="M48" s="4"/>
      <c r="O48" s="11"/>
      <c r="P48" s="11"/>
      <c r="R48" s="11"/>
      <c r="S48" s="11"/>
      <c r="U48" s="13"/>
      <c r="V48" s="13"/>
      <c r="W48" s="13"/>
      <c r="X48" s="13"/>
      <c r="Y48" s="13"/>
      <c r="AA48" s="12"/>
      <c r="AB48" s="12"/>
      <c r="AC48" s="12"/>
      <c r="AD48" s="12"/>
      <c r="AE48" s="12"/>
      <c r="AF48" s="12"/>
      <c r="AG48" s="12"/>
      <c r="AH48" s="12"/>
      <c r="AI48" s="12"/>
      <c r="AJ48" s="12"/>
      <c r="AK48" s="12"/>
    </row>
    <row r="49" spans="1:37" s="5" customFormat="1" ht="15" customHeight="1" x14ac:dyDescent="0.3">
      <c r="A49" s="4" t="s">
        <v>39</v>
      </c>
      <c r="B49" s="29">
        <f ca="1">IF(FIRE1201_historical_raw!B51="N/A","N/A",IF(FIRE1201_historical_raw!B51="..","..",ROUND(FIRE1201_historical_raw!B51,0)))</f>
        <v>25206</v>
      </c>
      <c r="C49" s="29" t="str">
        <f ca="1">IF(FIRE1201_historical_raw!C51="N/A","N/A",IF(FIRE1201_historical_raw!C51="..","..",ROUND(FIRE1201_historical_raw!C51,0)))</f>
        <v>N/A</v>
      </c>
      <c r="D49" s="29"/>
      <c r="E49" s="29">
        <f ca="1">IF(FIRE1201_historical_raw!D51="N/A","N/A",IF(FIRE1201_historical_raw!D51="..","..",ROUND(FIRE1201_historical_raw!D51,0)))</f>
        <v>15199</v>
      </c>
      <c r="F49" s="29" t="str">
        <f ca="1">IF(FIRE1201_historical_raw!E51="N/A","N/A",IF(FIRE1201_historical_raw!E51="..","..",ROUND(FIRE1201_historical_raw!E51,0)))</f>
        <v>N/A</v>
      </c>
      <c r="G49" s="29"/>
      <c r="H49" s="29">
        <f ca="1">IF(FIRE1201_historical_raw!F51="N/A","N/A",IF(FIRE1201_historical_raw!F51="..","..",ROUND(FIRE1201_historical_raw!F51,0)))</f>
        <v>2099</v>
      </c>
      <c r="I49" s="29" t="str">
        <f ca="1">IF(FIRE1201_historical_raw!G51="N/A","N/A",IF(FIRE1201_historical_raw!G51="..","..",ROUND(FIRE1201_historical_raw!G51,0)))</f>
        <v>N/A</v>
      </c>
      <c r="J49" s="29"/>
      <c r="K49" s="29">
        <f ca="1">IF(FIRE1201_historical_raw!H51="N/A","N/A",IF(FIRE1201_historical_raw!H51="..","..",ROUND(FIRE1201_historical_raw!H51,0)))</f>
        <v>318</v>
      </c>
      <c r="L49" s="29" t="str">
        <f ca="1">IF(FIRE1201_historical_raw!I51="N/A","N/A",IF(FIRE1201_historical_raw!I51="..","..",ROUND(FIRE1201_historical_raw!I51,0)))</f>
        <v>N/A</v>
      </c>
      <c r="M49" s="4"/>
      <c r="O49" s="11"/>
      <c r="P49" s="11"/>
      <c r="R49" s="11"/>
      <c r="S49" s="11"/>
      <c r="U49" s="13"/>
      <c r="V49" s="13"/>
      <c r="W49" s="13"/>
      <c r="X49" s="13"/>
      <c r="Y49" s="13"/>
      <c r="AA49" s="12"/>
      <c r="AB49" s="12"/>
      <c r="AC49" s="12"/>
      <c r="AD49" s="12"/>
      <c r="AE49" s="12"/>
      <c r="AF49" s="12"/>
      <c r="AG49" s="12"/>
      <c r="AH49" s="12"/>
      <c r="AI49" s="12"/>
      <c r="AJ49" s="12"/>
      <c r="AK49" s="12"/>
    </row>
    <row r="50" spans="1:37" s="5" customFormat="1" ht="15" customHeight="1" x14ac:dyDescent="0.3">
      <c r="A50" s="4" t="s">
        <v>40</v>
      </c>
      <c r="B50" s="29">
        <f ca="1">IF(FIRE1201_historical_raw!B52="N/A","N/A",IF(FIRE1201_historical_raw!B52="..","..",ROUND(FIRE1201_historical_raw!B52,0)))</f>
        <v>1310</v>
      </c>
      <c r="C50" s="29">
        <f ca="1">IF(FIRE1201_historical_raw!C52="N/A","N/A",IF(FIRE1201_historical_raw!C52="..","..",ROUND(FIRE1201_historical_raw!C52,0)))</f>
        <v>2691</v>
      </c>
      <c r="D50" s="29"/>
      <c r="E50" s="29">
        <f ca="1">IF(FIRE1201_historical_raw!D52="N/A","N/A",IF(FIRE1201_historical_raw!D52="..","..",ROUND(FIRE1201_historical_raw!D52,0)))</f>
        <v>809</v>
      </c>
      <c r="F50" s="29">
        <f ca="1">IF(FIRE1201_historical_raw!E52="N/A","N/A",IF(FIRE1201_historical_raw!E52="..","..",ROUND(FIRE1201_historical_raw!E52,0)))</f>
        <v>1879</v>
      </c>
      <c r="G50" s="29"/>
      <c r="H50" s="29">
        <f ca="1">IF(FIRE1201_historical_raw!F52="N/A","N/A",IF(FIRE1201_historical_raw!F52="..","..",ROUND(FIRE1201_historical_raw!F52,0)))</f>
        <v>159</v>
      </c>
      <c r="I50" s="29">
        <f ca="1">IF(FIRE1201_historical_raw!G52="N/A","N/A",IF(FIRE1201_historical_raw!G52="..","..",ROUND(FIRE1201_historical_raw!G52,0)))</f>
        <v>410</v>
      </c>
      <c r="J50" s="29"/>
      <c r="K50" s="29">
        <f ca="1">IF(FIRE1201_historical_raw!H52="N/A","N/A",IF(FIRE1201_historical_raw!H52="..","..",ROUND(FIRE1201_historical_raw!H52,0)))</f>
        <v>0</v>
      </c>
      <c r="L50" s="29">
        <f ca="1">IF(FIRE1201_historical_raw!I52="N/A","N/A",IF(FIRE1201_historical_raw!I52="..","..",ROUND(FIRE1201_historical_raw!I52,0)))</f>
        <v>0</v>
      </c>
      <c r="M50" s="4"/>
      <c r="O50" s="11"/>
      <c r="P50" s="11"/>
      <c r="R50" s="11"/>
      <c r="S50" s="11"/>
      <c r="U50" s="13"/>
      <c r="V50" s="13"/>
      <c r="W50" s="13"/>
      <c r="X50" s="13"/>
      <c r="Y50" s="13"/>
      <c r="AA50" s="12"/>
      <c r="AB50" s="12"/>
      <c r="AC50" s="12"/>
      <c r="AD50" s="12"/>
      <c r="AE50" s="12"/>
      <c r="AF50" s="12"/>
      <c r="AG50" s="12"/>
      <c r="AH50" s="12"/>
      <c r="AI50" s="12"/>
      <c r="AJ50" s="12"/>
      <c r="AK50" s="12"/>
    </row>
    <row r="51" spans="1:37" s="5" customFormat="1" ht="15" customHeight="1" x14ac:dyDescent="0.3">
      <c r="A51" s="4" t="s">
        <v>41</v>
      </c>
      <c r="B51" s="29">
        <f ca="1">IF(FIRE1201_historical_raw!B53="N/A","N/A",IF(FIRE1201_historical_raw!B53="..","..",ROUND(FIRE1201_historical_raw!B53,0)))</f>
        <v>3521</v>
      </c>
      <c r="C51" s="29">
        <f ca="1">IF(FIRE1201_historical_raw!C53="N/A","N/A",IF(FIRE1201_historical_raw!C53="..","..",ROUND(FIRE1201_historical_raw!C53,0)))</f>
        <v>17848</v>
      </c>
      <c r="D51" s="29"/>
      <c r="E51" s="29">
        <f ca="1">IF(FIRE1201_historical_raw!D53="N/A","N/A",IF(FIRE1201_historical_raw!D53="..","..",ROUND(FIRE1201_historical_raw!D53,0)))</f>
        <v>2475</v>
      </c>
      <c r="F51" s="29">
        <f ca="1">IF(FIRE1201_historical_raw!E53="N/A","N/A",IF(FIRE1201_historical_raw!E53="..","..",ROUND(FIRE1201_historical_raw!E53,0)))</f>
        <v>10182</v>
      </c>
      <c r="G51" s="29"/>
      <c r="H51" s="29">
        <f ca="1">IF(FIRE1201_historical_raw!F53="N/A","N/A",IF(FIRE1201_historical_raw!F53="..","..",ROUND(FIRE1201_historical_raw!F53,0)))</f>
        <v>1373</v>
      </c>
      <c r="I51" s="29">
        <f ca="1">IF(FIRE1201_historical_raw!G53="N/A","N/A",IF(FIRE1201_historical_raw!G53="..","..",ROUND(FIRE1201_historical_raw!G53,0)))</f>
        <v>11843</v>
      </c>
      <c r="J51" s="29"/>
      <c r="K51" s="29">
        <f ca="1">IF(FIRE1201_historical_raw!H53="N/A","N/A",IF(FIRE1201_historical_raw!H53="..","..",ROUND(FIRE1201_historical_raw!H53,0)))</f>
        <v>887</v>
      </c>
      <c r="L51" s="29">
        <f ca="1">IF(FIRE1201_historical_raw!I53="N/A","N/A",IF(FIRE1201_historical_raw!I53="..","..",ROUND(FIRE1201_historical_raw!I53,0)))</f>
        <v>3600</v>
      </c>
      <c r="M51" s="4"/>
      <c r="O51" s="11"/>
      <c r="P51" s="11"/>
      <c r="R51" s="11"/>
      <c r="S51" s="11"/>
      <c r="U51" s="13"/>
      <c r="V51" s="13"/>
      <c r="W51" s="13"/>
      <c r="X51" s="13"/>
      <c r="Y51" s="13"/>
      <c r="AA51" s="12"/>
      <c r="AB51" s="12"/>
      <c r="AC51" s="12"/>
      <c r="AD51" s="12"/>
      <c r="AE51" s="12"/>
      <c r="AF51" s="12"/>
      <c r="AG51" s="12"/>
      <c r="AH51" s="12"/>
      <c r="AI51" s="12"/>
      <c r="AJ51" s="12"/>
      <c r="AK51" s="12"/>
    </row>
    <row r="52" spans="1:37" s="5" customFormat="1" ht="15" customHeight="1" x14ac:dyDescent="0.3">
      <c r="A52" s="4" t="s">
        <v>42</v>
      </c>
      <c r="B52" s="29">
        <f ca="1">IF(FIRE1201_historical_raw!B54="N/A","N/A",IF(FIRE1201_historical_raw!B54="..","..",ROUND(FIRE1201_historical_raw!B54,0)))</f>
        <v>26134</v>
      </c>
      <c r="C52" s="29">
        <f ca="1">IF(FIRE1201_historical_raw!C54="N/A","N/A",IF(FIRE1201_historical_raw!C54="..","..",ROUND(FIRE1201_historical_raw!C54,0)))</f>
        <v>14501</v>
      </c>
      <c r="D52" s="29"/>
      <c r="E52" s="29">
        <f ca="1">IF(FIRE1201_historical_raw!D54="N/A","N/A",IF(FIRE1201_historical_raw!D54="..","..",ROUND(FIRE1201_historical_raw!D54,0)))</f>
        <v>12996</v>
      </c>
      <c r="F52" s="29">
        <f ca="1">IF(FIRE1201_historical_raw!E54="N/A","N/A",IF(FIRE1201_historical_raw!E54="..","..",ROUND(FIRE1201_historical_raw!E54,0)))</f>
        <v>7697</v>
      </c>
      <c r="G52" s="29"/>
      <c r="H52" s="29">
        <f ca="1">IF(FIRE1201_historical_raw!F54="N/A","N/A",IF(FIRE1201_historical_raw!F54="..","..",ROUND(FIRE1201_historical_raw!F54,0)))</f>
        <v>4962</v>
      </c>
      <c r="I52" s="29">
        <f ca="1">IF(FIRE1201_historical_raw!G54="N/A","N/A",IF(FIRE1201_historical_raw!G54="..","..",ROUND(FIRE1201_historical_raw!G54,0)))</f>
        <v>3425</v>
      </c>
      <c r="J52" s="29"/>
      <c r="K52" s="29">
        <f ca="1">IF(FIRE1201_historical_raw!H54="N/A","N/A",IF(FIRE1201_historical_raw!H54="..","..",ROUND(FIRE1201_historical_raw!H54,0)))</f>
        <v>4958</v>
      </c>
      <c r="L52" s="29">
        <f ca="1">IF(FIRE1201_historical_raw!I54="N/A","N/A",IF(FIRE1201_historical_raw!I54="..","..",ROUND(FIRE1201_historical_raw!I54,0)))</f>
        <v>982</v>
      </c>
      <c r="M52" s="4"/>
      <c r="O52" s="11"/>
      <c r="P52" s="11"/>
      <c r="R52" s="11"/>
      <c r="S52" s="11"/>
      <c r="U52" s="13"/>
      <c r="V52" s="13"/>
      <c r="W52" s="13"/>
      <c r="X52" s="13"/>
      <c r="Y52" s="13"/>
      <c r="AA52" s="12"/>
      <c r="AB52" s="12"/>
      <c r="AC52" s="12"/>
      <c r="AD52" s="12"/>
      <c r="AE52" s="12"/>
      <c r="AF52" s="12"/>
      <c r="AG52" s="12"/>
      <c r="AH52" s="12"/>
      <c r="AI52" s="12"/>
      <c r="AJ52" s="12"/>
      <c r="AK52" s="12"/>
    </row>
    <row r="53" spans="1:37" s="5" customFormat="1" ht="15" customHeight="1" x14ac:dyDescent="0.3">
      <c r="A53" s="4" t="s">
        <v>43</v>
      </c>
      <c r="B53" s="29">
        <f ca="1">IF(FIRE1201_historical_raw!B55="N/A","N/A",IF(FIRE1201_historical_raw!B55="..","..",ROUND(FIRE1201_historical_raw!B55,0)))</f>
        <v>4039</v>
      </c>
      <c r="C53" s="29">
        <f ca="1">IF(FIRE1201_historical_raw!C55="N/A","N/A",IF(FIRE1201_historical_raw!C55="..","..",ROUND(FIRE1201_historical_raw!C55,0)))</f>
        <v>8078</v>
      </c>
      <c r="D53" s="29"/>
      <c r="E53" s="29">
        <f ca="1">IF(FIRE1201_historical_raw!D55="N/A","N/A",IF(FIRE1201_historical_raw!D55="..","..",ROUND(FIRE1201_historical_raw!D55,0)))</f>
        <v>2964</v>
      </c>
      <c r="F53" s="29">
        <f ca="1">IF(FIRE1201_historical_raw!E55="N/A","N/A",IF(FIRE1201_historical_raw!E55="..","..",ROUND(FIRE1201_historical_raw!E55,0)))</f>
        <v>5928</v>
      </c>
      <c r="G53" s="29"/>
      <c r="H53" s="29">
        <f ca="1">IF(FIRE1201_historical_raw!F55="N/A","N/A",IF(FIRE1201_historical_raw!F55="..","..",ROUND(FIRE1201_historical_raw!F55,0)))</f>
        <v>686</v>
      </c>
      <c r="I53" s="29">
        <f ca="1">IF(FIRE1201_historical_raw!G55="N/A","N/A",IF(FIRE1201_historical_raw!G55="..","..",ROUND(FIRE1201_historical_raw!G55,0)))</f>
        <v>1372</v>
      </c>
      <c r="J53" s="29"/>
      <c r="K53" s="29">
        <f ca="1">IF(FIRE1201_historical_raw!H55="N/A","N/A",IF(FIRE1201_historical_raw!H55="..","..",ROUND(FIRE1201_historical_raw!H55,0)))</f>
        <v>0</v>
      </c>
      <c r="L53" s="29">
        <f ca="1">IF(FIRE1201_historical_raw!I55="N/A","N/A",IF(FIRE1201_historical_raw!I55="..","..",ROUND(FIRE1201_historical_raw!I55,0)))</f>
        <v>0</v>
      </c>
      <c r="M53" s="4"/>
      <c r="O53" s="11"/>
      <c r="P53" s="11"/>
      <c r="R53" s="11"/>
      <c r="S53" s="11"/>
      <c r="U53" s="13"/>
      <c r="V53" s="13"/>
      <c r="W53" s="13"/>
      <c r="X53" s="13"/>
      <c r="Y53" s="13"/>
      <c r="AA53" s="12"/>
      <c r="AB53" s="12"/>
      <c r="AC53" s="12"/>
      <c r="AD53" s="12"/>
      <c r="AE53" s="12"/>
      <c r="AF53" s="12"/>
      <c r="AG53" s="12"/>
      <c r="AH53" s="12"/>
      <c r="AI53" s="12"/>
      <c r="AJ53" s="12"/>
      <c r="AK53" s="12"/>
    </row>
    <row r="54" spans="1:37" s="5" customFormat="1" ht="15" customHeight="1" x14ac:dyDescent="0.3">
      <c r="A54" s="4" t="s">
        <v>44</v>
      </c>
      <c r="B54" s="29">
        <f ca="1">IF(FIRE1201_historical_raw!B56="N/A","N/A",IF(FIRE1201_historical_raw!B56="..","..",ROUND(FIRE1201_historical_raw!B56,0)))</f>
        <v>31576</v>
      </c>
      <c r="C54" s="29">
        <f ca="1">IF(FIRE1201_historical_raw!C56="N/A","N/A",IF(FIRE1201_historical_raw!C56="..","..",ROUND(FIRE1201_historical_raw!C56,0)))</f>
        <v>119207</v>
      </c>
      <c r="D54" s="29"/>
      <c r="E54" s="29">
        <f ca="1">IF(FIRE1201_historical_raw!D56="N/A","N/A",IF(FIRE1201_historical_raw!D56="..","..",ROUND(FIRE1201_historical_raw!D56,0)))</f>
        <v>17539</v>
      </c>
      <c r="F54" s="29">
        <f ca="1">IF(FIRE1201_historical_raw!E56="N/A","N/A",IF(FIRE1201_historical_raw!E56="..","..",ROUND(FIRE1201_historical_raw!E56,0)))</f>
        <v>66214</v>
      </c>
      <c r="G54" s="29"/>
      <c r="H54" s="29">
        <f ca="1">IF(FIRE1201_historical_raw!F56="N/A","N/A",IF(FIRE1201_historical_raw!F56="..","..",ROUND(FIRE1201_historical_raw!F56,0)))</f>
        <v>19761</v>
      </c>
      <c r="I54" s="29">
        <f ca="1">IF(FIRE1201_historical_raw!G56="N/A","N/A",IF(FIRE1201_historical_raw!G56="..","..",ROUND(FIRE1201_historical_raw!G56,0)))</f>
        <v>74602</v>
      </c>
      <c r="J54" s="29"/>
      <c r="K54" s="29">
        <f ca="1">IF(FIRE1201_historical_raw!H56="N/A","N/A",IF(FIRE1201_historical_raw!H56="..","..",ROUND(FIRE1201_historical_raw!H56,0)))</f>
        <v>0</v>
      </c>
      <c r="L54" s="29">
        <f ca="1">IF(FIRE1201_historical_raw!I56="N/A","N/A",IF(FIRE1201_historical_raw!I56="..","..",ROUND(FIRE1201_historical_raw!I56,0)))</f>
        <v>0</v>
      </c>
      <c r="M54" s="4"/>
      <c r="O54" s="11"/>
      <c r="P54" s="11"/>
      <c r="R54" s="11"/>
      <c r="S54" s="11"/>
      <c r="U54" s="13"/>
      <c r="V54" s="13"/>
      <c r="W54" s="13"/>
      <c r="X54" s="13"/>
      <c r="Y54" s="13"/>
      <c r="AA54" s="12"/>
      <c r="AB54" s="12"/>
      <c r="AC54" s="12"/>
      <c r="AD54" s="12"/>
      <c r="AE54" s="12"/>
      <c r="AF54" s="12"/>
      <c r="AG54" s="12"/>
      <c r="AH54" s="12"/>
      <c r="AI54" s="12"/>
      <c r="AJ54" s="12"/>
      <c r="AK54" s="12"/>
    </row>
    <row r="55" spans="1:37" s="5" customFormat="1" ht="15" customHeight="1" x14ac:dyDescent="0.3">
      <c r="A55" s="31" t="s">
        <v>45</v>
      </c>
      <c r="B55" s="29">
        <f ca="1">IF(FIRE1201_historical_raw!B57="N/A","N/A",IF(FIRE1201_historical_raw!B57="..","..",ROUND(FIRE1201_historical_raw!B57,0)))</f>
        <v>6647</v>
      </c>
      <c r="C55" s="29">
        <f ca="1">IF(FIRE1201_historical_raw!C57="N/A","N/A",IF(FIRE1201_historical_raw!C57="..","..",ROUND(FIRE1201_historical_raw!C57,0)))</f>
        <v>9534</v>
      </c>
      <c r="D55" s="29"/>
      <c r="E55" s="29">
        <f ca="1">IF(FIRE1201_historical_raw!D57="N/A","N/A",IF(FIRE1201_historical_raw!D57="..","..",ROUND(FIRE1201_historical_raw!D57,0)))</f>
        <v>5073</v>
      </c>
      <c r="F55" s="29">
        <f ca="1">IF(FIRE1201_historical_raw!E57="N/A","N/A",IF(FIRE1201_historical_raw!E57="..","..",ROUND(FIRE1201_historical_raw!E57,0)))</f>
        <v>6922</v>
      </c>
      <c r="G55" s="29"/>
      <c r="H55" s="29">
        <f ca="1">IF(FIRE1201_historical_raw!F57="N/A","N/A",IF(FIRE1201_historical_raw!F57="..","..",ROUND(FIRE1201_historical_raw!F57,0)))</f>
        <v>1568</v>
      </c>
      <c r="I55" s="29">
        <f ca="1">IF(FIRE1201_historical_raw!G57="N/A","N/A",IF(FIRE1201_historical_raw!G57="..","..",ROUND(FIRE1201_historical_raw!G57,0)))</f>
        <v>2612</v>
      </c>
      <c r="J55" s="29"/>
      <c r="K55" s="29">
        <f ca="1">IF(FIRE1201_historical_raw!H57="N/A","N/A",IF(FIRE1201_historical_raw!H57="..","..",ROUND(FIRE1201_historical_raw!H57,0)))</f>
        <v>0</v>
      </c>
      <c r="L55" s="29">
        <f ca="1">IF(FIRE1201_historical_raw!I57="N/A","N/A",IF(FIRE1201_historical_raw!I57="..","..",ROUND(FIRE1201_historical_raw!I57,0)))</f>
        <v>0</v>
      </c>
      <c r="M55" s="4"/>
      <c r="O55" s="11"/>
      <c r="P55" s="11"/>
      <c r="R55" s="11"/>
      <c r="S55" s="11"/>
      <c r="U55" s="13"/>
      <c r="V55" s="13"/>
      <c r="W55" s="13"/>
      <c r="X55" s="13"/>
      <c r="Y55" s="13"/>
      <c r="AA55" s="12"/>
      <c r="AB55" s="12"/>
      <c r="AC55" s="12"/>
      <c r="AD55" s="12"/>
      <c r="AE55" s="12"/>
      <c r="AF55" s="12"/>
      <c r="AG55" s="12"/>
      <c r="AH55" s="12"/>
      <c r="AI55" s="12"/>
      <c r="AJ55" s="12"/>
      <c r="AK55" s="12"/>
    </row>
    <row r="56" spans="1:37" s="5" customFormat="1" ht="15" customHeight="1" thickBot="1" x14ac:dyDescent="0.35">
      <c r="A56" s="16" t="s">
        <v>46</v>
      </c>
      <c r="B56" s="30">
        <f ca="1">IF(FIRE1201_historical_raw!B58="N/A","N/A",IF(FIRE1201_historical_raw!B58="..","..",ROUND(FIRE1201_historical_raw!B58,0)))</f>
        <v>18477</v>
      </c>
      <c r="C56" s="30">
        <f ca="1">IF(FIRE1201_historical_raw!C58="N/A","N/A",IF(FIRE1201_historical_raw!C58="..","..",ROUND(FIRE1201_historical_raw!C58,0)))</f>
        <v>88283</v>
      </c>
      <c r="D56" s="30"/>
      <c r="E56" s="30">
        <f ca="1">IF(FIRE1201_historical_raw!D58="N/A","N/A",IF(FIRE1201_historical_raw!D58="..","..",ROUND(FIRE1201_historical_raw!D58,0)))</f>
        <v>9494</v>
      </c>
      <c r="F56" s="30">
        <f ca="1">IF(FIRE1201_historical_raw!E58="N/A","N/A",IF(FIRE1201_historical_raw!E58="..","..",ROUND(FIRE1201_historical_raw!E58,0)))</f>
        <v>38171</v>
      </c>
      <c r="G56" s="30"/>
      <c r="H56" s="30">
        <f ca="1">IF(FIRE1201_historical_raw!F58="N/A","N/A",IF(FIRE1201_historical_raw!F58="..","..",ROUND(FIRE1201_historical_raw!F58,0)))</f>
        <v>7740</v>
      </c>
      <c r="I56" s="30">
        <f ca="1">IF(FIRE1201_historical_raw!G58="N/A","N/A",IF(FIRE1201_historical_raw!G58="..","..",ROUND(FIRE1201_historical_raw!G58,0)))</f>
        <v>28728</v>
      </c>
      <c r="J56" s="30"/>
      <c r="K56" s="30">
        <f ca="1">IF(FIRE1201_historical_raw!H58="N/A","N/A",IF(FIRE1201_historical_raw!H58="..","..",ROUND(FIRE1201_historical_raw!H58,0)))</f>
        <v>27</v>
      </c>
      <c r="L56" s="30">
        <f ca="1">IF(FIRE1201_historical_raw!I58="N/A","N/A",IF(FIRE1201_historical_raw!I58="..","..",ROUND(FIRE1201_historical_raw!I58,0)))</f>
        <v>39</v>
      </c>
      <c r="M56" s="4"/>
      <c r="O56" s="11"/>
      <c r="P56" s="11"/>
      <c r="R56" s="11"/>
      <c r="S56" s="11"/>
      <c r="U56" s="13"/>
      <c r="V56" s="13"/>
      <c r="W56" s="13"/>
      <c r="X56" s="13"/>
      <c r="Y56" s="13"/>
      <c r="AA56" s="12"/>
      <c r="AB56" s="12"/>
      <c r="AC56" s="12"/>
      <c r="AD56" s="12"/>
      <c r="AE56" s="12"/>
      <c r="AF56" s="12"/>
      <c r="AG56" s="12"/>
      <c r="AH56" s="12"/>
      <c r="AI56" s="12"/>
      <c r="AJ56" s="12"/>
      <c r="AK56" s="12"/>
    </row>
    <row r="57" spans="1:37" s="5" customFormat="1" ht="15" customHeight="1" x14ac:dyDescent="0.3">
      <c r="A57" s="31"/>
      <c r="B57" s="29"/>
      <c r="C57" s="29"/>
      <c r="D57" s="29"/>
      <c r="E57" s="29"/>
      <c r="F57" s="29"/>
      <c r="G57" s="29"/>
      <c r="H57" s="29"/>
      <c r="I57" s="29"/>
      <c r="J57" s="29"/>
      <c r="K57" s="29"/>
      <c r="L57" s="29"/>
      <c r="M57" s="4"/>
      <c r="O57" s="11"/>
      <c r="P57" s="11"/>
      <c r="R57" s="11"/>
      <c r="S57" s="11"/>
      <c r="U57" s="13"/>
      <c r="V57" s="13"/>
      <c r="W57" s="13"/>
      <c r="X57" s="13"/>
      <c r="Y57" s="13"/>
      <c r="AA57" s="12"/>
      <c r="AB57" s="12"/>
      <c r="AC57" s="12"/>
      <c r="AD57" s="12"/>
      <c r="AE57" s="12"/>
      <c r="AF57" s="12"/>
      <c r="AG57" s="12"/>
      <c r="AH57" s="12"/>
      <c r="AI57" s="12"/>
      <c r="AJ57" s="12"/>
      <c r="AK57" s="12"/>
    </row>
    <row r="58" spans="1:37" x14ac:dyDescent="0.3">
      <c r="A58" s="4" t="s">
        <v>138</v>
      </c>
      <c r="O58" s="11"/>
      <c r="P58" s="11"/>
      <c r="R58" s="11"/>
      <c r="S58" s="11"/>
      <c r="T58" s="11"/>
      <c r="U58" s="11"/>
      <c r="V58" s="11"/>
      <c r="W58" s="11"/>
      <c r="X58" s="11"/>
      <c r="Y58" s="11"/>
    </row>
    <row r="59" spans="1:37" s="5" customFormat="1" ht="15" customHeight="1" x14ac:dyDescent="0.3">
      <c r="A59" s="156" t="s">
        <v>94</v>
      </c>
      <c r="B59" s="156"/>
      <c r="C59" s="156"/>
      <c r="D59" s="156"/>
      <c r="E59" s="156"/>
      <c r="F59" s="156"/>
      <c r="G59" s="156"/>
      <c r="H59" s="156"/>
      <c r="I59" s="156"/>
      <c r="J59" s="156"/>
      <c r="K59" s="156"/>
      <c r="L59" s="156"/>
      <c r="M59" s="4"/>
      <c r="N59" s="4"/>
      <c r="O59" s="11"/>
      <c r="P59" s="11"/>
      <c r="Q59" s="4"/>
      <c r="R59" s="11"/>
      <c r="S59" s="11"/>
      <c r="T59" s="11"/>
      <c r="U59" s="11"/>
      <c r="V59" s="11"/>
      <c r="W59" s="11"/>
      <c r="X59" s="11"/>
      <c r="Y59" s="11"/>
    </row>
    <row r="60" spans="1:37" s="5" customFormat="1" ht="15" customHeight="1" x14ac:dyDescent="0.3">
      <c r="A60" s="5" t="s">
        <v>89</v>
      </c>
      <c r="M60" s="4"/>
      <c r="N60" s="4"/>
      <c r="O60" s="11"/>
      <c r="P60" s="11"/>
      <c r="Q60" s="4"/>
      <c r="R60" s="11"/>
      <c r="S60" s="11"/>
      <c r="T60" s="11"/>
      <c r="U60" s="11"/>
      <c r="V60" s="11"/>
      <c r="W60" s="11"/>
      <c r="X60" s="11"/>
      <c r="Y60" s="11"/>
    </row>
    <row r="61" spans="1:37" s="5" customFormat="1" ht="27.75" customHeight="1" x14ac:dyDescent="0.3">
      <c r="A61" s="36" t="s">
        <v>73</v>
      </c>
      <c r="B61" s="34"/>
      <c r="C61" s="34"/>
      <c r="D61" s="34"/>
      <c r="E61" s="34"/>
      <c r="F61" s="34"/>
      <c r="G61" s="34"/>
      <c r="H61" s="34"/>
      <c r="I61" s="34"/>
      <c r="J61" s="34"/>
      <c r="K61" s="34"/>
      <c r="L61" s="34"/>
      <c r="M61" s="4"/>
      <c r="N61" s="4"/>
      <c r="O61" s="11"/>
      <c r="P61" s="11"/>
      <c r="Q61" s="4"/>
      <c r="R61" s="11"/>
      <c r="S61" s="11"/>
      <c r="T61" s="11"/>
      <c r="U61" s="11"/>
      <c r="V61" s="11"/>
      <c r="W61" s="11"/>
      <c r="X61" s="11"/>
      <c r="Y61" s="11"/>
    </row>
    <row r="62" spans="1:37" s="5" customFormat="1" ht="15" customHeight="1" x14ac:dyDescent="0.3">
      <c r="A62" s="35" t="s">
        <v>79</v>
      </c>
      <c r="B62" s="34"/>
      <c r="C62" s="34"/>
      <c r="D62" s="34"/>
      <c r="E62" s="34"/>
      <c r="F62" s="34"/>
      <c r="G62" s="34"/>
      <c r="H62" s="34"/>
      <c r="I62" s="34"/>
      <c r="J62" s="34"/>
      <c r="K62" s="34"/>
      <c r="L62" s="34"/>
      <c r="M62" s="4"/>
      <c r="N62" s="4"/>
      <c r="O62" s="11"/>
      <c r="P62" s="11"/>
      <c r="Q62" s="4"/>
      <c r="R62" s="11"/>
      <c r="S62" s="11"/>
      <c r="T62" s="11"/>
      <c r="U62" s="11"/>
      <c r="V62" s="11"/>
      <c r="W62" s="11"/>
      <c r="X62" s="11"/>
      <c r="Y62" s="11"/>
    </row>
    <row r="63" spans="1:37" s="5" customFormat="1" ht="27" customHeight="1" x14ac:dyDescent="0.3">
      <c r="A63" s="17" t="s">
        <v>66</v>
      </c>
      <c r="B63" s="4"/>
      <c r="C63" s="4"/>
      <c r="D63" s="4"/>
      <c r="E63" s="4"/>
      <c r="F63" s="4"/>
      <c r="G63" s="4"/>
      <c r="H63" s="4"/>
      <c r="I63" s="4"/>
      <c r="J63" s="4"/>
      <c r="K63" s="4"/>
      <c r="L63" s="4"/>
      <c r="M63" s="4"/>
      <c r="N63" s="4"/>
      <c r="O63" s="11"/>
      <c r="P63" s="11"/>
      <c r="Q63" s="4"/>
      <c r="R63" s="11"/>
      <c r="S63" s="11"/>
      <c r="T63" s="11"/>
      <c r="U63" s="11"/>
      <c r="V63" s="11"/>
      <c r="W63" s="11"/>
      <c r="X63" s="11"/>
      <c r="Y63" s="11"/>
    </row>
    <row r="64" spans="1:37" s="5" customFormat="1" ht="15" customHeight="1" x14ac:dyDescent="0.3">
      <c r="A64" s="156" t="s">
        <v>95</v>
      </c>
      <c r="B64" s="156"/>
      <c r="C64" s="156"/>
      <c r="D64" s="156"/>
      <c r="E64" s="156"/>
      <c r="F64" s="156"/>
      <c r="G64" s="156"/>
      <c r="H64" s="156"/>
      <c r="I64" s="156"/>
      <c r="J64" s="156"/>
      <c r="K64" s="156"/>
      <c r="L64" s="156"/>
      <c r="M64" s="4"/>
      <c r="N64" s="4"/>
      <c r="O64" s="11"/>
      <c r="P64" s="11"/>
      <c r="Q64" s="4"/>
      <c r="R64" s="11"/>
      <c r="S64" s="11"/>
      <c r="T64" s="11"/>
      <c r="U64" s="11"/>
      <c r="V64" s="11"/>
      <c r="W64" s="11"/>
      <c r="X64" s="11"/>
      <c r="Y64" s="11"/>
    </row>
    <row r="65" spans="1:25" s="5" customFormat="1" x14ac:dyDescent="0.3">
      <c r="A65" s="35" t="s">
        <v>88</v>
      </c>
      <c r="B65" s="41"/>
      <c r="C65" s="41"/>
      <c r="D65" s="41"/>
      <c r="E65" s="41"/>
      <c r="F65" s="41"/>
      <c r="G65" s="41"/>
      <c r="H65" s="41"/>
      <c r="I65" s="41"/>
      <c r="J65" s="41"/>
      <c r="K65" s="41"/>
      <c r="L65" s="41"/>
      <c r="M65" s="4"/>
      <c r="N65" s="4"/>
      <c r="O65" s="11"/>
      <c r="P65" s="11"/>
      <c r="Q65" s="4"/>
      <c r="R65" s="11"/>
      <c r="S65" s="11"/>
      <c r="T65" s="11"/>
      <c r="U65" s="11"/>
      <c r="V65" s="11"/>
      <c r="W65" s="11"/>
      <c r="X65" s="11"/>
      <c r="Y65" s="11"/>
    </row>
    <row r="66" spans="1:25" s="5" customFormat="1" x14ac:dyDescent="0.3">
      <c r="A66" s="35" t="s">
        <v>78</v>
      </c>
      <c r="B66" s="39"/>
      <c r="C66" s="39"/>
      <c r="D66" s="39"/>
      <c r="E66" s="39"/>
      <c r="F66" s="39"/>
      <c r="G66" s="39"/>
      <c r="H66" s="39"/>
      <c r="I66" s="39"/>
      <c r="J66" s="39"/>
      <c r="K66" s="39"/>
      <c r="L66" s="39"/>
      <c r="M66" s="4"/>
      <c r="N66" s="4"/>
      <c r="O66" s="11"/>
      <c r="P66" s="11"/>
      <c r="Q66" s="4"/>
      <c r="R66" s="11"/>
      <c r="S66" s="11"/>
      <c r="T66" s="11"/>
      <c r="U66" s="11"/>
      <c r="V66" s="11"/>
      <c r="W66" s="11"/>
      <c r="X66" s="11"/>
      <c r="Y66" s="11"/>
    </row>
    <row r="67" spans="1:25" s="5" customFormat="1" x14ac:dyDescent="0.3">
      <c r="A67" s="156" t="s">
        <v>80</v>
      </c>
      <c r="B67" s="2"/>
      <c r="C67" s="2"/>
      <c r="D67" s="2"/>
      <c r="E67" s="2"/>
      <c r="F67" s="2"/>
      <c r="G67" s="2"/>
      <c r="H67" s="2"/>
      <c r="I67" s="2"/>
      <c r="J67" s="2"/>
      <c r="K67" s="2"/>
      <c r="L67" s="2"/>
      <c r="M67" s="4"/>
      <c r="N67" s="4"/>
      <c r="O67" s="11"/>
      <c r="P67" s="11"/>
      <c r="Q67" s="4"/>
      <c r="R67" s="11"/>
      <c r="S67" s="11"/>
      <c r="T67" s="11"/>
      <c r="U67" s="11"/>
      <c r="V67" s="11"/>
      <c r="W67" s="11"/>
      <c r="X67" s="11"/>
      <c r="Y67" s="11"/>
    </row>
    <row r="68" spans="1:25" s="5" customFormat="1" x14ac:dyDescent="0.3">
      <c r="A68" s="156" t="s">
        <v>81</v>
      </c>
      <c r="B68" s="2"/>
      <c r="C68" s="2"/>
      <c r="D68" s="2"/>
      <c r="E68" s="2"/>
      <c r="F68" s="2"/>
      <c r="G68" s="2"/>
      <c r="H68" s="2"/>
      <c r="I68" s="2"/>
      <c r="J68" s="2"/>
      <c r="K68" s="2"/>
      <c r="L68" s="2"/>
      <c r="M68" s="4"/>
      <c r="N68" s="4"/>
      <c r="O68" s="11"/>
      <c r="P68" s="11"/>
      <c r="Q68" s="4"/>
      <c r="R68" s="11"/>
      <c r="S68" s="11"/>
      <c r="T68" s="11"/>
      <c r="U68" s="11"/>
      <c r="V68" s="11"/>
      <c r="W68" s="11"/>
      <c r="X68" s="11"/>
      <c r="Y68" s="11"/>
    </row>
    <row r="69" spans="1:25" s="5" customFormat="1" x14ac:dyDescent="0.3">
      <c r="A69" s="40" t="s">
        <v>82</v>
      </c>
      <c r="B69" s="33"/>
      <c r="C69" s="33"/>
      <c r="D69" s="33"/>
      <c r="E69" s="33"/>
      <c r="F69" s="33"/>
      <c r="G69" s="33"/>
      <c r="H69" s="33"/>
      <c r="I69" s="33"/>
      <c r="J69" s="33"/>
      <c r="K69" s="33"/>
      <c r="L69" s="33"/>
      <c r="M69" s="4"/>
      <c r="N69" s="4"/>
      <c r="O69" s="11"/>
      <c r="P69" s="11"/>
      <c r="Q69" s="4"/>
      <c r="R69" s="11"/>
      <c r="S69" s="11"/>
      <c r="T69" s="11"/>
      <c r="U69" s="11"/>
      <c r="V69" s="11"/>
      <c r="W69" s="11"/>
      <c r="X69" s="11"/>
      <c r="Y69" s="11"/>
    </row>
    <row r="70" spans="1:25" s="5" customFormat="1" x14ac:dyDescent="0.3">
      <c r="A70" s="40" t="s">
        <v>83</v>
      </c>
      <c r="B70" s="33"/>
      <c r="C70" s="33"/>
      <c r="D70" s="33"/>
      <c r="E70" s="33"/>
      <c r="F70" s="33"/>
      <c r="G70" s="33"/>
      <c r="H70" s="33"/>
      <c r="I70" s="33"/>
      <c r="J70" s="33"/>
      <c r="K70" s="33"/>
      <c r="L70" s="33"/>
      <c r="M70" s="4"/>
      <c r="N70" s="4"/>
      <c r="O70" s="11"/>
      <c r="P70" s="11"/>
      <c r="Q70" s="4"/>
      <c r="R70" s="11"/>
      <c r="S70" s="11"/>
      <c r="T70" s="11"/>
      <c r="U70" s="11"/>
      <c r="V70" s="11"/>
      <c r="W70" s="11"/>
      <c r="X70" s="11"/>
      <c r="Y70" s="11"/>
    </row>
    <row r="71" spans="1:25" s="5" customFormat="1" x14ac:dyDescent="0.3">
      <c r="A71" s="40" t="s">
        <v>84</v>
      </c>
      <c r="B71" s="33"/>
      <c r="C71" s="33"/>
      <c r="D71" s="33"/>
      <c r="E71" s="33"/>
      <c r="F71" s="33"/>
      <c r="G71" s="33"/>
      <c r="H71" s="33"/>
      <c r="I71" s="33"/>
      <c r="J71" s="33"/>
      <c r="K71" s="33"/>
      <c r="L71" s="33"/>
      <c r="M71" s="4"/>
      <c r="N71" s="4"/>
      <c r="O71" s="11"/>
      <c r="P71" s="11"/>
      <c r="Q71" s="4"/>
      <c r="R71" s="11"/>
      <c r="S71" s="11"/>
      <c r="T71" s="11"/>
      <c r="U71" s="11"/>
      <c r="V71" s="11"/>
      <c r="W71" s="11"/>
      <c r="X71" s="11"/>
      <c r="Y71" s="11"/>
    </row>
    <row r="72" spans="1:25" s="5" customFormat="1" x14ac:dyDescent="0.3">
      <c r="A72" s="35" t="s">
        <v>93</v>
      </c>
      <c r="B72" s="33"/>
      <c r="C72" s="33"/>
      <c r="D72" s="33"/>
      <c r="E72" s="33"/>
      <c r="F72" s="33"/>
      <c r="G72" s="33"/>
      <c r="H72" s="33"/>
      <c r="I72" s="33"/>
      <c r="J72" s="33"/>
      <c r="K72" s="33"/>
      <c r="L72" s="33"/>
      <c r="M72" s="4"/>
      <c r="N72" s="4"/>
      <c r="O72" s="11"/>
      <c r="P72" s="11"/>
      <c r="Q72" s="4"/>
      <c r="R72" s="11"/>
      <c r="S72" s="11"/>
      <c r="T72" s="11"/>
      <c r="U72" s="11"/>
      <c r="V72" s="11"/>
      <c r="W72" s="11"/>
      <c r="X72" s="11"/>
      <c r="Y72" s="11"/>
    </row>
    <row r="73" spans="1:25" s="5" customFormat="1" x14ac:dyDescent="0.3">
      <c r="A73" s="35"/>
      <c r="B73" s="176"/>
      <c r="C73" s="176"/>
      <c r="D73" s="176"/>
      <c r="E73" s="176"/>
      <c r="F73" s="176"/>
      <c r="G73" s="176"/>
      <c r="H73" s="176"/>
      <c r="I73" s="176"/>
      <c r="J73" s="176"/>
      <c r="K73" s="176"/>
      <c r="L73" s="176"/>
      <c r="M73" s="4"/>
      <c r="N73" s="4"/>
      <c r="O73" s="11"/>
      <c r="P73" s="11"/>
      <c r="Q73" s="4"/>
      <c r="R73" s="11"/>
      <c r="S73" s="11"/>
      <c r="T73" s="11"/>
      <c r="U73" s="11"/>
      <c r="V73" s="11"/>
      <c r="W73" s="11"/>
      <c r="X73" s="11"/>
      <c r="Y73" s="11"/>
    </row>
    <row r="74" spans="1:25" s="5" customFormat="1" x14ac:dyDescent="0.3">
      <c r="A74" s="156" t="s">
        <v>204</v>
      </c>
      <c r="B74" s="156"/>
      <c r="C74" s="156"/>
      <c r="D74" s="156"/>
      <c r="E74" s="156"/>
      <c r="F74" s="156"/>
      <c r="G74" s="156"/>
      <c r="H74" s="156"/>
      <c r="I74" s="156"/>
      <c r="J74" s="156"/>
      <c r="K74" s="156"/>
      <c r="L74" s="156"/>
      <c r="M74" s="4"/>
      <c r="N74" s="4"/>
      <c r="O74" s="11"/>
      <c r="P74" s="11"/>
      <c r="Q74" s="4"/>
      <c r="R74" s="11"/>
      <c r="S74" s="11"/>
      <c r="T74" s="11"/>
      <c r="U74" s="11"/>
      <c r="V74" s="11"/>
      <c r="W74" s="11"/>
      <c r="X74" s="11"/>
      <c r="Y74" s="11"/>
    </row>
    <row r="75" spans="1:25" s="5" customFormat="1" x14ac:dyDescent="0.3">
      <c r="A75" s="35" t="s">
        <v>207</v>
      </c>
      <c r="B75" s="156"/>
      <c r="C75" s="156"/>
      <c r="D75" s="156"/>
      <c r="E75" s="156"/>
      <c r="F75" s="156"/>
      <c r="G75" s="156"/>
      <c r="H75" s="156"/>
      <c r="I75" s="156"/>
      <c r="J75" s="156"/>
      <c r="K75" s="156"/>
      <c r="L75" s="156"/>
      <c r="M75" s="4"/>
      <c r="N75" s="4"/>
      <c r="O75" s="11"/>
      <c r="P75" s="11"/>
      <c r="Q75" s="4"/>
      <c r="R75" s="11"/>
      <c r="S75" s="11"/>
      <c r="T75" s="11"/>
      <c r="U75" s="11"/>
      <c r="V75" s="11"/>
      <c r="W75" s="11"/>
      <c r="X75" s="11"/>
      <c r="Y75" s="11"/>
    </row>
    <row r="76" spans="1:25" s="5" customFormat="1" x14ac:dyDescent="0.3">
      <c r="A76" s="35"/>
      <c r="B76" s="156"/>
      <c r="C76" s="156"/>
      <c r="D76" s="156"/>
      <c r="E76" s="156"/>
      <c r="F76" s="156"/>
      <c r="G76" s="156"/>
      <c r="H76" s="156"/>
      <c r="I76" s="156"/>
      <c r="J76" s="156"/>
      <c r="K76" s="156"/>
      <c r="L76" s="156"/>
      <c r="M76" s="4"/>
      <c r="N76" s="4"/>
      <c r="O76" s="11"/>
      <c r="P76" s="11"/>
      <c r="Q76" s="4"/>
      <c r="R76" s="11"/>
      <c r="S76" s="11"/>
      <c r="T76" s="11"/>
      <c r="U76" s="11"/>
      <c r="V76" s="11"/>
      <c r="W76" s="11"/>
      <c r="X76" s="11"/>
      <c r="Y76" s="11"/>
    </row>
    <row r="77" spans="1:25" s="5" customFormat="1" x14ac:dyDescent="0.3">
      <c r="A77" s="35" t="s">
        <v>90</v>
      </c>
      <c r="B77" s="34"/>
      <c r="C77" s="34"/>
      <c r="D77" s="34"/>
      <c r="E77" s="34"/>
      <c r="F77" s="34"/>
      <c r="G77" s="34"/>
      <c r="H77" s="34"/>
      <c r="I77" s="34"/>
      <c r="J77" s="34"/>
      <c r="K77" s="34"/>
      <c r="L77" s="34"/>
      <c r="M77" s="4"/>
      <c r="N77" s="4"/>
      <c r="O77" s="11"/>
      <c r="P77" s="11"/>
      <c r="Q77" s="4"/>
      <c r="R77" s="11"/>
      <c r="S77" s="11"/>
      <c r="T77" s="11"/>
      <c r="U77" s="11"/>
      <c r="V77" s="11"/>
      <c r="W77" s="11"/>
      <c r="X77" s="11"/>
      <c r="Y77" s="11"/>
    </row>
    <row r="78" spans="1:25" s="5" customFormat="1" ht="27" customHeight="1" x14ac:dyDescent="0.3">
      <c r="A78" s="4" t="s">
        <v>85</v>
      </c>
      <c r="B78" s="2"/>
      <c r="C78" s="2"/>
      <c r="D78" s="2"/>
      <c r="E78" s="2"/>
      <c r="F78" s="2"/>
      <c r="G78" s="2"/>
      <c r="H78" s="2"/>
      <c r="I78" s="2"/>
      <c r="J78" s="2"/>
      <c r="K78" s="2"/>
      <c r="L78" s="2"/>
      <c r="Q78" s="4"/>
    </row>
    <row r="79" spans="1:25" s="5" customFormat="1" ht="15" customHeight="1" x14ac:dyDescent="0.3">
      <c r="A79" s="158" t="s">
        <v>1</v>
      </c>
      <c r="B79" s="158"/>
      <c r="C79" s="2"/>
      <c r="D79" s="2"/>
      <c r="E79" s="2"/>
      <c r="F79" s="2"/>
      <c r="G79" s="2"/>
      <c r="H79" s="2"/>
      <c r="I79" s="2"/>
      <c r="J79" s="2"/>
      <c r="K79" s="2"/>
      <c r="L79" s="2"/>
      <c r="Q79" s="4"/>
    </row>
    <row r="80" spans="1:25" s="5" customFormat="1" ht="27" customHeight="1" x14ac:dyDescent="0.3">
      <c r="A80" s="156" t="s">
        <v>57</v>
      </c>
      <c r="B80" s="156"/>
      <c r="C80" s="156"/>
      <c r="D80" s="156"/>
      <c r="E80" s="156"/>
      <c r="F80" s="156"/>
      <c r="G80" s="156"/>
      <c r="H80" s="156"/>
      <c r="I80" s="156"/>
      <c r="J80" s="156"/>
      <c r="K80" s="156"/>
      <c r="L80" s="156"/>
      <c r="Q80" s="4"/>
    </row>
    <row r="81" spans="1:17" s="5" customFormat="1" ht="29.25" customHeight="1" x14ac:dyDescent="0.3">
      <c r="A81" s="4" t="s">
        <v>2</v>
      </c>
      <c r="B81" s="4"/>
      <c r="C81" s="4"/>
      <c r="D81" s="4"/>
      <c r="E81" s="4"/>
      <c r="F81" s="4"/>
      <c r="G81" s="4"/>
      <c r="H81" s="19"/>
      <c r="I81" s="19"/>
      <c r="K81" s="149"/>
      <c r="L81" s="149" t="s">
        <v>92</v>
      </c>
      <c r="Q81" s="4"/>
    </row>
    <row r="82" spans="1:17" s="5" customFormat="1" x14ac:dyDescent="0.3">
      <c r="A82" s="42" t="s">
        <v>91</v>
      </c>
      <c r="B82" s="4"/>
      <c r="C82" s="4"/>
      <c r="D82" s="4"/>
      <c r="E82" s="4"/>
      <c r="F82" s="4"/>
      <c r="G82" s="4"/>
      <c r="H82" s="19"/>
      <c r="I82" s="19"/>
      <c r="J82" s="19"/>
      <c r="L82" s="177" t="s">
        <v>133</v>
      </c>
      <c r="Q82" s="4"/>
    </row>
    <row r="83" spans="1:17" x14ac:dyDescent="0.3">
      <c r="A83" s="148" t="s">
        <v>196</v>
      </c>
    </row>
    <row r="89" spans="1:17" x14ac:dyDescent="0.3">
      <c r="O89" s="4" t="s">
        <v>72</v>
      </c>
      <c r="P89" s="5"/>
    </row>
    <row r="90" spans="1:17" x14ac:dyDescent="0.3">
      <c r="O90" s="4" t="s">
        <v>71</v>
      </c>
    </row>
    <row r="91" spans="1:17" x14ac:dyDescent="0.3">
      <c r="O91" s="4" t="s">
        <v>70</v>
      </c>
    </row>
    <row r="92" spans="1:17" x14ac:dyDescent="0.3">
      <c r="O92" s="4" t="s">
        <v>69</v>
      </c>
    </row>
    <row r="93" spans="1:17" x14ac:dyDescent="0.3">
      <c r="O93" s="4" t="s">
        <v>68</v>
      </c>
    </row>
    <row r="94" spans="1:17" x14ac:dyDescent="0.3">
      <c r="O94" s="4" t="s">
        <v>67</v>
      </c>
    </row>
    <row r="95" spans="1:17" x14ac:dyDescent="0.3">
      <c r="O95" s="4" t="s">
        <v>75</v>
      </c>
    </row>
    <row r="96" spans="1:17" x14ac:dyDescent="0.3">
      <c r="O96" s="4" t="s">
        <v>86</v>
      </c>
    </row>
  </sheetData>
  <mergeCells count="4">
    <mergeCell ref="E4:F4"/>
    <mergeCell ref="B4:C4"/>
    <mergeCell ref="H4:I4"/>
    <mergeCell ref="K4:L4"/>
  </mergeCells>
  <dataValidations count="1">
    <dataValidation type="list" allowBlank="1" showInputMessage="1" showErrorMessage="1" sqref="A3 F3" xr:uid="{00000000-0002-0000-0C00-000000000000}">
      <formula1>$O$89:$O$96</formula1>
    </dataValidation>
  </dataValidations>
  <hyperlinks>
    <hyperlink ref="A79" r:id="rId1" xr:uid="{00000000-0004-0000-0C00-000000000000}"/>
    <hyperlink ref="A82" r:id="rId2" xr:uid="{00000000-0004-0000-0C00-000001000000}"/>
    <hyperlink ref="L81" r:id="rId3" location="fire-prevention-and-protection-statistics:-latest-version" display="Updated alongside fire prevention and protection statistics." xr:uid="{00000000-0004-0000-0C00-000002000000}"/>
    <hyperlink ref="K81:L81" r:id="rId4" display="Last Updated: 18 October 2018" xr:uid="{00000000-0004-0000-0C00-000003000000}"/>
  </hyperlinks>
  <pageMargins left="0.7" right="0.7" top="0.75" bottom="0.75" header="0.3" footer="0.3"/>
  <pageSetup paperSize="9"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264EB-F26C-41F8-99D0-A91A47B354E3}">
  <sheetPr codeName="Sheet20"/>
  <dimension ref="A1:AJ59"/>
  <sheetViews>
    <sheetView topLeftCell="E32" zoomScale="70" zoomScaleNormal="70" workbookViewId="0">
      <selection activeCell="AD15" sqref="AD15:AE59"/>
    </sheetView>
  </sheetViews>
  <sheetFormatPr defaultColWidth="8.77734375" defaultRowHeight="14.4" x14ac:dyDescent="0.3"/>
  <cols>
    <col min="1" max="1" width="18.44140625" style="58" bestFit="1" customWidth="1"/>
    <col min="2" max="29" width="8.77734375" style="58"/>
    <col min="30" max="31" width="8.77734375" customWidth="1"/>
    <col min="32" max="16384" width="8.77734375" style="58"/>
  </cols>
  <sheetData>
    <row r="1" spans="1:36" x14ac:dyDescent="0.3">
      <c r="A1" s="58">
        <v>1</v>
      </c>
      <c r="B1" s="58">
        <v>2</v>
      </c>
      <c r="C1" s="58">
        <v>3</v>
      </c>
      <c r="D1" s="58">
        <v>4</v>
      </c>
      <c r="E1" s="58">
        <v>5</v>
      </c>
      <c r="F1" s="58">
        <v>6</v>
      </c>
      <c r="G1" s="58">
        <v>7</v>
      </c>
      <c r="H1" s="58">
        <v>8</v>
      </c>
      <c r="I1" s="58">
        <v>9</v>
      </c>
      <c r="J1" s="58">
        <v>10</v>
      </c>
      <c r="K1" s="58">
        <v>11</v>
      </c>
      <c r="L1" s="58">
        <v>12</v>
      </c>
      <c r="M1" s="58">
        <v>13</v>
      </c>
      <c r="N1" s="58">
        <v>14</v>
      </c>
      <c r="O1" s="58">
        <v>15</v>
      </c>
      <c r="P1" s="58">
        <v>16</v>
      </c>
      <c r="Q1" s="58">
        <v>17</v>
      </c>
      <c r="R1" s="58">
        <v>18</v>
      </c>
      <c r="S1" s="58">
        <v>19</v>
      </c>
      <c r="T1" s="58">
        <v>20</v>
      </c>
      <c r="U1" s="58">
        <v>21</v>
      </c>
      <c r="V1" s="58">
        <v>22</v>
      </c>
      <c r="W1" s="58">
        <v>23</v>
      </c>
      <c r="X1" s="58">
        <v>24</v>
      </c>
      <c r="Y1" s="58">
        <v>25</v>
      </c>
      <c r="Z1" s="58">
        <v>26</v>
      </c>
      <c r="AA1" s="58">
        <v>27</v>
      </c>
      <c r="AB1" s="58">
        <v>28</v>
      </c>
      <c r="AC1" s="58">
        <v>29</v>
      </c>
    </row>
    <row r="6" spans="1:36" s="56" customFormat="1" ht="20.100000000000001" customHeight="1" thickBot="1" x14ac:dyDescent="0.35">
      <c r="B6" s="192" t="s">
        <v>110</v>
      </c>
      <c r="C6" s="192"/>
      <c r="D6" s="192"/>
      <c r="E6" s="192"/>
      <c r="F6" s="192"/>
      <c r="G6" s="192"/>
      <c r="H6" s="192"/>
      <c r="I6" s="193"/>
      <c r="J6" s="192" t="s">
        <v>111</v>
      </c>
      <c r="K6" s="192"/>
      <c r="L6" s="192"/>
      <c r="M6" s="192"/>
      <c r="N6" s="192"/>
      <c r="O6" s="192"/>
      <c r="P6" s="192"/>
      <c r="Q6" s="192"/>
      <c r="R6" s="194"/>
      <c r="S6" s="192"/>
      <c r="T6" s="192"/>
      <c r="U6" s="192"/>
      <c r="V6" s="192"/>
      <c r="W6" s="192"/>
      <c r="X6" s="192"/>
      <c r="Y6" s="192"/>
      <c r="Z6" s="192"/>
      <c r="AA6" s="192"/>
      <c r="AB6" s="192"/>
      <c r="AC6" s="192"/>
      <c r="AD6"/>
      <c r="AE6"/>
    </row>
    <row r="7" spans="1:36" s="56" customFormat="1" ht="20.100000000000001" customHeight="1" thickBot="1" x14ac:dyDescent="0.35">
      <c r="B7" s="195" t="s">
        <v>97</v>
      </c>
      <c r="C7" s="195"/>
      <c r="D7" s="195"/>
      <c r="E7" s="195"/>
      <c r="F7" s="195" t="s">
        <v>98</v>
      </c>
      <c r="G7" s="195"/>
      <c r="H7" s="195"/>
      <c r="I7" s="195"/>
      <c r="J7" s="195" t="s">
        <v>97</v>
      </c>
      <c r="K7" s="195"/>
      <c r="L7" s="195"/>
      <c r="M7" s="195"/>
      <c r="N7" s="195" t="s">
        <v>98</v>
      </c>
      <c r="O7" s="195"/>
      <c r="P7" s="195"/>
      <c r="Q7" s="195"/>
      <c r="R7" s="196"/>
      <c r="S7" s="197"/>
      <c r="T7" s="197"/>
      <c r="U7" s="197"/>
      <c r="V7" s="197"/>
      <c r="W7" s="197"/>
      <c r="X7" s="197"/>
      <c r="Y7" s="197"/>
      <c r="Z7" s="197"/>
      <c r="AA7" s="197"/>
      <c r="AB7" s="197"/>
      <c r="AC7" s="197"/>
      <c r="AD7"/>
      <c r="AE7"/>
    </row>
    <row r="8" spans="1:36" s="56" customFormat="1" ht="60" customHeight="1" thickBot="1" x14ac:dyDescent="0.35">
      <c r="A8" s="57"/>
      <c r="B8" s="59" t="s">
        <v>99</v>
      </c>
      <c r="C8" s="60" t="s">
        <v>103</v>
      </c>
      <c r="D8" s="60" t="s">
        <v>100</v>
      </c>
      <c r="E8" s="61" t="s">
        <v>101</v>
      </c>
      <c r="F8" s="59" t="s">
        <v>99</v>
      </c>
      <c r="G8" s="60" t="s">
        <v>103</v>
      </c>
      <c r="H8" s="60" t="s">
        <v>100</v>
      </c>
      <c r="I8" s="61" t="s">
        <v>101</v>
      </c>
      <c r="J8" s="59" t="s">
        <v>99</v>
      </c>
      <c r="K8" s="60" t="s">
        <v>103</v>
      </c>
      <c r="L8" s="60" t="s">
        <v>100</v>
      </c>
      <c r="M8" s="61" t="s">
        <v>101</v>
      </c>
      <c r="N8" s="79" t="s">
        <v>99</v>
      </c>
      <c r="O8" s="60" t="s">
        <v>103</v>
      </c>
      <c r="P8" s="60" t="s">
        <v>100</v>
      </c>
      <c r="Q8" s="61" t="s">
        <v>101</v>
      </c>
      <c r="R8" s="62" t="s">
        <v>106</v>
      </c>
      <c r="S8" s="63" t="s">
        <v>105</v>
      </c>
      <c r="T8" s="63" t="s">
        <v>104</v>
      </c>
      <c r="U8" s="63" t="s">
        <v>107</v>
      </c>
      <c r="V8" s="63" t="s">
        <v>108</v>
      </c>
      <c r="W8" s="64" t="s">
        <v>109</v>
      </c>
      <c r="X8" s="68" t="s">
        <v>106</v>
      </c>
      <c r="Y8" s="69" t="s">
        <v>105</v>
      </c>
      <c r="Z8" s="69" t="s">
        <v>104</v>
      </c>
      <c r="AA8" s="69" t="s">
        <v>107</v>
      </c>
      <c r="AB8" s="69" t="s">
        <v>108</v>
      </c>
      <c r="AC8" s="69" t="s">
        <v>109</v>
      </c>
      <c r="AD8"/>
      <c r="AE8"/>
      <c r="AG8" s="56" t="s">
        <v>150</v>
      </c>
      <c r="AH8" s="56" t="s">
        <v>150</v>
      </c>
    </row>
    <row r="9" spans="1:36" x14ac:dyDescent="0.3">
      <c r="A9" s="70" t="s">
        <v>0</v>
      </c>
      <c r="B9" s="76">
        <f>SUM(B15:B59)</f>
        <v>572310</v>
      </c>
      <c r="C9" s="77">
        <f t="shared" ref="C9:AC9" si="0">SUM(C15:C59)</f>
        <v>123977</v>
      </c>
      <c r="D9" s="77">
        <f t="shared" si="0"/>
        <v>192849</v>
      </c>
      <c r="E9" s="78">
        <f t="shared" si="0"/>
        <v>40404</v>
      </c>
      <c r="F9" s="76">
        <f t="shared" si="0"/>
        <v>333708</v>
      </c>
      <c r="G9" s="77">
        <f t="shared" si="0"/>
        <v>82979</v>
      </c>
      <c r="H9" s="77">
        <f t="shared" si="0"/>
        <v>115910</v>
      </c>
      <c r="I9" s="78">
        <f t="shared" si="0"/>
        <v>26017</v>
      </c>
      <c r="J9" s="76">
        <f t="shared" si="0"/>
        <v>9607</v>
      </c>
      <c r="K9" s="77">
        <f t="shared" si="0"/>
        <v>2472</v>
      </c>
      <c r="L9" s="77">
        <f t="shared" si="0"/>
        <v>2139</v>
      </c>
      <c r="M9" s="78">
        <f t="shared" si="0"/>
        <v>1632</v>
      </c>
      <c r="N9" s="71">
        <f t="shared" si="0"/>
        <v>11107</v>
      </c>
      <c r="O9" s="71">
        <f t="shared" si="0"/>
        <v>3184</v>
      </c>
      <c r="P9" s="71">
        <f t="shared" si="0"/>
        <v>2464</v>
      </c>
      <c r="Q9" s="71">
        <f t="shared" si="0"/>
        <v>1717</v>
      </c>
      <c r="R9" s="90">
        <f t="shared" si="0"/>
        <v>1029916</v>
      </c>
      <c r="S9" s="91">
        <f t="shared" si="0"/>
        <v>5708</v>
      </c>
      <c r="T9" s="91">
        <f t="shared" si="0"/>
        <v>81030</v>
      </c>
      <c r="U9" s="91">
        <f t="shared" si="0"/>
        <v>51319</v>
      </c>
      <c r="V9" s="91">
        <f t="shared" si="0"/>
        <v>3594</v>
      </c>
      <c r="W9" s="92">
        <f t="shared" si="0"/>
        <v>7691</v>
      </c>
      <c r="X9" s="72">
        <f t="shared" si="0"/>
        <v>450708</v>
      </c>
      <c r="Y9" s="73">
        <f t="shared" si="0"/>
        <v>696</v>
      </c>
      <c r="Z9" s="73">
        <f t="shared" si="0"/>
        <v>71307</v>
      </c>
      <c r="AA9" s="73">
        <f t="shared" si="0"/>
        <v>30230</v>
      </c>
      <c r="AB9" s="73">
        <f t="shared" si="0"/>
        <v>3594</v>
      </c>
      <c r="AC9" s="74">
        <f t="shared" si="0"/>
        <v>4866</v>
      </c>
      <c r="AG9" s="116">
        <f>SUM(R9:W9)/SUM(B9,J9)</f>
        <v>2.0265054982067889</v>
      </c>
      <c r="AH9" s="116">
        <f>SUM(X9:AC9)/SUM(F9,N9)</f>
        <v>1.6281223264649161</v>
      </c>
    </row>
    <row r="10" spans="1:36" x14ac:dyDescent="0.3">
      <c r="A10" s="75" t="s">
        <v>77</v>
      </c>
      <c r="B10" s="76">
        <f t="shared" ref="B10:Q11" si="1">SUMIF($AE$15:$AE$59,$A10,B$15:B$59)</f>
        <v>322553</v>
      </c>
      <c r="C10" s="77">
        <f t="shared" si="1"/>
        <v>70616</v>
      </c>
      <c r="D10" s="77">
        <f t="shared" si="1"/>
        <v>121619</v>
      </c>
      <c r="E10" s="78">
        <f t="shared" si="1"/>
        <v>20834</v>
      </c>
      <c r="F10" s="76">
        <f t="shared" si="1"/>
        <v>236481</v>
      </c>
      <c r="G10" s="77">
        <f t="shared" si="1"/>
        <v>55520</v>
      </c>
      <c r="H10" s="77">
        <f t="shared" si="1"/>
        <v>94147</v>
      </c>
      <c r="I10" s="78">
        <f t="shared" si="1"/>
        <v>16009</v>
      </c>
      <c r="J10" s="76">
        <f t="shared" si="1"/>
        <v>8916</v>
      </c>
      <c r="K10" s="77">
        <f t="shared" si="1"/>
        <v>2448</v>
      </c>
      <c r="L10" s="77">
        <f t="shared" si="1"/>
        <v>2103</v>
      </c>
      <c r="M10" s="78">
        <f t="shared" si="1"/>
        <v>1601</v>
      </c>
      <c r="N10" s="71">
        <f t="shared" si="1"/>
        <v>4358</v>
      </c>
      <c r="O10" s="71">
        <f t="shared" si="1"/>
        <v>1634</v>
      </c>
      <c r="P10" s="71">
        <f t="shared" si="1"/>
        <v>1155</v>
      </c>
      <c r="Q10" s="71">
        <f t="shared" si="1"/>
        <v>678</v>
      </c>
      <c r="R10" s="76">
        <f t="shared" ref="R10:AC11" si="2">SUMIF($AE$15:$AE$59,$A10,R$15:R$59)</f>
        <v>382195</v>
      </c>
      <c r="S10" s="77">
        <f t="shared" si="2"/>
        <v>5589</v>
      </c>
      <c r="T10" s="77">
        <f t="shared" si="2"/>
        <v>61229</v>
      </c>
      <c r="U10" s="77">
        <f t="shared" si="2"/>
        <v>51279</v>
      </c>
      <c r="V10" s="77">
        <f t="shared" si="2"/>
        <v>3594</v>
      </c>
      <c r="W10" s="78">
        <f t="shared" si="2"/>
        <v>7691</v>
      </c>
      <c r="X10" s="76">
        <f t="shared" si="2"/>
        <v>273604</v>
      </c>
      <c r="Y10" s="77">
        <f t="shared" si="2"/>
        <v>633</v>
      </c>
      <c r="Z10" s="77">
        <f t="shared" si="2"/>
        <v>58022</v>
      </c>
      <c r="AA10" s="77">
        <f t="shared" si="2"/>
        <v>29708</v>
      </c>
      <c r="AB10" s="77">
        <f t="shared" si="2"/>
        <v>3594</v>
      </c>
      <c r="AC10" s="78">
        <f t="shared" si="2"/>
        <v>4866</v>
      </c>
      <c r="AG10" s="116">
        <f t="shared" ref="AG10:AG59" si="3">SUM(R10:W10)/SUM(B10,J10)</f>
        <v>1.5433630294235661</v>
      </c>
      <c r="AH10" s="116">
        <f t="shared" ref="AH10:AH59" si="4">SUM(X10:AC10)/SUM(F10,N10)</f>
        <v>1.5380690004525845</v>
      </c>
    </row>
    <row r="11" spans="1:36" x14ac:dyDescent="0.3">
      <c r="A11" s="75" t="s">
        <v>49</v>
      </c>
      <c r="B11" s="76">
        <f t="shared" si="1"/>
        <v>249757</v>
      </c>
      <c r="C11" s="77">
        <f t="shared" si="1"/>
        <v>53361</v>
      </c>
      <c r="D11" s="77">
        <f t="shared" si="1"/>
        <v>71230</v>
      </c>
      <c r="E11" s="78">
        <f t="shared" si="1"/>
        <v>19570</v>
      </c>
      <c r="F11" s="76">
        <f t="shared" si="1"/>
        <v>97227</v>
      </c>
      <c r="G11" s="77">
        <f t="shared" si="1"/>
        <v>27459</v>
      </c>
      <c r="H11" s="77">
        <f t="shared" si="1"/>
        <v>21763</v>
      </c>
      <c r="I11" s="78">
        <f t="shared" si="1"/>
        <v>10008</v>
      </c>
      <c r="J11" s="76">
        <f t="shared" si="1"/>
        <v>691</v>
      </c>
      <c r="K11" s="77">
        <f t="shared" si="1"/>
        <v>24</v>
      </c>
      <c r="L11" s="77">
        <f t="shared" si="1"/>
        <v>36</v>
      </c>
      <c r="M11" s="78">
        <f t="shared" si="1"/>
        <v>31</v>
      </c>
      <c r="N11" s="71">
        <f t="shared" si="1"/>
        <v>6749</v>
      </c>
      <c r="O11" s="71">
        <f t="shared" si="1"/>
        <v>1550</v>
      </c>
      <c r="P11" s="71">
        <f t="shared" si="1"/>
        <v>1309</v>
      </c>
      <c r="Q11" s="71">
        <f t="shared" si="1"/>
        <v>1039</v>
      </c>
      <c r="R11" s="76">
        <f t="shared" si="2"/>
        <v>647721</v>
      </c>
      <c r="S11" s="77">
        <f t="shared" si="2"/>
        <v>119</v>
      </c>
      <c r="T11" s="77">
        <f t="shared" si="2"/>
        <v>19801</v>
      </c>
      <c r="U11" s="77">
        <f t="shared" si="2"/>
        <v>40</v>
      </c>
      <c r="V11" s="77">
        <f t="shared" si="2"/>
        <v>0</v>
      </c>
      <c r="W11" s="78">
        <f t="shared" si="2"/>
        <v>0</v>
      </c>
      <c r="X11" s="76">
        <f t="shared" si="2"/>
        <v>177104</v>
      </c>
      <c r="Y11" s="77">
        <f t="shared" si="2"/>
        <v>63</v>
      </c>
      <c r="Z11" s="77">
        <f t="shared" si="2"/>
        <v>13285</v>
      </c>
      <c r="AA11" s="77">
        <f t="shared" si="2"/>
        <v>522</v>
      </c>
      <c r="AB11" s="77">
        <f t="shared" si="2"/>
        <v>0</v>
      </c>
      <c r="AC11" s="78">
        <f t="shared" si="2"/>
        <v>0</v>
      </c>
      <c r="AG11" s="116">
        <f t="shared" si="3"/>
        <v>2.6659466236504183</v>
      </c>
      <c r="AH11" s="116">
        <f t="shared" si="4"/>
        <v>1.8367123182272833</v>
      </c>
    </row>
    <row r="12" spans="1:36" x14ac:dyDescent="0.3">
      <c r="A12" s="75" t="s">
        <v>114</v>
      </c>
      <c r="B12" s="76">
        <f t="shared" ref="B12:Q14" si="5">SUMIF($AD$15:$AD$59,$A12,B$15:B$59)</f>
        <v>330148</v>
      </c>
      <c r="C12" s="77">
        <f t="shared" si="5"/>
        <v>76505</v>
      </c>
      <c r="D12" s="77">
        <f t="shared" si="5"/>
        <v>93957</v>
      </c>
      <c r="E12" s="78">
        <f t="shared" si="5"/>
        <v>25656</v>
      </c>
      <c r="F12" s="76">
        <f t="shared" si="5"/>
        <v>151280</v>
      </c>
      <c r="G12" s="77">
        <f t="shared" si="5"/>
        <v>43620</v>
      </c>
      <c r="H12" s="77">
        <f t="shared" si="5"/>
        <v>37465</v>
      </c>
      <c r="I12" s="78">
        <f t="shared" si="5"/>
        <v>14096</v>
      </c>
      <c r="J12" s="76">
        <f t="shared" si="5"/>
        <v>2392</v>
      </c>
      <c r="K12" s="77">
        <f t="shared" si="5"/>
        <v>550</v>
      </c>
      <c r="L12" s="77">
        <f t="shared" si="5"/>
        <v>540</v>
      </c>
      <c r="M12" s="78">
        <f t="shared" si="5"/>
        <v>273</v>
      </c>
      <c r="N12" s="71">
        <f t="shared" si="5"/>
        <v>7009</v>
      </c>
      <c r="O12" s="71">
        <f t="shared" si="5"/>
        <v>1611</v>
      </c>
      <c r="P12" s="71">
        <f t="shared" si="5"/>
        <v>1384</v>
      </c>
      <c r="Q12" s="71">
        <f t="shared" si="5"/>
        <v>1101</v>
      </c>
      <c r="R12" s="76">
        <f t="shared" ref="R12:AC14" si="6">SUMIF($AD$15:$AD$59,$A12,R$15:R$59)</f>
        <v>791781</v>
      </c>
      <c r="S12" s="77">
        <f t="shared" si="6"/>
        <v>3691</v>
      </c>
      <c r="T12" s="77">
        <f t="shared" si="6"/>
        <v>38537</v>
      </c>
      <c r="U12" s="77">
        <f t="shared" si="6"/>
        <v>10176</v>
      </c>
      <c r="V12" s="77">
        <f t="shared" si="6"/>
        <v>3</v>
      </c>
      <c r="W12" s="78">
        <f t="shared" si="6"/>
        <v>522</v>
      </c>
      <c r="X12" s="76">
        <f t="shared" si="6"/>
        <v>267581</v>
      </c>
      <c r="Y12" s="77">
        <f t="shared" si="6"/>
        <v>455</v>
      </c>
      <c r="Z12" s="77">
        <f t="shared" si="6"/>
        <v>30059</v>
      </c>
      <c r="AA12" s="77">
        <f t="shared" si="6"/>
        <v>5867</v>
      </c>
      <c r="AB12" s="77">
        <f t="shared" si="6"/>
        <v>3</v>
      </c>
      <c r="AC12" s="78">
        <f t="shared" si="6"/>
        <v>250</v>
      </c>
      <c r="AG12" s="116">
        <f t="shared" si="3"/>
        <v>2.5401756179707706</v>
      </c>
      <c r="AH12" s="116">
        <f t="shared" si="4"/>
        <v>1.9218960256240167</v>
      </c>
    </row>
    <row r="13" spans="1:36" x14ac:dyDescent="0.3">
      <c r="A13" s="75" t="s">
        <v>115</v>
      </c>
      <c r="B13" s="76">
        <f t="shared" si="5"/>
        <v>159350</v>
      </c>
      <c r="C13" s="77">
        <f t="shared" si="5"/>
        <v>31145</v>
      </c>
      <c r="D13" s="77">
        <f t="shared" si="5"/>
        <v>68348</v>
      </c>
      <c r="E13" s="78">
        <f t="shared" si="5"/>
        <v>8957</v>
      </c>
      <c r="F13" s="76">
        <f t="shared" si="5"/>
        <v>128786</v>
      </c>
      <c r="G13" s="77">
        <f t="shared" si="5"/>
        <v>31427</v>
      </c>
      <c r="H13" s="77">
        <f t="shared" si="5"/>
        <v>55348</v>
      </c>
      <c r="I13" s="78">
        <f t="shared" si="5"/>
        <v>8789</v>
      </c>
      <c r="J13" s="76">
        <f t="shared" si="5"/>
        <v>4480</v>
      </c>
      <c r="K13" s="77">
        <f t="shared" si="5"/>
        <v>1591</v>
      </c>
      <c r="L13" s="77">
        <f t="shared" si="5"/>
        <v>1079</v>
      </c>
      <c r="M13" s="78">
        <f t="shared" si="5"/>
        <v>683</v>
      </c>
      <c r="N13" s="71">
        <f t="shared" si="5"/>
        <v>3985</v>
      </c>
      <c r="O13" s="71">
        <f t="shared" si="5"/>
        <v>1573</v>
      </c>
      <c r="P13" s="71">
        <f t="shared" si="5"/>
        <v>967</v>
      </c>
      <c r="Q13" s="71">
        <f t="shared" si="5"/>
        <v>616</v>
      </c>
      <c r="R13" s="76">
        <f t="shared" si="6"/>
        <v>139856</v>
      </c>
      <c r="S13" s="77">
        <f t="shared" si="6"/>
        <v>1721</v>
      </c>
      <c r="T13" s="77">
        <f t="shared" si="6"/>
        <v>39883</v>
      </c>
      <c r="U13" s="77">
        <f t="shared" si="6"/>
        <v>13880</v>
      </c>
      <c r="V13" s="77">
        <f t="shared" si="6"/>
        <v>3457</v>
      </c>
      <c r="W13" s="78">
        <f t="shared" si="6"/>
        <v>678</v>
      </c>
      <c r="X13" s="76">
        <f t="shared" si="6"/>
        <v>97562</v>
      </c>
      <c r="Y13" s="77">
        <f t="shared" si="6"/>
        <v>241</v>
      </c>
      <c r="Z13" s="77">
        <f t="shared" si="6"/>
        <v>38643</v>
      </c>
      <c r="AA13" s="77">
        <f t="shared" si="6"/>
        <v>14619</v>
      </c>
      <c r="AB13" s="77">
        <f t="shared" si="6"/>
        <v>3457</v>
      </c>
      <c r="AC13" s="78">
        <f t="shared" si="6"/>
        <v>549</v>
      </c>
      <c r="AG13" s="116">
        <f t="shared" si="3"/>
        <v>1.2175730940609168</v>
      </c>
      <c r="AH13" s="116">
        <f t="shared" si="4"/>
        <v>1.167958364401865</v>
      </c>
    </row>
    <row r="14" spans="1:36" x14ac:dyDescent="0.3">
      <c r="A14" s="75" t="s">
        <v>116</v>
      </c>
      <c r="B14" s="76">
        <f t="shared" si="5"/>
        <v>82812</v>
      </c>
      <c r="C14" s="77">
        <f t="shared" si="5"/>
        <v>16327</v>
      </c>
      <c r="D14" s="77">
        <f t="shared" si="5"/>
        <v>30544</v>
      </c>
      <c r="E14" s="78">
        <f t="shared" si="5"/>
        <v>5791</v>
      </c>
      <c r="F14" s="76">
        <f t="shared" si="5"/>
        <v>53642</v>
      </c>
      <c r="G14" s="77">
        <f t="shared" si="5"/>
        <v>7932</v>
      </c>
      <c r="H14" s="77">
        <f t="shared" si="5"/>
        <v>23097</v>
      </c>
      <c r="I14" s="78">
        <f t="shared" si="5"/>
        <v>3132</v>
      </c>
      <c r="J14" s="76">
        <f t="shared" si="5"/>
        <v>2735</v>
      </c>
      <c r="K14" s="77">
        <f t="shared" si="5"/>
        <v>331</v>
      </c>
      <c r="L14" s="77">
        <f t="shared" si="5"/>
        <v>520</v>
      </c>
      <c r="M14" s="78">
        <f t="shared" si="5"/>
        <v>676</v>
      </c>
      <c r="N14" s="71">
        <f t="shared" si="5"/>
        <v>113</v>
      </c>
      <c r="O14" s="71">
        <f t="shared" si="5"/>
        <v>0</v>
      </c>
      <c r="P14" s="71">
        <f t="shared" si="5"/>
        <v>113</v>
      </c>
      <c r="Q14" s="71">
        <f t="shared" si="5"/>
        <v>0</v>
      </c>
      <c r="R14" s="76">
        <f t="shared" si="6"/>
        <v>98279</v>
      </c>
      <c r="S14" s="77">
        <f t="shared" si="6"/>
        <v>296</v>
      </c>
      <c r="T14" s="77">
        <f t="shared" si="6"/>
        <v>2610</v>
      </c>
      <c r="U14" s="77">
        <f t="shared" si="6"/>
        <v>27263</v>
      </c>
      <c r="V14" s="77">
        <f t="shared" si="6"/>
        <v>134</v>
      </c>
      <c r="W14" s="78">
        <f t="shared" si="6"/>
        <v>6491</v>
      </c>
      <c r="X14" s="76">
        <f t="shared" si="6"/>
        <v>85565</v>
      </c>
      <c r="Y14" s="77">
        <f t="shared" si="6"/>
        <v>0</v>
      </c>
      <c r="Z14" s="77">
        <f t="shared" si="6"/>
        <v>2605</v>
      </c>
      <c r="AA14" s="77">
        <f t="shared" si="6"/>
        <v>9744</v>
      </c>
      <c r="AB14" s="77">
        <f t="shared" si="6"/>
        <v>134</v>
      </c>
      <c r="AC14" s="78">
        <f t="shared" si="6"/>
        <v>4067</v>
      </c>
      <c r="AG14" s="116">
        <f t="shared" si="3"/>
        <v>1.5789332179971245</v>
      </c>
      <c r="AH14" s="116">
        <f t="shared" si="4"/>
        <v>1.8996372430471584</v>
      </c>
    </row>
    <row r="15" spans="1:36" x14ac:dyDescent="0.3">
      <c r="A15" s="58" t="s">
        <v>3</v>
      </c>
      <c r="B15" s="80">
        <v>6413</v>
      </c>
      <c r="C15" s="81">
        <v>2616</v>
      </c>
      <c r="D15" s="81">
        <v>1983</v>
      </c>
      <c r="E15" s="82">
        <v>560</v>
      </c>
      <c r="F15" s="80">
        <v>0</v>
      </c>
      <c r="G15" s="81">
        <v>0</v>
      </c>
      <c r="H15" s="81">
        <v>0</v>
      </c>
      <c r="I15" s="82">
        <v>0</v>
      </c>
      <c r="J15" s="80">
        <v>45</v>
      </c>
      <c r="K15" s="81">
        <v>8</v>
      </c>
      <c r="L15" s="81">
        <v>5</v>
      </c>
      <c r="M15" s="82">
        <v>21</v>
      </c>
      <c r="N15" s="81">
        <v>0</v>
      </c>
      <c r="O15" s="81">
        <v>0</v>
      </c>
      <c r="P15" s="81">
        <v>0</v>
      </c>
      <c r="Q15" s="81">
        <v>0</v>
      </c>
      <c r="R15" s="80">
        <v>2522</v>
      </c>
      <c r="S15" s="81">
        <v>0</v>
      </c>
      <c r="T15" s="81">
        <v>0</v>
      </c>
      <c r="U15" s="81">
        <v>726</v>
      </c>
      <c r="V15" s="81">
        <v>0</v>
      </c>
      <c r="W15" s="82">
        <v>0</v>
      </c>
      <c r="X15" s="80"/>
      <c r="Y15" s="81"/>
      <c r="Z15" s="81"/>
      <c r="AA15" s="81"/>
      <c r="AB15" s="81"/>
      <c r="AC15" s="82"/>
      <c r="AD15" t="str">
        <f>VLOOKUP(A15,'FRS geographical categories'!$A$2:$C$46,2,0)</f>
        <v>Predominantly Urban</v>
      </c>
      <c r="AE15" t="str">
        <f>VLOOKUP(A15,'FRS geographical categories'!$A$2:$C$46,3,0)</f>
        <v>Non-metropolitan</v>
      </c>
      <c r="AG15" s="117">
        <f t="shared" si="3"/>
        <v>0.50294208733353984</v>
      </c>
      <c r="AH15" s="116" t="e">
        <f t="shared" si="4"/>
        <v>#DIV/0!</v>
      </c>
      <c r="AJ15" s="58" t="s">
        <v>151</v>
      </c>
    </row>
    <row r="16" spans="1:36" x14ac:dyDescent="0.3">
      <c r="A16" s="58" t="s">
        <v>4</v>
      </c>
      <c r="B16" s="80">
        <v>5701</v>
      </c>
      <c r="C16" s="81">
        <v>404</v>
      </c>
      <c r="D16" s="81">
        <v>2727</v>
      </c>
      <c r="E16" s="82">
        <v>107</v>
      </c>
      <c r="F16" s="80">
        <v>2559</v>
      </c>
      <c r="G16" s="81">
        <v>305</v>
      </c>
      <c r="H16" s="81">
        <v>1528</v>
      </c>
      <c r="I16" s="82">
        <v>54</v>
      </c>
      <c r="J16" s="80">
        <v>105</v>
      </c>
      <c r="K16" s="81">
        <v>1</v>
      </c>
      <c r="L16" s="81">
        <v>69</v>
      </c>
      <c r="M16" s="82">
        <v>0</v>
      </c>
      <c r="N16" s="81">
        <v>1</v>
      </c>
      <c r="O16" s="81">
        <v>1</v>
      </c>
      <c r="P16" s="81">
        <v>0</v>
      </c>
      <c r="Q16" s="82">
        <v>0</v>
      </c>
      <c r="R16" s="80">
        <v>10723</v>
      </c>
      <c r="S16" s="81"/>
      <c r="T16" s="81"/>
      <c r="U16" s="81">
        <v>1526</v>
      </c>
      <c r="V16" s="81"/>
      <c r="W16" s="81">
        <v>105</v>
      </c>
      <c r="X16" s="80">
        <v>4436</v>
      </c>
      <c r="Y16" s="81"/>
      <c r="Z16" s="81"/>
      <c r="AA16" s="81">
        <v>661</v>
      </c>
      <c r="AB16" s="81"/>
      <c r="AC16" s="82">
        <v>1</v>
      </c>
      <c r="AD16" t="str">
        <f>VLOOKUP(A16,'FRS geographical categories'!$A$2:$C$46,2,0)</f>
        <v>Significantly Rural</v>
      </c>
      <c r="AE16" t="str">
        <f>VLOOKUP(A16,'FRS geographical categories'!$A$2:$C$46,3,0)</f>
        <v>Non-metropolitan</v>
      </c>
      <c r="AG16" s="116">
        <f t="shared" si="3"/>
        <v>2.1277988287977956</v>
      </c>
      <c r="AH16" s="116">
        <f t="shared" si="4"/>
        <v>1.99140625</v>
      </c>
    </row>
    <row r="17" spans="1:34" x14ac:dyDescent="0.3">
      <c r="A17" s="58" t="s">
        <v>5</v>
      </c>
      <c r="B17" s="80">
        <v>10019</v>
      </c>
      <c r="C17" s="81">
        <v>1740</v>
      </c>
      <c r="D17" s="81">
        <v>4907</v>
      </c>
      <c r="E17" s="82">
        <v>326</v>
      </c>
      <c r="F17" s="80">
        <v>10019</v>
      </c>
      <c r="G17" s="81">
        <v>1740</v>
      </c>
      <c r="H17" s="81">
        <v>4907</v>
      </c>
      <c r="I17" s="82">
        <v>326</v>
      </c>
      <c r="J17" s="80">
        <v>0</v>
      </c>
      <c r="K17" s="81">
        <v>0</v>
      </c>
      <c r="L17" s="81">
        <v>0</v>
      </c>
      <c r="M17" s="82">
        <v>0</v>
      </c>
      <c r="N17" s="81">
        <v>0</v>
      </c>
      <c r="O17" s="81">
        <v>0</v>
      </c>
      <c r="P17" s="81">
        <v>0</v>
      </c>
      <c r="Q17" s="82">
        <v>0</v>
      </c>
      <c r="R17" s="80">
        <v>18399</v>
      </c>
      <c r="S17" s="81">
        <v>135</v>
      </c>
      <c r="T17" s="81">
        <v>0</v>
      </c>
      <c r="U17" s="81">
        <v>1553</v>
      </c>
      <c r="V17" s="81">
        <v>0</v>
      </c>
      <c r="W17" s="81">
        <v>0</v>
      </c>
      <c r="X17" s="80">
        <v>18399</v>
      </c>
      <c r="Y17" s="81">
        <v>135</v>
      </c>
      <c r="Z17" s="81">
        <v>0</v>
      </c>
      <c r="AA17" s="81">
        <v>1553</v>
      </c>
      <c r="AB17" s="81">
        <v>0</v>
      </c>
      <c r="AC17" s="82">
        <v>0</v>
      </c>
      <c r="AD17" t="str">
        <f>VLOOKUP(A17,'FRS geographical categories'!$A$2:$C$46,2,0)</f>
        <v>Predominantly Urban</v>
      </c>
      <c r="AE17" t="str">
        <f>VLOOKUP(A17,'FRS geographical categories'!$A$2:$C$46,3,0)</f>
        <v>Non-metropolitan</v>
      </c>
      <c r="AG17" s="116">
        <f t="shared" si="3"/>
        <v>2.0048907076554547</v>
      </c>
      <c r="AH17" s="116">
        <f t="shared" si="4"/>
        <v>2.0048907076554547</v>
      </c>
    </row>
    <row r="18" spans="1:34" x14ac:dyDescent="0.3">
      <c r="A18" s="58" t="s">
        <v>6</v>
      </c>
      <c r="B18" s="80">
        <v>1642</v>
      </c>
      <c r="C18" s="81">
        <v>520</v>
      </c>
      <c r="D18" s="81">
        <v>555</v>
      </c>
      <c r="E18" s="82">
        <v>201</v>
      </c>
      <c r="F18" s="80">
        <v>1040</v>
      </c>
      <c r="G18" s="81">
        <v>354</v>
      </c>
      <c r="H18" s="81">
        <v>336</v>
      </c>
      <c r="I18" s="82">
        <v>126</v>
      </c>
      <c r="J18" s="81">
        <v>2</v>
      </c>
      <c r="K18" s="81">
        <v>0</v>
      </c>
      <c r="L18" s="81">
        <v>0</v>
      </c>
      <c r="M18" s="82">
        <v>2</v>
      </c>
      <c r="N18" s="80">
        <v>1</v>
      </c>
      <c r="O18" s="81">
        <v>0</v>
      </c>
      <c r="P18" s="81">
        <v>0</v>
      </c>
      <c r="Q18" s="82">
        <v>1</v>
      </c>
      <c r="R18" s="80">
        <v>3287</v>
      </c>
      <c r="S18" s="81">
        <v>0</v>
      </c>
      <c r="T18" s="81">
        <v>336</v>
      </c>
      <c r="U18" s="81">
        <v>0</v>
      </c>
      <c r="V18" s="81">
        <v>0</v>
      </c>
      <c r="W18" s="81">
        <v>2</v>
      </c>
      <c r="X18" s="80">
        <v>2398</v>
      </c>
      <c r="Y18" s="81">
        <v>0</v>
      </c>
      <c r="Z18" s="81">
        <v>156</v>
      </c>
      <c r="AA18" s="81">
        <v>0</v>
      </c>
      <c r="AB18" s="81">
        <v>0</v>
      </c>
      <c r="AC18" s="82">
        <v>1</v>
      </c>
      <c r="AD18" t="str">
        <f>VLOOKUP(A18,'FRS geographical categories'!$A$2:$C$46,2,0)</f>
        <v>Significantly Rural</v>
      </c>
      <c r="AE18" t="str">
        <f>VLOOKUP(A18,'FRS geographical categories'!$A$2:$C$46,3,0)</f>
        <v>Non-metropolitan</v>
      </c>
      <c r="AG18" s="116">
        <f t="shared" si="3"/>
        <v>2.2049878345498786</v>
      </c>
      <c r="AH18" s="116">
        <f t="shared" si="4"/>
        <v>2.4543707973102786</v>
      </c>
    </row>
    <row r="19" spans="1:34" x14ac:dyDescent="0.3">
      <c r="A19" s="58" t="s">
        <v>7</v>
      </c>
      <c r="B19" s="80">
        <v>4408</v>
      </c>
      <c r="C19" s="81">
        <v>1912</v>
      </c>
      <c r="D19" s="81">
        <v>1817</v>
      </c>
      <c r="E19" s="82">
        <v>344</v>
      </c>
      <c r="F19" s="80">
        <v>4408</v>
      </c>
      <c r="G19" s="81">
        <v>1912</v>
      </c>
      <c r="H19" s="81">
        <v>1817</v>
      </c>
      <c r="I19" s="82">
        <v>344</v>
      </c>
      <c r="J19" s="81">
        <v>840</v>
      </c>
      <c r="K19" s="81">
        <v>174</v>
      </c>
      <c r="L19" s="81">
        <v>361</v>
      </c>
      <c r="M19" s="82">
        <v>41</v>
      </c>
      <c r="N19" s="80">
        <v>0</v>
      </c>
      <c r="O19" s="81">
        <v>0</v>
      </c>
      <c r="P19" s="81">
        <v>0</v>
      </c>
      <c r="Q19" s="82">
        <v>0</v>
      </c>
      <c r="R19" s="80">
        <v>3165</v>
      </c>
      <c r="S19" s="81">
        <v>0</v>
      </c>
      <c r="T19" s="81">
        <v>0</v>
      </c>
      <c r="U19" s="81">
        <v>2379</v>
      </c>
      <c r="V19" s="81">
        <v>0</v>
      </c>
      <c r="W19" s="81">
        <v>840</v>
      </c>
      <c r="X19" s="80">
        <v>3165</v>
      </c>
      <c r="Y19" s="81">
        <v>0</v>
      </c>
      <c r="Z19" s="81">
        <v>0</v>
      </c>
      <c r="AA19" s="81">
        <v>2379</v>
      </c>
      <c r="AB19" s="81">
        <v>0</v>
      </c>
      <c r="AC19" s="82">
        <v>0</v>
      </c>
      <c r="AD19" t="str">
        <f>VLOOKUP(A19,'FRS geographical categories'!$A$2:$C$46,2,0)</f>
        <v>Predominantly Rural</v>
      </c>
      <c r="AE19" t="str">
        <f>VLOOKUP(A19,'FRS geographical categories'!$A$2:$C$46,3,0)</f>
        <v>Non-metropolitan</v>
      </c>
      <c r="AG19" s="116">
        <f t="shared" si="3"/>
        <v>1.2164634146341464</v>
      </c>
      <c r="AH19" s="116">
        <f t="shared" si="4"/>
        <v>1.2577132486388385</v>
      </c>
    </row>
    <row r="20" spans="1:34" x14ac:dyDescent="0.3">
      <c r="A20" s="58" t="s">
        <v>8</v>
      </c>
      <c r="B20" s="80">
        <v>32539</v>
      </c>
      <c r="C20" s="81">
        <v>1095</v>
      </c>
      <c r="D20" s="81">
        <v>23196</v>
      </c>
      <c r="E20" s="82">
        <v>237</v>
      </c>
      <c r="F20" s="80">
        <v>15391</v>
      </c>
      <c r="G20" s="81">
        <v>547</v>
      </c>
      <c r="H20" s="81">
        <v>14831</v>
      </c>
      <c r="I20" s="82">
        <v>0</v>
      </c>
      <c r="J20" s="81"/>
      <c r="K20" s="81"/>
      <c r="L20" s="81"/>
      <c r="M20" s="82"/>
      <c r="N20" s="80"/>
      <c r="O20" s="81"/>
      <c r="P20" s="81"/>
      <c r="Q20" s="82"/>
      <c r="R20" s="80">
        <v>19904</v>
      </c>
      <c r="S20" s="81"/>
      <c r="T20" s="81">
        <v>16774</v>
      </c>
      <c r="U20" s="81"/>
      <c r="V20" s="81"/>
      <c r="W20" s="81"/>
      <c r="X20" s="80">
        <v>10046</v>
      </c>
      <c r="Y20" s="81"/>
      <c r="Z20" s="81">
        <v>8832</v>
      </c>
      <c r="AA20" s="81"/>
      <c r="AB20" s="81"/>
      <c r="AC20" s="82"/>
      <c r="AD20" t="str">
        <f>VLOOKUP(A20,'FRS geographical categories'!$A$2:$C$46,2,0)</f>
        <v>Significantly Rural</v>
      </c>
      <c r="AE20" t="str">
        <f>VLOOKUP(A20,'FRS geographical categories'!$A$2:$C$46,3,0)</f>
        <v>Non-metropolitan</v>
      </c>
      <c r="AG20" s="116">
        <f t="shared" si="3"/>
        <v>1.1272012047081963</v>
      </c>
      <c r="AH20" s="116">
        <f t="shared" si="4"/>
        <v>1.2265609771944643</v>
      </c>
    </row>
    <row r="21" spans="1:34" x14ac:dyDescent="0.3">
      <c r="A21" s="58" t="s">
        <v>9</v>
      </c>
      <c r="B21" s="80">
        <v>16160</v>
      </c>
      <c r="C21" s="81">
        <v>2132</v>
      </c>
      <c r="D21" s="81">
        <v>4440</v>
      </c>
      <c r="E21" s="82">
        <v>950</v>
      </c>
      <c r="F21" s="80">
        <v>3071</v>
      </c>
      <c r="G21" s="81">
        <v>504</v>
      </c>
      <c r="H21" s="81">
        <v>1393</v>
      </c>
      <c r="I21" s="82">
        <v>118</v>
      </c>
      <c r="J21" s="81">
        <v>1133</v>
      </c>
      <c r="K21" s="81">
        <v>323</v>
      </c>
      <c r="L21" s="81">
        <v>408</v>
      </c>
      <c r="M21" s="82">
        <v>100</v>
      </c>
      <c r="N21" s="80">
        <v>7</v>
      </c>
      <c r="O21" s="81">
        <v>0</v>
      </c>
      <c r="P21" s="81">
        <v>6</v>
      </c>
      <c r="Q21" s="82">
        <v>0</v>
      </c>
      <c r="R21" s="80">
        <v>52592</v>
      </c>
      <c r="S21" s="81">
        <v>2170</v>
      </c>
      <c r="T21" s="81">
        <v>2266</v>
      </c>
      <c r="U21" s="81">
        <v>3354</v>
      </c>
      <c r="V21" s="81">
        <v>0</v>
      </c>
      <c r="W21" s="81">
        <v>0</v>
      </c>
      <c r="X21" s="80">
        <v>12368</v>
      </c>
      <c r="Y21" s="81">
        <v>134</v>
      </c>
      <c r="Z21" s="81">
        <v>326</v>
      </c>
      <c r="AA21" s="81">
        <v>14</v>
      </c>
      <c r="AB21" s="81">
        <v>0</v>
      </c>
      <c r="AC21" s="82">
        <v>0</v>
      </c>
      <c r="AD21" t="str">
        <f>VLOOKUP(A21,'FRS geographical categories'!$A$2:$C$46,2,0)</f>
        <v>Predominantly Urban</v>
      </c>
      <c r="AE21" t="str">
        <f>VLOOKUP(A21,'FRS geographical categories'!$A$2:$C$46,3,0)</f>
        <v>Non-metropolitan</v>
      </c>
      <c r="AG21" s="116">
        <f t="shared" si="3"/>
        <v>3.4917018446770371</v>
      </c>
      <c r="AH21" s="116">
        <f t="shared" si="4"/>
        <v>4.1721897335932425</v>
      </c>
    </row>
    <row r="22" spans="1:34" x14ac:dyDescent="0.3">
      <c r="A22" s="58" t="s">
        <v>10</v>
      </c>
      <c r="B22" s="80">
        <v>4764</v>
      </c>
      <c r="C22" s="81">
        <v>373</v>
      </c>
      <c r="D22" s="81">
        <v>80</v>
      </c>
      <c r="E22" s="82">
        <v>1464</v>
      </c>
      <c r="F22" s="80">
        <v>341</v>
      </c>
      <c r="G22" s="81">
        <v>0</v>
      </c>
      <c r="H22" s="81">
        <v>0</v>
      </c>
      <c r="I22" s="82">
        <v>341</v>
      </c>
      <c r="J22" s="81">
        <v>866</v>
      </c>
      <c r="K22" s="81">
        <v>157</v>
      </c>
      <c r="L22" s="81">
        <v>3</v>
      </c>
      <c r="M22" s="82">
        <v>635</v>
      </c>
      <c r="N22" s="80">
        <v>0</v>
      </c>
      <c r="O22" s="81">
        <v>0</v>
      </c>
      <c r="P22" s="81">
        <v>0</v>
      </c>
      <c r="Q22" s="82">
        <v>0</v>
      </c>
      <c r="R22" s="80">
        <v>8642</v>
      </c>
      <c r="S22" s="81">
        <v>7</v>
      </c>
      <c r="T22" s="81">
        <v>0</v>
      </c>
      <c r="U22" s="81">
        <v>292</v>
      </c>
      <c r="V22" s="81">
        <v>0</v>
      </c>
      <c r="W22" s="81">
        <v>144</v>
      </c>
      <c r="X22" s="80">
        <v>341</v>
      </c>
      <c r="Y22" s="81">
        <v>0</v>
      </c>
      <c r="Z22" s="81">
        <v>0</v>
      </c>
      <c r="AA22" s="81">
        <v>0</v>
      </c>
      <c r="AB22" s="81">
        <v>0</v>
      </c>
      <c r="AC22" s="82">
        <v>0</v>
      </c>
      <c r="AD22" t="str">
        <f>VLOOKUP(A22,'FRS geographical categories'!$A$2:$C$46,2,0)</f>
        <v>Predominantly Rural</v>
      </c>
      <c r="AE22" t="str">
        <f>VLOOKUP(A22,'FRS geographical categories'!$A$2:$C$46,3,0)</f>
        <v>Non-metropolitan</v>
      </c>
      <c r="AG22" s="116">
        <f t="shared" si="3"/>
        <v>1.6136767317939609</v>
      </c>
      <c r="AH22" s="116">
        <f t="shared" si="4"/>
        <v>1</v>
      </c>
    </row>
    <row r="23" spans="1:34" x14ac:dyDescent="0.3">
      <c r="A23" s="58" t="s">
        <v>11</v>
      </c>
      <c r="B23" s="80">
        <v>9915</v>
      </c>
      <c r="C23" s="81">
        <v>1863</v>
      </c>
      <c r="D23" s="81">
        <v>4113</v>
      </c>
      <c r="E23" s="82">
        <v>975</v>
      </c>
      <c r="F23" s="80">
        <v>9915</v>
      </c>
      <c r="G23" s="81">
        <v>1863</v>
      </c>
      <c r="H23" s="81">
        <v>4113</v>
      </c>
      <c r="I23" s="82">
        <v>975</v>
      </c>
      <c r="J23" s="81">
        <v>0</v>
      </c>
      <c r="K23" s="81">
        <v>0</v>
      </c>
      <c r="L23" s="81">
        <v>0</v>
      </c>
      <c r="M23" s="82">
        <v>0</v>
      </c>
      <c r="N23" s="80">
        <v>0</v>
      </c>
      <c r="O23" s="81">
        <v>0</v>
      </c>
      <c r="P23" s="81">
        <v>0</v>
      </c>
      <c r="Q23" s="82">
        <v>0</v>
      </c>
      <c r="R23" s="80">
        <v>14597</v>
      </c>
      <c r="S23" s="81">
        <v>0</v>
      </c>
      <c r="T23" s="81">
        <v>1556</v>
      </c>
      <c r="U23" s="81">
        <v>932</v>
      </c>
      <c r="V23" s="81">
        <v>21</v>
      </c>
      <c r="W23" s="81">
        <v>0</v>
      </c>
      <c r="X23" s="80">
        <v>14597</v>
      </c>
      <c r="Y23" s="81">
        <v>0</v>
      </c>
      <c r="Z23" s="81">
        <v>1556</v>
      </c>
      <c r="AA23" s="81">
        <v>932</v>
      </c>
      <c r="AB23" s="81">
        <v>21</v>
      </c>
      <c r="AC23" s="82">
        <v>0</v>
      </c>
      <c r="AD23" t="str">
        <f>VLOOKUP(A23,'FRS geographical categories'!$A$2:$C$46,2,0)</f>
        <v>Predominantly Rural</v>
      </c>
      <c r="AE23" t="str">
        <f>VLOOKUP(A23,'FRS geographical categories'!$A$2:$C$46,3,0)</f>
        <v>Non-metropolitan</v>
      </c>
      <c r="AG23" s="116">
        <f t="shared" si="3"/>
        <v>1.7252647503782148</v>
      </c>
      <c r="AH23" s="116">
        <f t="shared" si="4"/>
        <v>1.7252647503782148</v>
      </c>
    </row>
    <row r="24" spans="1:34" x14ac:dyDescent="0.3">
      <c r="A24" s="58" t="s">
        <v>12</v>
      </c>
      <c r="B24" s="80">
        <v>10562</v>
      </c>
      <c r="C24" s="81">
        <v>3201</v>
      </c>
      <c r="D24" s="81">
        <v>5108</v>
      </c>
      <c r="E24" s="82">
        <v>949</v>
      </c>
      <c r="F24" s="80">
        <v>10562</v>
      </c>
      <c r="G24" s="81">
        <v>3201</v>
      </c>
      <c r="H24" s="81">
        <v>5108</v>
      </c>
      <c r="I24" s="82">
        <v>949</v>
      </c>
      <c r="J24" s="81">
        <v>3411</v>
      </c>
      <c r="K24" s="81">
        <v>1406</v>
      </c>
      <c r="L24" s="81">
        <v>639</v>
      </c>
      <c r="M24" s="82">
        <v>564</v>
      </c>
      <c r="N24" s="80">
        <v>3411</v>
      </c>
      <c r="O24" s="81">
        <v>1406</v>
      </c>
      <c r="P24" s="81">
        <v>639</v>
      </c>
      <c r="Q24" s="82">
        <v>564</v>
      </c>
      <c r="R24" s="80">
        <v>12243</v>
      </c>
      <c r="S24" s="81">
        <v>0</v>
      </c>
      <c r="T24" s="81">
        <v>3089</v>
      </c>
      <c r="U24" s="81">
        <v>35</v>
      </c>
      <c r="V24" s="81">
        <v>3457</v>
      </c>
      <c r="W24" s="81">
        <v>0</v>
      </c>
      <c r="X24" s="80">
        <v>12243</v>
      </c>
      <c r="Y24" s="81">
        <v>0</v>
      </c>
      <c r="Z24" s="81">
        <v>3089</v>
      </c>
      <c r="AA24" s="81">
        <v>35</v>
      </c>
      <c r="AB24" s="81">
        <v>3457</v>
      </c>
      <c r="AC24" s="82">
        <v>0</v>
      </c>
      <c r="AD24" t="str">
        <f>VLOOKUP(A24,'FRS geographical categories'!$A$2:$C$46,2,0)</f>
        <v>Significantly Rural</v>
      </c>
      <c r="AE24" t="str">
        <f>VLOOKUP(A24,'FRS geographical categories'!$A$2:$C$46,3,0)</f>
        <v>Non-metropolitan</v>
      </c>
      <c r="AG24" s="116">
        <f t="shared" si="3"/>
        <v>1.3471695412581406</v>
      </c>
      <c r="AH24" s="116">
        <f t="shared" si="4"/>
        <v>1.3471695412581406</v>
      </c>
    </row>
    <row r="25" spans="1:34" x14ac:dyDescent="0.3">
      <c r="A25" s="58" t="s">
        <v>13</v>
      </c>
      <c r="B25" s="80">
        <v>16697</v>
      </c>
      <c r="C25" s="81">
        <v>7443</v>
      </c>
      <c r="D25" s="81">
        <v>5045</v>
      </c>
      <c r="E25" s="82">
        <v>1316</v>
      </c>
      <c r="F25" s="80">
        <v>0</v>
      </c>
      <c r="G25" s="81">
        <v>0</v>
      </c>
      <c r="H25" s="81">
        <v>0</v>
      </c>
      <c r="I25" s="82">
        <v>0</v>
      </c>
      <c r="J25" s="81">
        <v>0</v>
      </c>
      <c r="K25" s="81">
        <v>0</v>
      </c>
      <c r="L25" s="81">
        <v>0</v>
      </c>
      <c r="M25" s="82">
        <v>0</v>
      </c>
      <c r="N25" s="80">
        <v>0</v>
      </c>
      <c r="O25" s="81">
        <v>0</v>
      </c>
      <c r="P25" s="81">
        <v>0</v>
      </c>
      <c r="Q25" s="82">
        <v>0</v>
      </c>
      <c r="R25" s="80">
        <v>0</v>
      </c>
      <c r="S25" s="81">
        <v>0</v>
      </c>
      <c r="T25" s="81">
        <v>0</v>
      </c>
      <c r="U25" s="81">
        <v>17100</v>
      </c>
      <c r="V25" s="81">
        <v>0</v>
      </c>
      <c r="W25" s="81">
        <v>0</v>
      </c>
      <c r="X25" s="80">
        <v>0</v>
      </c>
      <c r="Y25" s="81">
        <v>0</v>
      </c>
      <c r="Z25" s="81">
        <v>0</v>
      </c>
      <c r="AA25" s="81">
        <v>0</v>
      </c>
      <c r="AB25" s="81">
        <v>0</v>
      </c>
      <c r="AC25" s="82">
        <v>0</v>
      </c>
      <c r="AD25" t="str">
        <f>VLOOKUP(A25,'FRS geographical categories'!$A$2:$C$46,2,0)</f>
        <v>Predominantly Rural</v>
      </c>
      <c r="AE25" t="str">
        <f>VLOOKUP(A25,'FRS geographical categories'!$A$2:$C$46,3,0)</f>
        <v>Non-metropolitan</v>
      </c>
      <c r="AG25" s="116">
        <f t="shared" si="3"/>
        <v>1.0241360723483262</v>
      </c>
      <c r="AH25" s="116" t="e">
        <f t="shared" si="4"/>
        <v>#DIV/0!</v>
      </c>
    </row>
    <row r="26" spans="1:34" x14ac:dyDescent="0.3">
      <c r="A26" s="58" t="s">
        <v>74</v>
      </c>
      <c r="B26" s="80">
        <v>12473</v>
      </c>
      <c r="C26" s="81">
        <v>3808</v>
      </c>
      <c r="D26" s="81">
        <v>5071</v>
      </c>
      <c r="E26" s="82">
        <v>634</v>
      </c>
      <c r="F26" s="80">
        <v>12473</v>
      </c>
      <c r="G26" s="81">
        <v>3808</v>
      </c>
      <c r="H26" s="81">
        <v>5071</v>
      </c>
      <c r="I26" s="82">
        <v>634</v>
      </c>
      <c r="J26" s="81">
        <v>461</v>
      </c>
      <c r="K26" s="81">
        <v>102</v>
      </c>
      <c r="L26" s="81">
        <v>321</v>
      </c>
      <c r="M26" s="82">
        <v>11</v>
      </c>
      <c r="N26" s="80">
        <v>461</v>
      </c>
      <c r="O26" s="81">
        <v>102</v>
      </c>
      <c r="P26" s="81">
        <v>321</v>
      </c>
      <c r="Q26" s="82">
        <v>11</v>
      </c>
      <c r="R26" s="80">
        <v>14286</v>
      </c>
      <c r="S26" s="81">
        <v>3</v>
      </c>
      <c r="T26" s="81">
        <v>0</v>
      </c>
      <c r="U26" s="81">
        <v>5330</v>
      </c>
      <c r="V26" s="81">
        <v>0</v>
      </c>
      <c r="W26" s="81">
        <v>458</v>
      </c>
      <c r="X26" s="80">
        <v>14286</v>
      </c>
      <c r="Y26" s="81">
        <v>3</v>
      </c>
      <c r="Z26" s="81">
        <v>0</v>
      </c>
      <c r="AA26" s="81">
        <v>5330</v>
      </c>
      <c r="AB26" s="81">
        <v>0</v>
      </c>
      <c r="AC26" s="82">
        <v>458</v>
      </c>
      <c r="AD26" t="str">
        <f>VLOOKUP(A26,'FRS geographical categories'!$A$2:$C$46,2,0)</f>
        <v>Significantly Rural</v>
      </c>
      <c r="AE26" t="str">
        <f>VLOOKUP(A26,'FRS geographical categories'!$A$2:$C$46,3,0)</f>
        <v>Non-metropolitan</v>
      </c>
      <c r="AG26" s="116">
        <f t="shared" si="3"/>
        <v>1.5522653471470542</v>
      </c>
      <c r="AH26" s="116">
        <f t="shared" si="4"/>
        <v>1.5522653471470542</v>
      </c>
    </row>
    <row r="27" spans="1:34" x14ac:dyDescent="0.3">
      <c r="A27" s="58" t="s">
        <v>14</v>
      </c>
      <c r="B27" s="80">
        <v>19349</v>
      </c>
      <c r="C27" s="81">
        <v>1051</v>
      </c>
      <c r="D27" s="81">
        <v>6123</v>
      </c>
      <c r="E27" s="82">
        <v>585</v>
      </c>
      <c r="F27" s="80">
        <v>19349</v>
      </c>
      <c r="G27" s="81">
        <v>1051</v>
      </c>
      <c r="H27" s="81">
        <v>6123</v>
      </c>
      <c r="I27" s="82">
        <v>585</v>
      </c>
      <c r="J27" s="81">
        <v>0</v>
      </c>
      <c r="K27" s="81">
        <v>0</v>
      </c>
      <c r="L27" s="81">
        <v>0</v>
      </c>
      <c r="M27" s="82">
        <v>0</v>
      </c>
      <c r="N27" s="80">
        <v>0</v>
      </c>
      <c r="O27" s="81">
        <v>0</v>
      </c>
      <c r="P27" s="81">
        <v>0</v>
      </c>
      <c r="Q27" s="82">
        <v>0</v>
      </c>
      <c r="R27" s="80">
        <v>37188</v>
      </c>
      <c r="S27" s="81">
        <v>0</v>
      </c>
      <c r="T27" s="81">
        <v>837</v>
      </c>
      <c r="U27" s="81">
        <v>0</v>
      </c>
      <c r="V27" s="81">
        <v>0</v>
      </c>
      <c r="W27" s="81">
        <v>0</v>
      </c>
      <c r="X27" s="80">
        <v>37188</v>
      </c>
      <c r="Y27" s="81">
        <v>0</v>
      </c>
      <c r="Z27" s="81">
        <v>837</v>
      </c>
      <c r="AA27" s="81">
        <v>0</v>
      </c>
      <c r="AB27" s="81">
        <v>0</v>
      </c>
      <c r="AC27" s="82">
        <v>0</v>
      </c>
      <c r="AD27" t="str">
        <f>VLOOKUP(A27,'FRS geographical categories'!$A$2:$C$46,2,0)</f>
        <v>Predominantly Rural</v>
      </c>
      <c r="AE27" t="str">
        <f>VLOOKUP(A27,'FRS geographical categories'!$A$2:$C$46,3,0)</f>
        <v>Non-metropolitan</v>
      </c>
      <c r="AG27" s="116">
        <f t="shared" si="3"/>
        <v>1.9652178407152825</v>
      </c>
      <c r="AH27" s="116">
        <f t="shared" si="4"/>
        <v>1.9652178407152825</v>
      </c>
    </row>
    <row r="28" spans="1:34" x14ac:dyDescent="0.3">
      <c r="A28" s="58" t="s">
        <v>15</v>
      </c>
      <c r="B28" s="80">
        <v>6775</v>
      </c>
      <c r="C28" s="81">
        <v>1702</v>
      </c>
      <c r="D28" s="81">
        <v>2067</v>
      </c>
      <c r="E28" s="82">
        <v>488</v>
      </c>
      <c r="F28" s="80">
        <v>3441</v>
      </c>
      <c r="G28" s="81">
        <v>1660</v>
      </c>
      <c r="H28" s="81">
        <v>660</v>
      </c>
      <c r="I28" s="82">
        <v>327</v>
      </c>
      <c r="J28" s="81">
        <v>0</v>
      </c>
      <c r="K28" s="81">
        <v>0</v>
      </c>
      <c r="L28" s="81">
        <v>0</v>
      </c>
      <c r="M28" s="82">
        <v>0</v>
      </c>
      <c r="N28" s="80">
        <v>0</v>
      </c>
      <c r="O28" s="81">
        <v>0</v>
      </c>
      <c r="P28" s="81">
        <v>0</v>
      </c>
      <c r="Q28" s="82">
        <v>0</v>
      </c>
      <c r="R28" s="80">
        <v>13550</v>
      </c>
      <c r="S28" s="81">
        <v>0</v>
      </c>
      <c r="T28" s="81">
        <v>0</v>
      </c>
      <c r="U28" s="81">
        <v>0</v>
      </c>
      <c r="V28" s="81">
        <v>0</v>
      </c>
      <c r="W28" s="81">
        <v>0</v>
      </c>
      <c r="X28" s="80">
        <v>0</v>
      </c>
      <c r="Y28" s="81">
        <v>0</v>
      </c>
      <c r="Z28" s="81">
        <v>6882</v>
      </c>
      <c r="AA28" s="81">
        <v>0</v>
      </c>
      <c r="AB28" s="81">
        <v>0</v>
      </c>
      <c r="AC28" s="82">
        <v>0</v>
      </c>
      <c r="AD28" t="str">
        <f>VLOOKUP(A28,'FRS geographical categories'!$A$2:$C$46,2,0)</f>
        <v>Significantly Rural</v>
      </c>
      <c r="AE28" t="str">
        <f>VLOOKUP(A28,'FRS geographical categories'!$A$2:$C$46,3,0)</f>
        <v>Non-metropolitan</v>
      </c>
      <c r="AG28" s="116">
        <f t="shared" si="3"/>
        <v>2</v>
      </c>
      <c r="AH28" s="116">
        <f t="shared" si="4"/>
        <v>2</v>
      </c>
    </row>
    <row r="29" spans="1:34" x14ac:dyDescent="0.3">
      <c r="A29" s="58" t="s">
        <v>16</v>
      </c>
      <c r="B29" s="80">
        <v>7694</v>
      </c>
      <c r="C29" s="81">
        <v>2559</v>
      </c>
      <c r="D29" s="81">
        <v>2479</v>
      </c>
      <c r="E29" s="82">
        <v>493</v>
      </c>
      <c r="F29" s="80">
        <v>5288</v>
      </c>
      <c r="G29" s="81">
        <v>2224</v>
      </c>
      <c r="H29" s="81">
        <v>1404</v>
      </c>
      <c r="I29" s="82">
        <v>410</v>
      </c>
      <c r="J29" s="81">
        <v>24</v>
      </c>
      <c r="K29" s="81">
        <v>0</v>
      </c>
      <c r="L29" s="81">
        <v>2</v>
      </c>
      <c r="M29" s="82">
        <v>1</v>
      </c>
      <c r="N29" s="80">
        <v>0</v>
      </c>
      <c r="O29" s="81">
        <v>0</v>
      </c>
      <c r="P29" s="81">
        <v>0</v>
      </c>
      <c r="Q29" s="82">
        <v>0</v>
      </c>
      <c r="R29" s="80">
        <v>590</v>
      </c>
      <c r="S29" s="81">
        <v>1480</v>
      </c>
      <c r="T29" s="81">
        <v>0</v>
      </c>
      <c r="U29" s="81">
        <v>5919</v>
      </c>
      <c r="V29" s="81">
        <v>0</v>
      </c>
      <c r="W29" s="81">
        <v>24</v>
      </c>
      <c r="X29" s="80">
        <v>0</v>
      </c>
      <c r="Y29" s="81">
        <v>0</v>
      </c>
      <c r="Z29" s="81">
        <v>0</v>
      </c>
      <c r="AA29" s="81">
        <v>5288</v>
      </c>
      <c r="AB29" s="81">
        <v>0</v>
      </c>
      <c r="AC29" s="82">
        <v>0</v>
      </c>
      <c r="AD29" t="str">
        <f>VLOOKUP(A29,'FRS geographical categories'!$A$2:$C$46,2,0)</f>
        <v>Significantly Rural</v>
      </c>
      <c r="AE29" t="str">
        <f>VLOOKUP(A29,'FRS geographical categories'!$A$2:$C$46,3,0)</f>
        <v>Non-metropolitan</v>
      </c>
      <c r="AG29" s="116">
        <f t="shared" si="3"/>
        <v>1.038222337393107</v>
      </c>
      <c r="AH29" s="116">
        <f t="shared" si="4"/>
        <v>1</v>
      </c>
    </row>
    <row r="30" spans="1:34" x14ac:dyDescent="0.3">
      <c r="A30" s="58" t="s">
        <v>17</v>
      </c>
      <c r="B30" s="80">
        <v>5558</v>
      </c>
      <c r="C30" s="81">
        <v>2436</v>
      </c>
      <c r="D30" s="81">
        <v>995</v>
      </c>
      <c r="E30" s="82">
        <v>966</v>
      </c>
      <c r="F30" s="80">
        <v>5558</v>
      </c>
      <c r="G30" s="81">
        <v>2436</v>
      </c>
      <c r="H30" s="81">
        <v>995</v>
      </c>
      <c r="I30" s="82">
        <v>966</v>
      </c>
      <c r="J30" s="81">
        <v>110</v>
      </c>
      <c r="K30" s="81">
        <v>64</v>
      </c>
      <c r="L30" s="81">
        <v>7</v>
      </c>
      <c r="M30" s="82">
        <v>39</v>
      </c>
      <c r="N30" s="80">
        <v>110</v>
      </c>
      <c r="O30" s="81">
        <v>64</v>
      </c>
      <c r="P30" s="81">
        <v>7</v>
      </c>
      <c r="Q30" s="82">
        <v>39</v>
      </c>
      <c r="R30" s="80">
        <v>7825</v>
      </c>
      <c r="S30" s="81">
        <v>0</v>
      </c>
      <c r="T30" s="81">
        <v>600</v>
      </c>
      <c r="U30" s="81">
        <v>0</v>
      </c>
      <c r="V30" s="81">
        <v>0</v>
      </c>
      <c r="W30" s="81">
        <v>89</v>
      </c>
      <c r="X30" s="80">
        <v>7825</v>
      </c>
      <c r="Y30" s="81">
        <v>0</v>
      </c>
      <c r="Z30" s="81">
        <v>600</v>
      </c>
      <c r="AA30" s="81">
        <v>0</v>
      </c>
      <c r="AB30" s="81">
        <v>0</v>
      </c>
      <c r="AC30" s="82">
        <v>89</v>
      </c>
      <c r="AD30" t="str">
        <f>VLOOKUP(A30,'FRS geographical categories'!$A$2:$C$46,2,0)</f>
        <v>Significantly Rural</v>
      </c>
      <c r="AE30" t="str">
        <f>VLOOKUP(A30,'FRS geographical categories'!$A$2:$C$46,3,0)</f>
        <v>Non-metropolitan</v>
      </c>
      <c r="AG30" s="116">
        <f t="shared" si="3"/>
        <v>1.5021171489061398</v>
      </c>
      <c r="AH30" s="116">
        <f t="shared" si="4"/>
        <v>1.5021171489061398</v>
      </c>
    </row>
    <row r="31" spans="1:34" x14ac:dyDescent="0.3">
      <c r="A31" s="58" t="s">
        <v>18</v>
      </c>
      <c r="B31" s="80">
        <v>76846</v>
      </c>
      <c r="C31" s="81">
        <v>20652</v>
      </c>
      <c r="D31" s="81">
        <v>15592</v>
      </c>
      <c r="E31" s="82">
        <v>7549</v>
      </c>
      <c r="F31" s="80">
        <v>241</v>
      </c>
      <c r="G31" s="81">
        <v>125</v>
      </c>
      <c r="H31" s="81">
        <v>48</v>
      </c>
      <c r="I31" s="82">
        <v>24</v>
      </c>
      <c r="J31" s="81">
        <v>525</v>
      </c>
      <c r="K31" s="81">
        <v>21</v>
      </c>
      <c r="L31" s="81">
        <v>14</v>
      </c>
      <c r="M31" s="82">
        <v>24</v>
      </c>
      <c r="N31" s="80">
        <v>0</v>
      </c>
      <c r="O31" s="81">
        <v>0</v>
      </c>
      <c r="P31" s="81">
        <v>0</v>
      </c>
      <c r="Q31" s="82">
        <v>0</v>
      </c>
      <c r="R31" s="80">
        <v>355029</v>
      </c>
      <c r="S31" s="81">
        <v>0</v>
      </c>
      <c r="T31" s="81">
        <v>0</v>
      </c>
      <c r="U31" s="81">
        <v>0</v>
      </c>
      <c r="V31" s="81">
        <v>0</v>
      </c>
      <c r="W31" s="81">
        <v>0</v>
      </c>
      <c r="X31" s="80">
        <v>0</v>
      </c>
      <c r="Y31" s="81">
        <v>0</v>
      </c>
      <c r="Z31" s="81">
        <v>0</v>
      </c>
      <c r="AA31" s="81">
        <v>482</v>
      </c>
      <c r="AB31" s="81">
        <v>0</v>
      </c>
      <c r="AC31" s="82">
        <v>0</v>
      </c>
      <c r="AD31" t="str">
        <f>VLOOKUP(A31,'FRS geographical categories'!$A$2:$C$46,2,0)</f>
        <v>Predominantly Urban</v>
      </c>
      <c r="AE31" t="str">
        <f>VLOOKUP(A31,'FRS geographical categories'!$A$2:$C$46,3,0)</f>
        <v>Metropolitan</v>
      </c>
      <c r="AG31" s="116">
        <f t="shared" si="3"/>
        <v>4.588657248840005</v>
      </c>
      <c r="AH31" s="116">
        <f t="shared" si="4"/>
        <v>2</v>
      </c>
    </row>
    <row r="32" spans="1:34" x14ac:dyDescent="0.3">
      <c r="A32" s="58" t="s">
        <v>19</v>
      </c>
      <c r="B32" s="80">
        <v>22298</v>
      </c>
      <c r="C32" s="81">
        <v>1346</v>
      </c>
      <c r="D32" s="81">
        <v>6963</v>
      </c>
      <c r="E32" s="82">
        <v>655</v>
      </c>
      <c r="F32" s="80">
        <v>22298</v>
      </c>
      <c r="G32" s="81">
        <v>1346</v>
      </c>
      <c r="H32" s="81">
        <v>6963</v>
      </c>
      <c r="I32" s="82">
        <v>655</v>
      </c>
      <c r="J32" s="81"/>
      <c r="K32" s="81"/>
      <c r="L32" s="81"/>
      <c r="M32" s="82"/>
      <c r="N32" s="80"/>
      <c r="O32" s="81"/>
      <c r="P32" s="81"/>
      <c r="Q32" s="82"/>
      <c r="R32" s="80">
        <v>19782</v>
      </c>
      <c r="S32" s="81">
        <v>63</v>
      </c>
      <c r="T32" s="81">
        <v>2434</v>
      </c>
      <c r="U32" s="81">
        <v>19</v>
      </c>
      <c r="V32" s="81"/>
      <c r="W32" s="81"/>
      <c r="X32" s="80">
        <v>19782</v>
      </c>
      <c r="Y32" s="81">
        <v>63</v>
      </c>
      <c r="Z32" s="81">
        <v>2434</v>
      </c>
      <c r="AA32" s="81">
        <v>19</v>
      </c>
      <c r="AB32" s="81"/>
      <c r="AC32" s="82"/>
      <c r="AD32" t="str">
        <f>VLOOKUP(A32,'FRS geographical categories'!$A$2:$C$46,2,0)</f>
        <v>Predominantly Urban</v>
      </c>
      <c r="AE32" t="str">
        <f>VLOOKUP(A32,'FRS geographical categories'!$A$2:$C$46,3,0)</f>
        <v>Metropolitan</v>
      </c>
      <c r="AG32" s="116">
        <f t="shared" si="3"/>
        <v>1</v>
      </c>
      <c r="AH32" s="116">
        <f t="shared" si="4"/>
        <v>1</v>
      </c>
    </row>
    <row r="33" spans="1:36" x14ac:dyDescent="0.3">
      <c r="A33" s="58" t="s">
        <v>20</v>
      </c>
      <c r="B33" s="80">
        <v>8690</v>
      </c>
      <c r="C33" s="81">
        <v>2276</v>
      </c>
      <c r="D33" s="81">
        <v>1781</v>
      </c>
      <c r="E33" s="82">
        <v>783</v>
      </c>
      <c r="F33" s="80">
        <v>8686</v>
      </c>
      <c r="G33" s="81">
        <v>2275</v>
      </c>
      <c r="H33" s="81">
        <v>1780</v>
      </c>
      <c r="I33" s="82">
        <v>783</v>
      </c>
      <c r="J33" s="81">
        <v>3</v>
      </c>
      <c r="K33" s="81">
        <v>0</v>
      </c>
      <c r="L33" s="81">
        <v>0</v>
      </c>
      <c r="M33" s="82">
        <v>0</v>
      </c>
      <c r="N33" s="80">
        <v>3</v>
      </c>
      <c r="O33" s="81">
        <v>0</v>
      </c>
      <c r="P33" s="81">
        <v>0</v>
      </c>
      <c r="Q33" s="82">
        <v>0</v>
      </c>
      <c r="R33" s="80">
        <v>13667</v>
      </c>
      <c r="S33" s="81">
        <v>123</v>
      </c>
      <c r="T33" s="81">
        <v>5237</v>
      </c>
      <c r="U33" s="81">
        <v>0</v>
      </c>
      <c r="V33" s="81">
        <v>3</v>
      </c>
      <c r="W33" s="81">
        <v>0</v>
      </c>
      <c r="X33" s="80">
        <v>13658</v>
      </c>
      <c r="Y33" s="81">
        <v>123</v>
      </c>
      <c r="Z33" s="81">
        <v>5236</v>
      </c>
      <c r="AA33" s="81">
        <v>0</v>
      </c>
      <c r="AB33" s="81">
        <v>3</v>
      </c>
      <c r="AC33" s="82">
        <v>0</v>
      </c>
      <c r="AD33" t="str">
        <f>VLOOKUP(A33,'FRS geographical categories'!$A$2:$C$46,2,0)</f>
        <v>Predominantly Urban</v>
      </c>
      <c r="AE33" t="str">
        <f>VLOOKUP(A33,'FRS geographical categories'!$A$2:$C$46,3,0)</f>
        <v>Non-metropolitan</v>
      </c>
      <c r="AG33" s="116">
        <f t="shared" si="3"/>
        <v>2.1891176808926724</v>
      </c>
      <c r="AH33" s="116">
        <f t="shared" si="4"/>
        <v>2.1889745655426402</v>
      </c>
    </row>
    <row r="34" spans="1:36" x14ac:dyDescent="0.3">
      <c r="A34" s="58" t="s">
        <v>21</v>
      </c>
      <c r="B34" s="80">
        <v>2510</v>
      </c>
      <c r="C34" s="81">
        <v>513</v>
      </c>
      <c r="D34" s="81">
        <v>1359</v>
      </c>
      <c r="E34" s="82">
        <v>98</v>
      </c>
      <c r="F34" s="80">
        <v>1335</v>
      </c>
      <c r="G34" s="81">
        <v>421</v>
      </c>
      <c r="H34" s="81">
        <v>681</v>
      </c>
      <c r="I34" s="82">
        <v>49</v>
      </c>
      <c r="J34" s="81">
        <v>0</v>
      </c>
      <c r="K34" s="81">
        <v>0</v>
      </c>
      <c r="L34" s="81">
        <v>0</v>
      </c>
      <c r="M34" s="82">
        <v>0</v>
      </c>
      <c r="N34" s="80">
        <v>0</v>
      </c>
      <c r="O34" s="81">
        <v>0</v>
      </c>
      <c r="P34" s="81">
        <v>0</v>
      </c>
      <c r="Q34" s="82">
        <v>0</v>
      </c>
      <c r="R34" s="80">
        <v>4668</v>
      </c>
      <c r="S34" s="81">
        <v>0</v>
      </c>
      <c r="T34" s="81">
        <v>0</v>
      </c>
      <c r="U34" s="81">
        <v>176</v>
      </c>
      <c r="V34" s="81">
        <v>0</v>
      </c>
      <c r="W34" s="81">
        <v>0</v>
      </c>
      <c r="X34" s="80">
        <v>374</v>
      </c>
      <c r="Y34" s="81">
        <v>0</v>
      </c>
      <c r="Z34" s="81">
        <v>0</v>
      </c>
      <c r="AA34" s="81">
        <v>1148</v>
      </c>
      <c r="AB34" s="81">
        <v>0</v>
      </c>
      <c r="AC34" s="82">
        <v>0</v>
      </c>
      <c r="AD34" t="str">
        <f>VLOOKUP(A34,'FRS geographical categories'!$A$2:$C$46,2,0)</f>
        <v>Significantly Rural</v>
      </c>
      <c r="AE34" t="str">
        <f>VLOOKUP(A34,'FRS geographical categories'!$A$2:$C$46,3,0)</f>
        <v>Non-metropolitan</v>
      </c>
      <c r="AG34" s="116">
        <f t="shared" si="3"/>
        <v>1.9298804780876495</v>
      </c>
      <c r="AH34" s="116">
        <f t="shared" si="4"/>
        <v>1.1400749063670412</v>
      </c>
    </row>
    <row r="35" spans="1:36" x14ac:dyDescent="0.3">
      <c r="A35" s="58" t="s">
        <v>22</v>
      </c>
      <c r="B35" s="80">
        <v>6851</v>
      </c>
      <c r="C35" s="81">
        <v>1001</v>
      </c>
      <c r="D35" s="81">
        <v>2623</v>
      </c>
      <c r="E35" s="82">
        <v>186</v>
      </c>
      <c r="F35" s="80">
        <v>6851</v>
      </c>
      <c r="G35" s="81">
        <v>1001</v>
      </c>
      <c r="H35" s="81">
        <v>2623</v>
      </c>
      <c r="I35" s="82">
        <v>186</v>
      </c>
      <c r="J35" s="81"/>
      <c r="K35" s="81"/>
      <c r="L35" s="81"/>
      <c r="M35" s="82"/>
      <c r="N35" s="80"/>
      <c r="O35" s="81"/>
      <c r="P35" s="81"/>
      <c r="Q35" s="82"/>
      <c r="R35" s="80">
        <v>6749</v>
      </c>
      <c r="S35" s="81"/>
      <c r="T35" s="81"/>
      <c r="U35" s="81">
        <v>2643</v>
      </c>
      <c r="V35" s="81"/>
      <c r="W35" s="81"/>
      <c r="X35" s="80">
        <v>6749</v>
      </c>
      <c r="Y35" s="81"/>
      <c r="Z35" s="81"/>
      <c r="AA35" s="81">
        <v>2643</v>
      </c>
      <c r="AB35" s="81"/>
      <c r="AC35" s="82"/>
      <c r="AD35" t="str">
        <f>VLOOKUP(A35,'FRS geographical categories'!$A$2:$C$46,2,0)</f>
        <v>Predominantly Urban</v>
      </c>
      <c r="AE35" t="str">
        <f>VLOOKUP(A35,'FRS geographical categories'!$A$2:$C$46,3,0)</f>
        <v>Non-metropolitan</v>
      </c>
      <c r="AG35" s="116">
        <f t="shared" si="3"/>
        <v>1.3708947598890673</v>
      </c>
      <c r="AH35" s="116">
        <f t="shared" si="4"/>
        <v>1.3708947598890673</v>
      </c>
    </row>
    <row r="36" spans="1:36" x14ac:dyDescent="0.3">
      <c r="A36" s="58" t="s">
        <v>23</v>
      </c>
      <c r="B36" s="80">
        <v>5654</v>
      </c>
      <c r="C36" s="81">
        <v>357</v>
      </c>
      <c r="D36" s="81">
        <v>2026</v>
      </c>
      <c r="E36" s="82">
        <v>181</v>
      </c>
      <c r="F36" s="80">
        <v>5654</v>
      </c>
      <c r="G36" s="81">
        <v>357</v>
      </c>
      <c r="H36" s="81">
        <v>2026</v>
      </c>
      <c r="I36" s="82">
        <v>181</v>
      </c>
      <c r="J36" s="81"/>
      <c r="K36" s="81">
        <v>0</v>
      </c>
      <c r="L36" s="81">
        <v>0</v>
      </c>
      <c r="M36" s="82">
        <v>0</v>
      </c>
      <c r="N36" s="80"/>
      <c r="O36" s="81">
        <v>0</v>
      </c>
      <c r="P36" s="81">
        <v>0</v>
      </c>
      <c r="Q36" s="82">
        <v>0</v>
      </c>
      <c r="R36" s="80">
        <v>4660</v>
      </c>
      <c r="S36" s="81">
        <v>238</v>
      </c>
      <c r="T36" s="81">
        <v>2137</v>
      </c>
      <c r="U36" s="81"/>
      <c r="V36" s="81"/>
      <c r="W36" s="81"/>
      <c r="X36" s="80">
        <v>4660</v>
      </c>
      <c r="Y36" s="81">
        <v>238</v>
      </c>
      <c r="Z36" s="81">
        <v>2137</v>
      </c>
      <c r="AA36" s="81"/>
      <c r="AB36" s="81"/>
      <c r="AC36" s="82"/>
      <c r="AD36" t="str">
        <f>VLOOKUP(A36,'FRS geographical categories'!$A$2:$C$46,2,0)</f>
        <v>Significantly Rural</v>
      </c>
      <c r="AE36" t="str">
        <f>VLOOKUP(A36,'FRS geographical categories'!$A$2:$C$46,3,0)</f>
        <v>Non-metropolitan</v>
      </c>
      <c r="AG36" s="116">
        <f t="shared" si="3"/>
        <v>1.244251857092324</v>
      </c>
      <c r="AH36" s="116">
        <f t="shared" si="4"/>
        <v>1.244251857092324</v>
      </c>
    </row>
    <row r="37" spans="1:36" x14ac:dyDescent="0.3">
      <c r="A37" s="58" t="s">
        <v>48</v>
      </c>
      <c r="B37" s="80">
        <v>506</v>
      </c>
      <c r="C37" s="81"/>
      <c r="D37" s="81">
        <v>506</v>
      </c>
      <c r="E37" s="82"/>
      <c r="F37" s="80">
        <v>506</v>
      </c>
      <c r="G37" s="81"/>
      <c r="H37" s="81">
        <v>506</v>
      </c>
      <c r="I37" s="82"/>
      <c r="J37" s="81">
        <v>113</v>
      </c>
      <c r="K37" s="81"/>
      <c r="L37" s="81">
        <v>113</v>
      </c>
      <c r="M37" s="82"/>
      <c r="N37" s="80">
        <v>113</v>
      </c>
      <c r="O37" s="81"/>
      <c r="P37" s="81">
        <v>113</v>
      </c>
      <c r="Q37" s="82"/>
      <c r="R37" s="80">
        <v>137</v>
      </c>
      <c r="S37" s="81">
        <v>0</v>
      </c>
      <c r="T37" s="81">
        <v>212</v>
      </c>
      <c r="U37" s="81">
        <v>136</v>
      </c>
      <c r="V37" s="81">
        <v>113</v>
      </c>
      <c r="W37" s="81">
        <v>21</v>
      </c>
      <c r="X37" s="80">
        <v>137</v>
      </c>
      <c r="Y37" s="81">
        <v>0</v>
      </c>
      <c r="Z37" s="81">
        <v>212</v>
      </c>
      <c r="AA37" s="81">
        <v>136</v>
      </c>
      <c r="AB37" s="81">
        <v>113</v>
      </c>
      <c r="AC37" s="82">
        <v>21</v>
      </c>
      <c r="AD37" t="str">
        <f>VLOOKUP(A37,'FRS geographical categories'!$A$2:$C$46,2,0)</f>
        <v>Predominantly Rural</v>
      </c>
      <c r="AE37" t="str">
        <f>VLOOKUP(A37,'FRS geographical categories'!$A$2:$C$46,3,0)</f>
        <v>Non-metropolitan</v>
      </c>
      <c r="AG37" s="116">
        <f t="shared" si="3"/>
        <v>1</v>
      </c>
      <c r="AH37" s="116">
        <f t="shared" si="4"/>
        <v>1</v>
      </c>
    </row>
    <row r="38" spans="1:36" x14ac:dyDescent="0.3">
      <c r="A38" s="58" t="s">
        <v>25</v>
      </c>
      <c r="B38" s="80">
        <v>82</v>
      </c>
      <c r="C38" s="81">
        <v>22</v>
      </c>
      <c r="D38" s="81">
        <v>55</v>
      </c>
      <c r="E38" s="82">
        <v>1</v>
      </c>
      <c r="F38" s="80">
        <v>0</v>
      </c>
      <c r="G38" s="81">
        <v>0</v>
      </c>
      <c r="H38" s="81">
        <v>0</v>
      </c>
      <c r="I38" s="82">
        <v>0</v>
      </c>
      <c r="J38" s="81">
        <v>0</v>
      </c>
      <c r="K38" s="81">
        <v>0</v>
      </c>
      <c r="L38" s="81">
        <v>0</v>
      </c>
      <c r="M38" s="82">
        <v>0</v>
      </c>
      <c r="N38" s="80">
        <v>0</v>
      </c>
      <c r="O38" s="81">
        <v>0</v>
      </c>
      <c r="P38" s="81">
        <v>0</v>
      </c>
      <c r="Q38" s="82">
        <v>0</v>
      </c>
      <c r="R38" s="80">
        <v>82</v>
      </c>
      <c r="S38" s="81">
        <v>0</v>
      </c>
      <c r="T38" s="81">
        <v>0</v>
      </c>
      <c r="U38" s="81">
        <v>0</v>
      </c>
      <c r="V38" s="81">
        <v>0</v>
      </c>
      <c r="W38" s="81">
        <v>0</v>
      </c>
      <c r="X38" s="80">
        <v>0</v>
      </c>
      <c r="Y38" s="81">
        <v>0</v>
      </c>
      <c r="Z38" s="81">
        <v>0</v>
      </c>
      <c r="AA38" s="81">
        <v>0</v>
      </c>
      <c r="AB38" s="81">
        <v>0</v>
      </c>
      <c r="AC38" s="82">
        <v>0</v>
      </c>
      <c r="AD38" t="str">
        <f>VLOOKUP(A38,'FRS geographical categories'!$A$2:$C$46,2,0)</f>
        <v>Predominantly Rural</v>
      </c>
      <c r="AE38" t="str">
        <f>VLOOKUP(A38,'FRS geographical categories'!$A$2:$C$46,3,0)</f>
        <v>Non-metropolitan</v>
      </c>
      <c r="AG38" s="116">
        <f t="shared" si="3"/>
        <v>1</v>
      </c>
      <c r="AH38" s="116" t="e">
        <f t="shared" si="4"/>
        <v>#DIV/0!</v>
      </c>
    </row>
    <row r="39" spans="1:36" x14ac:dyDescent="0.3">
      <c r="A39" s="58" t="s">
        <v>26</v>
      </c>
      <c r="B39" s="80">
        <v>20303</v>
      </c>
      <c r="C39" s="81">
        <v>4287</v>
      </c>
      <c r="D39" s="81">
        <v>7263</v>
      </c>
      <c r="E39" s="82">
        <v>1342</v>
      </c>
      <c r="F39" s="80">
        <v>20303</v>
      </c>
      <c r="G39" s="81">
        <v>4287</v>
      </c>
      <c r="H39" s="81">
        <v>7263</v>
      </c>
      <c r="I39" s="82">
        <v>1342</v>
      </c>
      <c r="J39" s="81">
        <v>0</v>
      </c>
      <c r="K39" s="81">
        <v>0</v>
      </c>
      <c r="L39" s="81">
        <v>0</v>
      </c>
      <c r="M39" s="82">
        <v>0</v>
      </c>
      <c r="N39" s="80">
        <v>0</v>
      </c>
      <c r="O39" s="81">
        <v>0</v>
      </c>
      <c r="P39" s="81">
        <v>0</v>
      </c>
      <c r="Q39" s="82">
        <v>0</v>
      </c>
      <c r="R39" s="80">
        <v>18130</v>
      </c>
      <c r="S39" s="81">
        <v>0</v>
      </c>
      <c r="T39" s="81">
        <v>11358</v>
      </c>
      <c r="U39" s="81">
        <v>0</v>
      </c>
      <c r="V39" s="81">
        <v>0</v>
      </c>
      <c r="W39" s="81">
        <v>0</v>
      </c>
      <c r="X39" s="80">
        <v>18130</v>
      </c>
      <c r="Y39" s="81">
        <v>0</v>
      </c>
      <c r="Z39" s="81">
        <v>11358</v>
      </c>
      <c r="AA39" s="81">
        <v>0</v>
      </c>
      <c r="AB39" s="81">
        <v>0</v>
      </c>
      <c r="AC39" s="82">
        <v>0</v>
      </c>
      <c r="AD39" t="str">
        <f>VLOOKUP(A39,'FRS geographical categories'!$A$2:$C$46,2,0)</f>
        <v>Significantly Rural</v>
      </c>
      <c r="AE39" t="str">
        <f>VLOOKUP(A39,'FRS geographical categories'!$A$2:$C$46,3,0)</f>
        <v>Non-metropolitan</v>
      </c>
      <c r="AG39" s="116">
        <f t="shared" si="3"/>
        <v>1.4523961976062651</v>
      </c>
      <c r="AH39" s="116">
        <f t="shared" si="4"/>
        <v>1.4523961976062651</v>
      </c>
    </row>
    <row r="40" spans="1:36" x14ac:dyDescent="0.3">
      <c r="A40" s="58" t="s">
        <v>27</v>
      </c>
      <c r="B40" s="80">
        <v>19461</v>
      </c>
      <c r="C40" s="81">
        <v>9443</v>
      </c>
      <c r="D40" s="81">
        <v>2957</v>
      </c>
      <c r="E40" s="82">
        <v>2191</v>
      </c>
      <c r="F40" s="80">
        <v>19461</v>
      </c>
      <c r="G40" s="81">
        <v>9443</v>
      </c>
      <c r="H40" s="81">
        <v>2957</v>
      </c>
      <c r="I40" s="82">
        <v>2191</v>
      </c>
      <c r="J40" s="81"/>
      <c r="K40" s="81"/>
      <c r="L40" s="81"/>
      <c r="M40" s="82"/>
      <c r="N40" s="80"/>
      <c r="O40" s="81"/>
      <c r="P40" s="81"/>
      <c r="Q40" s="82"/>
      <c r="R40" s="80">
        <v>29506</v>
      </c>
      <c r="S40" s="81"/>
      <c r="T40" s="81">
        <v>11184</v>
      </c>
      <c r="U40" s="81"/>
      <c r="V40" s="81"/>
      <c r="W40" s="81"/>
      <c r="X40" s="80">
        <v>29506</v>
      </c>
      <c r="Y40" s="81"/>
      <c r="Z40" s="81">
        <v>11184</v>
      </c>
      <c r="AA40" s="81"/>
      <c r="AB40" s="81"/>
      <c r="AC40" s="82"/>
      <c r="AD40" t="str">
        <f>VLOOKUP(A40,'FRS geographical categories'!$A$2:$C$46,2,0)</f>
        <v>Predominantly Urban</v>
      </c>
      <c r="AE40" t="str">
        <f>VLOOKUP(A40,'FRS geographical categories'!$A$2:$C$46,3,0)</f>
        <v>Non-metropolitan</v>
      </c>
      <c r="AG40" s="116">
        <f t="shared" si="3"/>
        <v>2.0908483633934534</v>
      </c>
      <c r="AH40" s="116">
        <f t="shared" si="4"/>
        <v>2.0908483633934534</v>
      </c>
    </row>
    <row r="41" spans="1:36" x14ac:dyDescent="0.3">
      <c r="A41" s="58" t="s">
        <v>28</v>
      </c>
      <c r="B41" s="80">
        <v>6542</v>
      </c>
      <c r="C41" s="81">
        <v>121</v>
      </c>
      <c r="D41" s="81">
        <v>241</v>
      </c>
      <c r="E41" s="82">
        <v>44</v>
      </c>
      <c r="F41" s="80">
        <v>5935</v>
      </c>
      <c r="G41" s="81">
        <v>1805</v>
      </c>
      <c r="H41" s="81">
        <v>1213</v>
      </c>
      <c r="I41" s="82">
        <v>534</v>
      </c>
      <c r="J41" s="81">
        <v>366</v>
      </c>
      <c r="K41" s="81">
        <v>18</v>
      </c>
      <c r="L41" s="81">
        <v>41</v>
      </c>
      <c r="M41" s="82">
        <v>65</v>
      </c>
      <c r="N41" s="80">
        <v>0</v>
      </c>
      <c r="O41" s="81">
        <v>0</v>
      </c>
      <c r="P41" s="81">
        <v>0</v>
      </c>
      <c r="Q41" s="82">
        <v>0</v>
      </c>
      <c r="R41" s="80">
        <v>6180</v>
      </c>
      <c r="S41" s="81">
        <v>0</v>
      </c>
      <c r="T41" s="81">
        <v>3452</v>
      </c>
      <c r="U41" s="81">
        <v>0</v>
      </c>
      <c r="V41" s="81">
        <v>0</v>
      </c>
      <c r="W41" s="81">
        <v>0</v>
      </c>
      <c r="X41" s="80">
        <v>6180</v>
      </c>
      <c r="Y41" s="81">
        <v>0</v>
      </c>
      <c r="Z41" s="81">
        <v>3452</v>
      </c>
      <c r="AA41" s="81">
        <v>0</v>
      </c>
      <c r="AB41" s="81">
        <v>0</v>
      </c>
      <c r="AC41" s="82">
        <v>0</v>
      </c>
      <c r="AD41" t="str">
        <f>VLOOKUP(A41,'FRS geographical categories'!$A$2:$C$46,2,0)</f>
        <v>Significantly Rural</v>
      </c>
      <c r="AE41" t="str">
        <f>VLOOKUP(A41,'FRS geographical categories'!$A$2:$C$46,3,0)</f>
        <v>Non-metropolitan</v>
      </c>
      <c r="AG41" s="116">
        <f t="shared" si="3"/>
        <v>1.3943254198031267</v>
      </c>
      <c r="AH41" s="116">
        <f t="shared" si="4"/>
        <v>1.6229149115417019</v>
      </c>
    </row>
    <row r="42" spans="1:36" x14ac:dyDescent="0.3">
      <c r="A42" s="58" t="s">
        <v>29</v>
      </c>
      <c r="B42" s="80">
        <v>3592</v>
      </c>
      <c r="C42" s="81">
        <v>1521</v>
      </c>
      <c r="D42" s="81">
        <v>495</v>
      </c>
      <c r="E42" s="82">
        <v>631</v>
      </c>
      <c r="F42" s="80">
        <v>2152</v>
      </c>
      <c r="G42" s="81">
        <v>1076</v>
      </c>
      <c r="H42" s="81">
        <v>188</v>
      </c>
      <c r="I42" s="82">
        <v>438</v>
      </c>
      <c r="J42" s="81">
        <v>0</v>
      </c>
      <c r="K42" s="81">
        <v>0</v>
      </c>
      <c r="L42" s="81">
        <v>0</v>
      </c>
      <c r="M42" s="82">
        <v>0</v>
      </c>
      <c r="N42" s="80">
        <v>0</v>
      </c>
      <c r="O42" s="81">
        <v>0</v>
      </c>
      <c r="P42" s="81">
        <v>0</v>
      </c>
      <c r="Q42" s="82">
        <v>0</v>
      </c>
      <c r="R42" s="80">
        <v>0</v>
      </c>
      <c r="S42" s="81">
        <v>0</v>
      </c>
      <c r="T42" s="81">
        <v>0</v>
      </c>
      <c r="U42" s="81">
        <v>0</v>
      </c>
      <c r="V42" s="81">
        <v>0</v>
      </c>
      <c r="W42" s="81">
        <v>3592</v>
      </c>
      <c r="X42" s="80">
        <v>0</v>
      </c>
      <c r="Y42" s="81">
        <v>0</v>
      </c>
      <c r="Z42" s="81">
        <v>0</v>
      </c>
      <c r="AA42" s="81">
        <v>0</v>
      </c>
      <c r="AB42" s="81">
        <v>0</v>
      </c>
      <c r="AC42" s="82">
        <v>2152</v>
      </c>
      <c r="AD42" t="str">
        <f>VLOOKUP(A42,'FRS geographical categories'!$A$2:$C$46,2,0)</f>
        <v>Predominantly Rural</v>
      </c>
      <c r="AE42" t="str">
        <f>VLOOKUP(A42,'FRS geographical categories'!$A$2:$C$46,3,0)</f>
        <v>Non-metropolitan</v>
      </c>
      <c r="AG42" s="116">
        <f t="shared" si="3"/>
        <v>1</v>
      </c>
      <c r="AH42" s="116">
        <f t="shared" si="4"/>
        <v>1</v>
      </c>
    </row>
    <row r="43" spans="1:36" x14ac:dyDescent="0.3">
      <c r="A43" s="58" t="s">
        <v>30</v>
      </c>
      <c r="B43" s="80">
        <v>55590</v>
      </c>
      <c r="C43" s="81">
        <v>7302</v>
      </c>
      <c r="D43" s="81">
        <v>26070</v>
      </c>
      <c r="E43" s="82">
        <v>2318</v>
      </c>
      <c r="F43" s="80">
        <v>10177</v>
      </c>
      <c r="G43" s="81">
        <v>4830</v>
      </c>
      <c r="H43" s="81">
        <v>1423</v>
      </c>
      <c r="I43" s="82">
        <v>1659</v>
      </c>
      <c r="J43" s="81"/>
      <c r="K43" s="81"/>
      <c r="L43" s="81"/>
      <c r="M43" s="82"/>
      <c r="N43" s="80"/>
      <c r="O43" s="81"/>
      <c r="P43" s="81"/>
      <c r="Q43" s="82"/>
      <c r="R43" s="80">
        <v>88296</v>
      </c>
      <c r="S43" s="81">
        <v>0</v>
      </c>
      <c r="T43" s="81">
        <v>11581</v>
      </c>
      <c r="U43" s="81">
        <v>0</v>
      </c>
      <c r="V43" s="81">
        <v>0</v>
      </c>
      <c r="W43" s="81">
        <v>0</v>
      </c>
      <c r="X43" s="80">
        <v>0</v>
      </c>
      <c r="Y43" s="81">
        <v>0</v>
      </c>
      <c r="Z43" s="81">
        <v>10177</v>
      </c>
      <c r="AA43" s="81">
        <v>0</v>
      </c>
      <c r="AB43" s="81">
        <v>0</v>
      </c>
      <c r="AC43" s="82">
        <v>0</v>
      </c>
      <c r="AD43" t="str">
        <f>VLOOKUP(A43,'FRS geographical categories'!$A$2:$C$46,2,0)</f>
        <v>Predominantly Urban</v>
      </c>
      <c r="AE43" t="str">
        <f>VLOOKUP(A43,'FRS geographical categories'!$A$2:$C$46,3,0)</f>
        <v>Metropolitan</v>
      </c>
      <c r="AG43" s="116">
        <f t="shared" si="3"/>
        <v>1.7966720633207411</v>
      </c>
      <c r="AH43" s="116">
        <f t="shared" si="4"/>
        <v>1</v>
      </c>
    </row>
    <row r="44" spans="1:36" x14ac:dyDescent="0.3">
      <c r="A44" s="58" t="s">
        <v>31</v>
      </c>
      <c r="B44" s="80">
        <v>3929</v>
      </c>
      <c r="C44" s="81"/>
      <c r="D44" s="81"/>
      <c r="E44" s="82"/>
      <c r="F44" s="80"/>
      <c r="G44" s="81"/>
      <c r="H44" s="81"/>
      <c r="I44" s="82"/>
      <c r="J44" s="81"/>
      <c r="K44" s="81">
        <v>0</v>
      </c>
      <c r="L44" s="81">
        <v>0</v>
      </c>
      <c r="M44" s="82">
        <v>0</v>
      </c>
      <c r="N44" s="80"/>
      <c r="O44" s="81">
        <v>0</v>
      </c>
      <c r="P44" s="81">
        <v>0</v>
      </c>
      <c r="Q44" s="82">
        <v>0</v>
      </c>
      <c r="R44" s="80">
        <v>239</v>
      </c>
      <c r="S44" s="81">
        <v>7</v>
      </c>
      <c r="T44" s="81">
        <v>5</v>
      </c>
      <c r="U44" s="81">
        <v>0</v>
      </c>
      <c r="V44" s="81">
        <v>0</v>
      </c>
      <c r="W44" s="81">
        <v>0</v>
      </c>
      <c r="X44" s="80"/>
      <c r="Y44" s="81"/>
      <c r="Z44" s="81"/>
      <c r="AA44" s="81"/>
      <c r="AB44" s="81"/>
      <c r="AC44" s="82"/>
      <c r="AD44" t="str">
        <f>VLOOKUP(A44,'FRS geographical categories'!$A$2:$C$46,2,0)</f>
        <v>Predominantly Rural</v>
      </c>
      <c r="AE44" t="str">
        <f>VLOOKUP(A44,'FRS geographical categories'!$A$2:$C$46,3,0)</f>
        <v>Non-metropolitan</v>
      </c>
      <c r="AG44" s="117">
        <f t="shared" si="3"/>
        <v>6.3883939933825407E-2</v>
      </c>
      <c r="AH44" s="116" t="e">
        <f t="shared" si="4"/>
        <v>#DIV/0!</v>
      </c>
      <c r="AJ44" s="58" t="s">
        <v>153</v>
      </c>
    </row>
    <row r="45" spans="1:36" x14ac:dyDescent="0.3">
      <c r="A45" s="58" t="s">
        <v>32</v>
      </c>
      <c r="B45" s="80">
        <v>2251</v>
      </c>
      <c r="C45" s="81">
        <v>0</v>
      </c>
      <c r="D45" s="81">
        <v>2186</v>
      </c>
      <c r="E45" s="82">
        <v>0</v>
      </c>
      <c r="F45" s="80">
        <v>1759</v>
      </c>
      <c r="G45" s="81">
        <v>0</v>
      </c>
      <c r="H45" s="81">
        <v>1197</v>
      </c>
      <c r="I45" s="82">
        <v>0</v>
      </c>
      <c r="J45" s="81">
        <v>54</v>
      </c>
      <c r="K45" s="81">
        <v>0</v>
      </c>
      <c r="L45" s="81">
        <v>43</v>
      </c>
      <c r="M45" s="82">
        <v>0</v>
      </c>
      <c r="N45" s="80">
        <v>0</v>
      </c>
      <c r="O45" s="81">
        <v>0</v>
      </c>
      <c r="P45" s="81">
        <v>0</v>
      </c>
      <c r="Q45" s="82">
        <v>0</v>
      </c>
      <c r="R45" s="80">
        <v>4502</v>
      </c>
      <c r="S45" s="81">
        <v>0</v>
      </c>
      <c r="T45" s="81">
        <v>0</v>
      </c>
      <c r="U45" s="81">
        <v>9</v>
      </c>
      <c r="V45" s="81">
        <v>0</v>
      </c>
      <c r="W45" s="81">
        <v>0</v>
      </c>
      <c r="X45" s="80">
        <v>3518</v>
      </c>
      <c r="Y45" s="81">
        <v>0</v>
      </c>
      <c r="Z45" s="81">
        <v>0</v>
      </c>
      <c r="AA45" s="81">
        <v>9</v>
      </c>
      <c r="AB45" s="81">
        <v>0</v>
      </c>
      <c r="AC45" s="82">
        <v>0</v>
      </c>
      <c r="AD45" t="str">
        <f>VLOOKUP(A45,'FRS geographical categories'!$A$2:$C$46,2,0)</f>
        <v>Predominantly Rural</v>
      </c>
      <c r="AE45" t="str">
        <f>VLOOKUP(A45,'FRS geographical categories'!$A$2:$C$46,3,0)</f>
        <v>Non-metropolitan</v>
      </c>
      <c r="AG45" s="116">
        <f t="shared" si="3"/>
        <v>1.9570498915401302</v>
      </c>
      <c r="AH45" s="116">
        <f t="shared" si="4"/>
        <v>2.0051165434906197</v>
      </c>
    </row>
    <row r="46" spans="1:36" x14ac:dyDescent="0.3">
      <c r="A46" s="58" t="s">
        <v>33</v>
      </c>
      <c r="B46" s="80">
        <v>3582</v>
      </c>
      <c r="C46" s="81">
        <v>739</v>
      </c>
      <c r="D46" s="81">
        <v>1345</v>
      </c>
      <c r="E46" s="82">
        <v>167</v>
      </c>
      <c r="F46" s="80">
        <v>1432</v>
      </c>
      <c r="G46" s="81">
        <v>619</v>
      </c>
      <c r="H46" s="81">
        <v>316</v>
      </c>
      <c r="I46" s="82">
        <v>167</v>
      </c>
      <c r="J46" s="81">
        <v>0</v>
      </c>
      <c r="K46" s="81"/>
      <c r="L46" s="81"/>
      <c r="M46" s="82"/>
      <c r="N46" s="80">
        <v>0</v>
      </c>
      <c r="O46" s="81"/>
      <c r="P46" s="81"/>
      <c r="Q46" s="82"/>
      <c r="R46" s="80">
        <v>7164</v>
      </c>
      <c r="S46" s="81">
        <v>0</v>
      </c>
      <c r="T46" s="81">
        <v>0</v>
      </c>
      <c r="U46" s="81">
        <v>0</v>
      </c>
      <c r="V46" s="81">
        <v>0</v>
      </c>
      <c r="W46" s="81">
        <v>0</v>
      </c>
      <c r="X46" s="80">
        <v>338</v>
      </c>
      <c r="Y46" s="81">
        <v>0</v>
      </c>
      <c r="Z46" s="81">
        <v>0</v>
      </c>
      <c r="AA46" s="81">
        <v>1263</v>
      </c>
      <c r="AB46" s="81">
        <v>0</v>
      </c>
      <c r="AC46" s="82">
        <v>0</v>
      </c>
      <c r="AD46" t="str">
        <f>VLOOKUP(A46,'FRS geographical categories'!$A$2:$C$46,2,0)</f>
        <v>Significantly Rural</v>
      </c>
      <c r="AE46" t="str">
        <f>VLOOKUP(A46,'FRS geographical categories'!$A$2:$C$46,3,0)</f>
        <v>Non-metropolitan</v>
      </c>
      <c r="AG46" s="116">
        <f t="shared" si="3"/>
        <v>2</v>
      </c>
      <c r="AH46" s="116">
        <f t="shared" si="4"/>
        <v>1.1180167597765363</v>
      </c>
    </row>
    <row r="47" spans="1:36" x14ac:dyDescent="0.3">
      <c r="A47" s="58" t="s">
        <v>34</v>
      </c>
      <c r="B47" s="80">
        <v>7694</v>
      </c>
      <c r="C47" s="81">
        <v>891</v>
      </c>
      <c r="D47" s="81">
        <v>4221</v>
      </c>
      <c r="E47" s="82">
        <v>278</v>
      </c>
      <c r="F47" s="80">
        <v>7694</v>
      </c>
      <c r="G47" s="81">
        <v>891</v>
      </c>
      <c r="H47" s="81">
        <v>4221</v>
      </c>
      <c r="I47" s="82">
        <v>278</v>
      </c>
      <c r="J47" s="81">
        <v>0</v>
      </c>
      <c r="K47" s="81">
        <v>0</v>
      </c>
      <c r="L47" s="81">
        <v>0</v>
      </c>
      <c r="M47" s="82">
        <v>0</v>
      </c>
      <c r="N47" s="80">
        <v>0</v>
      </c>
      <c r="O47" s="81">
        <v>0</v>
      </c>
      <c r="P47" s="81">
        <v>0</v>
      </c>
      <c r="Q47" s="82">
        <v>0</v>
      </c>
      <c r="R47" s="80">
        <v>18009</v>
      </c>
      <c r="S47" s="81">
        <v>0</v>
      </c>
      <c r="T47" s="81">
        <v>0</v>
      </c>
      <c r="U47" s="81">
        <v>3382</v>
      </c>
      <c r="V47" s="81">
        <v>0</v>
      </c>
      <c r="W47" s="81">
        <v>0</v>
      </c>
      <c r="X47" s="80">
        <v>18009</v>
      </c>
      <c r="Y47" s="81">
        <v>0</v>
      </c>
      <c r="Z47" s="81">
        <v>0</v>
      </c>
      <c r="AA47" s="81">
        <v>3382</v>
      </c>
      <c r="AB47" s="81">
        <v>0</v>
      </c>
      <c r="AC47" s="82">
        <v>0</v>
      </c>
      <c r="AD47" t="str">
        <f>VLOOKUP(A47,'FRS geographical categories'!$A$2:$C$46,2,0)</f>
        <v>Predominantly Rural</v>
      </c>
      <c r="AE47" t="str">
        <f>VLOOKUP(A47,'FRS geographical categories'!$A$2:$C$46,3,0)</f>
        <v>Non-metropolitan</v>
      </c>
      <c r="AG47" s="116">
        <f t="shared" si="3"/>
        <v>2.7802183519625681</v>
      </c>
      <c r="AH47" s="116">
        <f t="shared" si="4"/>
        <v>2.7802183519625681</v>
      </c>
    </row>
    <row r="48" spans="1:36" x14ac:dyDescent="0.3">
      <c r="A48" s="58" t="s">
        <v>35</v>
      </c>
      <c r="B48" s="80">
        <v>7752</v>
      </c>
      <c r="C48" s="81">
        <v>1439</v>
      </c>
      <c r="D48" s="81">
        <v>2682</v>
      </c>
      <c r="E48" s="82">
        <v>623</v>
      </c>
      <c r="F48" s="80">
        <v>5752</v>
      </c>
      <c r="G48" s="81">
        <v>1198</v>
      </c>
      <c r="H48" s="81">
        <v>2042</v>
      </c>
      <c r="I48" s="82">
        <v>484</v>
      </c>
      <c r="J48" s="81">
        <v>520</v>
      </c>
      <c r="K48" s="81">
        <v>195</v>
      </c>
      <c r="L48" s="81">
        <v>91</v>
      </c>
      <c r="M48" s="82">
        <v>121</v>
      </c>
      <c r="N48" s="80">
        <v>250</v>
      </c>
      <c r="O48" s="81">
        <v>61</v>
      </c>
      <c r="P48" s="81">
        <v>69</v>
      </c>
      <c r="Q48" s="82">
        <v>62</v>
      </c>
      <c r="R48" s="80">
        <v>13256</v>
      </c>
      <c r="S48" s="81">
        <v>0</v>
      </c>
      <c r="T48" s="81">
        <v>49</v>
      </c>
      <c r="U48" s="81">
        <v>1265</v>
      </c>
      <c r="V48" s="81">
        <v>0</v>
      </c>
      <c r="W48" s="81">
        <v>522</v>
      </c>
      <c r="X48" s="80">
        <v>9710</v>
      </c>
      <c r="Y48" s="81">
        <v>0</v>
      </c>
      <c r="Z48" s="81">
        <v>28</v>
      </c>
      <c r="AA48" s="81">
        <v>1009</v>
      </c>
      <c r="AB48" s="81">
        <v>0</v>
      </c>
      <c r="AC48" s="82">
        <v>250</v>
      </c>
      <c r="AD48" t="str">
        <f>VLOOKUP(A48,'FRS geographical categories'!$A$2:$C$46,2,0)</f>
        <v>Predominantly Urban</v>
      </c>
      <c r="AE48" t="str">
        <f>VLOOKUP(A48,'FRS geographical categories'!$A$2:$C$46,3,0)</f>
        <v>Non-metropolitan</v>
      </c>
      <c r="AG48" s="116">
        <f t="shared" si="3"/>
        <v>1.824468085106383</v>
      </c>
      <c r="AH48" s="116">
        <f t="shared" si="4"/>
        <v>1.8322225924691768</v>
      </c>
    </row>
    <row r="49" spans="1:36" x14ac:dyDescent="0.3">
      <c r="A49" s="58" t="s">
        <v>36</v>
      </c>
      <c r="B49" s="80">
        <v>2934</v>
      </c>
      <c r="C49" s="81">
        <v>0</v>
      </c>
      <c r="D49" s="81">
        <v>2071</v>
      </c>
      <c r="E49" s="82">
        <v>0</v>
      </c>
      <c r="F49" s="80">
        <v>2513</v>
      </c>
      <c r="G49" s="81">
        <v>0</v>
      </c>
      <c r="H49" s="81">
        <v>1893</v>
      </c>
      <c r="I49" s="82">
        <v>0</v>
      </c>
      <c r="J49" s="81">
        <v>0</v>
      </c>
      <c r="K49" s="81">
        <v>0</v>
      </c>
      <c r="L49" s="81">
        <v>0</v>
      </c>
      <c r="M49" s="82">
        <v>0</v>
      </c>
      <c r="N49" s="80">
        <v>0</v>
      </c>
      <c r="O49" s="81">
        <v>0</v>
      </c>
      <c r="P49" s="81">
        <v>0</v>
      </c>
      <c r="Q49" s="82">
        <v>0</v>
      </c>
      <c r="R49" s="80">
        <v>7308</v>
      </c>
      <c r="S49" s="81">
        <v>0</v>
      </c>
      <c r="T49" s="81">
        <v>0</v>
      </c>
      <c r="U49" s="81">
        <v>1107</v>
      </c>
      <c r="V49" s="81">
        <v>0</v>
      </c>
      <c r="W49" s="81">
        <v>0</v>
      </c>
      <c r="X49" s="80">
        <v>6240</v>
      </c>
      <c r="Y49" s="81">
        <v>0</v>
      </c>
      <c r="Z49" s="81">
        <v>0</v>
      </c>
      <c r="AA49" s="81">
        <v>980</v>
      </c>
      <c r="AB49" s="81">
        <v>0</v>
      </c>
      <c r="AC49" s="82">
        <v>0</v>
      </c>
      <c r="AD49" t="str">
        <f>VLOOKUP(A49,'FRS geographical categories'!$A$2:$C$46,2,0)</f>
        <v>Predominantly Rural</v>
      </c>
      <c r="AE49" t="str">
        <f>VLOOKUP(A49,'FRS geographical categories'!$A$2:$C$46,3,0)</f>
        <v>Non-metropolitan</v>
      </c>
      <c r="AG49" s="116">
        <f t="shared" si="3"/>
        <v>2.8680981595092025</v>
      </c>
      <c r="AH49" s="116">
        <f t="shared" si="4"/>
        <v>2.8730600875447672</v>
      </c>
    </row>
    <row r="50" spans="1:36" x14ac:dyDescent="0.3">
      <c r="A50" s="58" t="s">
        <v>37</v>
      </c>
      <c r="B50" s="80">
        <v>3815</v>
      </c>
      <c r="C50" s="81">
        <v>827</v>
      </c>
      <c r="D50" s="81">
        <v>2179</v>
      </c>
      <c r="E50" s="82">
        <v>153</v>
      </c>
      <c r="F50" s="80">
        <v>3815</v>
      </c>
      <c r="G50" s="81">
        <v>827</v>
      </c>
      <c r="H50" s="81">
        <v>2179</v>
      </c>
      <c r="I50" s="82">
        <v>153</v>
      </c>
      <c r="J50" s="81">
        <v>768</v>
      </c>
      <c r="K50" s="81"/>
      <c r="L50" s="81"/>
      <c r="M50" s="82"/>
      <c r="N50" s="80"/>
      <c r="O50" s="81"/>
      <c r="P50" s="81"/>
      <c r="Q50" s="82"/>
      <c r="R50" s="80">
        <v>2370</v>
      </c>
      <c r="S50" s="81">
        <v>0</v>
      </c>
      <c r="T50" s="81">
        <v>0</v>
      </c>
      <c r="U50" s="81">
        <v>736</v>
      </c>
      <c r="V50" s="81">
        <v>0</v>
      </c>
      <c r="W50" s="81">
        <v>1894</v>
      </c>
      <c r="X50" s="80">
        <v>2370</v>
      </c>
      <c r="Y50" s="81">
        <v>0</v>
      </c>
      <c r="Z50" s="81">
        <v>0</v>
      </c>
      <c r="AA50" s="81">
        <v>736</v>
      </c>
      <c r="AB50" s="81">
        <v>0</v>
      </c>
      <c r="AC50" s="82">
        <v>1894</v>
      </c>
      <c r="AD50" t="str">
        <f>VLOOKUP(A50,'FRS geographical categories'!$A$2:$C$46,2,0)</f>
        <v>Predominantly Rural</v>
      </c>
      <c r="AE50" t="str">
        <f>VLOOKUP(A50,'FRS geographical categories'!$A$2:$C$46,3,0)</f>
        <v>Non-metropolitan</v>
      </c>
      <c r="AG50" s="116">
        <f t="shared" si="3"/>
        <v>1.0909884355225834</v>
      </c>
      <c r="AH50" s="116">
        <f t="shared" si="4"/>
        <v>1.3106159895150722</v>
      </c>
    </row>
    <row r="51" spans="1:36" x14ac:dyDescent="0.3">
      <c r="A51" s="58" t="s">
        <v>38</v>
      </c>
      <c r="B51" s="80">
        <v>17480</v>
      </c>
      <c r="C51" s="81">
        <v>2596</v>
      </c>
      <c r="D51" s="81">
        <v>6485</v>
      </c>
      <c r="E51" s="82">
        <v>1067</v>
      </c>
      <c r="F51" s="80">
        <v>1227</v>
      </c>
      <c r="G51" s="81">
        <v>402</v>
      </c>
      <c r="H51" s="81">
        <v>822</v>
      </c>
      <c r="I51" s="82">
        <v>2</v>
      </c>
      <c r="J51" s="81">
        <v>28</v>
      </c>
      <c r="K51" s="81">
        <v>0</v>
      </c>
      <c r="L51" s="81">
        <v>5</v>
      </c>
      <c r="M51" s="82">
        <v>4</v>
      </c>
      <c r="N51" s="80">
        <v>0</v>
      </c>
      <c r="O51" s="81">
        <v>0</v>
      </c>
      <c r="P51" s="81">
        <v>0</v>
      </c>
      <c r="Q51" s="82">
        <v>0</v>
      </c>
      <c r="R51" s="80">
        <v>29056</v>
      </c>
      <c r="S51" s="81">
        <v>56</v>
      </c>
      <c r="T51" s="81">
        <v>5786</v>
      </c>
      <c r="U51" s="81">
        <v>0</v>
      </c>
      <c r="V51" s="81">
        <v>0</v>
      </c>
      <c r="W51" s="81">
        <v>0</v>
      </c>
      <c r="X51" s="80">
        <v>1764</v>
      </c>
      <c r="Y51" s="81">
        <v>0</v>
      </c>
      <c r="Z51" s="81">
        <v>674</v>
      </c>
      <c r="AA51" s="81">
        <v>0</v>
      </c>
      <c r="AB51" s="81">
        <v>0</v>
      </c>
      <c r="AC51" s="82">
        <v>0</v>
      </c>
      <c r="AD51" t="str">
        <f>VLOOKUP(A51,'FRS geographical categories'!$A$2:$C$46,2,0)</f>
        <v>Predominantly Urban</v>
      </c>
      <c r="AE51" t="str">
        <f>VLOOKUP(A51,'FRS geographical categories'!$A$2:$C$46,3,0)</f>
        <v>Metropolitan</v>
      </c>
      <c r="AG51" s="116">
        <f t="shared" si="3"/>
        <v>1.9932602238976469</v>
      </c>
      <c r="AH51" s="116">
        <f t="shared" si="4"/>
        <v>1.9869600651996739</v>
      </c>
    </row>
    <row r="52" spans="1:36" x14ac:dyDescent="0.3">
      <c r="A52" s="58" t="s">
        <v>39</v>
      </c>
      <c r="B52" s="80">
        <v>26908</v>
      </c>
      <c r="C52" s="81">
        <v>7541</v>
      </c>
      <c r="D52" s="81">
        <v>8953</v>
      </c>
      <c r="E52" s="82">
        <v>1541</v>
      </c>
      <c r="F52" s="80">
        <v>26908</v>
      </c>
      <c r="G52" s="81">
        <v>7541</v>
      </c>
      <c r="H52" s="81">
        <v>8953</v>
      </c>
      <c r="I52" s="82">
        <v>1541</v>
      </c>
      <c r="J52" s="81">
        <v>1</v>
      </c>
      <c r="K52" s="81">
        <v>0</v>
      </c>
      <c r="L52" s="81">
        <v>0</v>
      </c>
      <c r="M52" s="82">
        <v>1</v>
      </c>
      <c r="N52" s="80">
        <v>1</v>
      </c>
      <c r="O52" s="81">
        <v>0</v>
      </c>
      <c r="P52" s="81">
        <v>0</v>
      </c>
      <c r="Q52" s="82">
        <v>1</v>
      </c>
      <c r="R52" s="80">
        <v>0</v>
      </c>
      <c r="S52" s="81">
        <v>0</v>
      </c>
      <c r="T52" s="81">
        <v>0</v>
      </c>
      <c r="U52" s="81">
        <v>0</v>
      </c>
      <c r="V52" s="81">
        <v>0</v>
      </c>
      <c r="W52" s="81">
        <v>0</v>
      </c>
      <c r="X52" s="80">
        <v>0</v>
      </c>
      <c r="Y52" s="81">
        <v>0</v>
      </c>
      <c r="Z52" s="81">
        <v>0</v>
      </c>
      <c r="AA52" s="81">
        <v>0</v>
      </c>
      <c r="AB52" s="81">
        <v>0</v>
      </c>
      <c r="AC52" s="82">
        <v>0</v>
      </c>
      <c r="AD52" t="str">
        <f>VLOOKUP(A52,'FRS geographical categories'!$A$2:$C$46,2,0)</f>
        <v>Significantly Rural</v>
      </c>
      <c r="AE52" t="str">
        <f>VLOOKUP(A52,'FRS geographical categories'!$A$2:$C$46,3,0)</f>
        <v>Non-metropolitan</v>
      </c>
      <c r="AG52" s="117">
        <f t="shared" si="3"/>
        <v>0</v>
      </c>
      <c r="AH52" s="117">
        <f t="shared" si="4"/>
        <v>0</v>
      </c>
      <c r="AJ52" s="58" t="s">
        <v>152</v>
      </c>
    </row>
    <row r="53" spans="1:36" x14ac:dyDescent="0.3">
      <c r="A53" s="58" t="s">
        <v>40</v>
      </c>
      <c r="B53" s="80">
        <v>2876</v>
      </c>
      <c r="C53" s="81">
        <v>424</v>
      </c>
      <c r="D53" s="81">
        <v>1653</v>
      </c>
      <c r="E53" s="82">
        <v>44</v>
      </c>
      <c r="F53" s="80">
        <v>1190</v>
      </c>
      <c r="G53" s="81">
        <v>312</v>
      </c>
      <c r="H53" s="81">
        <v>860</v>
      </c>
      <c r="I53" s="82">
        <v>18</v>
      </c>
      <c r="J53" s="81">
        <v>94</v>
      </c>
      <c r="K53" s="81"/>
      <c r="L53" s="81"/>
      <c r="M53" s="82"/>
      <c r="N53" s="80">
        <v>0</v>
      </c>
      <c r="O53" s="81">
        <v>0</v>
      </c>
      <c r="P53" s="81">
        <v>0</v>
      </c>
      <c r="Q53" s="82">
        <v>0</v>
      </c>
      <c r="R53" s="80">
        <v>2040</v>
      </c>
      <c r="S53" s="81">
        <v>282</v>
      </c>
      <c r="T53" s="81">
        <v>0</v>
      </c>
      <c r="U53" s="81">
        <v>1190</v>
      </c>
      <c r="V53" s="81">
        <v>0</v>
      </c>
      <c r="W53" s="81"/>
      <c r="X53" s="80">
        <v>0</v>
      </c>
      <c r="Y53" s="81">
        <v>0</v>
      </c>
      <c r="Z53" s="81">
        <v>0</v>
      </c>
      <c r="AA53" s="81">
        <v>1190</v>
      </c>
      <c r="AB53" s="81">
        <v>0</v>
      </c>
      <c r="AC53" s="82">
        <v>0</v>
      </c>
      <c r="AD53" t="str">
        <f>VLOOKUP(A53,'FRS geographical categories'!$A$2:$C$46,2,0)</f>
        <v>Predominantly Rural</v>
      </c>
      <c r="AE53" t="str">
        <f>VLOOKUP(A53,'FRS geographical categories'!$A$2:$C$46,3,0)</f>
        <v>Non-metropolitan</v>
      </c>
      <c r="AG53" s="116">
        <f t="shared" si="3"/>
        <v>1.1824915824915825</v>
      </c>
      <c r="AH53" s="116">
        <f t="shared" si="4"/>
        <v>1</v>
      </c>
    </row>
    <row r="54" spans="1:36" x14ac:dyDescent="0.3">
      <c r="A54" s="58" t="s">
        <v>41</v>
      </c>
      <c r="B54" s="80">
        <v>5045</v>
      </c>
      <c r="C54" s="81">
        <v>2497</v>
      </c>
      <c r="D54" s="81">
        <v>1354</v>
      </c>
      <c r="E54" s="82">
        <v>467</v>
      </c>
      <c r="F54" s="80">
        <v>213</v>
      </c>
      <c r="G54" s="81"/>
      <c r="H54" s="81"/>
      <c r="I54" s="82"/>
      <c r="J54" s="81">
        <v>0</v>
      </c>
      <c r="K54" s="81"/>
      <c r="L54" s="81"/>
      <c r="M54" s="82"/>
      <c r="N54" s="80">
        <v>0</v>
      </c>
      <c r="O54" s="81"/>
      <c r="P54" s="81"/>
      <c r="Q54" s="82"/>
      <c r="R54" s="80">
        <v>7369</v>
      </c>
      <c r="S54" s="81">
        <v>1144</v>
      </c>
      <c r="T54" s="81">
        <v>0</v>
      </c>
      <c r="U54" s="81">
        <v>595</v>
      </c>
      <c r="V54" s="81">
        <v>0</v>
      </c>
      <c r="W54" s="81">
        <v>0</v>
      </c>
      <c r="X54" s="80">
        <v>87</v>
      </c>
      <c r="Y54" s="81"/>
      <c r="Z54" s="81"/>
      <c r="AA54" s="81">
        <v>126</v>
      </c>
      <c r="AB54" s="81"/>
      <c r="AC54" s="82"/>
      <c r="AD54" t="str">
        <f>VLOOKUP(A54,'FRS geographical categories'!$A$2:$C$46,2,0)</f>
        <v>Predominantly Urban</v>
      </c>
      <c r="AE54" t="str">
        <f>VLOOKUP(A54,'FRS geographical categories'!$A$2:$C$46,3,0)</f>
        <v>Non-metropolitan</v>
      </c>
      <c r="AG54" s="116">
        <f t="shared" si="3"/>
        <v>1.8053518334985135</v>
      </c>
      <c r="AH54" s="116">
        <f t="shared" si="4"/>
        <v>1</v>
      </c>
    </row>
    <row r="55" spans="1:36" x14ac:dyDescent="0.3">
      <c r="A55" s="58" t="s">
        <v>42</v>
      </c>
      <c r="B55" s="80">
        <v>26586</v>
      </c>
      <c r="C55" s="81">
        <v>4648</v>
      </c>
      <c r="D55" s="81">
        <v>8479</v>
      </c>
      <c r="E55" s="82">
        <v>1708</v>
      </c>
      <c r="F55" s="80">
        <v>12327</v>
      </c>
      <c r="G55" s="81">
        <v>3939</v>
      </c>
      <c r="H55" s="81">
        <v>4866</v>
      </c>
      <c r="I55" s="82">
        <v>1395</v>
      </c>
      <c r="J55" s="81">
        <v>138</v>
      </c>
      <c r="K55" s="81">
        <v>3</v>
      </c>
      <c r="L55" s="81">
        <v>17</v>
      </c>
      <c r="M55" s="82">
        <v>3</v>
      </c>
      <c r="N55" s="80">
        <v>6749</v>
      </c>
      <c r="O55" s="81">
        <v>1550</v>
      </c>
      <c r="P55" s="81">
        <v>1309</v>
      </c>
      <c r="Q55" s="82">
        <v>1039</v>
      </c>
      <c r="R55" s="80">
        <v>0</v>
      </c>
      <c r="S55" s="81">
        <v>0</v>
      </c>
      <c r="T55" s="81">
        <v>0</v>
      </c>
      <c r="U55" s="81">
        <v>0</v>
      </c>
      <c r="V55" s="81">
        <v>0</v>
      </c>
      <c r="W55" s="81">
        <v>0</v>
      </c>
      <c r="X55" s="80">
        <v>0</v>
      </c>
      <c r="Y55" s="81">
        <v>0</v>
      </c>
      <c r="Z55" s="81">
        <v>0</v>
      </c>
      <c r="AA55" s="81">
        <v>0</v>
      </c>
      <c r="AB55" s="81">
        <v>0</v>
      </c>
      <c r="AC55" s="82">
        <v>0</v>
      </c>
      <c r="AD55" t="str">
        <f>VLOOKUP(A55,'FRS geographical categories'!$A$2:$C$46,2,0)</f>
        <v>Predominantly Urban</v>
      </c>
      <c r="AE55" t="str">
        <f>VLOOKUP(A55,'FRS geographical categories'!$A$2:$C$46,3,0)</f>
        <v>Metropolitan</v>
      </c>
      <c r="AG55" s="117">
        <f t="shared" si="3"/>
        <v>0</v>
      </c>
      <c r="AH55" s="117">
        <f t="shared" si="4"/>
        <v>0</v>
      </c>
      <c r="AJ55" s="58" t="s">
        <v>153</v>
      </c>
    </row>
    <row r="56" spans="1:36" x14ac:dyDescent="0.3">
      <c r="A56" s="58" t="s">
        <v>43</v>
      </c>
      <c r="B56" s="80">
        <v>6208</v>
      </c>
      <c r="C56" s="81">
        <v>876</v>
      </c>
      <c r="D56" s="81">
        <v>1860</v>
      </c>
      <c r="E56" s="82">
        <v>899</v>
      </c>
      <c r="F56" s="80">
        <v>6208</v>
      </c>
      <c r="G56" s="81">
        <v>876</v>
      </c>
      <c r="H56" s="81">
        <v>1860</v>
      </c>
      <c r="I56" s="82">
        <v>899</v>
      </c>
      <c r="J56" s="81"/>
      <c r="K56" s="81"/>
      <c r="L56" s="81"/>
      <c r="M56" s="82"/>
      <c r="N56" s="80"/>
      <c r="O56" s="81"/>
      <c r="P56" s="81"/>
      <c r="Q56" s="82"/>
      <c r="R56" s="80">
        <v>11522</v>
      </c>
      <c r="S56" s="81"/>
      <c r="T56" s="81"/>
      <c r="U56" s="81">
        <v>894</v>
      </c>
      <c r="V56" s="81"/>
      <c r="W56" s="81"/>
      <c r="X56" s="80">
        <v>11522</v>
      </c>
      <c r="Y56" s="81"/>
      <c r="Z56" s="81"/>
      <c r="AA56" s="81">
        <v>894</v>
      </c>
      <c r="AB56" s="81"/>
      <c r="AC56" s="82"/>
      <c r="AD56" t="str">
        <f>VLOOKUP(A56,'FRS geographical categories'!$A$2:$C$46,2,0)</f>
        <v>Significantly Rural</v>
      </c>
      <c r="AE56" t="str">
        <f>VLOOKUP(A56,'FRS geographical categories'!$A$2:$C$46,3,0)</f>
        <v>Non-metropolitan</v>
      </c>
      <c r="AG56" s="116">
        <f t="shared" si="3"/>
        <v>2</v>
      </c>
      <c r="AH56" s="116">
        <f t="shared" si="4"/>
        <v>2</v>
      </c>
    </row>
    <row r="57" spans="1:36" x14ac:dyDescent="0.3">
      <c r="A57" s="58" t="s">
        <v>44</v>
      </c>
      <c r="B57" s="80">
        <v>35429</v>
      </c>
      <c r="C57" s="81">
        <v>12896</v>
      </c>
      <c r="D57" s="81">
        <v>2707</v>
      </c>
      <c r="E57" s="82">
        <v>4959</v>
      </c>
      <c r="F57" s="80">
        <v>35429</v>
      </c>
      <c r="G57" s="81">
        <v>12896</v>
      </c>
      <c r="H57" s="81">
        <v>2707</v>
      </c>
      <c r="I57" s="82">
        <v>4959</v>
      </c>
      <c r="J57" s="81"/>
      <c r="K57" s="81"/>
      <c r="L57" s="81"/>
      <c r="M57" s="82"/>
      <c r="N57" s="80">
        <v>0</v>
      </c>
      <c r="O57" s="81">
        <v>0</v>
      </c>
      <c r="P57" s="81">
        <v>0</v>
      </c>
      <c r="Q57" s="82">
        <v>0</v>
      </c>
      <c r="R57" s="80">
        <v>154707</v>
      </c>
      <c r="S57" s="81"/>
      <c r="T57" s="81"/>
      <c r="U57" s="81"/>
      <c r="V57" s="81"/>
      <c r="W57" s="81"/>
      <c r="X57" s="80">
        <v>154707</v>
      </c>
      <c r="Y57" s="81">
        <v>0</v>
      </c>
      <c r="Z57" s="81">
        <v>0</v>
      </c>
      <c r="AA57" s="81">
        <v>0</v>
      </c>
      <c r="AB57" s="81">
        <v>0</v>
      </c>
      <c r="AC57" s="82">
        <v>0</v>
      </c>
      <c r="AD57" t="str">
        <f>VLOOKUP(A57,'FRS geographical categories'!$A$2:$C$46,2,0)</f>
        <v>Predominantly Urban</v>
      </c>
      <c r="AE57" t="str">
        <f>VLOOKUP(A57,'FRS geographical categories'!$A$2:$C$46,3,0)</f>
        <v>Metropolitan</v>
      </c>
      <c r="AG57" s="116">
        <f t="shared" si="3"/>
        <v>4.3666770160038384</v>
      </c>
      <c r="AH57" s="116">
        <f t="shared" si="4"/>
        <v>4.3666770160038384</v>
      </c>
    </row>
    <row r="58" spans="1:36" x14ac:dyDescent="0.3">
      <c r="A58" s="58" t="s">
        <v>45</v>
      </c>
      <c r="B58" s="80">
        <v>4699</v>
      </c>
      <c r="C58" s="81">
        <v>986</v>
      </c>
      <c r="D58" s="81">
        <v>3103</v>
      </c>
      <c r="E58" s="82">
        <v>610</v>
      </c>
      <c r="F58" s="80">
        <v>4699</v>
      </c>
      <c r="G58" s="81">
        <v>986</v>
      </c>
      <c r="H58" s="81">
        <v>3103</v>
      </c>
      <c r="I58" s="82">
        <v>610</v>
      </c>
      <c r="J58" s="81"/>
      <c r="K58" s="81"/>
      <c r="L58" s="81"/>
      <c r="M58" s="82"/>
      <c r="N58" s="80"/>
      <c r="O58" s="81"/>
      <c r="P58" s="81"/>
      <c r="Q58" s="82"/>
      <c r="R58" s="80">
        <v>5124</v>
      </c>
      <c r="S58" s="81"/>
      <c r="T58" s="81">
        <v>2137</v>
      </c>
      <c r="U58" s="81"/>
      <c r="V58" s="81"/>
      <c r="W58" s="81"/>
      <c r="X58" s="80">
        <v>5124</v>
      </c>
      <c r="Y58" s="81"/>
      <c r="Z58" s="81">
        <v>2137</v>
      </c>
      <c r="AA58" s="81"/>
      <c r="AB58" s="81"/>
      <c r="AC58" s="82"/>
      <c r="AD58" t="str">
        <f>VLOOKUP(A58,'FRS geographical categories'!$A$2:$C$46,2,0)</f>
        <v>Significantly Rural</v>
      </c>
      <c r="AE58" t="str">
        <f>VLOOKUP(A58,'FRS geographical categories'!$A$2:$C$46,3,0)</f>
        <v>Non-metropolitan</v>
      </c>
      <c r="AG58" s="116">
        <f t="shared" si="3"/>
        <v>1.5452223877420728</v>
      </c>
      <c r="AH58" s="116">
        <f t="shared" si="4"/>
        <v>1.5452223877420728</v>
      </c>
    </row>
    <row r="59" spans="1:36" ht="15" thickBot="1" x14ac:dyDescent="0.35">
      <c r="A59" s="58" t="s">
        <v>46</v>
      </c>
      <c r="B59" s="83">
        <v>15528</v>
      </c>
      <c r="C59" s="84">
        <v>3921</v>
      </c>
      <c r="D59" s="84">
        <v>4934</v>
      </c>
      <c r="E59" s="85">
        <v>1314</v>
      </c>
      <c r="F59" s="83">
        <v>15528</v>
      </c>
      <c r="G59" s="84">
        <v>3921</v>
      </c>
      <c r="H59" s="84">
        <v>4934</v>
      </c>
      <c r="I59" s="85">
        <v>1314</v>
      </c>
      <c r="J59" s="84"/>
      <c r="K59" s="84"/>
      <c r="L59" s="84"/>
      <c r="M59" s="85"/>
      <c r="N59" s="83"/>
      <c r="O59" s="84"/>
      <c r="P59" s="84"/>
      <c r="Q59" s="85"/>
      <c r="R59" s="83">
        <v>851</v>
      </c>
      <c r="S59" s="84"/>
      <c r="T59" s="84"/>
      <c r="U59" s="84">
        <v>21</v>
      </c>
      <c r="V59" s="84"/>
      <c r="W59" s="84"/>
      <c r="X59" s="83">
        <v>851</v>
      </c>
      <c r="Y59" s="84"/>
      <c r="Z59" s="84"/>
      <c r="AA59" s="84">
        <v>21</v>
      </c>
      <c r="AB59" s="84"/>
      <c r="AC59" s="85"/>
      <c r="AD59" t="str">
        <f>VLOOKUP(A59,'FRS geographical categories'!$A$2:$C$46,2,0)</f>
        <v>Predominantly Urban</v>
      </c>
      <c r="AE59" t="str">
        <f>VLOOKUP(A59,'FRS geographical categories'!$A$2:$C$46,3,0)</f>
        <v>Metropolitan</v>
      </c>
      <c r="AG59" s="117">
        <f t="shared" si="3"/>
        <v>5.6156620298815046E-2</v>
      </c>
      <c r="AH59" s="117">
        <f t="shared" si="4"/>
        <v>5.6156620298815046E-2</v>
      </c>
      <c r="AJ59" s="58" t="s">
        <v>153</v>
      </c>
    </row>
  </sheetData>
  <autoFilter ref="AG8:AH59" xr:uid="{1E20CC15-3410-4F75-A8CE-52970B31168C}"/>
  <mergeCells count="9">
    <mergeCell ref="B6:I6"/>
    <mergeCell ref="J6:Q6"/>
    <mergeCell ref="R6:AC6"/>
    <mergeCell ref="B7:E7"/>
    <mergeCell ref="F7:I7"/>
    <mergeCell ref="J7:M7"/>
    <mergeCell ref="N7:Q7"/>
    <mergeCell ref="R7:W7"/>
    <mergeCell ref="X7:AC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92B8F-DF41-4AA1-81A7-83A58BB67EE4}">
  <sheetPr codeName="Sheet16"/>
  <dimension ref="A6:AE59"/>
  <sheetViews>
    <sheetView zoomScale="60" zoomScaleNormal="60" workbookViewId="0"/>
  </sheetViews>
  <sheetFormatPr defaultColWidth="8.77734375" defaultRowHeight="14.4" x14ac:dyDescent="0.3"/>
  <cols>
    <col min="1" max="1" width="18.44140625" style="58" bestFit="1" customWidth="1"/>
    <col min="2" max="29" width="8.77734375" style="58"/>
    <col min="30" max="31" width="8.77734375" customWidth="1"/>
    <col min="32" max="16384" width="8.77734375" style="58"/>
  </cols>
  <sheetData>
    <row r="6" spans="1:31" s="56" customFormat="1" ht="20.100000000000001" customHeight="1" thickBot="1" x14ac:dyDescent="0.35">
      <c r="B6" s="192" t="s">
        <v>110</v>
      </c>
      <c r="C6" s="192"/>
      <c r="D6" s="192"/>
      <c r="E6" s="192"/>
      <c r="F6" s="192"/>
      <c r="G6" s="192"/>
      <c r="H6" s="192"/>
      <c r="I6" s="193"/>
      <c r="J6" s="192" t="s">
        <v>111</v>
      </c>
      <c r="K6" s="192"/>
      <c r="L6" s="192"/>
      <c r="M6" s="192"/>
      <c r="N6" s="192"/>
      <c r="O6" s="192"/>
      <c r="P6" s="192"/>
      <c r="Q6" s="192"/>
      <c r="R6" s="194"/>
      <c r="S6" s="192"/>
      <c r="T6" s="192"/>
      <c r="U6" s="192"/>
      <c r="V6" s="192"/>
      <c r="W6" s="192"/>
      <c r="X6" s="192"/>
      <c r="Y6" s="192"/>
      <c r="Z6" s="192"/>
      <c r="AA6" s="192"/>
      <c r="AB6" s="192"/>
      <c r="AC6" s="192"/>
      <c r="AD6"/>
      <c r="AE6"/>
    </row>
    <row r="7" spans="1:31" s="56" customFormat="1" ht="20.100000000000001" customHeight="1" thickBot="1" x14ac:dyDescent="0.35">
      <c r="B7" s="195" t="s">
        <v>97</v>
      </c>
      <c r="C7" s="195"/>
      <c r="D7" s="195"/>
      <c r="E7" s="195"/>
      <c r="F7" s="195" t="s">
        <v>98</v>
      </c>
      <c r="G7" s="195"/>
      <c r="H7" s="195"/>
      <c r="I7" s="195"/>
      <c r="J7" s="195" t="s">
        <v>97</v>
      </c>
      <c r="K7" s="195"/>
      <c r="L7" s="195"/>
      <c r="M7" s="195"/>
      <c r="N7" s="195" t="s">
        <v>98</v>
      </c>
      <c r="O7" s="195"/>
      <c r="P7" s="195"/>
      <c r="Q7" s="195"/>
      <c r="R7" s="196"/>
      <c r="S7" s="197"/>
      <c r="T7" s="197"/>
      <c r="U7" s="197"/>
      <c r="V7" s="197"/>
      <c r="W7" s="197"/>
      <c r="X7" s="197"/>
      <c r="Y7" s="197"/>
      <c r="Z7" s="197"/>
      <c r="AA7" s="197"/>
      <c r="AB7" s="197"/>
      <c r="AC7" s="197"/>
      <c r="AD7"/>
      <c r="AE7"/>
    </row>
    <row r="8" spans="1:31" s="56" customFormat="1" ht="60" customHeight="1" thickBot="1" x14ac:dyDescent="0.35">
      <c r="A8" s="57"/>
      <c r="B8" s="59" t="s">
        <v>99</v>
      </c>
      <c r="C8" s="60" t="s">
        <v>103</v>
      </c>
      <c r="D8" s="60" t="s">
        <v>100</v>
      </c>
      <c r="E8" s="61" t="s">
        <v>101</v>
      </c>
      <c r="F8" s="59" t="s">
        <v>99</v>
      </c>
      <c r="G8" s="60" t="s">
        <v>103</v>
      </c>
      <c r="H8" s="60" t="s">
        <v>100</v>
      </c>
      <c r="I8" s="61" t="s">
        <v>101</v>
      </c>
      <c r="J8" s="59" t="s">
        <v>99</v>
      </c>
      <c r="K8" s="60" t="s">
        <v>103</v>
      </c>
      <c r="L8" s="60" t="s">
        <v>100</v>
      </c>
      <c r="M8" s="61" t="s">
        <v>101</v>
      </c>
      <c r="N8" s="79" t="s">
        <v>99</v>
      </c>
      <c r="O8" s="60" t="s">
        <v>103</v>
      </c>
      <c r="P8" s="60" t="s">
        <v>100</v>
      </c>
      <c r="Q8" s="61" t="s">
        <v>101</v>
      </c>
      <c r="R8" s="62" t="s">
        <v>106</v>
      </c>
      <c r="S8" s="63" t="s">
        <v>105</v>
      </c>
      <c r="T8" s="63" t="s">
        <v>104</v>
      </c>
      <c r="U8" s="63" t="s">
        <v>107</v>
      </c>
      <c r="V8" s="63" t="s">
        <v>108</v>
      </c>
      <c r="W8" s="64" t="s">
        <v>109</v>
      </c>
      <c r="X8" s="68" t="s">
        <v>106</v>
      </c>
      <c r="Y8" s="69" t="s">
        <v>105</v>
      </c>
      <c r="Z8" s="69" t="s">
        <v>104</v>
      </c>
      <c r="AA8" s="69" t="s">
        <v>107</v>
      </c>
      <c r="AB8" s="69" t="s">
        <v>108</v>
      </c>
      <c r="AC8" s="69" t="s">
        <v>109</v>
      </c>
      <c r="AD8"/>
      <c r="AE8"/>
    </row>
    <row r="9" spans="1:31" x14ac:dyDescent="0.3">
      <c r="A9" s="70" t="s">
        <v>0</v>
      </c>
      <c r="B9" s="76">
        <f>SUM(B15:B59)</f>
        <v>581546</v>
      </c>
      <c r="C9" s="77">
        <f t="shared" ref="C9:AC9" si="0">SUM(C15:C59)</f>
        <v>125697</v>
      </c>
      <c r="D9" s="77">
        <f t="shared" si="0"/>
        <v>217066</v>
      </c>
      <c r="E9" s="78">
        <f t="shared" si="0"/>
        <v>41202</v>
      </c>
      <c r="F9" s="76">
        <f t="shared" si="0"/>
        <v>343065</v>
      </c>
      <c r="G9" s="77">
        <f t="shared" si="0"/>
        <v>82894</v>
      </c>
      <c r="H9" s="77">
        <f t="shared" si="0"/>
        <v>135307</v>
      </c>
      <c r="I9" s="78">
        <f t="shared" si="0"/>
        <v>25765</v>
      </c>
      <c r="J9" s="76">
        <f t="shared" si="0"/>
        <v>16110</v>
      </c>
      <c r="K9" s="77">
        <f t="shared" si="0"/>
        <v>3111</v>
      </c>
      <c r="L9" s="77">
        <f t="shared" si="0"/>
        <v>3918</v>
      </c>
      <c r="M9" s="78">
        <f t="shared" si="0"/>
        <v>2077</v>
      </c>
      <c r="N9" s="71">
        <f t="shared" si="0"/>
        <v>3939</v>
      </c>
      <c r="O9" s="71">
        <f t="shared" si="0"/>
        <v>1276</v>
      </c>
      <c r="P9" s="71">
        <f t="shared" si="0"/>
        <v>1192</v>
      </c>
      <c r="Q9" s="71">
        <f t="shared" si="0"/>
        <v>601</v>
      </c>
      <c r="R9" s="90">
        <f t="shared" si="0"/>
        <v>391478.04200000002</v>
      </c>
      <c r="S9" s="91">
        <f t="shared" si="0"/>
        <v>5312</v>
      </c>
      <c r="T9" s="91">
        <f t="shared" si="0"/>
        <v>38455</v>
      </c>
      <c r="U9" s="91">
        <f t="shared" si="0"/>
        <v>25994</v>
      </c>
      <c r="V9" s="91">
        <f t="shared" si="0"/>
        <v>3613</v>
      </c>
      <c r="W9" s="92">
        <f t="shared" si="0"/>
        <v>2007</v>
      </c>
      <c r="X9" s="72">
        <f t="shared" si="0"/>
        <v>323120.04200000002</v>
      </c>
      <c r="Y9" s="73">
        <f t="shared" si="0"/>
        <v>518</v>
      </c>
      <c r="Z9" s="73">
        <f t="shared" si="0"/>
        <v>28746.2</v>
      </c>
      <c r="AA9" s="73">
        <f t="shared" si="0"/>
        <v>15968</v>
      </c>
      <c r="AB9" s="73">
        <f t="shared" si="0"/>
        <v>3024</v>
      </c>
      <c r="AC9" s="74">
        <f t="shared" si="0"/>
        <v>12111</v>
      </c>
    </row>
    <row r="10" spans="1:31" x14ac:dyDescent="0.3">
      <c r="A10" s="75" t="s">
        <v>77</v>
      </c>
      <c r="B10" s="76">
        <f t="shared" ref="B10:Q11" si="1">SUMIF($AE$15:$AE$59,$A10,B$15:B$59)</f>
        <v>327507</v>
      </c>
      <c r="C10" s="77">
        <f t="shared" si="1"/>
        <v>64332</v>
      </c>
      <c r="D10" s="77">
        <f t="shared" si="1"/>
        <v>149404</v>
      </c>
      <c r="E10" s="78">
        <f t="shared" si="1"/>
        <v>19715</v>
      </c>
      <c r="F10" s="76">
        <f t="shared" si="1"/>
        <v>238783</v>
      </c>
      <c r="G10" s="77">
        <f t="shared" si="1"/>
        <v>49134</v>
      </c>
      <c r="H10" s="77">
        <f t="shared" si="1"/>
        <v>113649</v>
      </c>
      <c r="I10" s="78">
        <f t="shared" si="1"/>
        <v>14807</v>
      </c>
      <c r="J10" s="76">
        <f t="shared" si="1"/>
        <v>9422</v>
      </c>
      <c r="K10" s="77">
        <f t="shared" si="1"/>
        <v>2019</v>
      </c>
      <c r="L10" s="77">
        <f t="shared" si="1"/>
        <v>2550</v>
      </c>
      <c r="M10" s="78">
        <f t="shared" si="1"/>
        <v>1036</v>
      </c>
      <c r="N10" s="71">
        <f t="shared" si="1"/>
        <v>3744</v>
      </c>
      <c r="O10" s="71">
        <f t="shared" si="1"/>
        <v>1208</v>
      </c>
      <c r="P10" s="71">
        <f t="shared" si="1"/>
        <v>1113</v>
      </c>
      <c r="Q10" s="71">
        <f t="shared" si="1"/>
        <v>582</v>
      </c>
      <c r="R10" s="76">
        <f t="shared" ref="R10:AC11" si="2">SUMIF($AE$15:$AE$59,$A10,R$15:R$59)</f>
        <v>183924.5</v>
      </c>
      <c r="S10" s="77">
        <f t="shared" si="2"/>
        <v>5139</v>
      </c>
      <c r="T10" s="77">
        <f t="shared" si="2"/>
        <v>35221</v>
      </c>
      <c r="U10" s="77">
        <f t="shared" si="2"/>
        <v>25899</v>
      </c>
      <c r="V10" s="77">
        <f t="shared" si="2"/>
        <v>3561</v>
      </c>
      <c r="W10" s="78">
        <f t="shared" si="2"/>
        <v>2007</v>
      </c>
      <c r="X10" s="76">
        <f t="shared" si="2"/>
        <v>121373.5</v>
      </c>
      <c r="Y10" s="77">
        <f t="shared" si="2"/>
        <v>365</v>
      </c>
      <c r="Z10" s="77">
        <f t="shared" si="2"/>
        <v>25509.200000000001</v>
      </c>
      <c r="AA10" s="77">
        <f t="shared" si="2"/>
        <v>15867</v>
      </c>
      <c r="AB10" s="77">
        <f t="shared" si="2"/>
        <v>2993</v>
      </c>
      <c r="AC10" s="78">
        <f t="shared" si="2"/>
        <v>12111</v>
      </c>
    </row>
    <row r="11" spans="1:31" x14ac:dyDescent="0.3">
      <c r="A11" s="75" t="s">
        <v>49</v>
      </c>
      <c r="B11" s="76">
        <f t="shared" si="1"/>
        <v>254039</v>
      </c>
      <c r="C11" s="77">
        <f t="shared" si="1"/>
        <v>61365</v>
      </c>
      <c r="D11" s="77">
        <f t="shared" si="1"/>
        <v>67662</v>
      </c>
      <c r="E11" s="78">
        <f t="shared" si="1"/>
        <v>21487</v>
      </c>
      <c r="F11" s="76">
        <f t="shared" si="1"/>
        <v>104282</v>
      </c>
      <c r="G11" s="77">
        <f t="shared" si="1"/>
        <v>33760</v>
      </c>
      <c r="H11" s="77">
        <f t="shared" si="1"/>
        <v>21658</v>
      </c>
      <c r="I11" s="78">
        <f t="shared" si="1"/>
        <v>10958</v>
      </c>
      <c r="J11" s="76">
        <f t="shared" si="1"/>
        <v>6688</v>
      </c>
      <c r="K11" s="77">
        <f t="shared" si="1"/>
        <v>1092</v>
      </c>
      <c r="L11" s="77">
        <f t="shared" si="1"/>
        <v>1368</v>
      </c>
      <c r="M11" s="78">
        <f t="shared" si="1"/>
        <v>1041</v>
      </c>
      <c r="N11" s="71">
        <f t="shared" si="1"/>
        <v>195</v>
      </c>
      <c r="O11" s="71">
        <f t="shared" si="1"/>
        <v>68</v>
      </c>
      <c r="P11" s="71">
        <f t="shared" si="1"/>
        <v>79</v>
      </c>
      <c r="Q11" s="71">
        <f t="shared" si="1"/>
        <v>19</v>
      </c>
      <c r="R11" s="76">
        <f t="shared" si="2"/>
        <v>207553.54199999999</v>
      </c>
      <c r="S11" s="77">
        <f t="shared" si="2"/>
        <v>173</v>
      </c>
      <c r="T11" s="77">
        <f t="shared" si="2"/>
        <v>3234</v>
      </c>
      <c r="U11" s="77">
        <f t="shared" si="2"/>
        <v>95</v>
      </c>
      <c r="V11" s="77">
        <f t="shared" si="2"/>
        <v>52</v>
      </c>
      <c r="W11" s="78">
        <f t="shared" si="2"/>
        <v>0</v>
      </c>
      <c r="X11" s="76">
        <f t="shared" si="2"/>
        <v>201746.54199999999</v>
      </c>
      <c r="Y11" s="77">
        <f t="shared" si="2"/>
        <v>153</v>
      </c>
      <c r="Z11" s="77">
        <f t="shared" si="2"/>
        <v>3237</v>
      </c>
      <c r="AA11" s="77">
        <f t="shared" si="2"/>
        <v>101</v>
      </c>
      <c r="AB11" s="77">
        <f t="shared" si="2"/>
        <v>31</v>
      </c>
      <c r="AC11" s="78">
        <f t="shared" si="2"/>
        <v>0</v>
      </c>
    </row>
    <row r="12" spans="1:31" x14ac:dyDescent="0.3">
      <c r="A12" s="75" t="s">
        <v>114</v>
      </c>
      <c r="B12" s="76">
        <f t="shared" ref="B12:Q14" si="3">SUMIF($AD$15:$AD$59,$A12,B$15:B$59)</f>
        <v>325927</v>
      </c>
      <c r="C12" s="77">
        <f t="shared" si="3"/>
        <v>80487</v>
      </c>
      <c r="D12" s="77">
        <f t="shared" si="3"/>
        <v>94825</v>
      </c>
      <c r="E12" s="78">
        <f t="shared" si="3"/>
        <v>27119</v>
      </c>
      <c r="F12" s="76">
        <f t="shared" si="3"/>
        <v>149054</v>
      </c>
      <c r="G12" s="77">
        <f t="shared" si="3"/>
        <v>46585</v>
      </c>
      <c r="H12" s="77">
        <f t="shared" si="3"/>
        <v>39266</v>
      </c>
      <c r="I12" s="78">
        <f t="shared" si="3"/>
        <v>14850</v>
      </c>
      <c r="J12" s="76">
        <f t="shared" si="3"/>
        <v>9268</v>
      </c>
      <c r="K12" s="77">
        <f t="shared" si="3"/>
        <v>1750</v>
      </c>
      <c r="L12" s="77">
        <f t="shared" si="3"/>
        <v>1976</v>
      </c>
      <c r="M12" s="78">
        <f t="shared" si="3"/>
        <v>1358</v>
      </c>
      <c r="N12" s="71">
        <f t="shared" si="3"/>
        <v>204</v>
      </c>
      <c r="O12" s="71">
        <f t="shared" si="3"/>
        <v>69</v>
      </c>
      <c r="P12" s="71">
        <f t="shared" si="3"/>
        <v>82</v>
      </c>
      <c r="Q12" s="71">
        <f t="shared" si="3"/>
        <v>20</v>
      </c>
      <c r="R12" s="76">
        <f t="shared" ref="R12:AC14" si="4">SUMIF($AD$15:$AD$59,$A12,R$15:R$59)</f>
        <v>258699.54199999999</v>
      </c>
      <c r="S12" s="77">
        <f t="shared" si="4"/>
        <v>4589</v>
      </c>
      <c r="T12" s="77">
        <f t="shared" si="4"/>
        <v>5916</v>
      </c>
      <c r="U12" s="77">
        <f t="shared" si="4"/>
        <v>7063</v>
      </c>
      <c r="V12" s="77">
        <f t="shared" si="4"/>
        <v>52</v>
      </c>
      <c r="W12" s="78">
        <f t="shared" si="4"/>
        <v>602</v>
      </c>
      <c r="X12" s="76">
        <f t="shared" si="4"/>
        <v>221672.54199999999</v>
      </c>
      <c r="Y12" s="77">
        <f t="shared" si="4"/>
        <v>162</v>
      </c>
      <c r="Z12" s="77">
        <f t="shared" si="4"/>
        <v>3605</v>
      </c>
      <c r="AA12" s="77">
        <f t="shared" si="4"/>
        <v>3283</v>
      </c>
      <c r="AB12" s="77">
        <f t="shared" si="4"/>
        <v>31</v>
      </c>
      <c r="AC12" s="78">
        <f t="shared" si="4"/>
        <v>11211</v>
      </c>
    </row>
    <row r="13" spans="1:31" x14ac:dyDescent="0.3">
      <c r="A13" s="75" t="s">
        <v>115</v>
      </c>
      <c r="B13" s="76">
        <f t="shared" si="3"/>
        <v>176546</v>
      </c>
      <c r="C13" s="77">
        <f t="shared" si="3"/>
        <v>31152</v>
      </c>
      <c r="D13" s="77">
        <f t="shared" si="3"/>
        <v>92233</v>
      </c>
      <c r="E13" s="78">
        <f t="shared" si="3"/>
        <v>7848</v>
      </c>
      <c r="F13" s="76">
        <f t="shared" si="3"/>
        <v>137836</v>
      </c>
      <c r="G13" s="77">
        <f t="shared" si="3"/>
        <v>26858</v>
      </c>
      <c r="H13" s="77">
        <f t="shared" si="3"/>
        <v>73543</v>
      </c>
      <c r="I13" s="78">
        <f t="shared" si="3"/>
        <v>6374</v>
      </c>
      <c r="J13" s="76">
        <f t="shared" si="3"/>
        <v>4737</v>
      </c>
      <c r="K13" s="77">
        <f t="shared" si="3"/>
        <v>1236</v>
      </c>
      <c r="L13" s="77">
        <f t="shared" si="3"/>
        <v>1589</v>
      </c>
      <c r="M13" s="78">
        <f t="shared" si="3"/>
        <v>688</v>
      </c>
      <c r="N13" s="71">
        <f t="shared" si="3"/>
        <v>3684</v>
      </c>
      <c r="O13" s="71">
        <f t="shared" si="3"/>
        <v>1207</v>
      </c>
      <c r="P13" s="71">
        <f t="shared" si="3"/>
        <v>1060</v>
      </c>
      <c r="Q13" s="71">
        <f t="shared" si="3"/>
        <v>581</v>
      </c>
      <c r="R13" s="76">
        <f t="shared" si="4"/>
        <v>96074.5</v>
      </c>
      <c r="S13" s="77">
        <f t="shared" si="4"/>
        <v>345</v>
      </c>
      <c r="T13" s="77">
        <f t="shared" si="4"/>
        <v>30840</v>
      </c>
      <c r="U13" s="77">
        <f t="shared" si="4"/>
        <v>7585</v>
      </c>
      <c r="V13" s="77">
        <f t="shared" si="4"/>
        <v>3561</v>
      </c>
      <c r="W13" s="78">
        <f t="shared" si="4"/>
        <v>436</v>
      </c>
      <c r="X13" s="76">
        <f t="shared" si="4"/>
        <v>69559.5</v>
      </c>
      <c r="Y13" s="77">
        <f t="shared" si="4"/>
        <v>326</v>
      </c>
      <c r="Z13" s="77">
        <f t="shared" si="4"/>
        <v>23727.200000000001</v>
      </c>
      <c r="AA13" s="77">
        <f t="shared" si="4"/>
        <v>7689</v>
      </c>
      <c r="AB13" s="77">
        <f t="shared" si="4"/>
        <v>2993</v>
      </c>
      <c r="AC13" s="78">
        <f t="shared" si="4"/>
        <v>436</v>
      </c>
    </row>
    <row r="14" spans="1:31" x14ac:dyDescent="0.3">
      <c r="A14" s="75" t="s">
        <v>116</v>
      </c>
      <c r="B14" s="76">
        <f t="shared" si="3"/>
        <v>79073</v>
      </c>
      <c r="C14" s="77">
        <f t="shared" si="3"/>
        <v>14058</v>
      </c>
      <c r="D14" s="77">
        <f t="shared" si="3"/>
        <v>30008</v>
      </c>
      <c r="E14" s="78">
        <f t="shared" si="3"/>
        <v>6235</v>
      </c>
      <c r="F14" s="76">
        <f t="shared" si="3"/>
        <v>56175</v>
      </c>
      <c r="G14" s="77">
        <f t="shared" si="3"/>
        <v>9451</v>
      </c>
      <c r="H14" s="77">
        <f t="shared" si="3"/>
        <v>22498</v>
      </c>
      <c r="I14" s="78">
        <f t="shared" si="3"/>
        <v>4541</v>
      </c>
      <c r="J14" s="76">
        <f t="shared" si="3"/>
        <v>2105</v>
      </c>
      <c r="K14" s="77">
        <f t="shared" si="3"/>
        <v>125</v>
      </c>
      <c r="L14" s="77">
        <f t="shared" si="3"/>
        <v>353</v>
      </c>
      <c r="M14" s="78">
        <f t="shared" si="3"/>
        <v>31</v>
      </c>
      <c r="N14" s="71">
        <f t="shared" si="3"/>
        <v>51</v>
      </c>
      <c r="O14" s="71">
        <f t="shared" si="3"/>
        <v>0</v>
      </c>
      <c r="P14" s="71">
        <f t="shared" si="3"/>
        <v>50</v>
      </c>
      <c r="Q14" s="71">
        <f t="shared" si="3"/>
        <v>0</v>
      </c>
      <c r="R14" s="76">
        <f t="shared" si="4"/>
        <v>36704</v>
      </c>
      <c r="S14" s="77">
        <f t="shared" si="4"/>
        <v>378</v>
      </c>
      <c r="T14" s="77">
        <f t="shared" si="4"/>
        <v>1699</v>
      </c>
      <c r="U14" s="77">
        <f t="shared" si="4"/>
        <v>11346</v>
      </c>
      <c r="V14" s="77">
        <f t="shared" si="4"/>
        <v>0</v>
      </c>
      <c r="W14" s="78">
        <f t="shared" si="4"/>
        <v>969</v>
      </c>
      <c r="X14" s="76">
        <f t="shared" si="4"/>
        <v>31888</v>
      </c>
      <c r="Y14" s="77">
        <f t="shared" si="4"/>
        <v>30</v>
      </c>
      <c r="Z14" s="77">
        <f t="shared" si="4"/>
        <v>1414</v>
      </c>
      <c r="AA14" s="77">
        <f t="shared" si="4"/>
        <v>4996</v>
      </c>
      <c r="AB14" s="77">
        <f t="shared" si="4"/>
        <v>0</v>
      </c>
      <c r="AC14" s="78">
        <f t="shared" si="4"/>
        <v>464</v>
      </c>
    </row>
    <row r="15" spans="1:31" x14ac:dyDescent="0.3">
      <c r="A15" s="58" t="s">
        <v>3</v>
      </c>
      <c r="B15" s="80">
        <v>7741</v>
      </c>
      <c r="C15" s="81">
        <v>2360</v>
      </c>
      <c r="D15" s="81">
        <v>2208</v>
      </c>
      <c r="E15" s="82">
        <v>517</v>
      </c>
      <c r="F15" s="80">
        <v>0</v>
      </c>
      <c r="G15" s="81">
        <v>0</v>
      </c>
      <c r="H15" s="81">
        <v>0</v>
      </c>
      <c r="I15" s="82">
        <v>0</v>
      </c>
      <c r="J15" s="80">
        <v>239</v>
      </c>
      <c r="K15" s="81">
        <v>46</v>
      </c>
      <c r="L15" s="81">
        <v>31</v>
      </c>
      <c r="M15" s="82">
        <v>49</v>
      </c>
      <c r="N15" s="81">
        <v>0</v>
      </c>
      <c r="O15" s="81">
        <v>0</v>
      </c>
      <c r="P15" s="81">
        <v>0</v>
      </c>
      <c r="Q15" s="81">
        <v>0</v>
      </c>
      <c r="R15" s="80" t="s">
        <v>112</v>
      </c>
      <c r="S15" s="81" t="s">
        <v>112</v>
      </c>
      <c r="T15" s="81" t="s">
        <v>112</v>
      </c>
      <c r="U15" s="81" t="s">
        <v>112</v>
      </c>
      <c r="V15" s="81" t="s">
        <v>112</v>
      </c>
      <c r="W15" s="82" t="s">
        <v>112</v>
      </c>
      <c r="X15" s="80" t="s">
        <v>112</v>
      </c>
      <c r="Y15" s="81" t="s">
        <v>112</v>
      </c>
      <c r="Z15" s="81" t="s">
        <v>112</v>
      </c>
      <c r="AA15" s="81" t="s">
        <v>112</v>
      </c>
      <c r="AB15" s="81" t="s">
        <v>112</v>
      </c>
      <c r="AC15" s="82" t="s">
        <v>112</v>
      </c>
      <c r="AD15" t="str">
        <f>VLOOKUP(A15,'FRS geographical categories'!$A$2:$C$46,2,0)</f>
        <v>Predominantly Urban</v>
      </c>
      <c r="AE15" t="str">
        <f>VLOOKUP(A15,'FRS geographical categories'!$A$2:$C$46,3,0)</f>
        <v>Non-metropolitan</v>
      </c>
    </row>
    <row r="16" spans="1:31" x14ac:dyDescent="0.3">
      <c r="A16" s="58" t="s">
        <v>4</v>
      </c>
      <c r="B16" s="80">
        <v>5028</v>
      </c>
      <c r="C16" s="81">
        <v>360</v>
      </c>
      <c r="D16" s="81">
        <v>1973</v>
      </c>
      <c r="E16" s="82">
        <v>94</v>
      </c>
      <c r="F16" s="80">
        <v>1576</v>
      </c>
      <c r="G16" s="81">
        <v>244</v>
      </c>
      <c r="H16" s="81">
        <v>850</v>
      </c>
      <c r="I16" s="82">
        <v>30</v>
      </c>
      <c r="J16" s="80">
        <v>563</v>
      </c>
      <c r="K16" s="81">
        <v>0</v>
      </c>
      <c r="L16" s="81">
        <v>484</v>
      </c>
      <c r="M16" s="82">
        <v>0</v>
      </c>
      <c r="N16" s="81">
        <v>0</v>
      </c>
      <c r="O16" s="81">
        <v>0</v>
      </c>
      <c r="P16" s="81">
        <v>0</v>
      </c>
      <c r="Q16" s="82">
        <v>0</v>
      </c>
      <c r="R16" s="80">
        <v>10428</v>
      </c>
      <c r="S16" s="81" t="s">
        <v>112</v>
      </c>
      <c r="T16" s="81" t="s">
        <v>112</v>
      </c>
      <c r="U16" s="81">
        <v>1401</v>
      </c>
      <c r="V16" s="81">
        <v>563</v>
      </c>
      <c r="W16" s="81" t="s">
        <v>62</v>
      </c>
      <c r="X16" s="80">
        <v>3190</v>
      </c>
      <c r="Y16" s="81" t="s">
        <v>112</v>
      </c>
      <c r="Z16" s="81" t="s">
        <v>112</v>
      </c>
      <c r="AA16" s="81">
        <v>380</v>
      </c>
      <c r="AB16" s="81">
        <v>0</v>
      </c>
      <c r="AC16" s="82" t="s">
        <v>62</v>
      </c>
      <c r="AD16" t="str">
        <f>VLOOKUP(A16,'FRS geographical categories'!$A$2:$C$46,2,0)</f>
        <v>Significantly Rural</v>
      </c>
      <c r="AE16" t="str">
        <f>VLOOKUP(A16,'FRS geographical categories'!$A$2:$C$46,3,0)</f>
        <v>Non-metropolitan</v>
      </c>
    </row>
    <row r="17" spans="1:31" x14ac:dyDescent="0.3">
      <c r="A17" s="58" t="s">
        <v>5</v>
      </c>
      <c r="B17" s="80">
        <v>11243</v>
      </c>
      <c r="C17" s="81">
        <v>1602</v>
      </c>
      <c r="D17" s="81">
        <v>7285</v>
      </c>
      <c r="E17" s="82">
        <v>452</v>
      </c>
      <c r="F17" s="80">
        <v>11243</v>
      </c>
      <c r="G17" s="81">
        <v>1602</v>
      </c>
      <c r="H17" s="81">
        <v>7285</v>
      </c>
      <c r="I17" s="82">
        <v>452</v>
      </c>
      <c r="J17" s="80">
        <v>0</v>
      </c>
      <c r="K17" s="81">
        <v>0</v>
      </c>
      <c r="L17" s="81">
        <v>0</v>
      </c>
      <c r="M17" s="82">
        <v>0</v>
      </c>
      <c r="N17" s="81">
        <v>0</v>
      </c>
      <c r="O17" s="81">
        <v>0</v>
      </c>
      <c r="P17" s="81">
        <v>0</v>
      </c>
      <c r="Q17" s="82">
        <v>0</v>
      </c>
      <c r="R17" s="80">
        <v>451</v>
      </c>
      <c r="S17" s="81">
        <v>5</v>
      </c>
      <c r="T17" s="81">
        <v>0</v>
      </c>
      <c r="U17" s="81">
        <v>6</v>
      </c>
      <c r="V17" s="81">
        <v>0</v>
      </c>
      <c r="W17" s="81">
        <v>0</v>
      </c>
      <c r="X17" s="80">
        <v>451</v>
      </c>
      <c r="Y17" s="81">
        <v>5</v>
      </c>
      <c r="Z17" s="81">
        <v>0</v>
      </c>
      <c r="AA17" s="81">
        <v>6</v>
      </c>
      <c r="AB17" s="81">
        <v>0</v>
      </c>
      <c r="AC17" s="82">
        <v>0</v>
      </c>
      <c r="AD17" t="str">
        <f>VLOOKUP(A17,'FRS geographical categories'!$A$2:$C$46,2,0)</f>
        <v>Predominantly Urban</v>
      </c>
      <c r="AE17" t="str">
        <f>VLOOKUP(A17,'FRS geographical categories'!$A$2:$C$46,3,0)</f>
        <v>Non-metropolitan</v>
      </c>
    </row>
    <row r="18" spans="1:31" x14ac:dyDescent="0.3">
      <c r="A18" s="58" t="s">
        <v>6</v>
      </c>
      <c r="B18" s="80">
        <v>1892</v>
      </c>
      <c r="C18" s="81">
        <v>175</v>
      </c>
      <c r="D18" s="81">
        <v>513</v>
      </c>
      <c r="E18" s="82">
        <v>325</v>
      </c>
      <c r="F18" s="80">
        <v>245</v>
      </c>
      <c r="G18" s="81">
        <v>62</v>
      </c>
      <c r="H18" s="81">
        <v>82</v>
      </c>
      <c r="I18" s="82">
        <v>60</v>
      </c>
      <c r="J18" s="81">
        <v>0</v>
      </c>
      <c r="K18" s="81">
        <v>0</v>
      </c>
      <c r="L18" s="81">
        <v>0</v>
      </c>
      <c r="M18" s="82">
        <v>0</v>
      </c>
      <c r="N18" s="80">
        <v>0</v>
      </c>
      <c r="O18" s="81">
        <v>0</v>
      </c>
      <c r="P18" s="81">
        <v>0</v>
      </c>
      <c r="Q18" s="82">
        <v>0</v>
      </c>
      <c r="R18" s="80">
        <v>180</v>
      </c>
      <c r="S18" s="81">
        <v>0</v>
      </c>
      <c r="T18" s="81">
        <v>0</v>
      </c>
      <c r="U18" s="81">
        <v>3</v>
      </c>
      <c r="V18" s="81">
        <v>0</v>
      </c>
      <c r="W18" s="81">
        <v>0</v>
      </c>
      <c r="X18" s="80">
        <v>53</v>
      </c>
      <c r="Y18" s="81">
        <v>0</v>
      </c>
      <c r="Z18" s="81">
        <v>0</v>
      </c>
      <c r="AA18" s="81">
        <v>2</v>
      </c>
      <c r="AB18" s="81">
        <v>0</v>
      </c>
      <c r="AC18" s="82">
        <v>0</v>
      </c>
      <c r="AD18" t="str">
        <f>VLOOKUP(A18,'FRS geographical categories'!$A$2:$C$46,2,0)</f>
        <v>Significantly Rural</v>
      </c>
      <c r="AE18" t="str">
        <f>VLOOKUP(A18,'FRS geographical categories'!$A$2:$C$46,3,0)</f>
        <v>Non-metropolitan</v>
      </c>
    </row>
    <row r="19" spans="1:31" x14ac:dyDescent="0.3">
      <c r="A19" s="58" t="s">
        <v>7</v>
      </c>
      <c r="B19" s="80">
        <v>4821</v>
      </c>
      <c r="C19" s="81">
        <v>1928</v>
      </c>
      <c r="D19" s="81">
        <v>2189</v>
      </c>
      <c r="E19" s="82">
        <v>289</v>
      </c>
      <c r="F19" s="80">
        <v>4821</v>
      </c>
      <c r="G19" s="81">
        <v>1928</v>
      </c>
      <c r="H19" s="81">
        <v>2189</v>
      </c>
      <c r="I19" s="82">
        <v>289</v>
      </c>
      <c r="J19" s="81">
        <v>635</v>
      </c>
      <c r="K19" s="81">
        <v>125</v>
      </c>
      <c r="L19" s="81">
        <v>303</v>
      </c>
      <c r="M19" s="82">
        <v>31</v>
      </c>
      <c r="N19" s="80">
        <v>0</v>
      </c>
      <c r="O19" s="81">
        <v>0</v>
      </c>
      <c r="P19" s="81">
        <v>0</v>
      </c>
      <c r="Q19" s="82">
        <v>0</v>
      </c>
      <c r="R19" s="80">
        <v>0</v>
      </c>
      <c r="S19" s="81">
        <v>0</v>
      </c>
      <c r="T19" s="81">
        <v>0</v>
      </c>
      <c r="U19" s="81">
        <v>0</v>
      </c>
      <c r="V19" s="81">
        <v>0</v>
      </c>
      <c r="W19" s="81">
        <v>635</v>
      </c>
      <c r="X19" s="80">
        <v>2441</v>
      </c>
      <c r="Y19" s="81">
        <v>0</v>
      </c>
      <c r="Z19" s="81">
        <v>0</v>
      </c>
      <c r="AA19" s="81">
        <v>2380</v>
      </c>
      <c r="AB19" s="81">
        <v>0</v>
      </c>
      <c r="AC19" s="82">
        <v>0</v>
      </c>
      <c r="AD19" t="str">
        <f>VLOOKUP(A19,'FRS geographical categories'!$A$2:$C$46,2,0)</f>
        <v>Predominantly Rural</v>
      </c>
      <c r="AE19" t="str">
        <f>VLOOKUP(A19,'FRS geographical categories'!$A$2:$C$46,3,0)</f>
        <v>Non-metropolitan</v>
      </c>
    </row>
    <row r="20" spans="1:31" x14ac:dyDescent="0.3">
      <c r="A20" s="58" t="s">
        <v>8</v>
      </c>
      <c r="B20" s="80">
        <v>42482</v>
      </c>
      <c r="C20" s="81">
        <v>1347</v>
      </c>
      <c r="D20" s="81">
        <v>35454</v>
      </c>
      <c r="E20" s="82">
        <v>234</v>
      </c>
      <c r="F20" s="80">
        <v>29575</v>
      </c>
      <c r="G20" s="81">
        <v>972</v>
      </c>
      <c r="H20" s="81">
        <v>28603</v>
      </c>
      <c r="I20" s="82">
        <v>0</v>
      </c>
      <c r="J20" s="81">
        <v>0</v>
      </c>
      <c r="K20" s="81">
        <v>0</v>
      </c>
      <c r="L20" s="81">
        <v>0</v>
      </c>
      <c r="M20" s="82">
        <v>0</v>
      </c>
      <c r="N20" s="80">
        <v>0</v>
      </c>
      <c r="O20" s="81">
        <v>0</v>
      </c>
      <c r="P20" s="81">
        <v>0</v>
      </c>
      <c r="Q20" s="82">
        <v>0</v>
      </c>
      <c r="R20" s="80">
        <v>33332</v>
      </c>
      <c r="S20" s="81"/>
      <c r="T20" s="81">
        <v>24818</v>
      </c>
      <c r="U20" s="81"/>
      <c r="V20" s="81"/>
      <c r="W20" s="81"/>
      <c r="X20" s="80">
        <v>23066</v>
      </c>
      <c r="Y20" s="81"/>
      <c r="Z20" s="81">
        <v>17677</v>
      </c>
      <c r="AA20" s="81"/>
      <c r="AB20" s="81"/>
      <c r="AC20" s="82"/>
      <c r="AD20" t="str">
        <f>VLOOKUP(A20,'FRS geographical categories'!$A$2:$C$46,2,0)</f>
        <v>Significantly Rural</v>
      </c>
      <c r="AE20" t="str">
        <f>VLOOKUP(A20,'FRS geographical categories'!$A$2:$C$46,3,0)</f>
        <v>Non-metropolitan</v>
      </c>
    </row>
    <row r="21" spans="1:31" x14ac:dyDescent="0.3">
      <c r="A21" s="58" t="s">
        <v>9</v>
      </c>
      <c r="B21" s="80">
        <v>16346</v>
      </c>
      <c r="C21" s="81">
        <v>2484</v>
      </c>
      <c r="D21" s="81">
        <v>5988</v>
      </c>
      <c r="E21" s="82">
        <v>874</v>
      </c>
      <c r="F21" s="80">
        <v>2930</v>
      </c>
      <c r="G21" s="81">
        <v>704</v>
      </c>
      <c r="H21" s="81">
        <v>412</v>
      </c>
      <c r="I21" s="82">
        <v>143</v>
      </c>
      <c r="J21" s="81">
        <v>1817</v>
      </c>
      <c r="K21" s="81">
        <v>462</v>
      </c>
      <c r="L21" s="81">
        <v>412</v>
      </c>
      <c r="M21" s="82">
        <v>143</v>
      </c>
      <c r="N21" s="80">
        <v>2</v>
      </c>
      <c r="O21" s="81">
        <v>0</v>
      </c>
      <c r="P21" s="81">
        <v>2</v>
      </c>
      <c r="Q21" s="82">
        <v>0</v>
      </c>
      <c r="R21" s="80">
        <v>26572</v>
      </c>
      <c r="S21" s="81">
        <v>3634</v>
      </c>
      <c r="T21" s="81">
        <v>2682</v>
      </c>
      <c r="U21" s="81">
        <v>3438</v>
      </c>
      <c r="V21" s="81">
        <v>0</v>
      </c>
      <c r="W21" s="81">
        <v>0</v>
      </c>
      <c r="X21" s="80">
        <v>5860</v>
      </c>
      <c r="Y21" s="81">
        <v>4</v>
      </c>
      <c r="Z21" s="81">
        <v>316</v>
      </c>
      <c r="AA21" s="81">
        <v>460</v>
      </c>
      <c r="AB21" s="81">
        <v>0</v>
      </c>
      <c r="AC21" s="82">
        <v>0</v>
      </c>
      <c r="AD21" t="str">
        <f>VLOOKUP(A21,'FRS geographical categories'!$A$2:$C$46,2,0)</f>
        <v>Predominantly Urban</v>
      </c>
      <c r="AE21" t="str">
        <f>VLOOKUP(A21,'FRS geographical categories'!$A$2:$C$46,3,0)</f>
        <v>Non-metropolitan</v>
      </c>
    </row>
    <row r="22" spans="1:31" x14ac:dyDescent="0.3">
      <c r="A22" s="58" t="s">
        <v>10</v>
      </c>
      <c r="B22" s="80">
        <v>5548</v>
      </c>
      <c r="C22" s="81">
        <v>533</v>
      </c>
      <c r="D22" s="81">
        <v>480</v>
      </c>
      <c r="E22" s="82">
        <v>663</v>
      </c>
      <c r="F22" s="80">
        <v>0</v>
      </c>
      <c r="G22" s="81">
        <v>0</v>
      </c>
      <c r="H22" s="81">
        <v>0</v>
      </c>
      <c r="I22" s="82">
        <v>0</v>
      </c>
      <c r="J22" s="81">
        <v>747</v>
      </c>
      <c r="K22" s="81">
        <v>0</v>
      </c>
      <c r="L22" s="81">
        <v>0</v>
      </c>
      <c r="M22" s="82">
        <v>0</v>
      </c>
      <c r="N22" s="80">
        <v>0</v>
      </c>
      <c r="O22" s="81">
        <v>0</v>
      </c>
      <c r="P22" s="81">
        <v>0</v>
      </c>
      <c r="Q22" s="82">
        <v>0</v>
      </c>
      <c r="R22" s="80">
        <v>98</v>
      </c>
      <c r="S22" s="81">
        <v>1</v>
      </c>
      <c r="T22" s="81">
        <v>0</v>
      </c>
      <c r="U22" s="81">
        <v>6</v>
      </c>
      <c r="V22" s="81">
        <v>0</v>
      </c>
      <c r="W22" s="81">
        <v>3</v>
      </c>
      <c r="X22" s="80">
        <v>0</v>
      </c>
      <c r="Y22" s="81">
        <v>0</v>
      </c>
      <c r="Z22" s="81">
        <v>0</v>
      </c>
      <c r="AA22" s="81">
        <v>0</v>
      </c>
      <c r="AB22" s="81">
        <v>0</v>
      </c>
      <c r="AC22" s="82">
        <v>0</v>
      </c>
      <c r="AD22" t="str">
        <f>VLOOKUP(A22,'FRS geographical categories'!$A$2:$C$46,2,0)</f>
        <v>Predominantly Rural</v>
      </c>
      <c r="AE22" t="str">
        <f>VLOOKUP(A22,'FRS geographical categories'!$A$2:$C$46,3,0)</f>
        <v>Non-metropolitan</v>
      </c>
    </row>
    <row r="23" spans="1:31" x14ac:dyDescent="0.3">
      <c r="A23" s="58" t="s">
        <v>11</v>
      </c>
      <c r="B23" s="80">
        <v>10035</v>
      </c>
      <c r="C23" s="81">
        <v>1337</v>
      </c>
      <c r="D23" s="81">
        <v>3618</v>
      </c>
      <c r="E23" s="82">
        <v>1772</v>
      </c>
      <c r="F23" s="80">
        <v>10035</v>
      </c>
      <c r="G23" s="81">
        <v>1337</v>
      </c>
      <c r="H23" s="81">
        <v>3618</v>
      </c>
      <c r="I23" s="82">
        <v>1772</v>
      </c>
      <c r="J23" s="81">
        <v>0</v>
      </c>
      <c r="K23" s="81">
        <v>0</v>
      </c>
      <c r="L23" s="81">
        <v>0</v>
      </c>
      <c r="M23" s="82">
        <v>0</v>
      </c>
      <c r="N23" s="80">
        <v>0</v>
      </c>
      <c r="O23" s="81">
        <v>0</v>
      </c>
      <c r="P23" s="81">
        <v>0</v>
      </c>
      <c r="Q23" s="82">
        <v>0</v>
      </c>
      <c r="R23" s="80">
        <v>15828</v>
      </c>
      <c r="S23" s="81">
        <v>26</v>
      </c>
      <c r="T23" s="81">
        <v>1202</v>
      </c>
      <c r="U23" s="81">
        <v>766</v>
      </c>
      <c r="V23" s="81">
        <v>0</v>
      </c>
      <c r="W23" s="81">
        <v>280</v>
      </c>
      <c r="X23" s="80">
        <v>15828</v>
      </c>
      <c r="Y23" s="81">
        <v>26</v>
      </c>
      <c r="Z23" s="81">
        <v>1202</v>
      </c>
      <c r="AA23" s="81">
        <v>766</v>
      </c>
      <c r="AB23" s="81">
        <v>0</v>
      </c>
      <c r="AC23" s="82">
        <v>280</v>
      </c>
      <c r="AD23" t="str">
        <f>VLOOKUP(A23,'FRS geographical categories'!$A$2:$C$46,2,0)</f>
        <v>Predominantly Rural</v>
      </c>
      <c r="AE23" t="str">
        <f>VLOOKUP(A23,'FRS geographical categories'!$A$2:$C$46,3,0)</f>
        <v>Non-metropolitan</v>
      </c>
    </row>
    <row r="24" spans="1:31" x14ac:dyDescent="0.3">
      <c r="A24" s="58" t="s">
        <v>12</v>
      </c>
      <c r="B24" s="80">
        <v>11154</v>
      </c>
      <c r="C24" s="81">
        <v>2937</v>
      </c>
      <c r="D24" s="81">
        <v>5599</v>
      </c>
      <c r="E24" s="82">
        <v>1060</v>
      </c>
      <c r="F24" s="80">
        <v>11154</v>
      </c>
      <c r="G24" s="81">
        <v>2937</v>
      </c>
      <c r="H24" s="81">
        <v>5599</v>
      </c>
      <c r="I24" s="82">
        <v>1060</v>
      </c>
      <c r="J24" s="81">
        <v>2989</v>
      </c>
      <c r="K24" s="81">
        <v>1047</v>
      </c>
      <c r="L24" s="81">
        <v>636</v>
      </c>
      <c r="M24" s="82">
        <v>539</v>
      </c>
      <c r="N24" s="80">
        <v>2989</v>
      </c>
      <c r="O24" s="81">
        <v>1047</v>
      </c>
      <c r="P24" s="81">
        <v>636</v>
      </c>
      <c r="Q24" s="82">
        <v>539</v>
      </c>
      <c r="R24" s="80">
        <v>13043</v>
      </c>
      <c r="S24" s="81">
        <v>1</v>
      </c>
      <c r="T24" s="81">
        <v>3005</v>
      </c>
      <c r="U24" s="81">
        <v>64</v>
      </c>
      <c r="V24" s="81">
        <v>2992</v>
      </c>
      <c r="W24" s="81">
        <v>0</v>
      </c>
      <c r="X24" s="80">
        <v>13043</v>
      </c>
      <c r="Y24" s="81">
        <v>1</v>
      </c>
      <c r="Z24" s="81">
        <v>3005</v>
      </c>
      <c r="AA24" s="81">
        <v>64</v>
      </c>
      <c r="AB24" s="81">
        <v>2992</v>
      </c>
      <c r="AC24" s="82">
        <v>0</v>
      </c>
      <c r="AD24" t="str">
        <f>VLOOKUP(A24,'FRS geographical categories'!$A$2:$C$46,2,0)</f>
        <v>Significantly Rural</v>
      </c>
      <c r="AE24" t="str">
        <f>VLOOKUP(A24,'FRS geographical categories'!$A$2:$C$46,3,0)</f>
        <v>Non-metropolitan</v>
      </c>
    </row>
    <row r="25" spans="1:31" x14ac:dyDescent="0.3">
      <c r="A25" s="58" t="s">
        <v>13</v>
      </c>
      <c r="B25" s="80">
        <v>9827</v>
      </c>
      <c r="C25" s="81">
        <v>3895</v>
      </c>
      <c r="D25" s="81">
        <v>3168</v>
      </c>
      <c r="E25" s="82">
        <v>770</v>
      </c>
      <c r="F25" s="80">
        <v>0</v>
      </c>
      <c r="G25" s="81">
        <v>0</v>
      </c>
      <c r="H25" s="81">
        <v>0</v>
      </c>
      <c r="I25" s="82">
        <v>0</v>
      </c>
      <c r="J25" s="81">
        <v>0</v>
      </c>
      <c r="K25" s="81">
        <v>0</v>
      </c>
      <c r="L25" s="81">
        <v>0</v>
      </c>
      <c r="M25" s="82">
        <v>0</v>
      </c>
      <c r="N25" s="80">
        <v>0</v>
      </c>
      <c r="O25" s="81">
        <v>0</v>
      </c>
      <c r="P25" s="81">
        <v>0</v>
      </c>
      <c r="Q25" s="82">
        <v>0</v>
      </c>
      <c r="R25" s="80">
        <v>403</v>
      </c>
      <c r="S25" s="81">
        <v>0</v>
      </c>
      <c r="T25" s="81">
        <v>0</v>
      </c>
      <c r="U25" s="81">
        <v>9250</v>
      </c>
      <c r="V25" s="81">
        <v>0</v>
      </c>
      <c r="W25" s="81">
        <v>0</v>
      </c>
      <c r="X25" s="80" t="s">
        <v>62</v>
      </c>
      <c r="Y25" s="81" t="s">
        <v>62</v>
      </c>
      <c r="Z25" s="81" t="s">
        <v>62</v>
      </c>
      <c r="AA25" s="81" t="s">
        <v>62</v>
      </c>
      <c r="AB25" s="81" t="s">
        <v>62</v>
      </c>
      <c r="AC25" s="81" t="s">
        <v>62</v>
      </c>
      <c r="AD25" t="str">
        <f>VLOOKUP(A25,'FRS geographical categories'!$A$2:$C$46,2,0)</f>
        <v>Predominantly Rural</v>
      </c>
      <c r="AE25" t="str">
        <f>VLOOKUP(A25,'FRS geographical categories'!$A$2:$C$46,3,0)</f>
        <v>Non-metropolitan</v>
      </c>
    </row>
    <row r="26" spans="1:31" x14ac:dyDescent="0.3">
      <c r="A26" s="58" t="s">
        <v>74</v>
      </c>
      <c r="B26" s="80">
        <v>11218</v>
      </c>
      <c r="C26" s="81">
        <v>0</v>
      </c>
      <c r="D26" s="81">
        <v>8166</v>
      </c>
      <c r="E26" s="82">
        <v>0</v>
      </c>
      <c r="F26" s="80">
        <v>11218</v>
      </c>
      <c r="G26" s="81">
        <v>0</v>
      </c>
      <c r="H26" s="81">
        <v>8166</v>
      </c>
      <c r="I26" s="82">
        <v>0</v>
      </c>
      <c r="J26" s="81">
        <v>436</v>
      </c>
      <c r="K26" s="81">
        <v>0</v>
      </c>
      <c r="L26" s="81">
        <v>384</v>
      </c>
      <c r="M26" s="82">
        <v>0</v>
      </c>
      <c r="N26" s="80">
        <v>436</v>
      </c>
      <c r="O26" s="81">
        <v>0</v>
      </c>
      <c r="P26" s="81">
        <v>384</v>
      </c>
      <c r="Q26" s="82">
        <v>0</v>
      </c>
      <c r="R26" s="80">
        <v>11952</v>
      </c>
      <c r="S26" s="81">
        <v>1</v>
      </c>
      <c r="T26" s="81">
        <v>0</v>
      </c>
      <c r="U26" s="81">
        <v>5242</v>
      </c>
      <c r="V26" s="81">
        <v>0</v>
      </c>
      <c r="W26" s="81">
        <v>435</v>
      </c>
      <c r="X26" s="80">
        <v>11952</v>
      </c>
      <c r="Y26" s="81">
        <v>1</v>
      </c>
      <c r="Z26" s="81">
        <v>0</v>
      </c>
      <c r="AA26" s="81">
        <v>5242</v>
      </c>
      <c r="AB26" s="81">
        <v>0</v>
      </c>
      <c r="AC26" s="82">
        <v>435</v>
      </c>
      <c r="AD26" t="str">
        <f>VLOOKUP(A26,'FRS geographical categories'!$A$2:$C$46,2,0)</f>
        <v>Significantly Rural</v>
      </c>
      <c r="AE26" t="str">
        <f>VLOOKUP(A26,'FRS geographical categories'!$A$2:$C$46,3,0)</f>
        <v>Non-metropolitan</v>
      </c>
    </row>
    <row r="27" spans="1:31" x14ac:dyDescent="0.3">
      <c r="A27" s="58" t="s">
        <v>14</v>
      </c>
      <c r="B27" s="80">
        <v>20143</v>
      </c>
      <c r="C27" s="81">
        <v>848</v>
      </c>
      <c r="D27" s="81">
        <v>6459</v>
      </c>
      <c r="E27" s="82">
        <v>609</v>
      </c>
      <c r="F27" s="80">
        <v>20143</v>
      </c>
      <c r="G27" s="81">
        <v>848</v>
      </c>
      <c r="H27" s="81">
        <v>6459</v>
      </c>
      <c r="I27" s="82">
        <v>609</v>
      </c>
      <c r="J27" s="81">
        <v>0</v>
      </c>
      <c r="K27" s="81">
        <v>0</v>
      </c>
      <c r="L27" s="81">
        <v>0</v>
      </c>
      <c r="M27" s="82">
        <v>0</v>
      </c>
      <c r="N27" s="80">
        <v>0</v>
      </c>
      <c r="O27" s="81">
        <v>0</v>
      </c>
      <c r="P27" s="81">
        <v>0</v>
      </c>
      <c r="Q27" s="82">
        <v>0</v>
      </c>
      <c r="R27" s="80" t="s">
        <v>119</v>
      </c>
      <c r="S27" s="81">
        <v>0</v>
      </c>
      <c r="T27" s="81" t="s">
        <v>120</v>
      </c>
      <c r="U27" s="81">
        <v>0</v>
      </c>
      <c r="V27" s="81">
        <v>0</v>
      </c>
      <c r="W27" s="81">
        <v>0</v>
      </c>
      <c r="X27" s="80" t="s">
        <v>119</v>
      </c>
      <c r="Y27" s="81">
        <v>0</v>
      </c>
      <c r="Z27" s="81" t="s">
        <v>120</v>
      </c>
      <c r="AA27" s="81">
        <v>0</v>
      </c>
      <c r="AB27" s="81">
        <v>0</v>
      </c>
      <c r="AC27" s="82">
        <v>0</v>
      </c>
      <c r="AD27" t="str">
        <f>VLOOKUP(A27,'FRS geographical categories'!$A$2:$C$46,2,0)</f>
        <v>Predominantly Rural</v>
      </c>
      <c r="AE27" t="str">
        <f>VLOOKUP(A27,'FRS geographical categories'!$A$2:$C$46,3,0)</f>
        <v>Non-metropolitan</v>
      </c>
    </row>
    <row r="28" spans="1:31" x14ac:dyDescent="0.3">
      <c r="A28" s="58" t="s">
        <v>15</v>
      </c>
      <c r="B28" s="80">
        <v>11051</v>
      </c>
      <c r="C28" s="81">
        <v>3420</v>
      </c>
      <c r="D28" s="81">
        <v>3342</v>
      </c>
      <c r="E28" s="82">
        <v>818</v>
      </c>
      <c r="F28" s="80">
        <v>4120</v>
      </c>
      <c r="G28" s="81">
        <v>1905</v>
      </c>
      <c r="H28" s="81">
        <v>969</v>
      </c>
      <c r="I28" s="82">
        <v>394</v>
      </c>
      <c r="J28" s="81">
        <v>0</v>
      </c>
      <c r="K28" s="81">
        <v>0</v>
      </c>
      <c r="L28" s="81">
        <v>0</v>
      </c>
      <c r="M28" s="82">
        <v>0</v>
      </c>
      <c r="N28" s="80">
        <v>0</v>
      </c>
      <c r="O28" s="81">
        <v>0</v>
      </c>
      <c r="P28" s="81">
        <v>0</v>
      </c>
      <c r="Q28" s="82">
        <v>0</v>
      </c>
      <c r="R28" s="80">
        <v>514</v>
      </c>
      <c r="S28" s="81">
        <v>0</v>
      </c>
      <c r="T28" s="81">
        <v>0</v>
      </c>
      <c r="U28" s="81">
        <v>0</v>
      </c>
      <c r="V28" s="81">
        <v>0</v>
      </c>
      <c r="W28" s="81">
        <v>0</v>
      </c>
      <c r="X28" s="80">
        <v>0</v>
      </c>
      <c r="Y28" s="81">
        <v>0</v>
      </c>
      <c r="Z28" s="81">
        <v>6.2</v>
      </c>
      <c r="AA28" s="81">
        <v>0</v>
      </c>
      <c r="AB28" s="81">
        <v>0</v>
      </c>
      <c r="AC28" s="82">
        <v>0</v>
      </c>
      <c r="AD28" t="str">
        <f>VLOOKUP(A28,'FRS geographical categories'!$A$2:$C$46,2,0)</f>
        <v>Significantly Rural</v>
      </c>
      <c r="AE28" t="str">
        <f>VLOOKUP(A28,'FRS geographical categories'!$A$2:$C$46,3,0)</f>
        <v>Non-metropolitan</v>
      </c>
    </row>
    <row r="29" spans="1:31" x14ac:dyDescent="0.3">
      <c r="A29" s="58" t="s">
        <v>16</v>
      </c>
      <c r="B29" s="80">
        <v>8346</v>
      </c>
      <c r="C29" s="81">
        <v>1631</v>
      </c>
      <c r="D29" s="81">
        <v>4655</v>
      </c>
      <c r="E29" s="82">
        <v>422</v>
      </c>
      <c r="F29" s="80">
        <v>3825</v>
      </c>
      <c r="G29" s="81">
        <v>835</v>
      </c>
      <c r="H29" s="81">
        <v>2042</v>
      </c>
      <c r="I29" s="82">
        <v>223</v>
      </c>
      <c r="J29" s="81">
        <v>66</v>
      </c>
      <c r="K29" s="81">
        <v>1</v>
      </c>
      <c r="L29" s="81">
        <v>7</v>
      </c>
      <c r="M29" s="82">
        <v>0</v>
      </c>
      <c r="N29" s="80">
        <v>0</v>
      </c>
      <c r="O29" s="81">
        <v>0</v>
      </c>
      <c r="P29" s="81">
        <v>0</v>
      </c>
      <c r="Q29" s="82">
        <v>0</v>
      </c>
      <c r="R29" s="80">
        <v>220</v>
      </c>
      <c r="S29" s="81">
        <v>19</v>
      </c>
      <c r="T29" s="81">
        <v>0</v>
      </c>
      <c r="U29" s="81">
        <v>15</v>
      </c>
      <c r="V29" s="81">
        <v>3</v>
      </c>
      <c r="W29" s="81">
        <v>0</v>
      </c>
      <c r="X29" s="80">
        <v>0</v>
      </c>
      <c r="Y29" s="81">
        <v>0</v>
      </c>
      <c r="Z29" s="81">
        <v>0</v>
      </c>
      <c r="AA29" s="81">
        <v>9</v>
      </c>
      <c r="AB29" s="81">
        <v>0</v>
      </c>
      <c r="AC29" s="82">
        <v>0</v>
      </c>
      <c r="AD29" t="str">
        <f>VLOOKUP(A29,'FRS geographical categories'!$A$2:$C$46,2,0)</f>
        <v>Significantly Rural</v>
      </c>
      <c r="AE29" t="str">
        <f>VLOOKUP(A29,'FRS geographical categories'!$A$2:$C$46,3,0)</f>
        <v>Non-metropolitan</v>
      </c>
    </row>
    <row r="30" spans="1:31" x14ac:dyDescent="0.3">
      <c r="A30" s="58" t="s">
        <v>17</v>
      </c>
      <c r="B30" s="80">
        <v>8058</v>
      </c>
      <c r="C30" s="81">
        <v>4312</v>
      </c>
      <c r="D30" s="81">
        <v>0</v>
      </c>
      <c r="E30" s="82">
        <v>0</v>
      </c>
      <c r="F30" s="80">
        <v>8058</v>
      </c>
      <c r="G30" s="81">
        <v>4312</v>
      </c>
      <c r="H30" s="81">
        <v>0</v>
      </c>
      <c r="I30" s="82">
        <v>0</v>
      </c>
      <c r="J30" s="81">
        <v>0</v>
      </c>
      <c r="K30" s="81">
        <v>0</v>
      </c>
      <c r="L30" s="81">
        <v>0</v>
      </c>
      <c r="M30" s="82">
        <v>0</v>
      </c>
      <c r="N30" s="80">
        <v>0</v>
      </c>
      <c r="O30" s="81">
        <v>0</v>
      </c>
      <c r="P30" s="81">
        <v>0</v>
      </c>
      <c r="Q30" s="82">
        <v>0</v>
      </c>
      <c r="R30" s="80">
        <v>400</v>
      </c>
      <c r="S30" s="81">
        <v>0</v>
      </c>
      <c r="T30" s="81">
        <v>139</v>
      </c>
      <c r="U30" s="81">
        <v>0</v>
      </c>
      <c r="V30" s="81">
        <v>0</v>
      </c>
      <c r="W30" s="81">
        <v>0</v>
      </c>
      <c r="X30" s="80">
        <v>400</v>
      </c>
      <c r="Y30" s="81">
        <v>0</v>
      </c>
      <c r="Z30" s="81">
        <v>139</v>
      </c>
      <c r="AA30" s="81">
        <v>0</v>
      </c>
      <c r="AB30" s="81">
        <v>0</v>
      </c>
      <c r="AC30" s="82">
        <v>0</v>
      </c>
      <c r="AD30" t="str">
        <f>VLOOKUP(A30,'FRS geographical categories'!$A$2:$C$46,2,0)</f>
        <v>Significantly Rural</v>
      </c>
      <c r="AE30" t="str">
        <f>VLOOKUP(A30,'FRS geographical categories'!$A$2:$C$46,3,0)</f>
        <v>Non-metropolitan</v>
      </c>
    </row>
    <row r="31" spans="1:31" x14ac:dyDescent="0.3">
      <c r="A31" s="58" t="s">
        <v>18</v>
      </c>
      <c r="B31" s="80">
        <v>81295</v>
      </c>
      <c r="C31" s="81">
        <v>22700</v>
      </c>
      <c r="D31" s="81">
        <v>15590</v>
      </c>
      <c r="E31" s="82">
        <v>8214</v>
      </c>
      <c r="F31" s="80">
        <v>808</v>
      </c>
      <c r="G31" s="81">
        <v>441</v>
      </c>
      <c r="H31" s="81">
        <v>224</v>
      </c>
      <c r="I31" s="82">
        <v>77</v>
      </c>
      <c r="J31" s="81">
        <v>3005</v>
      </c>
      <c r="K31" s="81">
        <v>89</v>
      </c>
      <c r="L31" s="81">
        <v>68</v>
      </c>
      <c r="M31" s="82">
        <v>702</v>
      </c>
      <c r="N31" s="80">
        <v>0</v>
      </c>
      <c r="O31" s="81">
        <v>0</v>
      </c>
      <c r="P31" s="81">
        <v>0</v>
      </c>
      <c r="Q31" s="82">
        <v>0</v>
      </c>
      <c r="R31" s="80">
        <v>4256</v>
      </c>
      <c r="S31" s="81">
        <v>0</v>
      </c>
      <c r="T31" s="81">
        <v>0</v>
      </c>
      <c r="U31" s="81">
        <v>0</v>
      </c>
      <c r="V31" s="81">
        <v>0</v>
      </c>
      <c r="W31" s="81">
        <v>0</v>
      </c>
      <c r="X31" s="80">
        <v>0</v>
      </c>
      <c r="Y31" s="81">
        <v>0</v>
      </c>
      <c r="Z31" s="81">
        <v>0</v>
      </c>
      <c r="AA31" s="81">
        <v>9</v>
      </c>
      <c r="AB31" s="81">
        <v>0</v>
      </c>
      <c r="AC31" s="82">
        <v>0</v>
      </c>
      <c r="AD31" t="str">
        <f>VLOOKUP(A31,'FRS geographical categories'!$A$2:$C$46,2,0)</f>
        <v>Predominantly Urban</v>
      </c>
      <c r="AE31" t="str">
        <f>VLOOKUP(A31,'FRS geographical categories'!$A$2:$C$46,3,0)</f>
        <v>Metropolitan</v>
      </c>
    </row>
    <row r="32" spans="1:31" x14ac:dyDescent="0.3">
      <c r="A32" s="58" t="s">
        <v>19</v>
      </c>
      <c r="B32" s="80">
        <v>27190</v>
      </c>
      <c r="C32" s="81">
        <v>1474</v>
      </c>
      <c r="D32" s="81">
        <v>8132</v>
      </c>
      <c r="E32" s="82">
        <v>620</v>
      </c>
      <c r="F32" s="80">
        <v>27190</v>
      </c>
      <c r="G32" s="81">
        <v>1474</v>
      </c>
      <c r="H32" s="81">
        <v>8132</v>
      </c>
      <c r="I32" s="82">
        <v>620</v>
      </c>
      <c r="J32" s="81">
        <v>0</v>
      </c>
      <c r="K32" s="81">
        <v>0</v>
      </c>
      <c r="L32" s="81">
        <v>0</v>
      </c>
      <c r="M32" s="82">
        <v>0</v>
      </c>
      <c r="N32" s="80">
        <v>0</v>
      </c>
      <c r="O32" s="81">
        <v>0</v>
      </c>
      <c r="P32" s="81">
        <v>0</v>
      </c>
      <c r="Q32" s="82">
        <v>0</v>
      </c>
      <c r="R32" s="80">
        <v>23884</v>
      </c>
      <c r="S32" s="81">
        <v>79</v>
      </c>
      <c r="T32" s="81">
        <v>3202</v>
      </c>
      <c r="U32" s="81">
        <v>25</v>
      </c>
      <c r="V32" s="81"/>
      <c r="W32" s="81"/>
      <c r="X32" s="80">
        <v>23884</v>
      </c>
      <c r="Y32" s="81">
        <v>79</v>
      </c>
      <c r="Z32" s="81">
        <v>3202</v>
      </c>
      <c r="AA32" s="81">
        <v>25</v>
      </c>
      <c r="AB32" s="81"/>
      <c r="AC32" s="82"/>
      <c r="AD32" t="str">
        <f>VLOOKUP(A32,'FRS geographical categories'!$A$2:$C$46,2,0)</f>
        <v>Predominantly Urban</v>
      </c>
      <c r="AE32" t="str">
        <f>VLOOKUP(A32,'FRS geographical categories'!$A$2:$C$46,3,0)</f>
        <v>Metropolitan</v>
      </c>
    </row>
    <row r="33" spans="1:31" x14ac:dyDescent="0.3">
      <c r="A33" s="58" t="s">
        <v>20</v>
      </c>
      <c r="B33" s="80">
        <v>6080</v>
      </c>
      <c r="C33" s="81">
        <v>3616</v>
      </c>
      <c r="D33" s="81">
        <v>1283</v>
      </c>
      <c r="E33" s="82">
        <v>396</v>
      </c>
      <c r="F33" s="80">
        <v>6046</v>
      </c>
      <c r="G33" s="81">
        <v>3612</v>
      </c>
      <c r="H33" s="81">
        <v>1263</v>
      </c>
      <c r="I33" s="82">
        <v>396</v>
      </c>
      <c r="J33" s="81">
        <v>5</v>
      </c>
      <c r="K33" s="81">
        <v>1</v>
      </c>
      <c r="L33" s="81">
        <v>1</v>
      </c>
      <c r="M33" s="82">
        <v>0</v>
      </c>
      <c r="N33" s="80">
        <v>5</v>
      </c>
      <c r="O33" s="81">
        <v>1</v>
      </c>
      <c r="P33" s="81">
        <v>1</v>
      </c>
      <c r="Q33" s="82">
        <v>0</v>
      </c>
      <c r="R33" s="80"/>
      <c r="S33" s="81"/>
      <c r="T33" s="81"/>
      <c r="U33" s="81"/>
      <c r="V33" s="81"/>
      <c r="W33" s="81">
        <v>71</v>
      </c>
      <c r="X33" s="80"/>
      <c r="Y33" s="81"/>
      <c r="Z33" s="81"/>
      <c r="AA33" s="81"/>
      <c r="AB33" s="81"/>
      <c r="AC33" s="82">
        <v>11209</v>
      </c>
      <c r="AD33" t="str">
        <f>VLOOKUP(A33,'FRS geographical categories'!$A$2:$C$46,2,0)</f>
        <v>Predominantly Urban</v>
      </c>
      <c r="AE33" t="str">
        <f>VLOOKUP(A33,'FRS geographical categories'!$A$2:$C$46,3,0)</f>
        <v>Non-metropolitan</v>
      </c>
    </row>
    <row r="34" spans="1:31" x14ac:dyDescent="0.3">
      <c r="A34" s="58" t="s">
        <v>21</v>
      </c>
      <c r="B34" s="80">
        <v>2786</v>
      </c>
      <c r="C34" s="81">
        <v>812</v>
      </c>
      <c r="D34" s="81">
        <v>1069</v>
      </c>
      <c r="E34" s="82">
        <v>250</v>
      </c>
      <c r="F34" s="80">
        <v>1205</v>
      </c>
      <c r="G34" s="81">
        <v>833</v>
      </c>
      <c r="H34" s="81">
        <v>32</v>
      </c>
      <c r="I34" s="82">
        <v>281</v>
      </c>
      <c r="J34" s="81">
        <v>0</v>
      </c>
      <c r="K34" s="81">
        <v>0</v>
      </c>
      <c r="L34" s="81">
        <v>0</v>
      </c>
      <c r="M34" s="82">
        <v>0</v>
      </c>
      <c r="N34" s="80">
        <v>0</v>
      </c>
      <c r="O34" s="81">
        <v>0</v>
      </c>
      <c r="P34" s="81">
        <v>0</v>
      </c>
      <c r="Q34" s="82">
        <v>0</v>
      </c>
      <c r="R34" s="80">
        <v>5065</v>
      </c>
      <c r="S34" s="81">
        <v>0</v>
      </c>
      <c r="T34" s="81">
        <v>0</v>
      </c>
      <c r="U34" s="81">
        <v>204</v>
      </c>
      <c r="V34" s="81">
        <v>0</v>
      </c>
      <c r="W34" s="81">
        <v>0</v>
      </c>
      <c r="X34" s="80">
        <v>1147</v>
      </c>
      <c r="Y34" s="81">
        <v>0</v>
      </c>
      <c r="Z34" s="81">
        <v>0</v>
      </c>
      <c r="AA34" s="81">
        <v>96</v>
      </c>
      <c r="AB34" s="81">
        <v>0</v>
      </c>
      <c r="AC34" s="82">
        <v>0</v>
      </c>
      <c r="AD34" t="str">
        <f>VLOOKUP(A34,'FRS geographical categories'!$A$2:$C$46,2,0)</f>
        <v>Significantly Rural</v>
      </c>
      <c r="AE34" t="str">
        <f>VLOOKUP(A34,'FRS geographical categories'!$A$2:$C$46,3,0)</f>
        <v>Non-metropolitan</v>
      </c>
    </row>
    <row r="35" spans="1:31" x14ac:dyDescent="0.3">
      <c r="A35" s="58" t="s">
        <v>22</v>
      </c>
      <c r="B35" s="80">
        <v>6812</v>
      </c>
      <c r="C35" s="81">
        <v>968</v>
      </c>
      <c r="D35" s="81">
        <v>3612</v>
      </c>
      <c r="E35" s="82">
        <v>0</v>
      </c>
      <c r="F35" s="80">
        <v>6812</v>
      </c>
      <c r="G35" s="81">
        <v>968</v>
      </c>
      <c r="H35" s="81">
        <v>3612</v>
      </c>
      <c r="I35" s="82">
        <v>0</v>
      </c>
      <c r="J35" s="81">
        <v>0</v>
      </c>
      <c r="K35" s="81">
        <v>0</v>
      </c>
      <c r="L35" s="81">
        <v>0</v>
      </c>
      <c r="M35" s="82">
        <v>0</v>
      </c>
      <c r="N35" s="80">
        <v>0</v>
      </c>
      <c r="O35" s="81">
        <v>0</v>
      </c>
      <c r="P35" s="81">
        <v>0</v>
      </c>
      <c r="Q35" s="82">
        <v>0</v>
      </c>
      <c r="R35" s="80">
        <v>7307</v>
      </c>
      <c r="S35" s="81">
        <v>0</v>
      </c>
      <c r="T35" s="81">
        <v>0</v>
      </c>
      <c r="U35" s="81">
        <v>2189</v>
      </c>
      <c r="V35" s="81">
        <v>0</v>
      </c>
      <c r="W35" s="81">
        <v>0</v>
      </c>
      <c r="X35" s="80">
        <v>7307</v>
      </c>
      <c r="Y35" s="81">
        <v>0</v>
      </c>
      <c r="Z35" s="81">
        <v>0</v>
      </c>
      <c r="AA35" s="81">
        <v>2189</v>
      </c>
      <c r="AB35" s="81">
        <v>0</v>
      </c>
      <c r="AC35" s="82">
        <v>0</v>
      </c>
      <c r="AD35" t="str">
        <f>VLOOKUP(A35,'FRS geographical categories'!$A$2:$C$46,2,0)</f>
        <v>Predominantly Urban</v>
      </c>
      <c r="AE35" t="str">
        <f>VLOOKUP(A35,'FRS geographical categories'!$A$2:$C$46,3,0)</f>
        <v>Non-metropolitan</v>
      </c>
    </row>
    <row r="36" spans="1:31" x14ac:dyDescent="0.3">
      <c r="A36" s="58" t="s">
        <v>23</v>
      </c>
      <c r="B36" s="80">
        <v>5965</v>
      </c>
      <c r="C36" s="81">
        <v>423</v>
      </c>
      <c r="D36" s="81">
        <v>1811</v>
      </c>
      <c r="E36" s="82">
        <v>237</v>
      </c>
      <c r="F36" s="80">
        <v>5965</v>
      </c>
      <c r="G36" s="81">
        <v>423</v>
      </c>
      <c r="H36" s="81">
        <v>1811</v>
      </c>
      <c r="I36" s="82">
        <v>237</v>
      </c>
      <c r="J36" s="81">
        <v>0</v>
      </c>
      <c r="K36" s="81">
        <v>0</v>
      </c>
      <c r="L36" s="81">
        <v>0</v>
      </c>
      <c r="M36" s="82">
        <v>0</v>
      </c>
      <c r="N36" s="80">
        <v>0</v>
      </c>
      <c r="O36" s="81">
        <v>0</v>
      </c>
      <c r="P36" s="81">
        <v>0</v>
      </c>
      <c r="Q36" s="82">
        <v>0</v>
      </c>
      <c r="R36" s="80">
        <v>3953</v>
      </c>
      <c r="S36" s="81">
        <v>324</v>
      </c>
      <c r="T36" s="81">
        <v>2870</v>
      </c>
      <c r="U36" s="81">
        <v>0</v>
      </c>
      <c r="V36" s="81">
        <v>1</v>
      </c>
      <c r="W36" s="81">
        <v>1</v>
      </c>
      <c r="X36" s="80">
        <v>3953</v>
      </c>
      <c r="Y36" s="81">
        <v>324</v>
      </c>
      <c r="Z36" s="81">
        <v>2870</v>
      </c>
      <c r="AA36" s="81">
        <v>0</v>
      </c>
      <c r="AB36" s="81">
        <v>1</v>
      </c>
      <c r="AC36" s="82">
        <v>1</v>
      </c>
      <c r="AD36" t="str">
        <f>VLOOKUP(A36,'FRS geographical categories'!$A$2:$C$46,2,0)</f>
        <v>Significantly Rural</v>
      </c>
      <c r="AE36" t="str">
        <f>VLOOKUP(A36,'FRS geographical categories'!$A$2:$C$46,3,0)</f>
        <v>Non-metropolitan</v>
      </c>
    </row>
    <row r="37" spans="1:31" x14ac:dyDescent="0.3">
      <c r="A37" s="58" t="s">
        <v>48</v>
      </c>
      <c r="B37" s="80">
        <v>459</v>
      </c>
      <c r="C37" s="81">
        <v>0</v>
      </c>
      <c r="D37" s="81">
        <v>405</v>
      </c>
      <c r="E37" s="82">
        <v>0</v>
      </c>
      <c r="F37" s="80">
        <v>459</v>
      </c>
      <c r="G37" s="81">
        <v>0</v>
      </c>
      <c r="H37" s="81">
        <v>405</v>
      </c>
      <c r="I37" s="82">
        <v>0</v>
      </c>
      <c r="J37" s="81">
        <v>51</v>
      </c>
      <c r="K37" s="81">
        <v>0</v>
      </c>
      <c r="L37" s="81">
        <v>50</v>
      </c>
      <c r="M37" s="82">
        <v>0</v>
      </c>
      <c r="N37" s="80">
        <v>51</v>
      </c>
      <c r="O37" s="81">
        <v>0</v>
      </c>
      <c r="P37" s="81">
        <v>50</v>
      </c>
      <c r="Q37" s="82">
        <v>0</v>
      </c>
      <c r="R37" s="80">
        <v>307</v>
      </c>
      <c r="S37" s="81">
        <v>0</v>
      </c>
      <c r="T37" s="81">
        <v>158</v>
      </c>
      <c r="U37" s="81">
        <v>141</v>
      </c>
      <c r="V37" s="81">
        <v>0</v>
      </c>
      <c r="W37" s="81">
        <v>51</v>
      </c>
      <c r="X37" s="80">
        <v>307</v>
      </c>
      <c r="Y37" s="81">
        <v>0</v>
      </c>
      <c r="Z37" s="81">
        <v>158</v>
      </c>
      <c r="AA37" s="81">
        <v>141</v>
      </c>
      <c r="AB37" s="81">
        <v>0</v>
      </c>
      <c r="AC37" s="82">
        <v>51</v>
      </c>
      <c r="AD37" t="str">
        <f>VLOOKUP(A37,'FRS geographical categories'!$A$2:$C$46,2,0)</f>
        <v>Predominantly Rural</v>
      </c>
      <c r="AE37" t="str">
        <f>VLOOKUP(A37,'FRS geographical categories'!$A$2:$C$46,3,0)</f>
        <v>Non-metropolitan</v>
      </c>
    </row>
    <row r="38" spans="1:31" x14ac:dyDescent="0.3">
      <c r="A38" s="58" t="s">
        <v>25</v>
      </c>
      <c r="B38" s="80">
        <v>42</v>
      </c>
      <c r="C38" s="81">
        <v>5</v>
      </c>
      <c r="D38" s="81">
        <v>28</v>
      </c>
      <c r="E38" s="82">
        <v>0</v>
      </c>
      <c r="F38" s="80">
        <v>0</v>
      </c>
      <c r="G38" s="81">
        <v>0</v>
      </c>
      <c r="H38" s="81">
        <v>0</v>
      </c>
      <c r="I38" s="82">
        <v>0</v>
      </c>
      <c r="J38" s="81">
        <v>0</v>
      </c>
      <c r="K38" s="81">
        <v>0</v>
      </c>
      <c r="L38" s="81">
        <v>0</v>
      </c>
      <c r="M38" s="82">
        <v>0</v>
      </c>
      <c r="N38" s="80">
        <v>0</v>
      </c>
      <c r="O38" s="81">
        <v>0</v>
      </c>
      <c r="P38" s="81">
        <v>0</v>
      </c>
      <c r="Q38" s="82">
        <v>0</v>
      </c>
      <c r="R38" s="80">
        <v>1</v>
      </c>
      <c r="S38" s="81">
        <v>0</v>
      </c>
      <c r="T38" s="81">
        <v>0</v>
      </c>
      <c r="U38" s="81">
        <v>0</v>
      </c>
      <c r="V38" s="81">
        <v>0</v>
      </c>
      <c r="W38" s="81">
        <v>0</v>
      </c>
      <c r="X38" s="80">
        <v>0</v>
      </c>
      <c r="Y38" s="81">
        <v>0</v>
      </c>
      <c r="Z38" s="81">
        <v>0</v>
      </c>
      <c r="AA38" s="81">
        <v>0</v>
      </c>
      <c r="AB38" s="81">
        <v>0</v>
      </c>
      <c r="AC38" s="82">
        <v>0</v>
      </c>
      <c r="AD38" t="str">
        <f>VLOOKUP(A38,'FRS geographical categories'!$A$2:$C$46,2,0)</f>
        <v>Predominantly Rural</v>
      </c>
      <c r="AE38" t="str">
        <f>VLOOKUP(A38,'FRS geographical categories'!$A$2:$C$46,3,0)</f>
        <v>Non-metropolitan</v>
      </c>
    </row>
    <row r="39" spans="1:31" x14ac:dyDescent="0.3">
      <c r="A39" s="58" t="s">
        <v>26</v>
      </c>
      <c r="B39" s="80">
        <v>23635</v>
      </c>
      <c r="C39" s="81">
        <v>4865</v>
      </c>
      <c r="D39" s="81">
        <v>9016</v>
      </c>
      <c r="E39" s="82">
        <v>1439</v>
      </c>
      <c r="F39" s="80">
        <v>23635</v>
      </c>
      <c r="G39" s="81">
        <v>4865</v>
      </c>
      <c r="H39" s="81">
        <v>9016</v>
      </c>
      <c r="I39" s="82">
        <v>1439</v>
      </c>
      <c r="J39" s="81">
        <v>0</v>
      </c>
      <c r="K39" s="81">
        <v>0</v>
      </c>
      <c r="L39" s="81">
        <v>0</v>
      </c>
      <c r="M39" s="82">
        <v>0</v>
      </c>
      <c r="N39" s="80">
        <v>0</v>
      </c>
      <c r="O39" s="81">
        <v>0</v>
      </c>
      <c r="P39" s="81">
        <v>0</v>
      </c>
      <c r="Q39" s="82">
        <v>0</v>
      </c>
      <c r="R39" s="80">
        <v>0</v>
      </c>
      <c r="S39" s="81">
        <v>0</v>
      </c>
      <c r="T39" s="81">
        <v>0</v>
      </c>
      <c r="U39" s="81">
        <v>0</v>
      </c>
      <c r="V39" s="81">
        <v>0</v>
      </c>
      <c r="W39" s="81">
        <v>0</v>
      </c>
      <c r="X39" s="80">
        <v>470</v>
      </c>
      <c r="Y39" s="81">
        <v>0</v>
      </c>
      <c r="Z39" s="81">
        <v>22</v>
      </c>
      <c r="AA39" s="81">
        <v>0</v>
      </c>
      <c r="AB39" s="81">
        <v>0</v>
      </c>
      <c r="AC39" s="82">
        <v>0</v>
      </c>
      <c r="AD39" t="str">
        <f>VLOOKUP(A39,'FRS geographical categories'!$A$2:$C$46,2,0)</f>
        <v>Significantly Rural</v>
      </c>
      <c r="AE39" t="str">
        <f>VLOOKUP(A39,'FRS geographical categories'!$A$2:$C$46,3,0)</f>
        <v>Non-metropolitan</v>
      </c>
    </row>
    <row r="40" spans="1:31" x14ac:dyDescent="0.3">
      <c r="A40" s="58" t="s">
        <v>27</v>
      </c>
      <c r="B40" s="80">
        <v>14747</v>
      </c>
      <c r="C40" s="81">
        <v>5590</v>
      </c>
      <c r="D40" s="81">
        <v>4042</v>
      </c>
      <c r="E40" s="82">
        <v>2597</v>
      </c>
      <c r="F40" s="80">
        <v>14747</v>
      </c>
      <c r="G40" s="81">
        <v>5590</v>
      </c>
      <c r="H40" s="81">
        <v>4042</v>
      </c>
      <c r="I40" s="82">
        <v>2597</v>
      </c>
      <c r="J40" s="81">
        <v>0</v>
      </c>
      <c r="K40" s="81">
        <v>0</v>
      </c>
      <c r="L40" s="81">
        <v>0</v>
      </c>
      <c r="M40" s="82">
        <v>0</v>
      </c>
      <c r="N40" s="80">
        <v>0</v>
      </c>
      <c r="O40" s="81">
        <v>0</v>
      </c>
      <c r="P40" s="81">
        <v>0</v>
      </c>
      <c r="Q40" s="82">
        <v>0</v>
      </c>
      <c r="R40" s="80"/>
      <c r="S40" s="81"/>
      <c r="T40" s="81"/>
      <c r="U40" s="81"/>
      <c r="V40" s="81"/>
      <c r="W40" s="81"/>
      <c r="X40" s="80">
        <v>212</v>
      </c>
      <c r="Y40" s="81">
        <v>0</v>
      </c>
      <c r="Z40" s="81">
        <v>52</v>
      </c>
      <c r="AA40" s="81">
        <v>0</v>
      </c>
      <c r="AB40" s="81">
        <v>0</v>
      </c>
      <c r="AC40" s="82">
        <v>0</v>
      </c>
      <c r="AD40" t="str">
        <f>VLOOKUP(A40,'FRS geographical categories'!$A$2:$C$46,2,0)</f>
        <v>Predominantly Urban</v>
      </c>
      <c r="AE40" t="str">
        <f>VLOOKUP(A40,'FRS geographical categories'!$A$2:$C$46,3,0)</f>
        <v>Non-metropolitan</v>
      </c>
    </row>
    <row r="41" spans="1:31" x14ac:dyDescent="0.3">
      <c r="A41" s="58" t="s">
        <v>28</v>
      </c>
      <c r="B41" s="80">
        <v>6746</v>
      </c>
      <c r="C41" s="81">
        <v>1380</v>
      </c>
      <c r="D41" s="81">
        <v>3381</v>
      </c>
      <c r="E41" s="82">
        <v>429</v>
      </c>
      <c r="F41" s="80">
        <v>0</v>
      </c>
      <c r="G41" s="81">
        <v>0</v>
      </c>
      <c r="H41" s="81">
        <v>0</v>
      </c>
      <c r="I41" s="82">
        <v>0</v>
      </c>
      <c r="J41" s="81">
        <v>417</v>
      </c>
      <c r="K41" s="81">
        <v>25</v>
      </c>
      <c r="L41" s="81">
        <v>35</v>
      </c>
      <c r="M41" s="82">
        <v>106</v>
      </c>
      <c r="N41" s="80">
        <v>0</v>
      </c>
      <c r="O41" s="81">
        <v>0</v>
      </c>
      <c r="P41" s="81">
        <v>0</v>
      </c>
      <c r="Q41" s="82">
        <v>0</v>
      </c>
      <c r="R41" s="80">
        <v>348</v>
      </c>
      <c r="S41" s="81">
        <v>0</v>
      </c>
      <c r="T41" s="81">
        <v>0</v>
      </c>
      <c r="U41" s="81">
        <v>12</v>
      </c>
      <c r="V41" s="81">
        <v>2</v>
      </c>
      <c r="W41" s="81">
        <v>0</v>
      </c>
      <c r="X41" s="80">
        <v>0</v>
      </c>
      <c r="Y41" s="81">
        <v>0</v>
      </c>
      <c r="Z41" s="81">
        <v>0</v>
      </c>
      <c r="AA41" s="81">
        <v>0</v>
      </c>
      <c r="AB41" s="81">
        <v>0</v>
      </c>
      <c r="AC41" s="82">
        <v>0</v>
      </c>
      <c r="AD41" t="str">
        <f>VLOOKUP(A41,'FRS geographical categories'!$A$2:$C$46,2,0)</f>
        <v>Significantly Rural</v>
      </c>
      <c r="AE41" t="str">
        <f>VLOOKUP(A41,'FRS geographical categories'!$A$2:$C$46,3,0)</f>
        <v>Non-metropolitan</v>
      </c>
    </row>
    <row r="42" spans="1:31" x14ac:dyDescent="0.3">
      <c r="A42" s="58" t="s">
        <v>29</v>
      </c>
      <c r="B42" s="80">
        <v>4991</v>
      </c>
      <c r="C42" s="81">
        <v>1969</v>
      </c>
      <c r="D42" s="81">
        <v>1288</v>
      </c>
      <c r="E42" s="82">
        <v>655</v>
      </c>
      <c r="F42" s="80">
        <v>3222</v>
      </c>
      <c r="G42" s="81">
        <v>1816</v>
      </c>
      <c r="H42" s="81">
        <v>629</v>
      </c>
      <c r="I42" s="82">
        <v>351</v>
      </c>
      <c r="J42" s="81">
        <v>0</v>
      </c>
      <c r="K42" s="81">
        <v>0</v>
      </c>
      <c r="L42" s="81">
        <v>0</v>
      </c>
      <c r="M42" s="82">
        <v>0</v>
      </c>
      <c r="N42" s="80">
        <v>0</v>
      </c>
      <c r="O42" s="81">
        <v>0</v>
      </c>
      <c r="P42" s="81">
        <v>0</v>
      </c>
      <c r="Q42" s="82">
        <v>0</v>
      </c>
      <c r="R42" s="80">
        <v>4991</v>
      </c>
      <c r="S42" s="81">
        <v>0</v>
      </c>
      <c r="T42" s="81">
        <v>0</v>
      </c>
      <c r="U42" s="81">
        <v>0</v>
      </c>
      <c r="V42" s="81">
        <v>0</v>
      </c>
      <c r="W42" s="81"/>
      <c r="X42" s="80">
        <v>4991</v>
      </c>
      <c r="Y42" s="81">
        <v>0</v>
      </c>
      <c r="Z42" s="81">
        <v>12</v>
      </c>
      <c r="AA42" s="81">
        <v>2</v>
      </c>
      <c r="AB42" s="81">
        <v>0</v>
      </c>
      <c r="AC42" s="82"/>
      <c r="AD42" t="str">
        <f>VLOOKUP(A42,'FRS geographical categories'!$A$2:$C$46,2,0)</f>
        <v>Predominantly Rural</v>
      </c>
      <c r="AE42" t="str">
        <f>VLOOKUP(A42,'FRS geographical categories'!$A$2:$C$46,3,0)</f>
        <v>Non-metropolitan</v>
      </c>
    </row>
    <row r="43" spans="1:31" x14ac:dyDescent="0.3">
      <c r="A43" s="58" t="s">
        <v>30</v>
      </c>
      <c r="B43" s="80">
        <v>49324</v>
      </c>
      <c r="C43" s="81">
        <v>6570</v>
      </c>
      <c r="D43" s="81">
        <v>23971</v>
      </c>
      <c r="E43" s="82">
        <v>2180</v>
      </c>
      <c r="F43" s="80">
        <v>9217</v>
      </c>
      <c r="G43" s="81">
        <v>4453</v>
      </c>
      <c r="H43" s="81">
        <v>1591</v>
      </c>
      <c r="I43" s="82">
        <v>1594</v>
      </c>
      <c r="J43" s="81">
        <v>0</v>
      </c>
      <c r="K43" s="81">
        <v>0</v>
      </c>
      <c r="L43" s="81">
        <v>0</v>
      </c>
      <c r="M43" s="82">
        <v>0</v>
      </c>
      <c r="N43" s="80">
        <v>0</v>
      </c>
      <c r="O43" s="81">
        <v>0</v>
      </c>
      <c r="P43" s="81">
        <v>0</v>
      </c>
      <c r="Q43" s="82">
        <v>0</v>
      </c>
      <c r="R43" s="80">
        <v>459</v>
      </c>
      <c r="S43" s="81">
        <v>0</v>
      </c>
      <c r="T43" s="81">
        <v>16</v>
      </c>
      <c r="U43" s="81">
        <v>11</v>
      </c>
      <c r="V43" s="81">
        <v>0</v>
      </c>
      <c r="W43" s="81">
        <v>0</v>
      </c>
      <c r="X43" s="80">
        <v>0</v>
      </c>
      <c r="Y43" s="81">
        <v>0</v>
      </c>
      <c r="Z43" s="81">
        <v>16</v>
      </c>
      <c r="AA43" s="81">
        <v>8</v>
      </c>
      <c r="AB43" s="81">
        <v>0</v>
      </c>
      <c r="AC43" s="82">
        <v>0</v>
      </c>
      <c r="AD43" t="str">
        <f>VLOOKUP(A43,'FRS geographical categories'!$A$2:$C$46,2,0)</f>
        <v>Predominantly Urban</v>
      </c>
      <c r="AE43" t="str">
        <f>VLOOKUP(A43,'FRS geographical categories'!$A$2:$C$46,3,0)</f>
        <v>Metropolitan</v>
      </c>
    </row>
    <row r="44" spans="1:31" x14ac:dyDescent="0.3">
      <c r="A44" s="58" t="s">
        <v>31</v>
      </c>
      <c r="B44" s="80">
        <v>4048</v>
      </c>
      <c r="C44" s="81">
        <v>0</v>
      </c>
      <c r="D44" s="81">
        <v>2532</v>
      </c>
      <c r="E44" s="82">
        <v>0</v>
      </c>
      <c r="F44" s="80">
        <v>127</v>
      </c>
      <c r="G44" s="81">
        <v>0</v>
      </c>
      <c r="H44" s="81">
        <v>88</v>
      </c>
      <c r="I44" s="82">
        <v>0</v>
      </c>
      <c r="J44" s="81">
        <v>0</v>
      </c>
      <c r="K44" s="81">
        <v>0</v>
      </c>
      <c r="L44" s="81">
        <v>0</v>
      </c>
      <c r="M44" s="82">
        <v>0</v>
      </c>
      <c r="N44" s="80">
        <v>0</v>
      </c>
      <c r="O44" s="81">
        <v>0</v>
      </c>
      <c r="P44" s="81">
        <v>0</v>
      </c>
      <c r="Q44" s="82">
        <v>0</v>
      </c>
      <c r="R44" s="80">
        <v>3513</v>
      </c>
      <c r="S44" s="81">
        <v>327</v>
      </c>
      <c r="T44" s="81">
        <v>322</v>
      </c>
      <c r="U44" s="81">
        <v>0</v>
      </c>
      <c r="V44" s="81">
        <v>0</v>
      </c>
      <c r="W44" s="81">
        <v>0</v>
      </c>
      <c r="X44" s="80">
        <v>93</v>
      </c>
      <c r="Y44" s="81">
        <v>0</v>
      </c>
      <c r="Z44" s="81">
        <v>25</v>
      </c>
      <c r="AA44" s="81">
        <v>0</v>
      </c>
      <c r="AB44" s="81">
        <v>0</v>
      </c>
      <c r="AC44" s="82">
        <v>0</v>
      </c>
      <c r="AD44" t="str">
        <f>VLOOKUP(A44,'FRS geographical categories'!$A$2:$C$46,2,0)</f>
        <v>Predominantly Rural</v>
      </c>
      <c r="AE44" t="str">
        <f>VLOOKUP(A44,'FRS geographical categories'!$A$2:$C$46,3,0)</f>
        <v>Non-metropolitan</v>
      </c>
    </row>
    <row r="45" spans="1:31" x14ac:dyDescent="0.3">
      <c r="A45" s="58" t="s">
        <v>32</v>
      </c>
      <c r="B45" s="80">
        <v>2090</v>
      </c>
      <c r="C45" s="81">
        <v>0</v>
      </c>
      <c r="D45" s="81">
        <v>1314</v>
      </c>
      <c r="E45" s="82">
        <v>0</v>
      </c>
      <c r="F45" s="80">
        <v>1183</v>
      </c>
      <c r="G45" s="81">
        <v>0</v>
      </c>
      <c r="H45" s="81">
        <v>851</v>
      </c>
      <c r="I45" s="82">
        <v>0</v>
      </c>
      <c r="J45" s="81">
        <v>0</v>
      </c>
      <c r="K45" s="81">
        <v>0</v>
      </c>
      <c r="L45" s="81">
        <v>0</v>
      </c>
      <c r="M45" s="82">
        <v>0</v>
      </c>
      <c r="N45" s="80">
        <v>0</v>
      </c>
      <c r="O45" s="81">
        <v>0</v>
      </c>
      <c r="P45" s="81">
        <v>0</v>
      </c>
      <c r="Q45" s="82">
        <v>0</v>
      </c>
      <c r="R45" s="80">
        <v>545</v>
      </c>
      <c r="S45" s="81">
        <v>0</v>
      </c>
      <c r="T45" s="81">
        <v>0</v>
      </c>
      <c r="U45" s="81">
        <v>9</v>
      </c>
      <c r="V45" s="81">
        <v>0</v>
      </c>
      <c r="W45" s="81">
        <v>0</v>
      </c>
      <c r="X45" s="80">
        <v>93</v>
      </c>
      <c r="Y45" s="81">
        <v>0</v>
      </c>
      <c r="Z45" s="81">
        <v>0</v>
      </c>
      <c r="AA45" s="81">
        <v>9</v>
      </c>
      <c r="AB45" s="81">
        <v>0</v>
      </c>
      <c r="AC45" s="82">
        <v>0</v>
      </c>
      <c r="AD45" t="str">
        <f>VLOOKUP(A45,'FRS geographical categories'!$A$2:$C$46,2,0)</f>
        <v>Predominantly Rural</v>
      </c>
      <c r="AE45" t="str">
        <f>VLOOKUP(A45,'FRS geographical categories'!$A$2:$C$46,3,0)</f>
        <v>Non-metropolitan</v>
      </c>
    </row>
    <row r="46" spans="1:31" x14ac:dyDescent="0.3">
      <c r="A46" s="58" t="s">
        <v>33</v>
      </c>
      <c r="B46" s="80">
        <v>2520</v>
      </c>
      <c r="C46" s="81">
        <v>592</v>
      </c>
      <c r="D46" s="81">
        <v>1350</v>
      </c>
      <c r="E46" s="82">
        <v>31</v>
      </c>
      <c r="F46" s="80">
        <v>1595</v>
      </c>
      <c r="G46" s="81">
        <v>572</v>
      </c>
      <c r="H46" s="81">
        <v>469</v>
      </c>
      <c r="I46" s="82">
        <v>141</v>
      </c>
      <c r="J46" s="81">
        <v>7</v>
      </c>
      <c r="K46" s="81">
        <v>3</v>
      </c>
      <c r="L46" s="81">
        <v>3</v>
      </c>
      <c r="M46" s="82">
        <v>1</v>
      </c>
      <c r="N46" s="80">
        <v>0</v>
      </c>
      <c r="O46" s="81">
        <v>0</v>
      </c>
      <c r="P46" s="81">
        <v>0</v>
      </c>
      <c r="Q46" s="82">
        <v>0</v>
      </c>
      <c r="R46" s="80">
        <v>5040</v>
      </c>
      <c r="S46" s="81">
        <v>0</v>
      </c>
      <c r="T46" s="81">
        <v>0</v>
      </c>
      <c r="U46" s="81">
        <v>0</v>
      </c>
      <c r="V46" s="81">
        <v>0</v>
      </c>
      <c r="W46" s="81">
        <v>0</v>
      </c>
      <c r="X46" s="80">
        <v>686</v>
      </c>
      <c r="Y46" s="81">
        <v>0</v>
      </c>
      <c r="Z46" s="81">
        <v>0</v>
      </c>
      <c r="AA46" s="81">
        <v>1252</v>
      </c>
      <c r="AB46" s="81">
        <v>0</v>
      </c>
      <c r="AC46" s="82">
        <v>0</v>
      </c>
      <c r="AD46" t="str">
        <f>VLOOKUP(A46,'FRS geographical categories'!$A$2:$C$46,2,0)</f>
        <v>Significantly Rural</v>
      </c>
      <c r="AE46" t="str">
        <f>VLOOKUP(A46,'FRS geographical categories'!$A$2:$C$46,3,0)</f>
        <v>Non-metropolitan</v>
      </c>
    </row>
    <row r="47" spans="1:31" x14ac:dyDescent="0.3">
      <c r="A47" s="58" t="s">
        <v>34</v>
      </c>
      <c r="B47" s="80">
        <v>8239</v>
      </c>
      <c r="C47" s="81">
        <v>2737</v>
      </c>
      <c r="D47" s="81">
        <v>4367</v>
      </c>
      <c r="E47" s="82">
        <v>931</v>
      </c>
      <c r="F47" s="80">
        <v>8239</v>
      </c>
      <c r="G47" s="81">
        <v>2737</v>
      </c>
      <c r="H47" s="81">
        <v>4367</v>
      </c>
      <c r="I47" s="82">
        <v>931</v>
      </c>
      <c r="J47" s="81">
        <v>0</v>
      </c>
      <c r="K47" s="81">
        <v>0</v>
      </c>
      <c r="L47" s="81">
        <v>0</v>
      </c>
      <c r="M47" s="82">
        <v>0</v>
      </c>
      <c r="N47" s="80">
        <v>0</v>
      </c>
      <c r="O47" s="81">
        <v>0</v>
      </c>
      <c r="P47" s="81">
        <v>0</v>
      </c>
      <c r="Q47" s="82">
        <v>0</v>
      </c>
      <c r="R47" s="80">
        <v>54</v>
      </c>
      <c r="S47" s="81">
        <v>4</v>
      </c>
      <c r="T47" s="81">
        <v>17</v>
      </c>
      <c r="U47" s="81">
        <v>0</v>
      </c>
      <c r="V47" s="81">
        <v>0</v>
      </c>
      <c r="W47" s="81">
        <v>0</v>
      </c>
      <c r="X47" s="80">
        <v>54</v>
      </c>
      <c r="Y47" s="81">
        <v>4</v>
      </c>
      <c r="Z47" s="81">
        <v>17</v>
      </c>
      <c r="AA47" s="81">
        <v>0</v>
      </c>
      <c r="AB47" s="81">
        <v>0</v>
      </c>
      <c r="AC47" s="82">
        <v>0</v>
      </c>
      <c r="AD47" t="str">
        <f>VLOOKUP(A47,'FRS geographical categories'!$A$2:$C$46,2,0)</f>
        <v>Predominantly Rural</v>
      </c>
      <c r="AE47" t="str">
        <f>VLOOKUP(A47,'FRS geographical categories'!$A$2:$C$46,3,0)</f>
        <v>Non-metropolitan</v>
      </c>
    </row>
    <row r="48" spans="1:31" x14ac:dyDescent="0.3">
      <c r="A48" s="58" t="s">
        <v>35</v>
      </c>
      <c r="B48" s="80">
        <v>4219</v>
      </c>
      <c r="C48" s="81">
        <v>795</v>
      </c>
      <c r="D48" s="81">
        <v>1337</v>
      </c>
      <c r="E48" s="82">
        <v>497</v>
      </c>
      <c r="F48" s="80">
        <v>2750</v>
      </c>
      <c r="G48" s="81">
        <v>349</v>
      </c>
      <c r="H48" s="81">
        <v>994</v>
      </c>
      <c r="I48" s="82">
        <v>304</v>
      </c>
      <c r="J48" s="81">
        <v>519</v>
      </c>
      <c r="K48" s="81">
        <v>149</v>
      </c>
      <c r="L48" s="81">
        <v>164</v>
      </c>
      <c r="M48" s="82">
        <v>125</v>
      </c>
      <c r="N48" s="80">
        <v>2</v>
      </c>
      <c r="O48" s="81">
        <v>0</v>
      </c>
      <c r="P48" s="81">
        <v>0</v>
      </c>
      <c r="Q48" s="82">
        <v>1</v>
      </c>
      <c r="R48" s="80">
        <v>9323</v>
      </c>
      <c r="S48" s="81">
        <v>0</v>
      </c>
      <c r="T48" s="81">
        <v>0</v>
      </c>
      <c r="U48" s="81">
        <v>770</v>
      </c>
      <c r="V48" s="81">
        <v>0</v>
      </c>
      <c r="W48" s="81">
        <v>531</v>
      </c>
      <c r="X48" s="80">
        <v>6002</v>
      </c>
      <c r="Y48" s="81">
        <v>0</v>
      </c>
      <c r="Z48" s="81">
        <v>0</v>
      </c>
      <c r="AA48" s="81">
        <v>377</v>
      </c>
      <c r="AB48" s="81">
        <v>0</v>
      </c>
      <c r="AC48" s="82">
        <v>2</v>
      </c>
      <c r="AD48" t="str">
        <f>VLOOKUP(A48,'FRS geographical categories'!$A$2:$C$46,2,0)</f>
        <v>Predominantly Urban</v>
      </c>
      <c r="AE48" t="str">
        <f>VLOOKUP(A48,'FRS geographical categories'!$A$2:$C$46,3,0)</f>
        <v>Non-metropolitan</v>
      </c>
    </row>
    <row r="49" spans="1:31" x14ac:dyDescent="0.3">
      <c r="A49" s="58" t="s">
        <v>36</v>
      </c>
      <c r="B49" s="80">
        <v>3098</v>
      </c>
      <c r="C49" s="81">
        <v>0</v>
      </c>
      <c r="D49" s="81">
        <v>1552</v>
      </c>
      <c r="E49" s="82">
        <v>0</v>
      </c>
      <c r="F49" s="80">
        <v>2881</v>
      </c>
      <c r="G49" s="81">
        <v>0</v>
      </c>
      <c r="H49" s="81">
        <v>1430</v>
      </c>
      <c r="I49" s="82">
        <v>0</v>
      </c>
      <c r="J49" s="81">
        <v>0</v>
      </c>
      <c r="K49" s="81">
        <v>0</v>
      </c>
      <c r="L49" s="81">
        <v>0</v>
      </c>
      <c r="M49" s="82">
        <v>0</v>
      </c>
      <c r="N49" s="80">
        <v>0</v>
      </c>
      <c r="O49" s="81">
        <v>0</v>
      </c>
      <c r="P49" s="81">
        <v>0</v>
      </c>
      <c r="Q49" s="82">
        <v>0</v>
      </c>
      <c r="R49" s="80">
        <v>8648</v>
      </c>
      <c r="S49" s="81">
        <v>0</v>
      </c>
      <c r="T49" s="81">
        <v>0</v>
      </c>
      <c r="U49" s="81">
        <v>936</v>
      </c>
      <c r="V49" s="81">
        <v>0</v>
      </c>
      <c r="W49" s="81">
        <v>0</v>
      </c>
      <c r="X49" s="80">
        <v>7932</v>
      </c>
      <c r="Y49" s="81">
        <v>0</v>
      </c>
      <c r="Z49" s="81">
        <v>0</v>
      </c>
      <c r="AA49" s="81">
        <v>898</v>
      </c>
      <c r="AB49" s="81">
        <v>0</v>
      </c>
      <c r="AC49" s="82">
        <v>0</v>
      </c>
      <c r="AD49" t="str">
        <f>VLOOKUP(A49,'FRS geographical categories'!$A$2:$C$46,2,0)</f>
        <v>Predominantly Rural</v>
      </c>
      <c r="AE49" t="str">
        <f>VLOOKUP(A49,'FRS geographical categories'!$A$2:$C$46,3,0)</f>
        <v>Non-metropolitan</v>
      </c>
    </row>
    <row r="50" spans="1:31" x14ac:dyDescent="0.3">
      <c r="A50" s="58" t="s">
        <v>37</v>
      </c>
      <c r="B50" s="80">
        <v>4262</v>
      </c>
      <c r="C50" s="81">
        <v>564</v>
      </c>
      <c r="D50" s="81">
        <v>2340</v>
      </c>
      <c r="E50" s="82">
        <v>546</v>
      </c>
      <c r="F50" s="80">
        <v>4195</v>
      </c>
      <c r="G50" s="81">
        <v>564</v>
      </c>
      <c r="H50" s="81">
        <v>2340</v>
      </c>
      <c r="I50" s="82">
        <v>546</v>
      </c>
      <c r="J50" s="81">
        <v>594</v>
      </c>
      <c r="K50" s="81">
        <v>0</v>
      </c>
      <c r="L50" s="81">
        <v>0</v>
      </c>
      <c r="M50" s="82">
        <v>0</v>
      </c>
      <c r="N50" s="80">
        <v>0</v>
      </c>
      <c r="O50" s="81">
        <v>0</v>
      </c>
      <c r="P50" s="81">
        <v>0</v>
      </c>
      <c r="Q50" s="82">
        <v>0</v>
      </c>
      <c r="R50" s="80"/>
      <c r="S50" s="81"/>
      <c r="T50" s="81"/>
      <c r="U50" s="81"/>
      <c r="V50" s="81"/>
      <c r="W50" s="81"/>
      <c r="X50" s="80">
        <v>149</v>
      </c>
      <c r="Y50" s="81">
        <v>0</v>
      </c>
      <c r="Z50" s="81">
        <v>0</v>
      </c>
      <c r="AA50" s="81">
        <v>8</v>
      </c>
      <c r="AB50" s="81">
        <v>0</v>
      </c>
      <c r="AC50" s="82">
        <v>55</v>
      </c>
      <c r="AD50" t="str">
        <f>VLOOKUP(A50,'FRS geographical categories'!$A$2:$C$46,2,0)</f>
        <v>Predominantly Rural</v>
      </c>
      <c r="AE50" t="str">
        <f>VLOOKUP(A50,'FRS geographical categories'!$A$2:$C$46,3,0)</f>
        <v>Non-metropolitan</v>
      </c>
    </row>
    <row r="51" spans="1:31" x14ac:dyDescent="0.3">
      <c r="A51" s="58" t="s">
        <v>38</v>
      </c>
      <c r="B51" s="80">
        <v>14705</v>
      </c>
      <c r="C51" s="81">
        <v>2631</v>
      </c>
      <c r="D51" s="81">
        <v>3534</v>
      </c>
      <c r="E51" s="82">
        <v>1484</v>
      </c>
      <c r="F51" s="80">
        <v>214</v>
      </c>
      <c r="G51" s="81">
        <v>93</v>
      </c>
      <c r="H51" s="81">
        <v>101</v>
      </c>
      <c r="I51" s="82">
        <v>0</v>
      </c>
      <c r="J51" s="81">
        <v>66</v>
      </c>
      <c r="K51" s="81">
        <v>4</v>
      </c>
      <c r="L51" s="81">
        <v>11</v>
      </c>
      <c r="M51" s="82">
        <v>2</v>
      </c>
      <c r="N51" s="80">
        <v>0</v>
      </c>
      <c r="O51" s="81">
        <v>0</v>
      </c>
      <c r="P51" s="81">
        <v>0</v>
      </c>
      <c r="Q51" s="82">
        <v>0</v>
      </c>
      <c r="R51" s="80">
        <v>630</v>
      </c>
      <c r="S51" s="81">
        <v>20</v>
      </c>
      <c r="T51" s="81">
        <v>16</v>
      </c>
      <c r="U51" s="81" t="s">
        <v>62</v>
      </c>
      <c r="V51" s="81">
        <v>0</v>
      </c>
      <c r="W51" s="81" t="s">
        <v>62</v>
      </c>
      <c r="X51" s="80">
        <v>0</v>
      </c>
      <c r="Y51" s="81">
        <v>0</v>
      </c>
      <c r="Z51" s="81">
        <v>16</v>
      </c>
      <c r="AA51" s="81" t="s">
        <v>62</v>
      </c>
      <c r="AB51" s="81">
        <v>0</v>
      </c>
      <c r="AC51" s="82" t="s">
        <v>62</v>
      </c>
      <c r="AD51" t="str">
        <f>VLOOKUP(A51,'FRS geographical categories'!$A$2:$C$46,2,0)</f>
        <v>Predominantly Urban</v>
      </c>
      <c r="AE51" t="str">
        <f>VLOOKUP(A51,'FRS geographical categories'!$A$2:$C$46,3,0)</f>
        <v>Metropolitan</v>
      </c>
    </row>
    <row r="52" spans="1:31" x14ac:dyDescent="0.3">
      <c r="A52" s="58" t="s">
        <v>39</v>
      </c>
      <c r="B52" s="80">
        <v>24444</v>
      </c>
      <c r="C52" s="81">
        <v>6309</v>
      </c>
      <c r="D52" s="81">
        <v>8417</v>
      </c>
      <c r="E52" s="82">
        <v>1364</v>
      </c>
      <c r="F52" s="80">
        <v>24444</v>
      </c>
      <c r="G52" s="81">
        <v>6309</v>
      </c>
      <c r="H52" s="81">
        <v>8417</v>
      </c>
      <c r="I52" s="82">
        <v>1364</v>
      </c>
      <c r="J52" s="81">
        <v>259</v>
      </c>
      <c r="K52" s="81">
        <v>160</v>
      </c>
      <c r="L52" s="81">
        <v>40</v>
      </c>
      <c r="M52" s="82">
        <v>42</v>
      </c>
      <c r="N52" s="80">
        <v>259</v>
      </c>
      <c r="O52" s="81">
        <v>160</v>
      </c>
      <c r="P52" s="81">
        <v>40</v>
      </c>
      <c r="Q52" s="82">
        <v>42</v>
      </c>
      <c r="R52" s="80">
        <v>0</v>
      </c>
      <c r="S52" s="81">
        <v>0</v>
      </c>
      <c r="T52" s="81">
        <v>0</v>
      </c>
      <c r="U52" s="81">
        <v>0</v>
      </c>
      <c r="V52" s="81">
        <v>0</v>
      </c>
      <c r="W52" s="81">
        <v>0</v>
      </c>
      <c r="X52" s="80">
        <v>0</v>
      </c>
      <c r="Y52" s="81">
        <v>0</v>
      </c>
      <c r="Z52" s="81">
        <v>0</v>
      </c>
      <c r="AA52" s="81">
        <v>0</v>
      </c>
      <c r="AB52" s="81">
        <v>0</v>
      </c>
      <c r="AC52" s="82">
        <v>0</v>
      </c>
      <c r="AD52" t="str">
        <f>VLOOKUP(A52,'FRS geographical categories'!$A$2:$C$46,2,0)</f>
        <v>Significantly Rural</v>
      </c>
      <c r="AE52" t="str">
        <f>VLOOKUP(A52,'FRS geographical categories'!$A$2:$C$46,3,0)</f>
        <v>Non-metropolitan</v>
      </c>
    </row>
    <row r="53" spans="1:31" x14ac:dyDescent="0.3">
      <c r="A53" s="58" t="s">
        <v>40</v>
      </c>
      <c r="B53" s="80">
        <v>1470</v>
      </c>
      <c r="C53" s="81">
        <v>242</v>
      </c>
      <c r="D53" s="81">
        <v>268</v>
      </c>
      <c r="E53" s="82">
        <v>0</v>
      </c>
      <c r="F53" s="80">
        <v>870</v>
      </c>
      <c r="G53" s="81">
        <v>221</v>
      </c>
      <c r="H53" s="81">
        <v>122</v>
      </c>
      <c r="I53" s="82">
        <v>43</v>
      </c>
      <c r="J53" s="81">
        <v>78</v>
      </c>
      <c r="K53" s="81">
        <v>0</v>
      </c>
      <c r="L53" s="81">
        <v>0</v>
      </c>
      <c r="M53" s="82">
        <v>0</v>
      </c>
      <c r="N53" s="80">
        <v>0</v>
      </c>
      <c r="O53" s="81">
        <v>0</v>
      </c>
      <c r="P53" s="81">
        <v>0</v>
      </c>
      <c r="Q53" s="82">
        <v>0</v>
      </c>
      <c r="R53" s="80">
        <v>2316</v>
      </c>
      <c r="S53" s="81">
        <v>20</v>
      </c>
      <c r="T53" s="81">
        <v>0</v>
      </c>
      <c r="U53" s="81">
        <v>238</v>
      </c>
      <c r="V53" s="81">
        <v>0</v>
      </c>
      <c r="W53" s="81">
        <v>0</v>
      </c>
      <c r="X53" s="80">
        <v>0</v>
      </c>
      <c r="Y53" s="81">
        <v>0</v>
      </c>
      <c r="Z53" s="81">
        <v>0</v>
      </c>
      <c r="AA53" s="81">
        <v>792</v>
      </c>
      <c r="AB53" s="81">
        <v>0</v>
      </c>
      <c r="AC53" s="82">
        <v>78</v>
      </c>
      <c r="AD53" t="str">
        <f>VLOOKUP(A53,'FRS geographical categories'!$A$2:$C$46,2,0)</f>
        <v>Predominantly Rural</v>
      </c>
      <c r="AE53" t="str">
        <f>VLOOKUP(A53,'FRS geographical categories'!$A$2:$C$46,3,0)</f>
        <v>Non-metropolitan</v>
      </c>
    </row>
    <row r="54" spans="1:31" x14ac:dyDescent="0.3">
      <c r="A54" s="58" t="s">
        <v>41</v>
      </c>
      <c r="B54" s="80">
        <v>4700</v>
      </c>
      <c r="C54" s="81">
        <v>1707</v>
      </c>
      <c r="D54" s="81">
        <v>1408</v>
      </c>
      <c r="E54" s="82">
        <v>299</v>
      </c>
      <c r="F54" s="80">
        <v>244</v>
      </c>
      <c r="G54" s="81">
        <v>0</v>
      </c>
      <c r="H54" s="81">
        <v>0</v>
      </c>
      <c r="I54" s="82">
        <v>0</v>
      </c>
      <c r="J54" s="81">
        <v>0</v>
      </c>
      <c r="K54" s="81">
        <v>0</v>
      </c>
      <c r="L54" s="81">
        <v>0</v>
      </c>
      <c r="M54" s="82">
        <v>0</v>
      </c>
      <c r="N54" s="80">
        <v>0</v>
      </c>
      <c r="O54" s="81">
        <v>0</v>
      </c>
      <c r="P54" s="81">
        <v>0</v>
      </c>
      <c r="Q54" s="82">
        <v>0</v>
      </c>
      <c r="R54" s="80">
        <v>7493</v>
      </c>
      <c r="S54" s="81">
        <v>777</v>
      </c>
      <c r="T54" s="81">
        <v>0</v>
      </c>
      <c r="U54" s="81">
        <v>565</v>
      </c>
      <c r="V54" s="81">
        <v>0</v>
      </c>
      <c r="W54" s="81">
        <v>0</v>
      </c>
      <c r="X54" s="80">
        <v>94</v>
      </c>
      <c r="Y54" s="81">
        <v>0</v>
      </c>
      <c r="Z54" s="81">
        <v>0</v>
      </c>
      <c r="AA54" s="81">
        <v>150</v>
      </c>
      <c r="AB54" s="81">
        <v>0</v>
      </c>
      <c r="AC54" s="82">
        <v>0</v>
      </c>
      <c r="AD54" t="str">
        <f>VLOOKUP(A54,'FRS geographical categories'!$A$2:$C$46,2,0)</f>
        <v>Predominantly Urban</v>
      </c>
      <c r="AE54" t="str">
        <f>VLOOKUP(A54,'FRS geographical categories'!$A$2:$C$46,3,0)</f>
        <v>Non-metropolitan</v>
      </c>
    </row>
    <row r="55" spans="1:31" x14ac:dyDescent="0.3">
      <c r="A55" s="58" t="s">
        <v>42</v>
      </c>
      <c r="B55" s="80">
        <v>24638</v>
      </c>
      <c r="C55" s="81">
        <v>4879</v>
      </c>
      <c r="D55" s="81">
        <v>7097</v>
      </c>
      <c r="E55" s="82">
        <v>1169</v>
      </c>
      <c r="F55" s="80">
        <v>9966</v>
      </c>
      <c r="G55" s="81">
        <v>4188</v>
      </c>
      <c r="H55" s="81">
        <v>2272</v>
      </c>
      <c r="I55" s="82">
        <v>847</v>
      </c>
      <c r="J55" s="81">
        <v>3617</v>
      </c>
      <c r="K55" s="81">
        <v>999</v>
      </c>
      <c r="L55" s="81">
        <v>1289</v>
      </c>
      <c r="M55" s="82">
        <v>337</v>
      </c>
      <c r="N55" s="80">
        <v>195</v>
      </c>
      <c r="O55" s="81">
        <v>68</v>
      </c>
      <c r="P55" s="81">
        <v>79</v>
      </c>
      <c r="Q55" s="82">
        <v>19</v>
      </c>
      <c r="R55" s="80">
        <v>462</v>
      </c>
      <c r="S55" s="81">
        <v>74</v>
      </c>
      <c r="T55" s="81">
        <v>0</v>
      </c>
      <c r="U55" s="81">
        <v>34</v>
      </c>
      <c r="V55" s="81">
        <v>52</v>
      </c>
      <c r="W55" s="81">
        <v>0</v>
      </c>
      <c r="X55" s="80">
        <v>0</v>
      </c>
      <c r="Y55" s="81">
        <v>74</v>
      </c>
      <c r="Z55" s="81">
        <v>3</v>
      </c>
      <c r="AA55" s="81">
        <v>34</v>
      </c>
      <c r="AB55" s="81">
        <v>31</v>
      </c>
      <c r="AC55" s="82">
        <v>0</v>
      </c>
      <c r="AD55" t="str">
        <f>VLOOKUP(A55,'FRS geographical categories'!$A$2:$C$46,2,0)</f>
        <v>Predominantly Urban</v>
      </c>
      <c r="AE55" t="str">
        <f>VLOOKUP(A55,'FRS geographical categories'!$A$2:$C$46,3,0)</f>
        <v>Metropolitan</v>
      </c>
    </row>
    <row r="56" spans="1:31" x14ac:dyDescent="0.3">
      <c r="A56" s="58" t="s">
        <v>43</v>
      </c>
      <c r="B56" s="80">
        <v>5913</v>
      </c>
      <c r="C56" s="81">
        <v>1469</v>
      </c>
      <c r="D56" s="81">
        <v>4024</v>
      </c>
      <c r="E56" s="82">
        <v>420</v>
      </c>
      <c r="F56" s="80">
        <v>5913</v>
      </c>
      <c r="G56" s="81">
        <v>1469</v>
      </c>
      <c r="H56" s="81">
        <v>4024</v>
      </c>
      <c r="I56" s="82">
        <v>420</v>
      </c>
      <c r="J56" s="81">
        <v>0</v>
      </c>
      <c r="K56" s="81">
        <v>0</v>
      </c>
      <c r="L56" s="81">
        <v>0</v>
      </c>
      <c r="M56" s="82">
        <v>0</v>
      </c>
      <c r="N56" s="80">
        <v>0</v>
      </c>
      <c r="O56" s="81">
        <v>0</v>
      </c>
      <c r="P56" s="81">
        <v>0</v>
      </c>
      <c r="Q56" s="82">
        <v>0</v>
      </c>
      <c r="R56" s="80">
        <v>11222</v>
      </c>
      <c r="S56" s="81">
        <v>0</v>
      </c>
      <c r="T56" s="81">
        <v>0</v>
      </c>
      <c r="U56" s="81">
        <v>644</v>
      </c>
      <c r="V56" s="81">
        <v>0</v>
      </c>
      <c r="W56" s="81">
        <v>0</v>
      </c>
      <c r="X56" s="80">
        <v>11222</v>
      </c>
      <c r="Y56" s="81">
        <v>0</v>
      </c>
      <c r="Z56" s="81">
        <v>0</v>
      </c>
      <c r="AA56" s="81">
        <v>644</v>
      </c>
      <c r="AB56" s="81">
        <v>0</v>
      </c>
      <c r="AC56" s="82">
        <v>0</v>
      </c>
      <c r="AD56" t="str">
        <f>VLOOKUP(A56,'FRS geographical categories'!$A$2:$C$46,2,0)</f>
        <v>Significantly Rural</v>
      </c>
      <c r="AE56" t="str">
        <f>VLOOKUP(A56,'FRS geographical categories'!$A$2:$C$46,3,0)</f>
        <v>Non-metropolitan</v>
      </c>
    </row>
    <row r="57" spans="1:31" x14ac:dyDescent="0.3">
      <c r="A57" s="58" t="s">
        <v>44</v>
      </c>
      <c r="B57" s="80">
        <v>40537</v>
      </c>
      <c r="C57" s="81">
        <v>16895</v>
      </c>
      <c r="D57" s="81">
        <v>5300</v>
      </c>
      <c r="E57" s="82">
        <v>6061</v>
      </c>
      <c r="F57" s="80">
        <v>40537</v>
      </c>
      <c r="G57" s="81">
        <v>16895</v>
      </c>
      <c r="H57" s="81">
        <v>5300</v>
      </c>
      <c r="I57" s="82">
        <v>6061</v>
      </c>
      <c r="J57" s="81">
        <v>0</v>
      </c>
      <c r="K57" s="81">
        <v>0</v>
      </c>
      <c r="L57" s="81">
        <v>0</v>
      </c>
      <c r="M57" s="82">
        <v>0</v>
      </c>
      <c r="N57" s="80">
        <v>0</v>
      </c>
      <c r="O57" s="81">
        <v>0</v>
      </c>
      <c r="P57" s="81">
        <v>0</v>
      </c>
      <c r="Q57" s="82">
        <v>0</v>
      </c>
      <c r="R57" s="80">
        <v>176984.54199999999</v>
      </c>
      <c r="S57" s="81">
        <v>0</v>
      </c>
      <c r="T57" s="81">
        <v>0</v>
      </c>
      <c r="U57" s="81">
        <v>0</v>
      </c>
      <c r="V57" s="81">
        <v>0</v>
      </c>
      <c r="W57" s="81">
        <v>0</v>
      </c>
      <c r="X57" s="80">
        <v>176984.54199999999</v>
      </c>
      <c r="Y57" s="81">
        <v>0</v>
      </c>
      <c r="Z57" s="81">
        <v>0</v>
      </c>
      <c r="AA57" s="81">
        <v>0</v>
      </c>
      <c r="AB57" s="81">
        <v>0</v>
      </c>
      <c r="AC57" s="82">
        <v>0</v>
      </c>
      <c r="AD57" t="str">
        <f>VLOOKUP(A57,'FRS geographical categories'!$A$2:$C$46,2,0)</f>
        <v>Predominantly Urban</v>
      </c>
      <c r="AE57" t="str">
        <f>VLOOKUP(A57,'FRS geographical categories'!$A$2:$C$46,3,0)</f>
        <v>Metropolitan</v>
      </c>
    </row>
    <row r="58" spans="1:31" x14ac:dyDescent="0.3">
      <c r="A58" s="58" t="s">
        <v>45</v>
      </c>
      <c r="B58" s="80">
        <v>5308</v>
      </c>
      <c r="C58" s="81">
        <v>1120</v>
      </c>
      <c r="D58" s="81">
        <v>3463</v>
      </c>
      <c r="E58" s="82">
        <v>725</v>
      </c>
      <c r="F58" s="80">
        <v>5308</v>
      </c>
      <c r="G58" s="81">
        <v>1120</v>
      </c>
      <c r="H58" s="81">
        <v>3463</v>
      </c>
      <c r="I58" s="82">
        <v>725</v>
      </c>
      <c r="J58" s="81">
        <v>0</v>
      </c>
      <c r="K58" s="81">
        <v>0</v>
      </c>
      <c r="L58" s="81">
        <v>0</v>
      </c>
      <c r="M58" s="82">
        <v>0</v>
      </c>
      <c r="N58" s="80">
        <v>0</v>
      </c>
      <c r="O58" s="81">
        <v>0</v>
      </c>
      <c r="P58" s="81">
        <v>0</v>
      </c>
      <c r="Q58" s="82">
        <v>0</v>
      </c>
      <c r="R58" s="80">
        <v>377.5</v>
      </c>
      <c r="S58" s="81"/>
      <c r="T58" s="81">
        <v>8</v>
      </c>
      <c r="U58" s="81">
        <v>0</v>
      </c>
      <c r="V58" s="81">
        <v>0</v>
      </c>
      <c r="W58" s="81">
        <v>0</v>
      </c>
      <c r="X58" s="80">
        <v>377.5</v>
      </c>
      <c r="Y58" s="81"/>
      <c r="Z58" s="81">
        <v>8</v>
      </c>
      <c r="AA58" s="81">
        <v>0</v>
      </c>
      <c r="AB58" s="81">
        <v>0</v>
      </c>
      <c r="AC58" s="82">
        <v>0</v>
      </c>
      <c r="AD58" t="str">
        <f>VLOOKUP(A58,'FRS geographical categories'!$A$2:$C$46,2,0)</f>
        <v>Significantly Rural</v>
      </c>
      <c r="AE58" t="str">
        <f>VLOOKUP(A58,'FRS geographical categories'!$A$2:$C$46,3,0)</f>
        <v>Non-metropolitan</v>
      </c>
    </row>
    <row r="59" spans="1:31" ht="15" thickBot="1" x14ac:dyDescent="0.35">
      <c r="A59" s="58" t="s">
        <v>46</v>
      </c>
      <c r="B59" s="83">
        <v>16350</v>
      </c>
      <c r="C59" s="84">
        <v>6216</v>
      </c>
      <c r="D59" s="84">
        <v>4038</v>
      </c>
      <c r="E59" s="85">
        <v>1759</v>
      </c>
      <c r="F59" s="83">
        <v>16350</v>
      </c>
      <c r="G59" s="84">
        <v>6216</v>
      </c>
      <c r="H59" s="84">
        <v>4038</v>
      </c>
      <c r="I59" s="85">
        <v>1759</v>
      </c>
      <c r="J59" s="84">
        <v>0</v>
      </c>
      <c r="K59" s="84">
        <v>0</v>
      </c>
      <c r="L59" s="84">
        <v>0</v>
      </c>
      <c r="M59" s="85">
        <v>0</v>
      </c>
      <c r="N59" s="83">
        <v>0</v>
      </c>
      <c r="O59" s="84">
        <v>0</v>
      </c>
      <c r="P59" s="84">
        <v>0</v>
      </c>
      <c r="Q59" s="85">
        <v>0</v>
      </c>
      <c r="R59" s="83">
        <v>878</v>
      </c>
      <c r="S59" s="84">
        <v>0</v>
      </c>
      <c r="T59" s="84">
        <v>0</v>
      </c>
      <c r="U59" s="84">
        <v>25</v>
      </c>
      <c r="V59" s="84">
        <v>0</v>
      </c>
      <c r="W59" s="84">
        <v>0</v>
      </c>
      <c r="X59" s="83">
        <v>878</v>
      </c>
      <c r="Y59" s="84">
        <v>0</v>
      </c>
      <c r="Z59" s="84">
        <v>0</v>
      </c>
      <c r="AA59" s="84">
        <v>25</v>
      </c>
      <c r="AB59" s="84">
        <v>0</v>
      </c>
      <c r="AC59" s="85">
        <v>0</v>
      </c>
      <c r="AD59" t="str">
        <f>VLOOKUP(A59,'FRS geographical categories'!$A$2:$C$46,2,0)</f>
        <v>Predominantly Urban</v>
      </c>
      <c r="AE59" t="str">
        <f>VLOOKUP(A59,'FRS geographical categories'!$A$2:$C$46,3,0)</f>
        <v>Metropolitan</v>
      </c>
    </row>
  </sheetData>
  <mergeCells count="9">
    <mergeCell ref="R7:W7"/>
    <mergeCell ref="X7:AC7"/>
    <mergeCell ref="R6:AC6"/>
    <mergeCell ref="B6:I6"/>
    <mergeCell ref="J6:Q6"/>
    <mergeCell ref="B7:E7"/>
    <mergeCell ref="F7:I7"/>
    <mergeCell ref="J7:M7"/>
    <mergeCell ref="N7:Q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F758-6CCD-40EF-82AC-62C9D87A63A4}">
  <sheetPr codeName="Sheet15">
    <tabColor rgb="FF2634EA"/>
  </sheetPr>
  <dimension ref="A1:AJ60"/>
  <sheetViews>
    <sheetView topLeftCell="B1" zoomScale="60" zoomScaleNormal="60" workbookViewId="0">
      <pane ySplit="9" topLeftCell="A10" activePane="bottomLeft" state="frozen"/>
      <selection pane="bottomLeft" activeCell="Q11" sqref="Q11"/>
    </sheetView>
  </sheetViews>
  <sheetFormatPr defaultColWidth="8.77734375" defaultRowHeight="14.4" x14ac:dyDescent="0.3"/>
  <cols>
    <col min="1" max="1" width="39.21875" style="5" bestFit="1" customWidth="1"/>
    <col min="2" max="18" width="12.77734375" style="5" customWidth="1"/>
    <col min="19" max="19" width="2.77734375" style="5" customWidth="1"/>
    <col min="20" max="24" width="12.77734375" style="5" customWidth="1"/>
    <col min="25" max="25" width="4.77734375" style="5" customWidth="1"/>
    <col min="26" max="30" width="12.77734375" style="5" customWidth="1"/>
    <col min="31" max="31" width="2.77734375" style="5" customWidth="1"/>
    <col min="32" max="36" width="12.77734375" style="5" customWidth="1"/>
    <col min="37" max="16384" width="8.77734375" style="5"/>
  </cols>
  <sheetData>
    <row r="1" spans="1:36" s="3" customFormat="1" ht="41.55" customHeight="1" x14ac:dyDescent="0.45">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
      <c r="AJ1" s="1"/>
    </row>
    <row r="2" spans="1:36" ht="15" customHeight="1" x14ac:dyDescent="0.3">
      <c r="A2" s="4"/>
      <c r="B2" s="4"/>
      <c r="C2" s="4"/>
      <c r="D2" s="4"/>
      <c r="E2" s="4"/>
      <c r="F2" s="4"/>
      <c r="G2" s="4"/>
      <c r="H2" s="4"/>
      <c r="I2" s="4"/>
      <c r="J2" s="4"/>
      <c r="K2" s="4"/>
      <c r="L2" s="4"/>
      <c r="M2" s="4"/>
      <c r="N2" s="4">
        <v>2</v>
      </c>
      <c r="O2" s="4">
        <v>3</v>
      </c>
      <c r="P2" s="4">
        <v>4</v>
      </c>
      <c r="Q2" s="4">
        <v>5</v>
      </c>
      <c r="R2" s="4"/>
      <c r="S2" s="4"/>
      <c r="T2" s="4">
        <f>N2+4</f>
        <v>6</v>
      </c>
      <c r="U2" s="4">
        <f t="shared" ref="U2:W2" si="0">O2+4</f>
        <v>7</v>
      </c>
      <c r="V2" s="4">
        <f t="shared" si="0"/>
        <v>8</v>
      </c>
      <c r="W2" s="4">
        <f t="shared" si="0"/>
        <v>9</v>
      </c>
      <c r="X2" s="4"/>
      <c r="Y2" s="4"/>
      <c r="Z2" s="4">
        <f>T2+4</f>
        <v>10</v>
      </c>
      <c r="AA2" s="4">
        <f t="shared" ref="AA2" si="1">U2+4</f>
        <v>11</v>
      </c>
      <c r="AB2" s="4">
        <f t="shared" ref="AB2" si="2">V2+4</f>
        <v>12</v>
      </c>
      <c r="AC2" s="4">
        <f t="shared" ref="AC2" si="3">W2+4</f>
        <v>13</v>
      </c>
      <c r="AD2" s="4"/>
      <c r="AE2" s="4"/>
      <c r="AF2" s="4">
        <f>Z2+4</f>
        <v>14</v>
      </c>
      <c r="AG2" s="4">
        <f t="shared" ref="AG2" si="4">AA2+4</f>
        <v>15</v>
      </c>
      <c r="AH2" s="4">
        <f t="shared" ref="AH2" si="5">AB2+4</f>
        <v>16</v>
      </c>
      <c r="AI2" s="4">
        <f t="shared" ref="AI2" si="6">AC2+4</f>
        <v>17</v>
      </c>
      <c r="AJ2" s="4"/>
    </row>
    <row r="3" spans="1:36" ht="15" customHeight="1" x14ac:dyDescent="0.3">
      <c r="A3" s="21"/>
      <c r="B3" s="22"/>
      <c r="C3" s="22"/>
      <c r="D3" s="22"/>
      <c r="E3" s="22"/>
      <c r="F3" s="22"/>
      <c r="G3" s="22"/>
      <c r="H3" s="22"/>
      <c r="I3" s="22"/>
      <c r="J3" s="22"/>
      <c r="K3" s="22"/>
      <c r="L3" s="22"/>
      <c r="M3" s="22"/>
      <c r="N3" s="22"/>
      <c r="O3" s="22"/>
      <c r="P3" s="22"/>
      <c r="Q3" s="22"/>
      <c r="R3" s="22"/>
      <c r="S3" s="22"/>
      <c r="T3" s="22"/>
      <c r="U3" s="4"/>
      <c r="V3" s="4"/>
      <c r="W3" s="4"/>
      <c r="X3" s="4"/>
      <c r="Y3" s="4"/>
      <c r="Z3" s="4"/>
      <c r="AA3" s="4"/>
      <c r="AB3" s="4"/>
      <c r="AC3" s="4"/>
      <c r="AD3" s="4"/>
      <c r="AE3" s="4"/>
      <c r="AF3" s="4"/>
      <c r="AG3" s="4"/>
      <c r="AH3" s="4"/>
      <c r="AI3" s="4"/>
      <c r="AJ3" s="4"/>
    </row>
    <row r="4" spans="1:36" ht="15" customHeight="1" x14ac:dyDescent="0.3">
      <c r="A4" s="185" t="str">
        <f>FIRE1201!A3</f>
        <v>2019-20</v>
      </c>
      <c r="B4" s="185"/>
      <c r="C4" s="185"/>
      <c r="D4" s="185"/>
      <c r="E4" s="185"/>
      <c r="F4" s="185"/>
      <c r="G4" s="185"/>
      <c r="H4" s="185"/>
      <c r="I4" s="185"/>
      <c r="J4" s="185"/>
      <c r="K4" s="185"/>
      <c r="L4" s="185"/>
      <c r="M4" s="185"/>
      <c r="N4" s="185"/>
      <c r="O4" s="185"/>
      <c r="P4" s="185"/>
      <c r="Q4" s="185"/>
      <c r="R4" s="185"/>
      <c r="S4" s="185"/>
      <c r="T4" s="4"/>
      <c r="U4" s="4"/>
      <c r="V4" s="4"/>
      <c r="W4" s="4"/>
      <c r="X4" s="4"/>
      <c r="Y4" s="4"/>
      <c r="Z4" s="4"/>
      <c r="AA4" s="4"/>
      <c r="AB4" s="4"/>
      <c r="AC4" s="4"/>
      <c r="AD4" s="4"/>
      <c r="AE4" s="4"/>
      <c r="AF4" s="4"/>
      <c r="AG4" s="4"/>
      <c r="AH4" s="4"/>
      <c r="AI4" s="4"/>
      <c r="AJ4" s="4"/>
    </row>
    <row r="5" spans="1:36" x14ac:dyDescent="0.3">
      <c r="A5" s="4"/>
      <c r="B5" s="89"/>
      <c r="C5" s="89"/>
      <c r="D5" s="89"/>
      <c r="E5" s="89"/>
      <c r="F5" s="89"/>
      <c r="G5" s="89"/>
      <c r="H5" s="89"/>
      <c r="I5" s="89"/>
      <c r="J5" s="89"/>
      <c r="K5" s="89"/>
      <c r="L5" s="89"/>
      <c r="M5" s="89"/>
      <c r="N5" s="199"/>
      <c r="O5" s="199"/>
      <c r="P5" s="199"/>
      <c r="Q5" s="199"/>
      <c r="R5" s="199"/>
      <c r="S5" s="199"/>
      <c r="T5" s="44"/>
      <c r="U5" s="44"/>
      <c r="V5" s="44"/>
      <c r="W5" s="44"/>
      <c r="X5" s="44"/>
      <c r="Y5" s="44"/>
      <c r="Z5" s="44"/>
      <c r="AA5" s="44"/>
      <c r="AB5" s="44"/>
      <c r="AC5" s="44"/>
      <c r="AD5" s="44"/>
      <c r="AE5" s="44"/>
      <c r="AF5" s="44"/>
      <c r="AG5" s="44"/>
      <c r="AH5" s="44"/>
      <c r="AI5" s="4"/>
      <c r="AJ5" s="4"/>
    </row>
    <row r="6" spans="1:36" s="3" customFormat="1" ht="20.100000000000001" customHeight="1" thickBot="1" x14ac:dyDescent="0.35">
      <c r="A6" s="2"/>
      <c r="B6" s="186" t="s">
        <v>134</v>
      </c>
      <c r="C6" s="186"/>
      <c r="D6" s="186"/>
      <c r="E6" s="186"/>
      <c r="F6" s="186"/>
      <c r="G6" s="186"/>
      <c r="H6" s="186"/>
      <c r="I6" s="186"/>
      <c r="J6" s="186"/>
      <c r="K6" s="186"/>
      <c r="L6" s="186"/>
      <c r="M6" s="89"/>
      <c r="N6" s="186" t="s">
        <v>110</v>
      </c>
      <c r="O6" s="186"/>
      <c r="P6" s="186"/>
      <c r="Q6" s="186"/>
      <c r="R6" s="186"/>
      <c r="S6" s="186"/>
      <c r="T6" s="186"/>
      <c r="U6" s="186"/>
      <c r="V6" s="186"/>
      <c r="W6" s="186"/>
      <c r="X6" s="186"/>
      <c r="Y6" s="43"/>
      <c r="Z6" s="186" t="s">
        <v>111</v>
      </c>
      <c r="AA6" s="186"/>
      <c r="AB6" s="186"/>
      <c r="AC6" s="186"/>
      <c r="AD6" s="186"/>
      <c r="AE6" s="186"/>
      <c r="AF6" s="186"/>
      <c r="AG6" s="186"/>
      <c r="AH6" s="186"/>
      <c r="AI6" s="186"/>
      <c r="AJ6" s="186"/>
    </row>
    <row r="7" spans="1:36" s="3" customFormat="1" ht="20.100000000000001" customHeight="1" thickBot="1" x14ac:dyDescent="0.35">
      <c r="A7" s="2"/>
      <c r="B7" s="200" t="s">
        <v>97</v>
      </c>
      <c r="C7" s="200"/>
      <c r="D7" s="200"/>
      <c r="E7" s="200"/>
      <c r="F7" s="200"/>
      <c r="G7" s="43"/>
      <c r="H7" s="200" t="s">
        <v>98</v>
      </c>
      <c r="I7" s="200"/>
      <c r="J7" s="200"/>
      <c r="K7" s="200"/>
      <c r="L7" s="200"/>
      <c r="M7" s="89"/>
      <c r="N7" s="200" t="s">
        <v>97</v>
      </c>
      <c r="O7" s="200"/>
      <c r="P7" s="200"/>
      <c r="Q7" s="200"/>
      <c r="R7" s="200"/>
      <c r="S7" s="43"/>
      <c r="T7" s="200" t="s">
        <v>98</v>
      </c>
      <c r="U7" s="200"/>
      <c r="V7" s="200"/>
      <c r="W7" s="200"/>
      <c r="X7" s="200"/>
      <c r="Y7" s="43"/>
      <c r="Z7" s="200" t="s">
        <v>97</v>
      </c>
      <c r="AA7" s="200"/>
      <c r="AB7" s="200"/>
      <c r="AC7" s="200"/>
      <c r="AD7" s="200"/>
      <c r="AE7" s="43"/>
      <c r="AF7" s="200" t="s">
        <v>98</v>
      </c>
      <c r="AG7" s="200"/>
      <c r="AH7" s="200"/>
      <c r="AI7" s="200"/>
      <c r="AJ7" s="200"/>
    </row>
    <row r="8" spans="1:36" s="45" customFormat="1" ht="60" customHeight="1" thickBot="1" x14ac:dyDescent="0.35">
      <c r="A8" s="46"/>
      <c r="B8" s="47" t="s">
        <v>99</v>
      </c>
      <c r="C8" s="48" t="s">
        <v>103</v>
      </c>
      <c r="D8" s="48" t="s">
        <v>100</v>
      </c>
      <c r="E8" s="48" t="s">
        <v>101</v>
      </c>
      <c r="F8" s="49" t="s">
        <v>102</v>
      </c>
      <c r="G8" s="49"/>
      <c r="H8" s="47" t="s">
        <v>99</v>
      </c>
      <c r="I8" s="48" t="s">
        <v>103</v>
      </c>
      <c r="J8" s="48" t="s">
        <v>100</v>
      </c>
      <c r="K8" s="48" t="s">
        <v>101</v>
      </c>
      <c r="L8" s="49" t="s">
        <v>102</v>
      </c>
      <c r="M8" s="47"/>
      <c r="N8" s="47" t="s">
        <v>99</v>
      </c>
      <c r="O8" s="48" t="s">
        <v>103</v>
      </c>
      <c r="P8" s="48" t="s">
        <v>100</v>
      </c>
      <c r="Q8" s="48" t="s">
        <v>101</v>
      </c>
      <c r="R8" s="49" t="s">
        <v>102</v>
      </c>
      <c r="S8" s="49"/>
      <c r="T8" s="47" t="s">
        <v>99</v>
      </c>
      <c r="U8" s="48" t="s">
        <v>103</v>
      </c>
      <c r="V8" s="48" t="s">
        <v>100</v>
      </c>
      <c r="W8" s="48" t="s">
        <v>101</v>
      </c>
      <c r="X8" s="49" t="s">
        <v>102</v>
      </c>
      <c r="Y8" s="49"/>
      <c r="Z8" s="47" t="s">
        <v>99</v>
      </c>
      <c r="AA8" s="48" t="s">
        <v>103</v>
      </c>
      <c r="AB8" s="48" t="s">
        <v>100</v>
      </c>
      <c r="AC8" s="48" t="s">
        <v>101</v>
      </c>
      <c r="AD8" s="49" t="s">
        <v>102</v>
      </c>
      <c r="AE8" s="49"/>
      <c r="AF8" s="47" t="s">
        <v>99</v>
      </c>
      <c r="AG8" s="48" t="s">
        <v>103</v>
      </c>
      <c r="AH8" s="48" t="s">
        <v>100</v>
      </c>
      <c r="AI8" s="48" t="s">
        <v>101</v>
      </c>
      <c r="AJ8" s="49" t="s">
        <v>102</v>
      </c>
    </row>
    <row r="9" spans="1:36" s="3" customFormat="1" ht="15" customHeight="1" x14ac:dyDescent="0.3">
      <c r="A9" s="24" t="s">
        <v>0</v>
      </c>
      <c r="B9" s="52">
        <f ca="1">N9+Z9</f>
        <v>581917</v>
      </c>
      <c r="C9" s="52">
        <f t="shared" ref="C9:H9" ca="1" si="7">O9+AA9</f>
        <v>126449</v>
      </c>
      <c r="D9" s="52">
        <f t="shared" ca="1" si="7"/>
        <v>194988</v>
      </c>
      <c r="E9" s="52">
        <f t="shared" ca="1" si="7"/>
        <v>42036</v>
      </c>
      <c r="F9" s="52">
        <f t="shared" ca="1" si="7"/>
        <v>218444</v>
      </c>
      <c r="G9" s="52"/>
      <c r="H9" s="52">
        <f t="shared" ca="1" si="7"/>
        <v>344815</v>
      </c>
      <c r="I9" s="52">
        <f t="shared" ref="I9" ca="1" si="8">U9+AG9</f>
        <v>86163</v>
      </c>
      <c r="J9" s="52">
        <f t="shared" ref="J9" ca="1" si="9">V9+AH9</f>
        <v>118374</v>
      </c>
      <c r="K9" s="52">
        <f t="shared" ref="K9" ca="1" si="10">W9+AI9</f>
        <v>27734</v>
      </c>
      <c r="L9" s="52">
        <f t="shared" ref="L9" ca="1" si="11">X9+AJ9</f>
        <v>112544</v>
      </c>
      <c r="M9" s="52"/>
      <c r="N9" s="52">
        <f ca="1">VLOOKUP($A9,INDIRECT("'"&amp;$A$4&amp;"'!"&amp;"a1:ac110"),N$2,FALSE)</f>
        <v>572310</v>
      </c>
      <c r="O9" s="52">
        <f t="shared" ref="O9:Q24" ca="1" si="12">VLOOKUP($A9,INDIRECT("'"&amp;$A$4&amp;"'!"&amp;"a1:ac110"),O$2,FALSE)</f>
        <v>123977</v>
      </c>
      <c r="P9" s="52">
        <f t="shared" ca="1" si="12"/>
        <v>192849</v>
      </c>
      <c r="Q9" s="52">
        <f t="shared" ca="1" si="12"/>
        <v>40404</v>
      </c>
      <c r="R9" s="54">
        <f ca="1">N9-O9-P9-Q9</f>
        <v>215080</v>
      </c>
      <c r="S9" s="43"/>
      <c r="T9" s="52">
        <f ca="1">VLOOKUP($A9,INDIRECT("'"&amp;$A$4&amp;"'!"&amp;"a1:ac110"),T$2,FALSE)</f>
        <v>333708</v>
      </c>
      <c r="U9" s="52">
        <f t="shared" ref="U9:W24" ca="1" si="13">VLOOKUP($A9,INDIRECT("'"&amp;$A$4&amp;"'!"&amp;"a1:ac110"),U$2,FALSE)</f>
        <v>82979</v>
      </c>
      <c r="V9" s="52">
        <f t="shared" ca="1" si="13"/>
        <v>115910</v>
      </c>
      <c r="W9" s="52">
        <f t="shared" ca="1" si="13"/>
        <v>26017</v>
      </c>
      <c r="X9" s="54">
        <f ca="1">T9-U9-V9-W9</f>
        <v>108802</v>
      </c>
      <c r="Y9" s="43"/>
      <c r="Z9" s="52">
        <f ca="1">VLOOKUP($A9,INDIRECT("'"&amp;$A$4&amp;"'!"&amp;"a1:ac110"),Z$2,FALSE)</f>
        <v>9607</v>
      </c>
      <c r="AA9" s="52">
        <f t="shared" ref="AA9:AC24" ca="1" si="14">VLOOKUP($A9,INDIRECT("'"&amp;$A$4&amp;"'!"&amp;"a1:ac110"),AA$2,FALSE)</f>
        <v>2472</v>
      </c>
      <c r="AB9" s="52">
        <f t="shared" ca="1" si="14"/>
        <v>2139</v>
      </c>
      <c r="AC9" s="52">
        <f t="shared" ca="1" si="14"/>
        <v>1632</v>
      </c>
      <c r="AD9" s="54">
        <f ca="1">Z9-AA9-AB9-AC9</f>
        <v>3364</v>
      </c>
      <c r="AE9" s="43"/>
      <c r="AF9" s="52">
        <f ca="1">VLOOKUP($A9,INDIRECT("'"&amp;$A$4&amp;"'!"&amp;"a1:ac110"),AF$2,FALSE)</f>
        <v>11107</v>
      </c>
      <c r="AG9" s="52">
        <f t="shared" ref="AG9:AI24" ca="1" si="15">VLOOKUP($A9,INDIRECT("'"&amp;$A$4&amp;"'!"&amp;"a1:ac110"),AG$2,FALSE)</f>
        <v>3184</v>
      </c>
      <c r="AH9" s="52">
        <f t="shared" ca="1" si="15"/>
        <v>2464</v>
      </c>
      <c r="AI9" s="52">
        <f t="shared" ca="1" si="15"/>
        <v>1717</v>
      </c>
      <c r="AJ9" s="54">
        <f ca="1">AF9-AG9-AH9-AI9</f>
        <v>3742</v>
      </c>
    </row>
    <row r="10" spans="1:36" s="3" customFormat="1" ht="15" customHeight="1" x14ac:dyDescent="0.3">
      <c r="A10" s="25" t="s">
        <v>77</v>
      </c>
      <c r="B10" s="52">
        <f t="shared" ref="B10:B15" ca="1" si="16">N10+Z10</f>
        <v>331469</v>
      </c>
      <c r="C10" s="52">
        <f t="shared" ref="C10:C15" ca="1" si="17">O10+AA10</f>
        <v>73064</v>
      </c>
      <c r="D10" s="52">
        <f t="shared" ref="D10:D15" ca="1" si="18">P10+AB10</f>
        <v>123722</v>
      </c>
      <c r="E10" s="52">
        <f t="shared" ref="E10:E15" ca="1" si="19">Q10+AC10</f>
        <v>22435</v>
      </c>
      <c r="F10" s="52">
        <f t="shared" ref="F10:F15" ca="1" si="20">R10+AD10</f>
        <v>112248</v>
      </c>
      <c r="G10" s="52"/>
      <c r="H10" s="52">
        <f t="shared" ref="H10:H15" ca="1" si="21">T10+AF10</f>
        <v>240839</v>
      </c>
      <c r="I10" s="52">
        <f t="shared" ref="I10:I15" ca="1" si="22">U10+AG10</f>
        <v>57154</v>
      </c>
      <c r="J10" s="52">
        <f t="shared" ref="J10:J15" ca="1" si="23">V10+AH10</f>
        <v>95302</v>
      </c>
      <c r="K10" s="52">
        <f t="shared" ref="K10:K15" ca="1" si="24">W10+AI10</f>
        <v>16687</v>
      </c>
      <c r="L10" s="52">
        <f t="shared" ref="L10:L15" ca="1" si="25">X10+AJ10</f>
        <v>71696</v>
      </c>
      <c r="M10" s="52"/>
      <c r="N10" s="52">
        <f t="shared" ref="N10:Q25" ca="1" si="26">VLOOKUP($A10,INDIRECT("'"&amp;$A$4&amp;"'!"&amp;"a1:ac110"),N$2,FALSE)</f>
        <v>322553</v>
      </c>
      <c r="O10" s="52">
        <f t="shared" ca="1" si="12"/>
        <v>70616</v>
      </c>
      <c r="P10" s="52">
        <f t="shared" ca="1" si="12"/>
        <v>121619</v>
      </c>
      <c r="Q10" s="52">
        <f t="shared" ca="1" si="12"/>
        <v>20834</v>
      </c>
      <c r="R10" s="54">
        <f t="shared" ref="R10:R59" ca="1" si="27">N10-O10-P10-Q10</f>
        <v>109484</v>
      </c>
      <c r="S10" s="43"/>
      <c r="T10" s="52">
        <f t="shared" ref="T10:W25" ca="1" si="28">VLOOKUP($A10,INDIRECT("'"&amp;$A$4&amp;"'!"&amp;"a1:ac110"),T$2,FALSE)</f>
        <v>236481</v>
      </c>
      <c r="U10" s="52">
        <f t="shared" ca="1" si="13"/>
        <v>55520</v>
      </c>
      <c r="V10" s="52">
        <f t="shared" ca="1" si="13"/>
        <v>94147</v>
      </c>
      <c r="W10" s="52">
        <f t="shared" ca="1" si="13"/>
        <v>16009</v>
      </c>
      <c r="X10" s="54">
        <f t="shared" ref="X10:X59" ca="1" si="29">T10-U10-V10-W10</f>
        <v>70805</v>
      </c>
      <c r="Y10" s="43"/>
      <c r="Z10" s="52">
        <f t="shared" ref="Z10:AC25" ca="1" si="30">VLOOKUP($A10,INDIRECT("'"&amp;$A$4&amp;"'!"&amp;"a1:ac110"),Z$2,FALSE)</f>
        <v>8916</v>
      </c>
      <c r="AA10" s="52">
        <f t="shared" ca="1" si="14"/>
        <v>2448</v>
      </c>
      <c r="AB10" s="52">
        <f t="shared" ca="1" si="14"/>
        <v>2103</v>
      </c>
      <c r="AC10" s="52">
        <f t="shared" ca="1" si="14"/>
        <v>1601</v>
      </c>
      <c r="AD10" s="54">
        <f t="shared" ref="AD10:AD59" ca="1" si="31">Z10-AA10-AB10-AC10</f>
        <v>2764</v>
      </c>
      <c r="AE10" s="43"/>
      <c r="AF10" s="52">
        <f t="shared" ref="AF10:AI25" ca="1" si="32">VLOOKUP($A10,INDIRECT("'"&amp;$A$4&amp;"'!"&amp;"a1:ac110"),AF$2,FALSE)</f>
        <v>4358</v>
      </c>
      <c r="AG10" s="52">
        <f t="shared" ca="1" si="15"/>
        <v>1634</v>
      </c>
      <c r="AH10" s="52">
        <f t="shared" ca="1" si="15"/>
        <v>1155</v>
      </c>
      <c r="AI10" s="52">
        <f t="shared" ca="1" si="15"/>
        <v>678</v>
      </c>
      <c r="AJ10" s="54">
        <f t="shared" ref="AJ10:AJ59" ca="1" si="33">AF10-AG10-AH10-AI10</f>
        <v>891</v>
      </c>
    </row>
    <row r="11" spans="1:36" s="3" customFormat="1" ht="15" customHeight="1" x14ac:dyDescent="0.3">
      <c r="A11" s="25" t="s">
        <v>49</v>
      </c>
      <c r="B11" s="52">
        <f t="shared" ca="1" si="16"/>
        <v>250448</v>
      </c>
      <c r="C11" s="52">
        <f t="shared" ca="1" si="17"/>
        <v>53385</v>
      </c>
      <c r="D11" s="52">
        <f t="shared" ca="1" si="18"/>
        <v>71266</v>
      </c>
      <c r="E11" s="52">
        <f t="shared" ca="1" si="19"/>
        <v>19601</v>
      </c>
      <c r="F11" s="52">
        <f t="shared" ca="1" si="20"/>
        <v>106196</v>
      </c>
      <c r="G11" s="52"/>
      <c r="H11" s="52">
        <f t="shared" ca="1" si="21"/>
        <v>103976</v>
      </c>
      <c r="I11" s="52">
        <f t="shared" ca="1" si="22"/>
        <v>29009</v>
      </c>
      <c r="J11" s="52">
        <f t="shared" ca="1" si="23"/>
        <v>23072</v>
      </c>
      <c r="K11" s="52">
        <f t="shared" ca="1" si="24"/>
        <v>11047</v>
      </c>
      <c r="L11" s="52">
        <f t="shared" ca="1" si="25"/>
        <v>40848</v>
      </c>
      <c r="M11" s="52"/>
      <c r="N11" s="52">
        <f t="shared" ca="1" si="26"/>
        <v>249757</v>
      </c>
      <c r="O11" s="52">
        <f t="shared" ca="1" si="12"/>
        <v>53361</v>
      </c>
      <c r="P11" s="52">
        <f t="shared" ca="1" si="12"/>
        <v>71230</v>
      </c>
      <c r="Q11" s="52">
        <f t="shared" ca="1" si="12"/>
        <v>19570</v>
      </c>
      <c r="R11" s="54">
        <f t="shared" ca="1" si="27"/>
        <v>105596</v>
      </c>
      <c r="S11" s="43"/>
      <c r="T11" s="52">
        <f t="shared" ca="1" si="28"/>
        <v>97227</v>
      </c>
      <c r="U11" s="52">
        <f t="shared" ca="1" si="13"/>
        <v>27459</v>
      </c>
      <c r="V11" s="52">
        <f t="shared" ca="1" si="13"/>
        <v>21763</v>
      </c>
      <c r="W11" s="52">
        <f t="shared" ca="1" si="13"/>
        <v>10008</v>
      </c>
      <c r="X11" s="54">
        <f t="shared" ca="1" si="29"/>
        <v>37997</v>
      </c>
      <c r="Y11" s="43"/>
      <c r="Z11" s="52">
        <f t="shared" ca="1" si="30"/>
        <v>691</v>
      </c>
      <c r="AA11" s="52">
        <f t="shared" ca="1" si="14"/>
        <v>24</v>
      </c>
      <c r="AB11" s="52">
        <f t="shared" ca="1" si="14"/>
        <v>36</v>
      </c>
      <c r="AC11" s="52">
        <f t="shared" ca="1" si="14"/>
        <v>31</v>
      </c>
      <c r="AD11" s="54">
        <f t="shared" ca="1" si="31"/>
        <v>600</v>
      </c>
      <c r="AE11" s="43"/>
      <c r="AF11" s="52">
        <f t="shared" ca="1" si="32"/>
        <v>6749</v>
      </c>
      <c r="AG11" s="52">
        <f t="shared" ca="1" si="15"/>
        <v>1550</v>
      </c>
      <c r="AH11" s="52">
        <f t="shared" ca="1" si="15"/>
        <v>1309</v>
      </c>
      <c r="AI11" s="52">
        <f t="shared" ca="1" si="15"/>
        <v>1039</v>
      </c>
      <c r="AJ11" s="54">
        <f t="shared" ca="1" si="33"/>
        <v>2851</v>
      </c>
    </row>
    <row r="12" spans="1:36" s="3" customFormat="1" ht="15" customHeight="1" x14ac:dyDescent="0.3">
      <c r="A12" s="25" t="s">
        <v>114</v>
      </c>
      <c r="B12" s="52">
        <f t="shared" ca="1" si="16"/>
        <v>332540</v>
      </c>
      <c r="C12" s="52">
        <f t="shared" ca="1" si="17"/>
        <v>77055</v>
      </c>
      <c r="D12" s="52">
        <f t="shared" ca="1" si="18"/>
        <v>94497</v>
      </c>
      <c r="E12" s="52">
        <f t="shared" ca="1" si="19"/>
        <v>25929</v>
      </c>
      <c r="F12" s="52">
        <f t="shared" ca="1" si="20"/>
        <v>135059</v>
      </c>
      <c r="G12" s="52"/>
      <c r="H12" s="52">
        <f t="shared" ca="1" si="21"/>
        <v>158289</v>
      </c>
      <c r="I12" s="52">
        <f t="shared" ca="1" si="22"/>
        <v>45231</v>
      </c>
      <c r="J12" s="52">
        <f t="shared" ca="1" si="23"/>
        <v>38849</v>
      </c>
      <c r="K12" s="52">
        <f t="shared" ca="1" si="24"/>
        <v>15197</v>
      </c>
      <c r="L12" s="52">
        <f t="shared" ca="1" si="25"/>
        <v>59012</v>
      </c>
      <c r="M12" s="52"/>
      <c r="N12" s="52">
        <f t="shared" ca="1" si="26"/>
        <v>330148</v>
      </c>
      <c r="O12" s="52">
        <f t="shared" ca="1" si="12"/>
        <v>76505</v>
      </c>
      <c r="P12" s="52">
        <f t="shared" ca="1" si="12"/>
        <v>93957</v>
      </c>
      <c r="Q12" s="52">
        <f t="shared" ca="1" si="12"/>
        <v>25656</v>
      </c>
      <c r="R12" s="54">
        <f t="shared" ca="1" si="27"/>
        <v>134030</v>
      </c>
      <c r="S12" s="43"/>
      <c r="T12" s="52">
        <f t="shared" ca="1" si="28"/>
        <v>151280</v>
      </c>
      <c r="U12" s="52">
        <f t="shared" ca="1" si="13"/>
        <v>43620</v>
      </c>
      <c r="V12" s="52">
        <f t="shared" ca="1" si="13"/>
        <v>37465</v>
      </c>
      <c r="W12" s="52">
        <f t="shared" ca="1" si="13"/>
        <v>14096</v>
      </c>
      <c r="X12" s="54">
        <f t="shared" ca="1" si="29"/>
        <v>56099</v>
      </c>
      <c r="Y12" s="43"/>
      <c r="Z12" s="52">
        <f t="shared" ca="1" si="30"/>
        <v>2392</v>
      </c>
      <c r="AA12" s="52">
        <f t="shared" ca="1" si="14"/>
        <v>550</v>
      </c>
      <c r="AB12" s="52">
        <f t="shared" ca="1" si="14"/>
        <v>540</v>
      </c>
      <c r="AC12" s="52">
        <f t="shared" ca="1" si="14"/>
        <v>273</v>
      </c>
      <c r="AD12" s="54">
        <f t="shared" ca="1" si="31"/>
        <v>1029</v>
      </c>
      <c r="AE12" s="43"/>
      <c r="AF12" s="52">
        <f t="shared" ca="1" si="32"/>
        <v>7009</v>
      </c>
      <c r="AG12" s="52">
        <f t="shared" ca="1" si="15"/>
        <v>1611</v>
      </c>
      <c r="AH12" s="52">
        <f t="shared" ca="1" si="15"/>
        <v>1384</v>
      </c>
      <c r="AI12" s="52">
        <f t="shared" ca="1" si="15"/>
        <v>1101</v>
      </c>
      <c r="AJ12" s="54">
        <f t="shared" ca="1" si="33"/>
        <v>2913</v>
      </c>
    </row>
    <row r="13" spans="1:36" s="3" customFormat="1" ht="15" customHeight="1" x14ac:dyDescent="0.3">
      <c r="A13" s="25" t="s">
        <v>115</v>
      </c>
      <c r="B13" s="52">
        <f t="shared" ca="1" si="16"/>
        <v>163830</v>
      </c>
      <c r="C13" s="52">
        <f t="shared" ca="1" si="17"/>
        <v>32736</v>
      </c>
      <c r="D13" s="52">
        <f t="shared" ca="1" si="18"/>
        <v>69427</v>
      </c>
      <c r="E13" s="52">
        <f t="shared" ca="1" si="19"/>
        <v>9640</v>
      </c>
      <c r="F13" s="52">
        <f t="shared" ca="1" si="20"/>
        <v>52027</v>
      </c>
      <c r="G13" s="52"/>
      <c r="H13" s="52">
        <f t="shared" ca="1" si="21"/>
        <v>132771</v>
      </c>
      <c r="I13" s="52">
        <f t="shared" ca="1" si="22"/>
        <v>33000</v>
      </c>
      <c r="J13" s="52">
        <f t="shared" ca="1" si="23"/>
        <v>56315</v>
      </c>
      <c r="K13" s="52">
        <f t="shared" ca="1" si="24"/>
        <v>9405</v>
      </c>
      <c r="L13" s="52">
        <f t="shared" ca="1" si="25"/>
        <v>34051</v>
      </c>
      <c r="M13" s="52"/>
      <c r="N13" s="52">
        <f t="shared" ca="1" si="26"/>
        <v>159350</v>
      </c>
      <c r="O13" s="52">
        <f t="shared" ca="1" si="12"/>
        <v>31145</v>
      </c>
      <c r="P13" s="52">
        <f t="shared" ca="1" si="12"/>
        <v>68348</v>
      </c>
      <c r="Q13" s="52">
        <f t="shared" ca="1" si="12"/>
        <v>8957</v>
      </c>
      <c r="R13" s="54">
        <f t="shared" ca="1" si="27"/>
        <v>50900</v>
      </c>
      <c r="S13" s="43"/>
      <c r="T13" s="52">
        <f t="shared" ca="1" si="28"/>
        <v>128786</v>
      </c>
      <c r="U13" s="52">
        <f t="shared" ca="1" si="13"/>
        <v>31427</v>
      </c>
      <c r="V13" s="52">
        <f t="shared" ca="1" si="13"/>
        <v>55348</v>
      </c>
      <c r="W13" s="52">
        <f t="shared" ca="1" si="13"/>
        <v>8789</v>
      </c>
      <c r="X13" s="54">
        <f t="shared" ca="1" si="29"/>
        <v>33222</v>
      </c>
      <c r="Y13" s="43"/>
      <c r="Z13" s="52">
        <f t="shared" ca="1" si="30"/>
        <v>4480</v>
      </c>
      <c r="AA13" s="52">
        <f t="shared" ca="1" si="14"/>
        <v>1591</v>
      </c>
      <c r="AB13" s="52">
        <f t="shared" ca="1" si="14"/>
        <v>1079</v>
      </c>
      <c r="AC13" s="52">
        <f t="shared" ca="1" si="14"/>
        <v>683</v>
      </c>
      <c r="AD13" s="54">
        <f t="shared" ca="1" si="31"/>
        <v>1127</v>
      </c>
      <c r="AE13" s="43"/>
      <c r="AF13" s="52">
        <f t="shared" ca="1" si="32"/>
        <v>3985</v>
      </c>
      <c r="AG13" s="52">
        <f t="shared" ca="1" si="15"/>
        <v>1573</v>
      </c>
      <c r="AH13" s="52">
        <f t="shared" ca="1" si="15"/>
        <v>967</v>
      </c>
      <c r="AI13" s="52">
        <f t="shared" ca="1" si="15"/>
        <v>616</v>
      </c>
      <c r="AJ13" s="54">
        <f t="shared" ca="1" si="33"/>
        <v>829</v>
      </c>
    </row>
    <row r="14" spans="1:36" s="3" customFormat="1" ht="15" customHeight="1" x14ac:dyDescent="0.3">
      <c r="A14" s="25" t="s">
        <v>116</v>
      </c>
      <c r="B14" s="52">
        <f t="shared" ca="1" si="16"/>
        <v>85547</v>
      </c>
      <c r="C14" s="52">
        <f t="shared" ca="1" si="17"/>
        <v>16658</v>
      </c>
      <c r="D14" s="52">
        <f t="shared" ca="1" si="18"/>
        <v>31064</v>
      </c>
      <c r="E14" s="52">
        <f t="shared" ca="1" si="19"/>
        <v>6467</v>
      </c>
      <c r="F14" s="52">
        <f t="shared" ca="1" si="20"/>
        <v>31358</v>
      </c>
      <c r="G14" s="52"/>
      <c r="H14" s="52">
        <f t="shared" ca="1" si="21"/>
        <v>53755</v>
      </c>
      <c r="I14" s="52">
        <f t="shared" ca="1" si="22"/>
        <v>7932</v>
      </c>
      <c r="J14" s="52">
        <f t="shared" ca="1" si="23"/>
        <v>23210</v>
      </c>
      <c r="K14" s="52">
        <f t="shared" ca="1" si="24"/>
        <v>3132</v>
      </c>
      <c r="L14" s="52">
        <f t="shared" ca="1" si="25"/>
        <v>19481</v>
      </c>
      <c r="M14" s="52"/>
      <c r="N14" s="52">
        <f t="shared" ca="1" si="26"/>
        <v>82812</v>
      </c>
      <c r="O14" s="52">
        <f t="shared" ca="1" si="12"/>
        <v>16327</v>
      </c>
      <c r="P14" s="52">
        <f t="shared" ca="1" si="12"/>
        <v>30544</v>
      </c>
      <c r="Q14" s="52">
        <f t="shared" ca="1" si="12"/>
        <v>5791</v>
      </c>
      <c r="R14" s="54">
        <f t="shared" ca="1" si="27"/>
        <v>30150</v>
      </c>
      <c r="S14" s="43"/>
      <c r="T14" s="52">
        <f t="shared" ca="1" si="28"/>
        <v>53642</v>
      </c>
      <c r="U14" s="52">
        <f t="shared" ca="1" si="13"/>
        <v>7932</v>
      </c>
      <c r="V14" s="52">
        <f t="shared" ca="1" si="13"/>
        <v>23097</v>
      </c>
      <c r="W14" s="52">
        <f t="shared" ca="1" si="13"/>
        <v>3132</v>
      </c>
      <c r="X14" s="54">
        <f t="shared" ca="1" si="29"/>
        <v>19481</v>
      </c>
      <c r="Y14" s="43"/>
      <c r="Z14" s="52">
        <f t="shared" ca="1" si="30"/>
        <v>2735</v>
      </c>
      <c r="AA14" s="52">
        <f t="shared" ca="1" si="14"/>
        <v>331</v>
      </c>
      <c r="AB14" s="52">
        <f t="shared" ca="1" si="14"/>
        <v>520</v>
      </c>
      <c r="AC14" s="52">
        <f t="shared" ca="1" si="14"/>
        <v>676</v>
      </c>
      <c r="AD14" s="54">
        <f t="shared" ca="1" si="31"/>
        <v>1208</v>
      </c>
      <c r="AE14" s="43"/>
      <c r="AF14" s="52">
        <f t="shared" ca="1" si="32"/>
        <v>113</v>
      </c>
      <c r="AG14" s="52">
        <f t="shared" ca="1" si="15"/>
        <v>0</v>
      </c>
      <c r="AH14" s="52">
        <f t="shared" ca="1" si="15"/>
        <v>113</v>
      </c>
      <c r="AI14" s="52">
        <f t="shared" ca="1" si="15"/>
        <v>0</v>
      </c>
      <c r="AJ14" s="54">
        <f t="shared" ca="1" si="33"/>
        <v>0</v>
      </c>
    </row>
    <row r="15" spans="1:36" s="3" customFormat="1" ht="15" customHeight="1" x14ac:dyDescent="0.3">
      <c r="A15" s="4" t="s">
        <v>3</v>
      </c>
      <c r="B15" s="87">
        <f t="shared" ca="1" si="16"/>
        <v>6458</v>
      </c>
      <c r="C15" s="87">
        <f t="shared" ca="1" si="17"/>
        <v>2624</v>
      </c>
      <c r="D15" s="87">
        <f t="shared" ca="1" si="18"/>
        <v>1988</v>
      </c>
      <c r="E15" s="87">
        <f t="shared" ca="1" si="19"/>
        <v>581</v>
      </c>
      <c r="F15" s="87">
        <f t="shared" ca="1" si="20"/>
        <v>1265</v>
      </c>
      <c r="G15" s="87"/>
      <c r="H15" s="87">
        <f t="shared" ca="1" si="21"/>
        <v>0</v>
      </c>
      <c r="I15" s="87">
        <f t="shared" ca="1" si="22"/>
        <v>0</v>
      </c>
      <c r="J15" s="87">
        <f t="shared" ca="1" si="23"/>
        <v>0</v>
      </c>
      <c r="K15" s="87">
        <f t="shared" ca="1" si="24"/>
        <v>0</v>
      </c>
      <c r="L15" s="87">
        <f t="shared" ca="1" si="25"/>
        <v>0</v>
      </c>
      <c r="M15" s="87"/>
      <c r="N15" s="87">
        <f t="shared" ca="1" si="26"/>
        <v>6413</v>
      </c>
      <c r="O15" s="87">
        <f t="shared" ca="1" si="12"/>
        <v>2616</v>
      </c>
      <c r="P15" s="87">
        <f t="shared" ca="1" si="12"/>
        <v>1983</v>
      </c>
      <c r="Q15" s="87">
        <f t="shared" ca="1" si="12"/>
        <v>560</v>
      </c>
      <c r="R15" s="88">
        <f t="shared" ca="1" si="27"/>
        <v>1254</v>
      </c>
      <c r="S15" s="43"/>
      <c r="T15" s="87">
        <f t="shared" ca="1" si="28"/>
        <v>0</v>
      </c>
      <c r="U15" s="87">
        <f t="shared" ca="1" si="13"/>
        <v>0</v>
      </c>
      <c r="V15" s="87">
        <f t="shared" ca="1" si="13"/>
        <v>0</v>
      </c>
      <c r="W15" s="87">
        <f t="shared" ca="1" si="13"/>
        <v>0</v>
      </c>
      <c r="X15" s="88">
        <f t="shared" ca="1" si="29"/>
        <v>0</v>
      </c>
      <c r="Y15" s="43"/>
      <c r="Z15" s="87">
        <f t="shared" ca="1" si="30"/>
        <v>45</v>
      </c>
      <c r="AA15" s="87">
        <f t="shared" ca="1" si="14"/>
        <v>8</v>
      </c>
      <c r="AB15" s="87">
        <f t="shared" ca="1" si="14"/>
        <v>5</v>
      </c>
      <c r="AC15" s="87">
        <f t="shared" ca="1" si="14"/>
        <v>21</v>
      </c>
      <c r="AD15" s="88">
        <f t="shared" ca="1" si="31"/>
        <v>11</v>
      </c>
      <c r="AE15" s="43"/>
      <c r="AF15" s="87">
        <f t="shared" ca="1" si="32"/>
        <v>0</v>
      </c>
      <c r="AG15" s="87">
        <f t="shared" ca="1" si="15"/>
        <v>0</v>
      </c>
      <c r="AH15" s="87">
        <f t="shared" ca="1" si="15"/>
        <v>0</v>
      </c>
      <c r="AI15" s="87">
        <f t="shared" ca="1" si="15"/>
        <v>0</v>
      </c>
      <c r="AJ15" s="88">
        <f t="shared" ca="1" si="33"/>
        <v>0</v>
      </c>
    </row>
    <row r="16" spans="1:36" s="3" customFormat="1" ht="15" customHeight="1" x14ac:dyDescent="0.3">
      <c r="A16" s="4" t="s">
        <v>4</v>
      </c>
      <c r="B16" s="87">
        <f t="shared" ref="B16:B59" ca="1" si="34">N16+Z16</f>
        <v>5806</v>
      </c>
      <c r="C16" s="87">
        <f t="shared" ref="C16:C59" ca="1" si="35">O16+AA16</f>
        <v>405</v>
      </c>
      <c r="D16" s="87">
        <f t="shared" ref="D16:D59" ca="1" si="36">P16+AB16</f>
        <v>2796</v>
      </c>
      <c r="E16" s="87">
        <f t="shared" ref="E16:E59" ca="1" si="37">Q16+AC16</f>
        <v>107</v>
      </c>
      <c r="F16" s="87">
        <f t="shared" ref="F16:F59" ca="1" si="38">R16+AD16</f>
        <v>2498</v>
      </c>
      <c r="G16" s="87"/>
      <c r="H16" s="87">
        <f t="shared" ref="H16:H59" ca="1" si="39">T16+AF16</f>
        <v>2560</v>
      </c>
      <c r="I16" s="87">
        <f t="shared" ref="I16:I59" ca="1" si="40">U16+AG16</f>
        <v>306</v>
      </c>
      <c r="J16" s="87">
        <f t="shared" ref="J16:J59" ca="1" si="41">V16+AH16</f>
        <v>1528</v>
      </c>
      <c r="K16" s="87">
        <f t="shared" ref="K16:K59" ca="1" si="42">W16+AI16</f>
        <v>54</v>
      </c>
      <c r="L16" s="87">
        <f t="shared" ref="L16:L59" ca="1" si="43">X16+AJ16</f>
        <v>672</v>
      </c>
      <c r="M16" s="87"/>
      <c r="N16" s="87">
        <f t="shared" ca="1" si="26"/>
        <v>5701</v>
      </c>
      <c r="O16" s="87">
        <f t="shared" ca="1" si="12"/>
        <v>404</v>
      </c>
      <c r="P16" s="87">
        <f t="shared" ca="1" si="12"/>
        <v>2727</v>
      </c>
      <c r="Q16" s="87">
        <f t="shared" ca="1" si="12"/>
        <v>107</v>
      </c>
      <c r="R16" s="88">
        <f t="shared" ca="1" si="27"/>
        <v>2463</v>
      </c>
      <c r="S16" s="43"/>
      <c r="T16" s="87">
        <f t="shared" ca="1" si="28"/>
        <v>2559</v>
      </c>
      <c r="U16" s="87">
        <f t="shared" ca="1" si="13"/>
        <v>305</v>
      </c>
      <c r="V16" s="87">
        <f t="shared" ca="1" si="13"/>
        <v>1528</v>
      </c>
      <c r="W16" s="87">
        <f t="shared" ca="1" si="13"/>
        <v>54</v>
      </c>
      <c r="X16" s="88">
        <f t="shared" ca="1" si="29"/>
        <v>672</v>
      </c>
      <c r="Y16" s="43"/>
      <c r="Z16" s="87">
        <f t="shared" ca="1" si="30"/>
        <v>105</v>
      </c>
      <c r="AA16" s="87">
        <f t="shared" ca="1" si="14"/>
        <v>1</v>
      </c>
      <c r="AB16" s="87">
        <f t="shared" ca="1" si="14"/>
        <v>69</v>
      </c>
      <c r="AC16" s="87">
        <f t="shared" ca="1" si="14"/>
        <v>0</v>
      </c>
      <c r="AD16" s="88">
        <f t="shared" ca="1" si="31"/>
        <v>35</v>
      </c>
      <c r="AE16" s="43"/>
      <c r="AF16" s="87">
        <f t="shared" ca="1" si="32"/>
        <v>1</v>
      </c>
      <c r="AG16" s="87">
        <f t="shared" ca="1" si="15"/>
        <v>1</v>
      </c>
      <c r="AH16" s="87">
        <f t="shared" ca="1" si="15"/>
        <v>0</v>
      </c>
      <c r="AI16" s="87">
        <f t="shared" ca="1" si="15"/>
        <v>0</v>
      </c>
      <c r="AJ16" s="88">
        <f t="shared" ca="1" si="33"/>
        <v>0</v>
      </c>
    </row>
    <row r="17" spans="1:36" s="3" customFormat="1" ht="15" customHeight="1" x14ac:dyDescent="0.3">
      <c r="A17" s="4" t="s">
        <v>5</v>
      </c>
      <c r="B17" s="87">
        <f t="shared" ca="1" si="34"/>
        <v>10019</v>
      </c>
      <c r="C17" s="87">
        <f t="shared" ca="1" si="35"/>
        <v>1740</v>
      </c>
      <c r="D17" s="87">
        <f t="shared" ca="1" si="36"/>
        <v>4907</v>
      </c>
      <c r="E17" s="87">
        <f t="shared" ca="1" si="37"/>
        <v>326</v>
      </c>
      <c r="F17" s="87">
        <f t="shared" ca="1" si="38"/>
        <v>3046</v>
      </c>
      <c r="G17" s="87"/>
      <c r="H17" s="87">
        <f t="shared" ca="1" si="39"/>
        <v>10019</v>
      </c>
      <c r="I17" s="87">
        <f t="shared" ca="1" si="40"/>
        <v>1740</v>
      </c>
      <c r="J17" s="87">
        <f t="shared" ca="1" si="41"/>
        <v>4907</v>
      </c>
      <c r="K17" s="87">
        <f t="shared" ca="1" si="42"/>
        <v>326</v>
      </c>
      <c r="L17" s="87">
        <f t="shared" ca="1" si="43"/>
        <v>3046</v>
      </c>
      <c r="M17" s="87"/>
      <c r="N17" s="87">
        <f t="shared" ca="1" si="26"/>
        <v>10019</v>
      </c>
      <c r="O17" s="87">
        <f t="shared" ca="1" si="12"/>
        <v>1740</v>
      </c>
      <c r="P17" s="87">
        <f t="shared" ca="1" si="12"/>
        <v>4907</v>
      </c>
      <c r="Q17" s="87">
        <f t="shared" ca="1" si="12"/>
        <v>326</v>
      </c>
      <c r="R17" s="88">
        <f t="shared" ca="1" si="27"/>
        <v>3046</v>
      </c>
      <c r="S17" s="28"/>
      <c r="T17" s="87">
        <f t="shared" ca="1" si="28"/>
        <v>10019</v>
      </c>
      <c r="U17" s="87">
        <f t="shared" ca="1" si="13"/>
        <v>1740</v>
      </c>
      <c r="V17" s="87">
        <f t="shared" ca="1" si="13"/>
        <v>4907</v>
      </c>
      <c r="W17" s="87">
        <f t="shared" ca="1" si="13"/>
        <v>326</v>
      </c>
      <c r="X17" s="88">
        <f t="shared" ca="1" si="29"/>
        <v>3046</v>
      </c>
      <c r="Y17" s="28"/>
      <c r="Z17" s="87">
        <f t="shared" ca="1" si="30"/>
        <v>0</v>
      </c>
      <c r="AA17" s="87">
        <f t="shared" ca="1" si="14"/>
        <v>0</v>
      </c>
      <c r="AB17" s="87">
        <f t="shared" ca="1" si="14"/>
        <v>0</v>
      </c>
      <c r="AC17" s="87">
        <f t="shared" ca="1" si="14"/>
        <v>0</v>
      </c>
      <c r="AD17" s="88">
        <f t="shared" ca="1" si="31"/>
        <v>0</v>
      </c>
      <c r="AE17" s="28"/>
      <c r="AF17" s="87">
        <f t="shared" ca="1" si="32"/>
        <v>0</v>
      </c>
      <c r="AG17" s="87">
        <f t="shared" ca="1" si="15"/>
        <v>0</v>
      </c>
      <c r="AH17" s="87">
        <f t="shared" ca="1" si="15"/>
        <v>0</v>
      </c>
      <c r="AI17" s="87">
        <f t="shared" ca="1" si="15"/>
        <v>0</v>
      </c>
      <c r="AJ17" s="88">
        <f t="shared" ca="1" si="33"/>
        <v>0</v>
      </c>
    </row>
    <row r="18" spans="1:36" s="10" customFormat="1" ht="15" customHeight="1" x14ac:dyDescent="0.3">
      <c r="A18" s="4" t="s">
        <v>6</v>
      </c>
      <c r="B18" s="87">
        <f t="shared" ca="1" si="34"/>
        <v>1644</v>
      </c>
      <c r="C18" s="87">
        <f t="shared" ca="1" si="35"/>
        <v>520</v>
      </c>
      <c r="D18" s="87">
        <f t="shared" ca="1" si="36"/>
        <v>555</v>
      </c>
      <c r="E18" s="87">
        <f t="shared" ca="1" si="37"/>
        <v>203</v>
      </c>
      <c r="F18" s="87">
        <f t="shared" ca="1" si="38"/>
        <v>366</v>
      </c>
      <c r="G18" s="87"/>
      <c r="H18" s="87">
        <f t="shared" ca="1" si="39"/>
        <v>1041</v>
      </c>
      <c r="I18" s="87">
        <f t="shared" ca="1" si="40"/>
        <v>354</v>
      </c>
      <c r="J18" s="87">
        <f t="shared" ca="1" si="41"/>
        <v>336</v>
      </c>
      <c r="K18" s="87">
        <f t="shared" ca="1" si="42"/>
        <v>127</v>
      </c>
      <c r="L18" s="87">
        <f t="shared" ca="1" si="43"/>
        <v>224</v>
      </c>
      <c r="M18" s="87"/>
      <c r="N18" s="87">
        <f t="shared" ca="1" si="26"/>
        <v>1642</v>
      </c>
      <c r="O18" s="87">
        <f t="shared" ca="1" si="12"/>
        <v>520</v>
      </c>
      <c r="P18" s="87">
        <f t="shared" ca="1" si="12"/>
        <v>555</v>
      </c>
      <c r="Q18" s="87">
        <f t="shared" ca="1" si="12"/>
        <v>201</v>
      </c>
      <c r="R18" s="88">
        <f t="shared" ca="1" si="27"/>
        <v>366</v>
      </c>
      <c r="T18" s="87">
        <f t="shared" ca="1" si="28"/>
        <v>1040</v>
      </c>
      <c r="U18" s="87">
        <f t="shared" ca="1" si="13"/>
        <v>354</v>
      </c>
      <c r="V18" s="87">
        <f t="shared" ca="1" si="13"/>
        <v>336</v>
      </c>
      <c r="W18" s="87">
        <f t="shared" ca="1" si="13"/>
        <v>126</v>
      </c>
      <c r="X18" s="88">
        <f t="shared" ca="1" si="29"/>
        <v>224</v>
      </c>
      <c r="Z18" s="87">
        <f t="shared" ca="1" si="30"/>
        <v>2</v>
      </c>
      <c r="AA18" s="87">
        <f t="shared" ca="1" si="14"/>
        <v>0</v>
      </c>
      <c r="AB18" s="87">
        <f t="shared" ca="1" si="14"/>
        <v>0</v>
      </c>
      <c r="AC18" s="87">
        <f t="shared" ca="1" si="14"/>
        <v>2</v>
      </c>
      <c r="AD18" s="88">
        <f t="shared" ca="1" si="31"/>
        <v>0</v>
      </c>
      <c r="AF18" s="87">
        <f t="shared" ca="1" si="32"/>
        <v>1</v>
      </c>
      <c r="AG18" s="87">
        <f t="shared" ca="1" si="15"/>
        <v>0</v>
      </c>
      <c r="AH18" s="87">
        <f t="shared" ca="1" si="15"/>
        <v>0</v>
      </c>
      <c r="AI18" s="87">
        <f t="shared" ca="1" si="15"/>
        <v>1</v>
      </c>
      <c r="AJ18" s="88">
        <f t="shared" ca="1" si="33"/>
        <v>0</v>
      </c>
    </row>
    <row r="19" spans="1:36" ht="15" customHeight="1" x14ac:dyDescent="0.3">
      <c r="A19" s="4" t="s">
        <v>7</v>
      </c>
      <c r="B19" s="87">
        <f t="shared" ca="1" si="34"/>
        <v>5248</v>
      </c>
      <c r="C19" s="87">
        <f t="shared" ca="1" si="35"/>
        <v>2086</v>
      </c>
      <c r="D19" s="87">
        <f t="shared" ca="1" si="36"/>
        <v>2178</v>
      </c>
      <c r="E19" s="87">
        <f t="shared" ca="1" si="37"/>
        <v>385</v>
      </c>
      <c r="F19" s="87">
        <f t="shared" ca="1" si="38"/>
        <v>599</v>
      </c>
      <c r="G19" s="87"/>
      <c r="H19" s="87">
        <f t="shared" ca="1" si="39"/>
        <v>4408</v>
      </c>
      <c r="I19" s="87">
        <f t="shared" ca="1" si="40"/>
        <v>1912</v>
      </c>
      <c r="J19" s="87">
        <f t="shared" ca="1" si="41"/>
        <v>1817</v>
      </c>
      <c r="K19" s="87">
        <f t="shared" ca="1" si="42"/>
        <v>344</v>
      </c>
      <c r="L19" s="87">
        <f t="shared" ca="1" si="43"/>
        <v>335</v>
      </c>
      <c r="M19" s="87"/>
      <c r="N19" s="87">
        <f t="shared" ca="1" si="26"/>
        <v>4408</v>
      </c>
      <c r="O19" s="87">
        <f t="shared" ca="1" si="12"/>
        <v>1912</v>
      </c>
      <c r="P19" s="87">
        <f t="shared" ca="1" si="12"/>
        <v>1817</v>
      </c>
      <c r="Q19" s="87">
        <f t="shared" ca="1" si="12"/>
        <v>344</v>
      </c>
      <c r="R19" s="88">
        <f t="shared" ca="1" si="27"/>
        <v>335</v>
      </c>
      <c r="T19" s="87">
        <f t="shared" ca="1" si="28"/>
        <v>4408</v>
      </c>
      <c r="U19" s="87">
        <f t="shared" ca="1" si="13"/>
        <v>1912</v>
      </c>
      <c r="V19" s="87">
        <f t="shared" ca="1" si="13"/>
        <v>1817</v>
      </c>
      <c r="W19" s="87">
        <f t="shared" ca="1" si="13"/>
        <v>344</v>
      </c>
      <c r="X19" s="88">
        <f t="shared" ca="1" si="29"/>
        <v>335</v>
      </c>
      <c r="Z19" s="87">
        <f t="shared" ca="1" si="30"/>
        <v>840</v>
      </c>
      <c r="AA19" s="87">
        <f t="shared" ca="1" si="14"/>
        <v>174</v>
      </c>
      <c r="AB19" s="87">
        <f t="shared" ca="1" si="14"/>
        <v>361</v>
      </c>
      <c r="AC19" s="87">
        <f t="shared" ca="1" si="14"/>
        <v>41</v>
      </c>
      <c r="AD19" s="88">
        <f t="shared" ca="1" si="31"/>
        <v>264</v>
      </c>
      <c r="AF19" s="87">
        <f t="shared" ca="1" si="32"/>
        <v>0</v>
      </c>
      <c r="AG19" s="87">
        <f t="shared" ca="1" si="15"/>
        <v>0</v>
      </c>
      <c r="AH19" s="87">
        <f t="shared" ca="1" si="15"/>
        <v>0</v>
      </c>
      <c r="AI19" s="87">
        <f t="shared" ca="1" si="15"/>
        <v>0</v>
      </c>
      <c r="AJ19" s="88">
        <f t="shared" ca="1" si="33"/>
        <v>0</v>
      </c>
    </row>
    <row r="20" spans="1:36" ht="15" customHeight="1" x14ac:dyDescent="0.3">
      <c r="A20" s="4" t="s">
        <v>8</v>
      </c>
      <c r="B20" s="87">
        <f t="shared" ca="1" si="34"/>
        <v>32539</v>
      </c>
      <c r="C20" s="87">
        <f t="shared" ca="1" si="35"/>
        <v>1095</v>
      </c>
      <c r="D20" s="87">
        <f t="shared" ca="1" si="36"/>
        <v>23196</v>
      </c>
      <c r="E20" s="87">
        <f t="shared" ca="1" si="37"/>
        <v>237</v>
      </c>
      <c r="F20" s="87">
        <f t="shared" ca="1" si="38"/>
        <v>8011</v>
      </c>
      <c r="G20" s="87"/>
      <c r="H20" s="87">
        <f t="shared" ca="1" si="39"/>
        <v>15391</v>
      </c>
      <c r="I20" s="87">
        <f t="shared" ca="1" si="40"/>
        <v>547</v>
      </c>
      <c r="J20" s="87">
        <f t="shared" ca="1" si="41"/>
        <v>14831</v>
      </c>
      <c r="K20" s="87">
        <f t="shared" ca="1" si="42"/>
        <v>0</v>
      </c>
      <c r="L20" s="87">
        <f t="shared" ca="1" si="43"/>
        <v>13</v>
      </c>
      <c r="M20" s="87"/>
      <c r="N20" s="87">
        <f t="shared" ca="1" si="26"/>
        <v>32539</v>
      </c>
      <c r="O20" s="87">
        <f t="shared" ca="1" si="12"/>
        <v>1095</v>
      </c>
      <c r="P20" s="87">
        <f t="shared" ca="1" si="12"/>
        <v>23196</v>
      </c>
      <c r="Q20" s="87">
        <f t="shared" ca="1" si="12"/>
        <v>237</v>
      </c>
      <c r="R20" s="88">
        <f t="shared" ca="1" si="27"/>
        <v>8011</v>
      </c>
      <c r="T20" s="87">
        <f t="shared" ca="1" si="28"/>
        <v>15391</v>
      </c>
      <c r="U20" s="87">
        <f t="shared" ca="1" si="13"/>
        <v>547</v>
      </c>
      <c r="V20" s="87">
        <f t="shared" ca="1" si="13"/>
        <v>14831</v>
      </c>
      <c r="W20" s="87">
        <f t="shared" ca="1" si="13"/>
        <v>0</v>
      </c>
      <c r="X20" s="88">
        <f t="shared" ca="1" si="29"/>
        <v>13</v>
      </c>
      <c r="Z20" s="87">
        <f t="shared" ca="1" si="30"/>
        <v>0</v>
      </c>
      <c r="AA20" s="87">
        <f t="shared" ca="1" si="14"/>
        <v>0</v>
      </c>
      <c r="AB20" s="87">
        <f t="shared" ca="1" si="14"/>
        <v>0</v>
      </c>
      <c r="AC20" s="87">
        <f t="shared" ca="1" si="14"/>
        <v>0</v>
      </c>
      <c r="AD20" s="88">
        <f t="shared" ca="1" si="31"/>
        <v>0</v>
      </c>
      <c r="AF20" s="87">
        <f t="shared" ca="1" si="32"/>
        <v>0</v>
      </c>
      <c r="AG20" s="87">
        <f t="shared" ca="1" si="15"/>
        <v>0</v>
      </c>
      <c r="AH20" s="87">
        <f t="shared" ca="1" si="15"/>
        <v>0</v>
      </c>
      <c r="AI20" s="87">
        <f t="shared" ca="1" si="15"/>
        <v>0</v>
      </c>
      <c r="AJ20" s="88">
        <f t="shared" ca="1" si="33"/>
        <v>0</v>
      </c>
    </row>
    <row r="21" spans="1:36" ht="15" customHeight="1" x14ac:dyDescent="0.3">
      <c r="A21" s="4" t="s">
        <v>9</v>
      </c>
      <c r="B21" s="87">
        <f t="shared" ca="1" si="34"/>
        <v>17293</v>
      </c>
      <c r="C21" s="87">
        <f t="shared" ca="1" si="35"/>
        <v>2455</v>
      </c>
      <c r="D21" s="87">
        <f t="shared" ca="1" si="36"/>
        <v>4848</v>
      </c>
      <c r="E21" s="87">
        <f t="shared" ca="1" si="37"/>
        <v>1050</v>
      </c>
      <c r="F21" s="87">
        <f t="shared" ca="1" si="38"/>
        <v>8940</v>
      </c>
      <c r="G21" s="87"/>
      <c r="H21" s="87">
        <f t="shared" ca="1" si="39"/>
        <v>3078</v>
      </c>
      <c r="I21" s="87">
        <f t="shared" ca="1" si="40"/>
        <v>504</v>
      </c>
      <c r="J21" s="87">
        <f t="shared" ca="1" si="41"/>
        <v>1399</v>
      </c>
      <c r="K21" s="87">
        <f t="shared" ca="1" si="42"/>
        <v>118</v>
      </c>
      <c r="L21" s="87">
        <f t="shared" ca="1" si="43"/>
        <v>1057</v>
      </c>
      <c r="M21" s="87"/>
      <c r="N21" s="87">
        <f t="shared" ca="1" si="26"/>
        <v>16160</v>
      </c>
      <c r="O21" s="87">
        <f t="shared" ca="1" si="12"/>
        <v>2132</v>
      </c>
      <c r="P21" s="87">
        <f t="shared" ca="1" si="12"/>
        <v>4440</v>
      </c>
      <c r="Q21" s="87">
        <f t="shared" ca="1" si="12"/>
        <v>950</v>
      </c>
      <c r="R21" s="88">
        <f t="shared" ca="1" si="27"/>
        <v>8638</v>
      </c>
      <c r="T21" s="87">
        <f t="shared" ca="1" si="28"/>
        <v>3071</v>
      </c>
      <c r="U21" s="87">
        <f t="shared" ca="1" si="13"/>
        <v>504</v>
      </c>
      <c r="V21" s="87">
        <f t="shared" ca="1" si="13"/>
        <v>1393</v>
      </c>
      <c r="W21" s="87">
        <f t="shared" ca="1" si="13"/>
        <v>118</v>
      </c>
      <c r="X21" s="88">
        <f t="shared" ca="1" si="29"/>
        <v>1056</v>
      </c>
      <c r="Z21" s="87">
        <f t="shared" ca="1" si="30"/>
        <v>1133</v>
      </c>
      <c r="AA21" s="87">
        <f t="shared" ca="1" si="14"/>
        <v>323</v>
      </c>
      <c r="AB21" s="87">
        <f t="shared" ca="1" si="14"/>
        <v>408</v>
      </c>
      <c r="AC21" s="87">
        <f t="shared" ca="1" si="14"/>
        <v>100</v>
      </c>
      <c r="AD21" s="88">
        <f t="shared" ca="1" si="31"/>
        <v>302</v>
      </c>
      <c r="AF21" s="87">
        <f t="shared" ca="1" si="32"/>
        <v>7</v>
      </c>
      <c r="AG21" s="87">
        <f t="shared" ca="1" si="15"/>
        <v>0</v>
      </c>
      <c r="AH21" s="87">
        <f t="shared" ca="1" si="15"/>
        <v>6</v>
      </c>
      <c r="AI21" s="87">
        <f t="shared" ca="1" si="15"/>
        <v>0</v>
      </c>
      <c r="AJ21" s="88">
        <f t="shared" ca="1" si="33"/>
        <v>1</v>
      </c>
    </row>
    <row r="22" spans="1:36" ht="15" customHeight="1" x14ac:dyDescent="0.3">
      <c r="A22" s="4" t="s">
        <v>10</v>
      </c>
      <c r="B22" s="87">
        <f t="shared" ca="1" si="34"/>
        <v>5630</v>
      </c>
      <c r="C22" s="87">
        <f t="shared" ca="1" si="35"/>
        <v>530</v>
      </c>
      <c r="D22" s="87">
        <f t="shared" ca="1" si="36"/>
        <v>83</v>
      </c>
      <c r="E22" s="87">
        <f t="shared" ca="1" si="37"/>
        <v>2099</v>
      </c>
      <c r="F22" s="87">
        <f t="shared" ca="1" si="38"/>
        <v>2918</v>
      </c>
      <c r="G22" s="87"/>
      <c r="H22" s="87">
        <f t="shared" ca="1" si="39"/>
        <v>341</v>
      </c>
      <c r="I22" s="87">
        <f t="shared" ca="1" si="40"/>
        <v>0</v>
      </c>
      <c r="J22" s="87">
        <f t="shared" ca="1" si="41"/>
        <v>0</v>
      </c>
      <c r="K22" s="87">
        <f t="shared" ca="1" si="42"/>
        <v>341</v>
      </c>
      <c r="L22" s="87">
        <f t="shared" ca="1" si="43"/>
        <v>0</v>
      </c>
      <c r="M22" s="87"/>
      <c r="N22" s="87">
        <f t="shared" ca="1" si="26"/>
        <v>4764</v>
      </c>
      <c r="O22" s="87">
        <f t="shared" ca="1" si="12"/>
        <v>373</v>
      </c>
      <c r="P22" s="87">
        <f t="shared" ca="1" si="12"/>
        <v>80</v>
      </c>
      <c r="Q22" s="87">
        <f t="shared" ca="1" si="12"/>
        <v>1464</v>
      </c>
      <c r="R22" s="88">
        <f t="shared" ca="1" si="27"/>
        <v>2847</v>
      </c>
      <c r="T22" s="87">
        <f t="shared" ca="1" si="28"/>
        <v>341</v>
      </c>
      <c r="U22" s="87">
        <f t="shared" ca="1" si="13"/>
        <v>0</v>
      </c>
      <c r="V22" s="87">
        <f t="shared" ca="1" si="13"/>
        <v>0</v>
      </c>
      <c r="W22" s="87">
        <f t="shared" ca="1" si="13"/>
        <v>341</v>
      </c>
      <c r="X22" s="88">
        <f t="shared" ca="1" si="29"/>
        <v>0</v>
      </c>
      <c r="Z22" s="87">
        <f t="shared" ca="1" si="30"/>
        <v>866</v>
      </c>
      <c r="AA22" s="87">
        <f t="shared" ca="1" si="14"/>
        <v>157</v>
      </c>
      <c r="AB22" s="87">
        <f t="shared" ca="1" si="14"/>
        <v>3</v>
      </c>
      <c r="AC22" s="87">
        <f t="shared" ca="1" si="14"/>
        <v>635</v>
      </c>
      <c r="AD22" s="88">
        <f t="shared" ca="1" si="31"/>
        <v>71</v>
      </c>
      <c r="AF22" s="87">
        <f t="shared" ca="1" si="32"/>
        <v>0</v>
      </c>
      <c r="AG22" s="87">
        <f t="shared" ca="1" si="15"/>
        <v>0</v>
      </c>
      <c r="AH22" s="87">
        <f t="shared" ca="1" si="15"/>
        <v>0</v>
      </c>
      <c r="AI22" s="87">
        <f t="shared" ca="1" si="15"/>
        <v>0</v>
      </c>
      <c r="AJ22" s="88">
        <f t="shared" ca="1" si="33"/>
        <v>0</v>
      </c>
    </row>
    <row r="23" spans="1:36" ht="15" customHeight="1" x14ac:dyDescent="0.3">
      <c r="A23" s="4" t="s">
        <v>11</v>
      </c>
      <c r="B23" s="87">
        <f t="shared" ca="1" si="34"/>
        <v>9915</v>
      </c>
      <c r="C23" s="87">
        <f t="shared" ca="1" si="35"/>
        <v>1863</v>
      </c>
      <c r="D23" s="87">
        <f t="shared" ca="1" si="36"/>
        <v>4113</v>
      </c>
      <c r="E23" s="87">
        <f t="shared" ca="1" si="37"/>
        <v>975</v>
      </c>
      <c r="F23" s="87">
        <f t="shared" ca="1" si="38"/>
        <v>2964</v>
      </c>
      <c r="G23" s="87"/>
      <c r="H23" s="87">
        <f t="shared" ca="1" si="39"/>
        <v>9915</v>
      </c>
      <c r="I23" s="87">
        <f t="shared" ca="1" si="40"/>
        <v>1863</v>
      </c>
      <c r="J23" s="87">
        <f t="shared" ca="1" si="41"/>
        <v>4113</v>
      </c>
      <c r="K23" s="87">
        <f t="shared" ca="1" si="42"/>
        <v>975</v>
      </c>
      <c r="L23" s="87">
        <f t="shared" ca="1" si="43"/>
        <v>2964</v>
      </c>
      <c r="M23" s="87"/>
      <c r="N23" s="87">
        <f t="shared" ca="1" si="26"/>
        <v>9915</v>
      </c>
      <c r="O23" s="87">
        <f t="shared" ca="1" si="12"/>
        <v>1863</v>
      </c>
      <c r="P23" s="87">
        <f t="shared" ca="1" si="12"/>
        <v>4113</v>
      </c>
      <c r="Q23" s="87">
        <f t="shared" ca="1" si="12"/>
        <v>975</v>
      </c>
      <c r="R23" s="88">
        <f t="shared" ca="1" si="27"/>
        <v>2964</v>
      </c>
      <c r="T23" s="87">
        <f t="shared" ca="1" si="28"/>
        <v>9915</v>
      </c>
      <c r="U23" s="87">
        <f t="shared" ca="1" si="13"/>
        <v>1863</v>
      </c>
      <c r="V23" s="87">
        <f t="shared" ca="1" si="13"/>
        <v>4113</v>
      </c>
      <c r="W23" s="87">
        <f t="shared" ca="1" si="13"/>
        <v>975</v>
      </c>
      <c r="X23" s="88">
        <f t="shared" ca="1" si="29"/>
        <v>2964</v>
      </c>
      <c r="Z23" s="87">
        <f t="shared" ca="1" si="30"/>
        <v>0</v>
      </c>
      <c r="AA23" s="87">
        <f t="shared" ca="1" si="14"/>
        <v>0</v>
      </c>
      <c r="AB23" s="87">
        <f t="shared" ca="1" si="14"/>
        <v>0</v>
      </c>
      <c r="AC23" s="87">
        <f t="shared" ca="1" si="14"/>
        <v>0</v>
      </c>
      <c r="AD23" s="88">
        <f t="shared" ca="1" si="31"/>
        <v>0</v>
      </c>
      <c r="AF23" s="87">
        <f t="shared" ca="1" si="32"/>
        <v>0</v>
      </c>
      <c r="AG23" s="87">
        <f t="shared" ca="1" si="15"/>
        <v>0</v>
      </c>
      <c r="AH23" s="87">
        <f t="shared" ca="1" si="15"/>
        <v>0</v>
      </c>
      <c r="AI23" s="87">
        <f t="shared" ca="1" si="15"/>
        <v>0</v>
      </c>
      <c r="AJ23" s="88">
        <f t="shared" ca="1" si="33"/>
        <v>0</v>
      </c>
    </row>
    <row r="24" spans="1:36" ht="15" customHeight="1" x14ac:dyDescent="0.3">
      <c r="A24" s="20" t="s">
        <v>12</v>
      </c>
      <c r="B24" s="87">
        <f t="shared" ca="1" si="34"/>
        <v>13973</v>
      </c>
      <c r="C24" s="87">
        <f t="shared" ca="1" si="35"/>
        <v>4607</v>
      </c>
      <c r="D24" s="87">
        <f t="shared" ca="1" si="36"/>
        <v>5747</v>
      </c>
      <c r="E24" s="87">
        <f t="shared" ca="1" si="37"/>
        <v>1513</v>
      </c>
      <c r="F24" s="87">
        <f t="shared" ca="1" si="38"/>
        <v>2106</v>
      </c>
      <c r="G24" s="87"/>
      <c r="H24" s="87">
        <f t="shared" ca="1" si="39"/>
        <v>13973</v>
      </c>
      <c r="I24" s="87">
        <f t="shared" ca="1" si="40"/>
        <v>4607</v>
      </c>
      <c r="J24" s="87">
        <f t="shared" ca="1" si="41"/>
        <v>5747</v>
      </c>
      <c r="K24" s="87">
        <f t="shared" ca="1" si="42"/>
        <v>1513</v>
      </c>
      <c r="L24" s="87">
        <f t="shared" ca="1" si="43"/>
        <v>2106</v>
      </c>
      <c r="M24" s="87"/>
      <c r="N24" s="87">
        <f t="shared" ca="1" si="26"/>
        <v>10562</v>
      </c>
      <c r="O24" s="87">
        <f t="shared" ca="1" si="12"/>
        <v>3201</v>
      </c>
      <c r="P24" s="87">
        <f t="shared" ca="1" si="12"/>
        <v>5108</v>
      </c>
      <c r="Q24" s="87">
        <f t="shared" ca="1" si="12"/>
        <v>949</v>
      </c>
      <c r="R24" s="88">
        <f t="shared" ca="1" si="27"/>
        <v>1304</v>
      </c>
      <c r="T24" s="87">
        <f t="shared" ca="1" si="28"/>
        <v>10562</v>
      </c>
      <c r="U24" s="87">
        <f t="shared" ca="1" si="13"/>
        <v>3201</v>
      </c>
      <c r="V24" s="87">
        <f t="shared" ca="1" si="13"/>
        <v>5108</v>
      </c>
      <c r="W24" s="87">
        <f t="shared" ca="1" si="13"/>
        <v>949</v>
      </c>
      <c r="X24" s="88">
        <f t="shared" ca="1" si="29"/>
        <v>1304</v>
      </c>
      <c r="Z24" s="87">
        <f t="shared" ca="1" si="30"/>
        <v>3411</v>
      </c>
      <c r="AA24" s="87">
        <f t="shared" ca="1" si="14"/>
        <v>1406</v>
      </c>
      <c r="AB24" s="87">
        <f t="shared" ca="1" si="14"/>
        <v>639</v>
      </c>
      <c r="AC24" s="87">
        <f t="shared" ca="1" si="14"/>
        <v>564</v>
      </c>
      <c r="AD24" s="88">
        <f t="shared" ca="1" si="31"/>
        <v>802</v>
      </c>
      <c r="AF24" s="87">
        <f t="shared" ca="1" si="32"/>
        <v>3411</v>
      </c>
      <c r="AG24" s="87">
        <f t="shared" ca="1" si="15"/>
        <v>1406</v>
      </c>
      <c r="AH24" s="87">
        <f t="shared" ca="1" si="15"/>
        <v>639</v>
      </c>
      <c r="AI24" s="87">
        <f t="shared" ca="1" si="15"/>
        <v>564</v>
      </c>
      <c r="AJ24" s="88">
        <f t="shared" ca="1" si="33"/>
        <v>802</v>
      </c>
    </row>
    <row r="25" spans="1:36" ht="15" customHeight="1" x14ac:dyDescent="0.3">
      <c r="A25" s="20" t="s">
        <v>13</v>
      </c>
      <c r="B25" s="87">
        <f t="shared" ca="1" si="34"/>
        <v>16697</v>
      </c>
      <c r="C25" s="87">
        <f t="shared" ca="1" si="35"/>
        <v>7443</v>
      </c>
      <c r="D25" s="87">
        <f t="shared" ca="1" si="36"/>
        <v>5045</v>
      </c>
      <c r="E25" s="87">
        <f t="shared" ca="1" si="37"/>
        <v>1316</v>
      </c>
      <c r="F25" s="87">
        <f t="shared" ca="1" si="38"/>
        <v>2893</v>
      </c>
      <c r="G25" s="87"/>
      <c r="H25" s="87">
        <f t="shared" ca="1" si="39"/>
        <v>0</v>
      </c>
      <c r="I25" s="87">
        <f t="shared" ca="1" si="40"/>
        <v>0</v>
      </c>
      <c r="J25" s="87">
        <f t="shared" ca="1" si="41"/>
        <v>0</v>
      </c>
      <c r="K25" s="87">
        <f t="shared" ca="1" si="42"/>
        <v>0</v>
      </c>
      <c r="L25" s="87">
        <f t="shared" ca="1" si="43"/>
        <v>0</v>
      </c>
      <c r="M25" s="87"/>
      <c r="N25" s="87">
        <f t="shared" ca="1" si="26"/>
        <v>16697</v>
      </c>
      <c r="O25" s="87">
        <f t="shared" ca="1" si="26"/>
        <v>7443</v>
      </c>
      <c r="P25" s="87">
        <f t="shared" ca="1" si="26"/>
        <v>5045</v>
      </c>
      <c r="Q25" s="87">
        <f t="shared" ca="1" si="26"/>
        <v>1316</v>
      </c>
      <c r="R25" s="88">
        <f t="shared" ca="1" si="27"/>
        <v>2893</v>
      </c>
      <c r="T25" s="87">
        <f t="shared" ca="1" si="28"/>
        <v>0</v>
      </c>
      <c r="U25" s="87">
        <f t="shared" ca="1" si="28"/>
        <v>0</v>
      </c>
      <c r="V25" s="87">
        <f t="shared" ca="1" si="28"/>
        <v>0</v>
      </c>
      <c r="W25" s="87">
        <f t="shared" ca="1" si="28"/>
        <v>0</v>
      </c>
      <c r="X25" s="88">
        <f t="shared" ca="1" si="29"/>
        <v>0</v>
      </c>
      <c r="Z25" s="87">
        <f t="shared" ca="1" si="30"/>
        <v>0</v>
      </c>
      <c r="AA25" s="87">
        <f t="shared" ca="1" si="30"/>
        <v>0</v>
      </c>
      <c r="AB25" s="87">
        <f t="shared" ca="1" si="30"/>
        <v>0</v>
      </c>
      <c r="AC25" s="87">
        <f t="shared" ca="1" si="30"/>
        <v>0</v>
      </c>
      <c r="AD25" s="88">
        <f t="shared" ca="1" si="31"/>
        <v>0</v>
      </c>
      <c r="AF25" s="87">
        <f t="shared" ca="1" si="32"/>
        <v>0</v>
      </c>
      <c r="AG25" s="87">
        <f t="shared" ca="1" si="32"/>
        <v>0</v>
      </c>
      <c r="AH25" s="87">
        <f t="shared" ca="1" si="32"/>
        <v>0</v>
      </c>
      <c r="AI25" s="87">
        <f t="shared" ca="1" si="32"/>
        <v>0</v>
      </c>
      <c r="AJ25" s="88">
        <f t="shared" ca="1" si="33"/>
        <v>0</v>
      </c>
    </row>
    <row r="26" spans="1:36" ht="15" customHeight="1" x14ac:dyDescent="0.3">
      <c r="A26" s="20" t="s">
        <v>74</v>
      </c>
      <c r="B26" s="87">
        <f t="shared" ca="1" si="34"/>
        <v>12934</v>
      </c>
      <c r="C26" s="87">
        <f t="shared" ca="1" si="35"/>
        <v>3910</v>
      </c>
      <c r="D26" s="87">
        <f t="shared" ca="1" si="36"/>
        <v>5392</v>
      </c>
      <c r="E26" s="87">
        <f t="shared" ca="1" si="37"/>
        <v>645</v>
      </c>
      <c r="F26" s="87">
        <f t="shared" ca="1" si="38"/>
        <v>2987</v>
      </c>
      <c r="G26" s="87"/>
      <c r="H26" s="87">
        <f t="shared" ca="1" si="39"/>
        <v>12934</v>
      </c>
      <c r="I26" s="87">
        <f t="shared" ca="1" si="40"/>
        <v>3910</v>
      </c>
      <c r="J26" s="87">
        <f t="shared" ca="1" si="41"/>
        <v>5392</v>
      </c>
      <c r="K26" s="87">
        <f t="shared" ca="1" si="42"/>
        <v>645</v>
      </c>
      <c r="L26" s="87">
        <f t="shared" ca="1" si="43"/>
        <v>2987</v>
      </c>
      <c r="M26" s="87"/>
      <c r="N26" s="87">
        <f t="shared" ref="N26:Q59" ca="1" si="44">VLOOKUP($A26,INDIRECT("'"&amp;$A$4&amp;"'!"&amp;"a1:ac110"),N$2,FALSE)</f>
        <v>12473</v>
      </c>
      <c r="O26" s="87">
        <f t="shared" ca="1" si="44"/>
        <v>3808</v>
      </c>
      <c r="P26" s="87">
        <f t="shared" ca="1" si="44"/>
        <v>5071</v>
      </c>
      <c r="Q26" s="87">
        <f t="shared" ca="1" si="44"/>
        <v>634</v>
      </c>
      <c r="R26" s="88">
        <f t="shared" ca="1" si="27"/>
        <v>2960</v>
      </c>
      <c r="T26" s="87">
        <f t="shared" ref="T26:W59" ca="1" si="45">VLOOKUP($A26,INDIRECT("'"&amp;$A$4&amp;"'!"&amp;"a1:ac110"),T$2,FALSE)</f>
        <v>12473</v>
      </c>
      <c r="U26" s="87">
        <f t="shared" ca="1" si="45"/>
        <v>3808</v>
      </c>
      <c r="V26" s="87">
        <f t="shared" ca="1" si="45"/>
        <v>5071</v>
      </c>
      <c r="W26" s="87">
        <f t="shared" ca="1" si="45"/>
        <v>634</v>
      </c>
      <c r="X26" s="88">
        <f t="shared" ca="1" si="29"/>
        <v>2960</v>
      </c>
      <c r="Z26" s="87">
        <f t="shared" ref="Z26:AC59" ca="1" si="46">VLOOKUP($A26,INDIRECT("'"&amp;$A$4&amp;"'!"&amp;"a1:ac110"),Z$2,FALSE)</f>
        <v>461</v>
      </c>
      <c r="AA26" s="87">
        <f t="shared" ca="1" si="46"/>
        <v>102</v>
      </c>
      <c r="AB26" s="87">
        <f t="shared" ca="1" si="46"/>
        <v>321</v>
      </c>
      <c r="AC26" s="87">
        <f t="shared" ca="1" si="46"/>
        <v>11</v>
      </c>
      <c r="AD26" s="88">
        <f t="shared" ca="1" si="31"/>
        <v>27</v>
      </c>
      <c r="AF26" s="87">
        <f t="shared" ref="AF26:AI59" ca="1" si="47">VLOOKUP($A26,INDIRECT("'"&amp;$A$4&amp;"'!"&amp;"a1:ac110"),AF$2,FALSE)</f>
        <v>461</v>
      </c>
      <c r="AG26" s="87">
        <f t="shared" ca="1" si="47"/>
        <v>102</v>
      </c>
      <c r="AH26" s="87">
        <f t="shared" ca="1" si="47"/>
        <v>321</v>
      </c>
      <c r="AI26" s="87">
        <f t="shared" ca="1" si="47"/>
        <v>11</v>
      </c>
      <c r="AJ26" s="88">
        <f t="shared" ca="1" si="33"/>
        <v>27</v>
      </c>
    </row>
    <row r="27" spans="1:36" ht="15" customHeight="1" x14ac:dyDescent="0.3">
      <c r="A27" s="4" t="s">
        <v>14</v>
      </c>
      <c r="B27" s="87">
        <f t="shared" ca="1" si="34"/>
        <v>19349</v>
      </c>
      <c r="C27" s="87">
        <f t="shared" ca="1" si="35"/>
        <v>1051</v>
      </c>
      <c r="D27" s="87">
        <f t="shared" ca="1" si="36"/>
        <v>6123</v>
      </c>
      <c r="E27" s="87">
        <f t="shared" ca="1" si="37"/>
        <v>585</v>
      </c>
      <c r="F27" s="87">
        <f t="shared" ca="1" si="38"/>
        <v>11590</v>
      </c>
      <c r="G27" s="87"/>
      <c r="H27" s="87">
        <f t="shared" ca="1" si="39"/>
        <v>19349</v>
      </c>
      <c r="I27" s="87">
        <f t="shared" ca="1" si="40"/>
        <v>1051</v>
      </c>
      <c r="J27" s="87">
        <f t="shared" ca="1" si="41"/>
        <v>6123</v>
      </c>
      <c r="K27" s="87">
        <f t="shared" ca="1" si="42"/>
        <v>585</v>
      </c>
      <c r="L27" s="87">
        <f t="shared" ca="1" si="43"/>
        <v>11590</v>
      </c>
      <c r="M27" s="87"/>
      <c r="N27" s="87">
        <f t="shared" ca="1" si="44"/>
        <v>19349</v>
      </c>
      <c r="O27" s="87">
        <f t="shared" ca="1" si="44"/>
        <v>1051</v>
      </c>
      <c r="P27" s="87">
        <f t="shared" ca="1" si="44"/>
        <v>6123</v>
      </c>
      <c r="Q27" s="87">
        <f t="shared" ca="1" si="44"/>
        <v>585</v>
      </c>
      <c r="R27" s="88">
        <f t="shared" ca="1" si="27"/>
        <v>11590</v>
      </c>
      <c r="T27" s="87">
        <f t="shared" ca="1" si="45"/>
        <v>19349</v>
      </c>
      <c r="U27" s="87">
        <f t="shared" ca="1" si="45"/>
        <v>1051</v>
      </c>
      <c r="V27" s="87">
        <f t="shared" ca="1" si="45"/>
        <v>6123</v>
      </c>
      <c r="W27" s="87">
        <f t="shared" ca="1" si="45"/>
        <v>585</v>
      </c>
      <c r="X27" s="88">
        <f t="shared" ca="1" si="29"/>
        <v>11590</v>
      </c>
      <c r="Z27" s="87">
        <f t="shared" ca="1" si="46"/>
        <v>0</v>
      </c>
      <c r="AA27" s="87">
        <f t="shared" ca="1" si="46"/>
        <v>0</v>
      </c>
      <c r="AB27" s="87">
        <f t="shared" ca="1" si="46"/>
        <v>0</v>
      </c>
      <c r="AC27" s="87">
        <f t="shared" ca="1" si="46"/>
        <v>0</v>
      </c>
      <c r="AD27" s="88">
        <f t="shared" ca="1" si="31"/>
        <v>0</v>
      </c>
      <c r="AF27" s="87">
        <f t="shared" ca="1" si="47"/>
        <v>0</v>
      </c>
      <c r="AG27" s="87">
        <f t="shared" ca="1" si="47"/>
        <v>0</v>
      </c>
      <c r="AH27" s="87">
        <f t="shared" ca="1" si="47"/>
        <v>0</v>
      </c>
      <c r="AI27" s="87">
        <f t="shared" ca="1" si="47"/>
        <v>0</v>
      </c>
      <c r="AJ27" s="88">
        <f t="shared" ca="1" si="33"/>
        <v>0</v>
      </c>
    </row>
    <row r="28" spans="1:36" ht="15" customHeight="1" x14ac:dyDescent="0.3">
      <c r="A28" s="4" t="s">
        <v>15</v>
      </c>
      <c r="B28" s="87">
        <f t="shared" ca="1" si="34"/>
        <v>6775</v>
      </c>
      <c r="C28" s="87">
        <f t="shared" ca="1" si="35"/>
        <v>1702</v>
      </c>
      <c r="D28" s="87">
        <f t="shared" ca="1" si="36"/>
        <v>2067</v>
      </c>
      <c r="E28" s="87">
        <f t="shared" ca="1" si="37"/>
        <v>488</v>
      </c>
      <c r="F28" s="87">
        <f t="shared" ca="1" si="38"/>
        <v>2518</v>
      </c>
      <c r="G28" s="87"/>
      <c r="H28" s="87">
        <f t="shared" ca="1" si="39"/>
        <v>3441</v>
      </c>
      <c r="I28" s="87">
        <f t="shared" ca="1" si="40"/>
        <v>1660</v>
      </c>
      <c r="J28" s="87">
        <f t="shared" ca="1" si="41"/>
        <v>660</v>
      </c>
      <c r="K28" s="87">
        <f t="shared" ca="1" si="42"/>
        <v>327</v>
      </c>
      <c r="L28" s="87">
        <f t="shared" ca="1" si="43"/>
        <v>794</v>
      </c>
      <c r="M28" s="87"/>
      <c r="N28" s="87">
        <f t="shared" ca="1" si="44"/>
        <v>6775</v>
      </c>
      <c r="O28" s="87">
        <f t="shared" ca="1" si="44"/>
        <v>1702</v>
      </c>
      <c r="P28" s="87">
        <f t="shared" ca="1" si="44"/>
        <v>2067</v>
      </c>
      <c r="Q28" s="87">
        <f t="shared" ca="1" si="44"/>
        <v>488</v>
      </c>
      <c r="R28" s="88">
        <f t="shared" ca="1" si="27"/>
        <v>2518</v>
      </c>
      <c r="T28" s="87">
        <f t="shared" ca="1" si="45"/>
        <v>3441</v>
      </c>
      <c r="U28" s="87">
        <f t="shared" ca="1" si="45"/>
        <v>1660</v>
      </c>
      <c r="V28" s="87">
        <f t="shared" ca="1" si="45"/>
        <v>660</v>
      </c>
      <c r="W28" s="87">
        <f t="shared" ca="1" si="45"/>
        <v>327</v>
      </c>
      <c r="X28" s="88">
        <f t="shared" ca="1" si="29"/>
        <v>794</v>
      </c>
      <c r="Z28" s="87">
        <f t="shared" ca="1" si="46"/>
        <v>0</v>
      </c>
      <c r="AA28" s="87">
        <f t="shared" ca="1" si="46"/>
        <v>0</v>
      </c>
      <c r="AB28" s="87">
        <f t="shared" ca="1" si="46"/>
        <v>0</v>
      </c>
      <c r="AC28" s="87">
        <f t="shared" ca="1" si="46"/>
        <v>0</v>
      </c>
      <c r="AD28" s="88">
        <f t="shared" ca="1" si="31"/>
        <v>0</v>
      </c>
      <c r="AF28" s="87">
        <f t="shared" ca="1" si="47"/>
        <v>0</v>
      </c>
      <c r="AG28" s="87">
        <f t="shared" ca="1" si="47"/>
        <v>0</v>
      </c>
      <c r="AH28" s="87">
        <f t="shared" ca="1" si="47"/>
        <v>0</v>
      </c>
      <c r="AI28" s="87">
        <f t="shared" ca="1" si="47"/>
        <v>0</v>
      </c>
      <c r="AJ28" s="88">
        <f t="shared" ca="1" si="33"/>
        <v>0</v>
      </c>
    </row>
    <row r="29" spans="1:36" ht="15" customHeight="1" x14ac:dyDescent="0.3">
      <c r="A29" s="4" t="s">
        <v>16</v>
      </c>
      <c r="B29" s="87">
        <f t="shared" ca="1" si="34"/>
        <v>7718</v>
      </c>
      <c r="C29" s="87">
        <f t="shared" ca="1" si="35"/>
        <v>2559</v>
      </c>
      <c r="D29" s="87">
        <f t="shared" ca="1" si="36"/>
        <v>2481</v>
      </c>
      <c r="E29" s="87">
        <f t="shared" ca="1" si="37"/>
        <v>494</v>
      </c>
      <c r="F29" s="87">
        <f t="shared" ca="1" si="38"/>
        <v>2184</v>
      </c>
      <c r="G29" s="87"/>
      <c r="H29" s="87">
        <f t="shared" ca="1" si="39"/>
        <v>5288</v>
      </c>
      <c r="I29" s="87">
        <f t="shared" ca="1" si="40"/>
        <v>2224</v>
      </c>
      <c r="J29" s="87">
        <f t="shared" ca="1" si="41"/>
        <v>1404</v>
      </c>
      <c r="K29" s="87">
        <f t="shared" ca="1" si="42"/>
        <v>410</v>
      </c>
      <c r="L29" s="87">
        <f t="shared" ca="1" si="43"/>
        <v>1250</v>
      </c>
      <c r="M29" s="87"/>
      <c r="N29" s="87">
        <f t="shared" ca="1" si="44"/>
        <v>7694</v>
      </c>
      <c r="O29" s="87">
        <f t="shared" ca="1" si="44"/>
        <v>2559</v>
      </c>
      <c r="P29" s="87">
        <f t="shared" ca="1" si="44"/>
        <v>2479</v>
      </c>
      <c r="Q29" s="87">
        <f t="shared" ca="1" si="44"/>
        <v>493</v>
      </c>
      <c r="R29" s="88">
        <f t="shared" ca="1" si="27"/>
        <v>2163</v>
      </c>
      <c r="T29" s="87">
        <f t="shared" ca="1" si="45"/>
        <v>5288</v>
      </c>
      <c r="U29" s="87">
        <f t="shared" ca="1" si="45"/>
        <v>2224</v>
      </c>
      <c r="V29" s="87">
        <f t="shared" ca="1" si="45"/>
        <v>1404</v>
      </c>
      <c r="W29" s="87">
        <f t="shared" ca="1" si="45"/>
        <v>410</v>
      </c>
      <c r="X29" s="88">
        <f t="shared" ca="1" si="29"/>
        <v>1250</v>
      </c>
      <c r="Z29" s="87">
        <f t="shared" ca="1" si="46"/>
        <v>24</v>
      </c>
      <c r="AA29" s="87">
        <f t="shared" ca="1" si="46"/>
        <v>0</v>
      </c>
      <c r="AB29" s="87">
        <f t="shared" ca="1" si="46"/>
        <v>2</v>
      </c>
      <c r="AC29" s="87">
        <f t="shared" ca="1" si="46"/>
        <v>1</v>
      </c>
      <c r="AD29" s="88">
        <f t="shared" ca="1" si="31"/>
        <v>21</v>
      </c>
      <c r="AF29" s="87">
        <f t="shared" ca="1" si="47"/>
        <v>0</v>
      </c>
      <c r="AG29" s="87">
        <f t="shared" ca="1" si="47"/>
        <v>0</v>
      </c>
      <c r="AH29" s="87">
        <f t="shared" ca="1" si="47"/>
        <v>0</v>
      </c>
      <c r="AI29" s="87">
        <f t="shared" ca="1" si="47"/>
        <v>0</v>
      </c>
      <c r="AJ29" s="88">
        <f t="shared" ca="1" si="33"/>
        <v>0</v>
      </c>
    </row>
    <row r="30" spans="1:36" ht="15" customHeight="1" x14ac:dyDescent="0.3">
      <c r="A30" s="4" t="s">
        <v>17</v>
      </c>
      <c r="B30" s="87">
        <f t="shared" ca="1" si="34"/>
        <v>5668</v>
      </c>
      <c r="C30" s="87">
        <f t="shared" ca="1" si="35"/>
        <v>2500</v>
      </c>
      <c r="D30" s="87">
        <f t="shared" ca="1" si="36"/>
        <v>1002</v>
      </c>
      <c r="E30" s="87">
        <f t="shared" ca="1" si="37"/>
        <v>1005</v>
      </c>
      <c r="F30" s="87">
        <f t="shared" ca="1" si="38"/>
        <v>1161</v>
      </c>
      <c r="G30" s="87"/>
      <c r="H30" s="87">
        <f t="shared" ca="1" si="39"/>
        <v>5668</v>
      </c>
      <c r="I30" s="87">
        <f t="shared" ca="1" si="40"/>
        <v>2500</v>
      </c>
      <c r="J30" s="87">
        <f t="shared" ca="1" si="41"/>
        <v>1002</v>
      </c>
      <c r="K30" s="87">
        <f t="shared" ca="1" si="42"/>
        <v>1005</v>
      </c>
      <c r="L30" s="87">
        <f t="shared" ca="1" si="43"/>
        <v>1161</v>
      </c>
      <c r="M30" s="87"/>
      <c r="N30" s="87">
        <f t="shared" ca="1" si="44"/>
        <v>5558</v>
      </c>
      <c r="O30" s="87">
        <f t="shared" ca="1" si="44"/>
        <v>2436</v>
      </c>
      <c r="P30" s="87">
        <f t="shared" ca="1" si="44"/>
        <v>995</v>
      </c>
      <c r="Q30" s="87">
        <f t="shared" ca="1" si="44"/>
        <v>966</v>
      </c>
      <c r="R30" s="88">
        <f t="shared" ca="1" si="27"/>
        <v>1161</v>
      </c>
      <c r="T30" s="87">
        <f t="shared" ca="1" si="45"/>
        <v>5558</v>
      </c>
      <c r="U30" s="87">
        <f t="shared" ca="1" si="45"/>
        <v>2436</v>
      </c>
      <c r="V30" s="87">
        <f t="shared" ca="1" si="45"/>
        <v>995</v>
      </c>
      <c r="W30" s="87">
        <f t="shared" ca="1" si="45"/>
        <v>966</v>
      </c>
      <c r="X30" s="88">
        <f t="shared" ca="1" si="29"/>
        <v>1161</v>
      </c>
      <c r="Z30" s="87">
        <f t="shared" ca="1" si="46"/>
        <v>110</v>
      </c>
      <c r="AA30" s="87">
        <f t="shared" ca="1" si="46"/>
        <v>64</v>
      </c>
      <c r="AB30" s="87">
        <f t="shared" ca="1" si="46"/>
        <v>7</v>
      </c>
      <c r="AC30" s="87">
        <f t="shared" ca="1" si="46"/>
        <v>39</v>
      </c>
      <c r="AD30" s="88">
        <f t="shared" ca="1" si="31"/>
        <v>0</v>
      </c>
      <c r="AF30" s="87">
        <f t="shared" ca="1" si="47"/>
        <v>110</v>
      </c>
      <c r="AG30" s="87">
        <f t="shared" ca="1" si="47"/>
        <v>64</v>
      </c>
      <c r="AH30" s="87">
        <f t="shared" ca="1" si="47"/>
        <v>7</v>
      </c>
      <c r="AI30" s="87">
        <f t="shared" ca="1" si="47"/>
        <v>39</v>
      </c>
      <c r="AJ30" s="88">
        <f t="shared" ca="1" si="33"/>
        <v>0</v>
      </c>
    </row>
    <row r="31" spans="1:36" ht="15" customHeight="1" x14ac:dyDescent="0.3">
      <c r="A31" s="4" t="s">
        <v>18</v>
      </c>
      <c r="B31" s="87">
        <f t="shared" ca="1" si="34"/>
        <v>77371</v>
      </c>
      <c r="C31" s="87">
        <f t="shared" ca="1" si="35"/>
        <v>20673</v>
      </c>
      <c r="D31" s="87">
        <f t="shared" ca="1" si="36"/>
        <v>15606</v>
      </c>
      <c r="E31" s="87">
        <f t="shared" ca="1" si="37"/>
        <v>7573</v>
      </c>
      <c r="F31" s="87">
        <f t="shared" ca="1" si="38"/>
        <v>33519</v>
      </c>
      <c r="G31" s="87"/>
      <c r="H31" s="87">
        <f t="shared" ca="1" si="39"/>
        <v>241</v>
      </c>
      <c r="I31" s="87">
        <f t="shared" ca="1" si="40"/>
        <v>125</v>
      </c>
      <c r="J31" s="87">
        <f t="shared" ca="1" si="41"/>
        <v>48</v>
      </c>
      <c r="K31" s="87">
        <f t="shared" ca="1" si="42"/>
        <v>24</v>
      </c>
      <c r="L31" s="87">
        <f t="shared" ca="1" si="43"/>
        <v>44</v>
      </c>
      <c r="M31" s="87"/>
      <c r="N31" s="87">
        <f t="shared" ca="1" si="44"/>
        <v>76846</v>
      </c>
      <c r="O31" s="87">
        <f t="shared" ca="1" si="44"/>
        <v>20652</v>
      </c>
      <c r="P31" s="87">
        <f t="shared" ca="1" si="44"/>
        <v>15592</v>
      </c>
      <c r="Q31" s="87">
        <f t="shared" ca="1" si="44"/>
        <v>7549</v>
      </c>
      <c r="R31" s="88">
        <f t="shared" ca="1" si="27"/>
        <v>33053</v>
      </c>
      <c r="T31" s="87">
        <f t="shared" ca="1" si="45"/>
        <v>241</v>
      </c>
      <c r="U31" s="87">
        <f t="shared" ca="1" si="45"/>
        <v>125</v>
      </c>
      <c r="V31" s="87">
        <f t="shared" ca="1" si="45"/>
        <v>48</v>
      </c>
      <c r="W31" s="87">
        <f t="shared" ca="1" si="45"/>
        <v>24</v>
      </c>
      <c r="X31" s="88">
        <f t="shared" ca="1" si="29"/>
        <v>44</v>
      </c>
      <c r="Z31" s="87">
        <f t="shared" ca="1" si="46"/>
        <v>525</v>
      </c>
      <c r="AA31" s="87">
        <f t="shared" ca="1" si="46"/>
        <v>21</v>
      </c>
      <c r="AB31" s="87">
        <f t="shared" ca="1" si="46"/>
        <v>14</v>
      </c>
      <c r="AC31" s="87">
        <f t="shared" ca="1" si="46"/>
        <v>24</v>
      </c>
      <c r="AD31" s="88">
        <f t="shared" ca="1" si="31"/>
        <v>466</v>
      </c>
      <c r="AF31" s="87">
        <f t="shared" ca="1" si="47"/>
        <v>0</v>
      </c>
      <c r="AG31" s="87">
        <f t="shared" ca="1" si="47"/>
        <v>0</v>
      </c>
      <c r="AH31" s="87">
        <f t="shared" ca="1" si="47"/>
        <v>0</v>
      </c>
      <c r="AI31" s="87">
        <f t="shared" ca="1" si="47"/>
        <v>0</v>
      </c>
      <c r="AJ31" s="88">
        <f t="shared" ca="1" si="33"/>
        <v>0</v>
      </c>
    </row>
    <row r="32" spans="1:36" ht="15" customHeight="1" x14ac:dyDescent="0.3">
      <c r="A32" s="4" t="s">
        <v>19</v>
      </c>
      <c r="B32" s="87">
        <f t="shared" ca="1" si="34"/>
        <v>22298</v>
      </c>
      <c r="C32" s="87">
        <f t="shared" ca="1" si="35"/>
        <v>1346</v>
      </c>
      <c r="D32" s="87">
        <f t="shared" ca="1" si="36"/>
        <v>6963</v>
      </c>
      <c r="E32" s="87">
        <f t="shared" ca="1" si="37"/>
        <v>655</v>
      </c>
      <c r="F32" s="87">
        <f t="shared" ca="1" si="38"/>
        <v>13334</v>
      </c>
      <c r="G32" s="87"/>
      <c r="H32" s="87">
        <f t="shared" ca="1" si="39"/>
        <v>22298</v>
      </c>
      <c r="I32" s="87">
        <f t="shared" ca="1" si="40"/>
        <v>1346</v>
      </c>
      <c r="J32" s="87">
        <f t="shared" ca="1" si="41"/>
        <v>6963</v>
      </c>
      <c r="K32" s="87">
        <f t="shared" ca="1" si="42"/>
        <v>655</v>
      </c>
      <c r="L32" s="87">
        <f t="shared" ca="1" si="43"/>
        <v>13334</v>
      </c>
      <c r="M32" s="87"/>
      <c r="N32" s="87">
        <f t="shared" ca="1" si="44"/>
        <v>22298</v>
      </c>
      <c r="O32" s="87">
        <f t="shared" ca="1" si="44"/>
        <v>1346</v>
      </c>
      <c r="P32" s="87">
        <f t="shared" ca="1" si="44"/>
        <v>6963</v>
      </c>
      <c r="Q32" s="87">
        <f t="shared" ca="1" si="44"/>
        <v>655</v>
      </c>
      <c r="R32" s="88">
        <f t="shared" ca="1" si="27"/>
        <v>13334</v>
      </c>
      <c r="T32" s="87">
        <f t="shared" ca="1" si="45"/>
        <v>22298</v>
      </c>
      <c r="U32" s="87">
        <f t="shared" ca="1" si="45"/>
        <v>1346</v>
      </c>
      <c r="V32" s="87">
        <f t="shared" ca="1" si="45"/>
        <v>6963</v>
      </c>
      <c r="W32" s="87">
        <f t="shared" ca="1" si="45"/>
        <v>655</v>
      </c>
      <c r="X32" s="88">
        <f t="shared" ca="1" si="29"/>
        <v>13334</v>
      </c>
      <c r="Z32" s="87">
        <f t="shared" ca="1" si="46"/>
        <v>0</v>
      </c>
      <c r="AA32" s="87">
        <f t="shared" ca="1" si="46"/>
        <v>0</v>
      </c>
      <c r="AB32" s="87">
        <f t="shared" ca="1" si="46"/>
        <v>0</v>
      </c>
      <c r="AC32" s="87">
        <f t="shared" ca="1" si="46"/>
        <v>0</v>
      </c>
      <c r="AD32" s="88">
        <f t="shared" ca="1" si="31"/>
        <v>0</v>
      </c>
      <c r="AF32" s="87">
        <f t="shared" ca="1" si="47"/>
        <v>0</v>
      </c>
      <c r="AG32" s="87">
        <f t="shared" ca="1" si="47"/>
        <v>0</v>
      </c>
      <c r="AH32" s="87">
        <f t="shared" ca="1" si="47"/>
        <v>0</v>
      </c>
      <c r="AI32" s="87">
        <f t="shared" ca="1" si="47"/>
        <v>0</v>
      </c>
      <c r="AJ32" s="88">
        <f t="shared" ca="1" si="33"/>
        <v>0</v>
      </c>
    </row>
    <row r="33" spans="1:36" ht="15" customHeight="1" x14ac:dyDescent="0.3">
      <c r="A33" s="4" t="s">
        <v>20</v>
      </c>
      <c r="B33" s="87">
        <f t="shared" ca="1" si="34"/>
        <v>8693</v>
      </c>
      <c r="C33" s="87">
        <f t="shared" ca="1" si="35"/>
        <v>2276</v>
      </c>
      <c r="D33" s="87">
        <f t="shared" ca="1" si="36"/>
        <v>1781</v>
      </c>
      <c r="E33" s="87">
        <f t="shared" ca="1" si="37"/>
        <v>783</v>
      </c>
      <c r="F33" s="87">
        <f t="shared" ca="1" si="38"/>
        <v>3853</v>
      </c>
      <c r="G33" s="87"/>
      <c r="H33" s="87">
        <f t="shared" ca="1" si="39"/>
        <v>8689</v>
      </c>
      <c r="I33" s="87">
        <f t="shared" ca="1" si="40"/>
        <v>2275</v>
      </c>
      <c r="J33" s="87">
        <f t="shared" ca="1" si="41"/>
        <v>1780</v>
      </c>
      <c r="K33" s="87">
        <f t="shared" ca="1" si="42"/>
        <v>783</v>
      </c>
      <c r="L33" s="87">
        <f t="shared" ca="1" si="43"/>
        <v>3851</v>
      </c>
      <c r="M33" s="87"/>
      <c r="N33" s="87">
        <f t="shared" ca="1" si="44"/>
        <v>8690</v>
      </c>
      <c r="O33" s="87">
        <f t="shared" ca="1" si="44"/>
        <v>2276</v>
      </c>
      <c r="P33" s="87">
        <f t="shared" ca="1" si="44"/>
        <v>1781</v>
      </c>
      <c r="Q33" s="87">
        <f t="shared" ca="1" si="44"/>
        <v>783</v>
      </c>
      <c r="R33" s="88">
        <f t="shared" ca="1" si="27"/>
        <v>3850</v>
      </c>
      <c r="T33" s="87">
        <f t="shared" ca="1" si="45"/>
        <v>8686</v>
      </c>
      <c r="U33" s="87">
        <f t="shared" ca="1" si="45"/>
        <v>2275</v>
      </c>
      <c r="V33" s="87">
        <f t="shared" ca="1" si="45"/>
        <v>1780</v>
      </c>
      <c r="W33" s="87">
        <f t="shared" ca="1" si="45"/>
        <v>783</v>
      </c>
      <c r="X33" s="88">
        <f t="shared" ca="1" si="29"/>
        <v>3848</v>
      </c>
      <c r="Z33" s="87">
        <f t="shared" ca="1" si="46"/>
        <v>3</v>
      </c>
      <c r="AA33" s="87">
        <f t="shared" ca="1" si="46"/>
        <v>0</v>
      </c>
      <c r="AB33" s="87">
        <f t="shared" ca="1" si="46"/>
        <v>0</v>
      </c>
      <c r="AC33" s="87">
        <f t="shared" ca="1" si="46"/>
        <v>0</v>
      </c>
      <c r="AD33" s="88">
        <f t="shared" ca="1" si="31"/>
        <v>3</v>
      </c>
      <c r="AF33" s="87">
        <f t="shared" ca="1" si="47"/>
        <v>3</v>
      </c>
      <c r="AG33" s="87">
        <f t="shared" ca="1" si="47"/>
        <v>0</v>
      </c>
      <c r="AH33" s="87">
        <f t="shared" ca="1" si="47"/>
        <v>0</v>
      </c>
      <c r="AI33" s="87">
        <f t="shared" ca="1" si="47"/>
        <v>0</v>
      </c>
      <c r="AJ33" s="88">
        <f t="shared" ca="1" si="33"/>
        <v>3</v>
      </c>
    </row>
    <row r="34" spans="1:36" ht="15" customHeight="1" x14ac:dyDescent="0.3">
      <c r="A34" s="4" t="s">
        <v>21</v>
      </c>
      <c r="B34" s="87">
        <f t="shared" ca="1" si="34"/>
        <v>2510</v>
      </c>
      <c r="C34" s="87">
        <f t="shared" ca="1" si="35"/>
        <v>513</v>
      </c>
      <c r="D34" s="87">
        <f t="shared" ca="1" si="36"/>
        <v>1359</v>
      </c>
      <c r="E34" s="87">
        <f t="shared" ca="1" si="37"/>
        <v>98</v>
      </c>
      <c r="F34" s="87">
        <f t="shared" ca="1" si="38"/>
        <v>540</v>
      </c>
      <c r="G34" s="87"/>
      <c r="H34" s="87">
        <f t="shared" ca="1" si="39"/>
        <v>1335</v>
      </c>
      <c r="I34" s="87">
        <f t="shared" ca="1" si="40"/>
        <v>421</v>
      </c>
      <c r="J34" s="87">
        <f t="shared" ca="1" si="41"/>
        <v>681</v>
      </c>
      <c r="K34" s="87">
        <f t="shared" ca="1" si="42"/>
        <v>49</v>
      </c>
      <c r="L34" s="87">
        <f t="shared" ca="1" si="43"/>
        <v>184</v>
      </c>
      <c r="M34" s="87"/>
      <c r="N34" s="87">
        <f t="shared" ca="1" si="44"/>
        <v>2510</v>
      </c>
      <c r="O34" s="87">
        <f t="shared" ca="1" si="44"/>
        <v>513</v>
      </c>
      <c r="P34" s="87">
        <f t="shared" ca="1" si="44"/>
        <v>1359</v>
      </c>
      <c r="Q34" s="87">
        <f t="shared" ca="1" si="44"/>
        <v>98</v>
      </c>
      <c r="R34" s="88">
        <f t="shared" ca="1" si="27"/>
        <v>540</v>
      </c>
      <c r="T34" s="87">
        <f t="shared" ca="1" si="45"/>
        <v>1335</v>
      </c>
      <c r="U34" s="87">
        <f t="shared" ca="1" si="45"/>
        <v>421</v>
      </c>
      <c r="V34" s="87">
        <f t="shared" ca="1" si="45"/>
        <v>681</v>
      </c>
      <c r="W34" s="87">
        <f t="shared" ca="1" si="45"/>
        <v>49</v>
      </c>
      <c r="X34" s="88">
        <f t="shared" ca="1" si="29"/>
        <v>184</v>
      </c>
      <c r="Z34" s="87">
        <f t="shared" ca="1" si="46"/>
        <v>0</v>
      </c>
      <c r="AA34" s="87">
        <f t="shared" ca="1" si="46"/>
        <v>0</v>
      </c>
      <c r="AB34" s="87">
        <f t="shared" ca="1" si="46"/>
        <v>0</v>
      </c>
      <c r="AC34" s="87">
        <f t="shared" ca="1" si="46"/>
        <v>0</v>
      </c>
      <c r="AD34" s="88">
        <f t="shared" ca="1" si="31"/>
        <v>0</v>
      </c>
      <c r="AF34" s="87">
        <f t="shared" ca="1" si="47"/>
        <v>0</v>
      </c>
      <c r="AG34" s="87">
        <f t="shared" ca="1" si="47"/>
        <v>0</v>
      </c>
      <c r="AH34" s="87">
        <f t="shared" ca="1" si="47"/>
        <v>0</v>
      </c>
      <c r="AI34" s="87">
        <f t="shared" ca="1" si="47"/>
        <v>0</v>
      </c>
      <c r="AJ34" s="88">
        <f t="shared" ca="1" si="33"/>
        <v>0</v>
      </c>
    </row>
    <row r="35" spans="1:36" ht="15" customHeight="1" x14ac:dyDescent="0.3">
      <c r="A35" s="4" t="s">
        <v>22</v>
      </c>
      <c r="B35" s="87">
        <f t="shared" ca="1" si="34"/>
        <v>6851</v>
      </c>
      <c r="C35" s="87">
        <f t="shared" ca="1" si="35"/>
        <v>1001</v>
      </c>
      <c r="D35" s="87">
        <f t="shared" ca="1" si="36"/>
        <v>2623</v>
      </c>
      <c r="E35" s="87">
        <f t="shared" ca="1" si="37"/>
        <v>186</v>
      </c>
      <c r="F35" s="87">
        <f t="shared" ca="1" si="38"/>
        <v>3041</v>
      </c>
      <c r="G35" s="87"/>
      <c r="H35" s="87">
        <f t="shared" ca="1" si="39"/>
        <v>6851</v>
      </c>
      <c r="I35" s="87">
        <f t="shared" ca="1" si="40"/>
        <v>1001</v>
      </c>
      <c r="J35" s="87">
        <f t="shared" ca="1" si="41"/>
        <v>2623</v>
      </c>
      <c r="K35" s="87">
        <f t="shared" ca="1" si="42"/>
        <v>186</v>
      </c>
      <c r="L35" s="87">
        <f t="shared" ca="1" si="43"/>
        <v>3041</v>
      </c>
      <c r="M35" s="87"/>
      <c r="N35" s="87">
        <f t="shared" ca="1" si="44"/>
        <v>6851</v>
      </c>
      <c r="O35" s="87">
        <f t="shared" ca="1" si="44"/>
        <v>1001</v>
      </c>
      <c r="P35" s="87">
        <f t="shared" ca="1" si="44"/>
        <v>2623</v>
      </c>
      <c r="Q35" s="87">
        <f t="shared" ca="1" si="44"/>
        <v>186</v>
      </c>
      <c r="R35" s="88">
        <f t="shared" ca="1" si="27"/>
        <v>3041</v>
      </c>
      <c r="T35" s="87">
        <f t="shared" ca="1" si="45"/>
        <v>6851</v>
      </c>
      <c r="U35" s="87">
        <f t="shared" ca="1" si="45"/>
        <v>1001</v>
      </c>
      <c r="V35" s="87">
        <f t="shared" ca="1" si="45"/>
        <v>2623</v>
      </c>
      <c r="W35" s="87">
        <f t="shared" ca="1" si="45"/>
        <v>186</v>
      </c>
      <c r="X35" s="88">
        <f t="shared" ca="1" si="29"/>
        <v>3041</v>
      </c>
      <c r="Z35" s="87">
        <f t="shared" ca="1" si="46"/>
        <v>0</v>
      </c>
      <c r="AA35" s="87">
        <f t="shared" ca="1" si="46"/>
        <v>0</v>
      </c>
      <c r="AB35" s="87">
        <f t="shared" ca="1" si="46"/>
        <v>0</v>
      </c>
      <c r="AC35" s="87">
        <f t="shared" ca="1" si="46"/>
        <v>0</v>
      </c>
      <c r="AD35" s="88">
        <f t="shared" ca="1" si="31"/>
        <v>0</v>
      </c>
      <c r="AF35" s="87">
        <f t="shared" ca="1" si="47"/>
        <v>0</v>
      </c>
      <c r="AG35" s="87">
        <f t="shared" ca="1" si="47"/>
        <v>0</v>
      </c>
      <c r="AH35" s="87">
        <f t="shared" ca="1" si="47"/>
        <v>0</v>
      </c>
      <c r="AI35" s="87">
        <f t="shared" ca="1" si="47"/>
        <v>0</v>
      </c>
      <c r="AJ35" s="88">
        <f t="shared" ca="1" si="33"/>
        <v>0</v>
      </c>
    </row>
    <row r="36" spans="1:36" ht="15" customHeight="1" x14ac:dyDescent="0.3">
      <c r="A36" s="5" t="s">
        <v>23</v>
      </c>
      <c r="B36" s="87">
        <f t="shared" ca="1" si="34"/>
        <v>5654</v>
      </c>
      <c r="C36" s="87">
        <f t="shared" ca="1" si="35"/>
        <v>357</v>
      </c>
      <c r="D36" s="87">
        <f t="shared" ca="1" si="36"/>
        <v>2026</v>
      </c>
      <c r="E36" s="87">
        <f t="shared" ca="1" si="37"/>
        <v>181</v>
      </c>
      <c r="F36" s="87">
        <f t="shared" ca="1" si="38"/>
        <v>3090</v>
      </c>
      <c r="G36" s="87"/>
      <c r="H36" s="87">
        <f t="shared" ca="1" si="39"/>
        <v>5654</v>
      </c>
      <c r="I36" s="87">
        <f t="shared" ca="1" si="40"/>
        <v>357</v>
      </c>
      <c r="J36" s="87">
        <f t="shared" ca="1" si="41"/>
        <v>2026</v>
      </c>
      <c r="K36" s="87">
        <f t="shared" ca="1" si="42"/>
        <v>181</v>
      </c>
      <c r="L36" s="87">
        <f t="shared" ca="1" si="43"/>
        <v>3090</v>
      </c>
      <c r="M36" s="87"/>
      <c r="N36" s="87">
        <f t="shared" ca="1" si="44"/>
        <v>5654</v>
      </c>
      <c r="O36" s="87">
        <f t="shared" ca="1" si="44"/>
        <v>357</v>
      </c>
      <c r="P36" s="87">
        <f t="shared" ca="1" si="44"/>
        <v>2026</v>
      </c>
      <c r="Q36" s="87">
        <f t="shared" ca="1" si="44"/>
        <v>181</v>
      </c>
      <c r="R36" s="88">
        <f t="shared" ca="1" si="27"/>
        <v>3090</v>
      </c>
      <c r="T36" s="87">
        <f t="shared" ca="1" si="45"/>
        <v>5654</v>
      </c>
      <c r="U36" s="87">
        <f t="shared" ca="1" si="45"/>
        <v>357</v>
      </c>
      <c r="V36" s="87">
        <f t="shared" ca="1" si="45"/>
        <v>2026</v>
      </c>
      <c r="W36" s="87">
        <f t="shared" ca="1" si="45"/>
        <v>181</v>
      </c>
      <c r="X36" s="88">
        <f t="shared" ca="1" si="29"/>
        <v>3090</v>
      </c>
      <c r="Z36" s="87">
        <f t="shared" ca="1" si="46"/>
        <v>0</v>
      </c>
      <c r="AA36" s="87">
        <f t="shared" ca="1" si="46"/>
        <v>0</v>
      </c>
      <c r="AB36" s="87">
        <f t="shared" ca="1" si="46"/>
        <v>0</v>
      </c>
      <c r="AC36" s="87">
        <f t="shared" ca="1" si="46"/>
        <v>0</v>
      </c>
      <c r="AD36" s="88">
        <f t="shared" ca="1" si="31"/>
        <v>0</v>
      </c>
      <c r="AF36" s="87">
        <f t="shared" ca="1" si="47"/>
        <v>0</v>
      </c>
      <c r="AG36" s="87">
        <f t="shared" ca="1" si="47"/>
        <v>0</v>
      </c>
      <c r="AH36" s="87">
        <f t="shared" ca="1" si="47"/>
        <v>0</v>
      </c>
      <c r="AI36" s="87">
        <f t="shared" ca="1" si="47"/>
        <v>0</v>
      </c>
      <c r="AJ36" s="88">
        <f t="shared" ca="1" si="33"/>
        <v>0</v>
      </c>
    </row>
    <row r="37" spans="1:36" ht="15" customHeight="1" x14ac:dyDescent="0.3">
      <c r="A37" s="5" t="s">
        <v>48</v>
      </c>
      <c r="B37" s="87">
        <f t="shared" ca="1" si="34"/>
        <v>619</v>
      </c>
      <c r="C37" s="87">
        <f t="shared" ca="1" si="35"/>
        <v>0</v>
      </c>
      <c r="D37" s="87">
        <f t="shared" ca="1" si="36"/>
        <v>619</v>
      </c>
      <c r="E37" s="87">
        <f t="shared" ca="1" si="37"/>
        <v>0</v>
      </c>
      <c r="F37" s="87">
        <f t="shared" ca="1" si="38"/>
        <v>0</v>
      </c>
      <c r="G37" s="87"/>
      <c r="H37" s="87">
        <f t="shared" ca="1" si="39"/>
        <v>619</v>
      </c>
      <c r="I37" s="87">
        <f t="shared" ca="1" si="40"/>
        <v>0</v>
      </c>
      <c r="J37" s="87">
        <f t="shared" ca="1" si="41"/>
        <v>619</v>
      </c>
      <c r="K37" s="87">
        <f t="shared" ca="1" si="42"/>
        <v>0</v>
      </c>
      <c r="L37" s="87">
        <f t="shared" ca="1" si="43"/>
        <v>0</v>
      </c>
      <c r="M37" s="87"/>
      <c r="N37" s="87">
        <f t="shared" ca="1" si="44"/>
        <v>506</v>
      </c>
      <c r="O37" s="87">
        <f t="shared" ca="1" si="44"/>
        <v>0</v>
      </c>
      <c r="P37" s="87">
        <f t="shared" ca="1" si="44"/>
        <v>506</v>
      </c>
      <c r="Q37" s="87">
        <f t="shared" ca="1" si="44"/>
        <v>0</v>
      </c>
      <c r="R37" s="88">
        <f t="shared" ca="1" si="27"/>
        <v>0</v>
      </c>
      <c r="T37" s="87">
        <f t="shared" ca="1" si="45"/>
        <v>506</v>
      </c>
      <c r="U37" s="87">
        <f t="shared" ca="1" si="45"/>
        <v>0</v>
      </c>
      <c r="V37" s="87">
        <f t="shared" ca="1" si="45"/>
        <v>506</v>
      </c>
      <c r="W37" s="87">
        <f t="shared" ca="1" si="45"/>
        <v>0</v>
      </c>
      <c r="X37" s="88">
        <f t="shared" ca="1" si="29"/>
        <v>0</v>
      </c>
      <c r="Z37" s="87">
        <f t="shared" ca="1" si="46"/>
        <v>113</v>
      </c>
      <c r="AA37" s="87">
        <f t="shared" ca="1" si="46"/>
        <v>0</v>
      </c>
      <c r="AB37" s="87">
        <f t="shared" ca="1" si="46"/>
        <v>113</v>
      </c>
      <c r="AC37" s="87">
        <f t="shared" ca="1" si="46"/>
        <v>0</v>
      </c>
      <c r="AD37" s="88">
        <f t="shared" ca="1" si="31"/>
        <v>0</v>
      </c>
      <c r="AF37" s="87">
        <f t="shared" ca="1" si="47"/>
        <v>113</v>
      </c>
      <c r="AG37" s="87">
        <f t="shared" ca="1" si="47"/>
        <v>0</v>
      </c>
      <c r="AH37" s="87">
        <f t="shared" ca="1" si="47"/>
        <v>113</v>
      </c>
      <c r="AI37" s="87">
        <f t="shared" ca="1" si="47"/>
        <v>0</v>
      </c>
      <c r="AJ37" s="88">
        <f t="shared" ca="1" si="33"/>
        <v>0</v>
      </c>
    </row>
    <row r="38" spans="1:36" ht="15" customHeight="1" x14ac:dyDescent="0.3">
      <c r="A38" s="4" t="s">
        <v>25</v>
      </c>
      <c r="B38" s="87">
        <f t="shared" ca="1" si="34"/>
        <v>82</v>
      </c>
      <c r="C38" s="87">
        <f t="shared" ca="1" si="35"/>
        <v>22</v>
      </c>
      <c r="D38" s="87">
        <f t="shared" ca="1" si="36"/>
        <v>55</v>
      </c>
      <c r="E38" s="87">
        <f t="shared" ca="1" si="37"/>
        <v>1</v>
      </c>
      <c r="F38" s="87">
        <f t="shared" ca="1" si="38"/>
        <v>4</v>
      </c>
      <c r="G38" s="87"/>
      <c r="H38" s="87">
        <f t="shared" ca="1" si="39"/>
        <v>0</v>
      </c>
      <c r="I38" s="87">
        <f t="shared" ca="1" si="40"/>
        <v>0</v>
      </c>
      <c r="J38" s="87">
        <f t="shared" ca="1" si="41"/>
        <v>0</v>
      </c>
      <c r="K38" s="87">
        <f t="shared" ca="1" si="42"/>
        <v>0</v>
      </c>
      <c r="L38" s="87">
        <f t="shared" ca="1" si="43"/>
        <v>0</v>
      </c>
      <c r="M38" s="87"/>
      <c r="N38" s="87">
        <f t="shared" ca="1" si="44"/>
        <v>82</v>
      </c>
      <c r="O38" s="87">
        <f t="shared" ca="1" si="44"/>
        <v>22</v>
      </c>
      <c r="P38" s="87">
        <f t="shared" ca="1" si="44"/>
        <v>55</v>
      </c>
      <c r="Q38" s="87">
        <f t="shared" ca="1" si="44"/>
        <v>1</v>
      </c>
      <c r="R38" s="88">
        <f t="shared" ca="1" si="27"/>
        <v>4</v>
      </c>
      <c r="T38" s="87">
        <f t="shared" ca="1" si="45"/>
        <v>0</v>
      </c>
      <c r="U38" s="87">
        <f t="shared" ca="1" si="45"/>
        <v>0</v>
      </c>
      <c r="V38" s="87">
        <f t="shared" ca="1" si="45"/>
        <v>0</v>
      </c>
      <c r="W38" s="87">
        <f t="shared" ca="1" si="45"/>
        <v>0</v>
      </c>
      <c r="X38" s="88">
        <f t="shared" ca="1" si="29"/>
        <v>0</v>
      </c>
      <c r="Z38" s="87">
        <f t="shared" ca="1" si="46"/>
        <v>0</v>
      </c>
      <c r="AA38" s="87">
        <f t="shared" ca="1" si="46"/>
        <v>0</v>
      </c>
      <c r="AB38" s="87">
        <f t="shared" ca="1" si="46"/>
        <v>0</v>
      </c>
      <c r="AC38" s="87">
        <f t="shared" ca="1" si="46"/>
        <v>0</v>
      </c>
      <c r="AD38" s="88">
        <f t="shared" ca="1" si="31"/>
        <v>0</v>
      </c>
      <c r="AF38" s="87">
        <f t="shared" ca="1" si="47"/>
        <v>0</v>
      </c>
      <c r="AG38" s="87">
        <f t="shared" ca="1" si="47"/>
        <v>0</v>
      </c>
      <c r="AH38" s="87">
        <f t="shared" ca="1" si="47"/>
        <v>0</v>
      </c>
      <c r="AI38" s="87">
        <f t="shared" ca="1" si="47"/>
        <v>0</v>
      </c>
      <c r="AJ38" s="88">
        <f t="shared" ca="1" si="33"/>
        <v>0</v>
      </c>
    </row>
    <row r="39" spans="1:36" ht="15" customHeight="1" x14ac:dyDescent="0.3">
      <c r="A39" s="5" t="s">
        <v>26</v>
      </c>
      <c r="B39" s="87">
        <f t="shared" ca="1" si="34"/>
        <v>20303</v>
      </c>
      <c r="C39" s="87">
        <f t="shared" ca="1" si="35"/>
        <v>4287</v>
      </c>
      <c r="D39" s="87">
        <f t="shared" ca="1" si="36"/>
        <v>7263</v>
      </c>
      <c r="E39" s="87">
        <f t="shared" ca="1" si="37"/>
        <v>1342</v>
      </c>
      <c r="F39" s="87">
        <f t="shared" ca="1" si="38"/>
        <v>7411</v>
      </c>
      <c r="G39" s="87"/>
      <c r="H39" s="87">
        <f t="shared" ca="1" si="39"/>
        <v>20303</v>
      </c>
      <c r="I39" s="87">
        <f t="shared" ca="1" si="40"/>
        <v>4287</v>
      </c>
      <c r="J39" s="87">
        <f t="shared" ca="1" si="41"/>
        <v>7263</v>
      </c>
      <c r="K39" s="87">
        <f t="shared" ca="1" si="42"/>
        <v>1342</v>
      </c>
      <c r="L39" s="87">
        <f t="shared" ca="1" si="43"/>
        <v>7411</v>
      </c>
      <c r="M39" s="87"/>
      <c r="N39" s="87">
        <f t="shared" ca="1" si="44"/>
        <v>20303</v>
      </c>
      <c r="O39" s="87">
        <f t="shared" ca="1" si="44"/>
        <v>4287</v>
      </c>
      <c r="P39" s="87">
        <f t="shared" ca="1" si="44"/>
        <v>7263</v>
      </c>
      <c r="Q39" s="87">
        <f t="shared" ca="1" si="44"/>
        <v>1342</v>
      </c>
      <c r="R39" s="88">
        <f t="shared" ca="1" si="27"/>
        <v>7411</v>
      </c>
      <c r="T39" s="87">
        <f t="shared" ca="1" si="45"/>
        <v>20303</v>
      </c>
      <c r="U39" s="87">
        <f t="shared" ca="1" si="45"/>
        <v>4287</v>
      </c>
      <c r="V39" s="87">
        <f t="shared" ca="1" si="45"/>
        <v>7263</v>
      </c>
      <c r="W39" s="87">
        <f t="shared" ca="1" si="45"/>
        <v>1342</v>
      </c>
      <c r="X39" s="88">
        <f t="shared" ca="1" si="29"/>
        <v>7411</v>
      </c>
      <c r="Z39" s="87">
        <f t="shared" ca="1" si="46"/>
        <v>0</v>
      </c>
      <c r="AA39" s="87">
        <f t="shared" ca="1" si="46"/>
        <v>0</v>
      </c>
      <c r="AB39" s="87">
        <f t="shared" ca="1" si="46"/>
        <v>0</v>
      </c>
      <c r="AC39" s="87">
        <f t="shared" ca="1" si="46"/>
        <v>0</v>
      </c>
      <c r="AD39" s="88">
        <f t="shared" ca="1" si="31"/>
        <v>0</v>
      </c>
      <c r="AF39" s="87">
        <f t="shared" ca="1" si="47"/>
        <v>0</v>
      </c>
      <c r="AG39" s="87">
        <f t="shared" ca="1" si="47"/>
        <v>0</v>
      </c>
      <c r="AH39" s="87">
        <f t="shared" ca="1" si="47"/>
        <v>0</v>
      </c>
      <c r="AI39" s="87">
        <f t="shared" ca="1" si="47"/>
        <v>0</v>
      </c>
      <c r="AJ39" s="88">
        <f t="shared" ca="1" si="33"/>
        <v>0</v>
      </c>
    </row>
    <row r="40" spans="1:36" ht="15" customHeight="1" x14ac:dyDescent="0.3">
      <c r="A40" s="5" t="s">
        <v>27</v>
      </c>
      <c r="B40" s="87">
        <f t="shared" ca="1" si="34"/>
        <v>19461</v>
      </c>
      <c r="C40" s="87">
        <f t="shared" ca="1" si="35"/>
        <v>9443</v>
      </c>
      <c r="D40" s="87">
        <f t="shared" ca="1" si="36"/>
        <v>2957</v>
      </c>
      <c r="E40" s="87">
        <f t="shared" ca="1" si="37"/>
        <v>2191</v>
      </c>
      <c r="F40" s="87">
        <f t="shared" ca="1" si="38"/>
        <v>4870</v>
      </c>
      <c r="G40" s="87"/>
      <c r="H40" s="87">
        <f t="shared" ca="1" si="39"/>
        <v>19461</v>
      </c>
      <c r="I40" s="87">
        <f t="shared" ca="1" si="40"/>
        <v>9443</v>
      </c>
      <c r="J40" s="87">
        <f t="shared" ca="1" si="41"/>
        <v>2957</v>
      </c>
      <c r="K40" s="87">
        <f t="shared" ca="1" si="42"/>
        <v>2191</v>
      </c>
      <c r="L40" s="87">
        <f t="shared" ca="1" si="43"/>
        <v>4870</v>
      </c>
      <c r="M40" s="87"/>
      <c r="N40" s="87">
        <f t="shared" ca="1" si="44"/>
        <v>19461</v>
      </c>
      <c r="O40" s="87">
        <f t="shared" ca="1" si="44"/>
        <v>9443</v>
      </c>
      <c r="P40" s="87">
        <f t="shared" ca="1" si="44"/>
        <v>2957</v>
      </c>
      <c r="Q40" s="87">
        <f t="shared" ca="1" si="44"/>
        <v>2191</v>
      </c>
      <c r="R40" s="88">
        <f t="shared" ca="1" si="27"/>
        <v>4870</v>
      </c>
      <c r="T40" s="87">
        <f t="shared" ca="1" si="45"/>
        <v>19461</v>
      </c>
      <c r="U40" s="87">
        <f t="shared" ca="1" si="45"/>
        <v>9443</v>
      </c>
      <c r="V40" s="87">
        <f t="shared" ca="1" si="45"/>
        <v>2957</v>
      </c>
      <c r="W40" s="87">
        <f t="shared" ca="1" si="45"/>
        <v>2191</v>
      </c>
      <c r="X40" s="88">
        <f t="shared" ca="1" si="29"/>
        <v>4870</v>
      </c>
      <c r="Z40" s="87">
        <f t="shared" ca="1" si="46"/>
        <v>0</v>
      </c>
      <c r="AA40" s="87">
        <f t="shared" ca="1" si="46"/>
        <v>0</v>
      </c>
      <c r="AB40" s="87">
        <f t="shared" ca="1" si="46"/>
        <v>0</v>
      </c>
      <c r="AC40" s="87">
        <f t="shared" ca="1" si="46"/>
        <v>0</v>
      </c>
      <c r="AD40" s="88">
        <f t="shared" ca="1" si="31"/>
        <v>0</v>
      </c>
      <c r="AF40" s="87">
        <f t="shared" ca="1" si="47"/>
        <v>0</v>
      </c>
      <c r="AG40" s="87">
        <f t="shared" ca="1" si="47"/>
        <v>0</v>
      </c>
      <c r="AH40" s="87">
        <f t="shared" ca="1" si="47"/>
        <v>0</v>
      </c>
      <c r="AI40" s="87">
        <f t="shared" ca="1" si="47"/>
        <v>0</v>
      </c>
      <c r="AJ40" s="88">
        <f t="shared" ca="1" si="33"/>
        <v>0</v>
      </c>
    </row>
    <row r="41" spans="1:36" ht="15" customHeight="1" x14ac:dyDescent="0.3">
      <c r="A41" s="5" t="s">
        <v>28</v>
      </c>
      <c r="B41" s="87">
        <f t="shared" ca="1" si="34"/>
        <v>6908</v>
      </c>
      <c r="C41" s="87">
        <f t="shared" ca="1" si="35"/>
        <v>139</v>
      </c>
      <c r="D41" s="87">
        <f t="shared" ca="1" si="36"/>
        <v>282</v>
      </c>
      <c r="E41" s="87">
        <f t="shared" ca="1" si="37"/>
        <v>109</v>
      </c>
      <c r="F41" s="87">
        <f t="shared" ca="1" si="38"/>
        <v>6378</v>
      </c>
      <c r="G41" s="87"/>
      <c r="H41" s="87">
        <f t="shared" ca="1" si="39"/>
        <v>5935</v>
      </c>
      <c r="I41" s="87">
        <f t="shared" ca="1" si="40"/>
        <v>1805</v>
      </c>
      <c r="J41" s="87">
        <f t="shared" ca="1" si="41"/>
        <v>1213</v>
      </c>
      <c r="K41" s="87">
        <f t="shared" ca="1" si="42"/>
        <v>534</v>
      </c>
      <c r="L41" s="87">
        <f t="shared" ca="1" si="43"/>
        <v>2383</v>
      </c>
      <c r="M41" s="87"/>
      <c r="N41" s="87">
        <f t="shared" ca="1" si="44"/>
        <v>6542</v>
      </c>
      <c r="O41" s="87">
        <f t="shared" ca="1" si="44"/>
        <v>121</v>
      </c>
      <c r="P41" s="87">
        <f t="shared" ca="1" si="44"/>
        <v>241</v>
      </c>
      <c r="Q41" s="87">
        <f t="shared" ca="1" si="44"/>
        <v>44</v>
      </c>
      <c r="R41" s="88">
        <f t="shared" ca="1" si="27"/>
        <v>6136</v>
      </c>
      <c r="T41" s="87">
        <f t="shared" ca="1" si="45"/>
        <v>5935</v>
      </c>
      <c r="U41" s="87">
        <f t="shared" ca="1" si="45"/>
        <v>1805</v>
      </c>
      <c r="V41" s="87">
        <f t="shared" ca="1" si="45"/>
        <v>1213</v>
      </c>
      <c r="W41" s="87">
        <f t="shared" ca="1" si="45"/>
        <v>534</v>
      </c>
      <c r="X41" s="88">
        <f t="shared" ca="1" si="29"/>
        <v>2383</v>
      </c>
      <c r="Z41" s="87">
        <f t="shared" ca="1" si="46"/>
        <v>366</v>
      </c>
      <c r="AA41" s="87">
        <f t="shared" ca="1" si="46"/>
        <v>18</v>
      </c>
      <c r="AB41" s="87">
        <f t="shared" ca="1" si="46"/>
        <v>41</v>
      </c>
      <c r="AC41" s="87">
        <f t="shared" ca="1" si="46"/>
        <v>65</v>
      </c>
      <c r="AD41" s="88">
        <f t="shared" ca="1" si="31"/>
        <v>242</v>
      </c>
      <c r="AF41" s="87">
        <f t="shared" ca="1" si="47"/>
        <v>0</v>
      </c>
      <c r="AG41" s="87">
        <f t="shared" ca="1" si="47"/>
        <v>0</v>
      </c>
      <c r="AH41" s="87">
        <f t="shared" ca="1" si="47"/>
        <v>0</v>
      </c>
      <c r="AI41" s="87">
        <f t="shared" ca="1" si="47"/>
        <v>0</v>
      </c>
      <c r="AJ41" s="88">
        <f t="shared" ca="1" si="33"/>
        <v>0</v>
      </c>
    </row>
    <row r="42" spans="1:36" ht="15" customHeight="1" x14ac:dyDescent="0.3">
      <c r="A42" s="5" t="s">
        <v>29</v>
      </c>
      <c r="B42" s="87">
        <f t="shared" ca="1" si="34"/>
        <v>3592</v>
      </c>
      <c r="C42" s="87">
        <f t="shared" ca="1" si="35"/>
        <v>1521</v>
      </c>
      <c r="D42" s="87">
        <f t="shared" ca="1" si="36"/>
        <v>495</v>
      </c>
      <c r="E42" s="87">
        <f t="shared" ca="1" si="37"/>
        <v>631</v>
      </c>
      <c r="F42" s="87">
        <f t="shared" ca="1" si="38"/>
        <v>945</v>
      </c>
      <c r="G42" s="87"/>
      <c r="H42" s="87">
        <f t="shared" ca="1" si="39"/>
        <v>2152</v>
      </c>
      <c r="I42" s="87">
        <f t="shared" ca="1" si="40"/>
        <v>1076</v>
      </c>
      <c r="J42" s="87">
        <f t="shared" ca="1" si="41"/>
        <v>188</v>
      </c>
      <c r="K42" s="87">
        <f t="shared" ca="1" si="42"/>
        <v>438</v>
      </c>
      <c r="L42" s="87">
        <f t="shared" ca="1" si="43"/>
        <v>450</v>
      </c>
      <c r="M42" s="87"/>
      <c r="N42" s="87">
        <f t="shared" ca="1" si="44"/>
        <v>3592</v>
      </c>
      <c r="O42" s="87">
        <f t="shared" ca="1" si="44"/>
        <v>1521</v>
      </c>
      <c r="P42" s="87">
        <f t="shared" ca="1" si="44"/>
        <v>495</v>
      </c>
      <c r="Q42" s="87">
        <f t="shared" ca="1" si="44"/>
        <v>631</v>
      </c>
      <c r="R42" s="88">
        <f t="shared" ca="1" si="27"/>
        <v>945</v>
      </c>
      <c r="T42" s="87">
        <f t="shared" ca="1" si="45"/>
        <v>2152</v>
      </c>
      <c r="U42" s="87">
        <f t="shared" ca="1" si="45"/>
        <v>1076</v>
      </c>
      <c r="V42" s="87">
        <f t="shared" ca="1" si="45"/>
        <v>188</v>
      </c>
      <c r="W42" s="87">
        <f t="shared" ca="1" si="45"/>
        <v>438</v>
      </c>
      <c r="X42" s="88">
        <f t="shared" ca="1" si="29"/>
        <v>450</v>
      </c>
      <c r="Z42" s="87">
        <f t="shared" ca="1" si="46"/>
        <v>0</v>
      </c>
      <c r="AA42" s="87">
        <f t="shared" ca="1" si="46"/>
        <v>0</v>
      </c>
      <c r="AB42" s="87">
        <f t="shared" ca="1" si="46"/>
        <v>0</v>
      </c>
      <c r="AC42" s="87">
        <f t="shared" ca="1" si="46"/>
        <v>0</v>
      </c>
      <c r="AD42" s="88">
        <f t="shared" ca="1" si="31"/>
        <v>0</v>
      </c>
      <c r="AF42" s="87">
        <f t="shared" ca="1" si="47"/>
        <v>0</v>
      </c>
      <c r="AG42" s="87">
        <f t="shared" ca="1" si="47"/>
        <v>0</v>
      </c>
      <c r="AH42" s="87">
        <f t="shared" ca="1" si="47"/>
        <v>0</v>
      </c>
      <c r="AI42" s="87">
        <f t="shared" ca="1" si="47"/>
        <v>0</v>
      </c>
      <c r="AJ42" s="88">
        <f t="shared" ca="1" si="33"/>
        <v>0</v>
      </c>
    </row>
    <row r="43" spans="1:36" ht="15" customHeight="1" x14ac:dyDescent="0.3">
      <c r="A43" s="5" t="s">
        <v>30</v>
      </c>
      <c r="B43" s="87">
        <f t="shared" ca="1" si="34"/>
        <v>55590</v>
      </c>
      <c r="C43" s="87">
        <f t="shared" ca="1" si="35"/>
        <v>7302</v>
      </c>
      <c r="D43" s="87">
        <f t="shared" ca="1" si="36"/>
        <v>26070</v>
      </c>
      <c r="E43" s="87">
        <f t="shared" ca="1" si="37"/>
        <v>2318</v>
      </c>
      <c r="F43" s="87">
        <f t="shared" ca="1" si="38"/>
        <v>19900</v>
      </c>
      <c r="G43" s="87"/>
      <c r="H43" s="87">
        <f t="shared" ca="1" si="39"/>
        <v>10177</v>
      </c>
      <c r="I43" s="87">
        <f t="shared" ca="1" si="40"/>
        <v>4830</v>
      </c>
      <c r="J43" s="87">
        <f t="shared" ca="1" si="41"/>
        <v>1423</v>
      </c>
      <c r="K43" s="87">
        <f t="shared" ca="1" si="42"/>
        <v>1659</v>
      </c>
      <c r="L43" s="87">
        <f t="shared" ca="1" si="43"/>
        <v>2265</v>
      </c>
      <c r="M43" s="87"/>
      <c r="N43" s="87">
        <f t="shared" ca="1" si="44"/>
        <v>55590</v>
      </c>
      <c r="O43" s="87">
        <f t="shared" ca="1" si="44"/>
        <v>7302</v>
      </c>
      <c r="P43" s="87">
        <f t="shared" ca="1" si="44"/>
        <v>26070</v>
      </c>
      <c r="Q43" s="87">
        <f t="shared" ca="1" si="44"/>
        <v>2318</v>
      </c>
      <c r="R43" s="88">
        <f t="shared" ca="1" si="27"/>
        <v>19900</v>
      </c>
      <c r="T43" s="87">
        <f t="shared" ca="1" si="45"/>
        <v>10177</v>
      </c>
      <c r="U43" s="87">
        <f t="shared" ca="1" si="45"/>
        <v>4830</v>
      </c>
      <c r="V43" s="87">
        <f t="shared" ca="1" si="45"/>
        <v>1423</v>
      </c>
      <c r="W43" s="87">
        <f t="shared" ca="1" si="45"/>
        <v>1659</v>
      </c>
      <c r="X43" s="88">
        <f t="shared" ca="1" si="29"/>
        <v>2265</v>
      </c>
      <c r="Z43" s="87">
        <f t="shared" ca="1" si="46"/>
        <v>0</v>
      </c>
      <c r="AA43" s="87">
        <f t="shared" ca="1" si="46"/>
        <v>0</v>
      </c>
      <c r="AB43" s="87">
        <f t="shared" ca="1" si="46"/>
        <v>0</v>
      </c>
      <c r="AC43" s="87">
        <f t="shared" ca="1" si="46"/>
        <v>0</v>
      </c>
      <c r="AD43" s="88">
        <f t="shared" ca="1" si="31"/>
        <v>0</v>
      </c>
      <c r="AF43" s="87">
        <f t="shared" ca="1" si="47"/>
        <v>0</v>
      </c>
      <c r="AG43" s="87">
        <f t="shared" ca="1" si="47"/>
        <v>0</v>
      </c>
      <c r="AH43" s="87">
        <f t="shared" ca="1" si="47"/>
        <v>0</v>
      </c>
      <c r="AI43" s="87">
        <f t="shared" ca="1" si="47"/>
        <v>0</v>
      </c>
      <c r="AJ43" s="88">
        <f t="shared" ca="1" si="33"/>
        <v>0</v>
      </c>
    </row>
    <row r="44" spans="1:36" ht="15" customHeight="1" x14ac:dyDescent="0.3">
      <c r="A44" s="4" t="s">
        <v>31</v>
      </c>
      <c r="B44" s="87">
        <f t="shared" ca="1" si="34"/>
        <v>3929</v>
      </c>
      <c r="C44" s="87">
        <f t="shared" ca="1" si="35"/>
        <v>0</v>
      </c>
      <c r="D44" s="87">
        <f t="shared" ca="1" si="36"/>
        <v>0</v>
      </c>
      <c r="E44" s="87">
        <f t="shared" ca="1" si="37"/>
        <v>0</v>
      </c>
      <c r="F44" s="87">
        <f t="shared" ca="1" si="38"/>
        <v>3929</v>
      </c>
      <c r="G44" s="87"/>
      <c r="H44" s="87">
        <f t="shared" ca="1" si="39"/>
        <v>0</v>
      </c>
      <c r="I44" s="87">
        <f t="shared" ca="1" si="40"/>
        <v>0</v>
      </c>
      <c r="J44" s="87">
        <f t="shared" ca="1" si="41"/>
        <v>0</v>
      </c>
      <c r="K44" s="87">
        <f t="shared" ca="1" si="42"/>
        <v>0</v>
      </c>
      <c r="L44" s="87">
        <f t="shared" ca="1" si="43"/>
        <v>0</v>
      </c>
      <c r="M44" s="87"/>
      <c r="N44" s="87">
        <f t="shared" ca="1" si="44"/>
        <v>3929</v>
      </c>
      <c r="O44" s="87">
        <f t="shared" ca="1" si="44"/>
        <v>0</v>
      </c>
      <c r="P44" s="87">
        <f t="shared" ca="1" si="44"/>
        <v>0</v>
      </c>
      <c r="Q44" s="87">
        <f t="shared" ca="1" si="44"/>
        <v>0</v>
      </c>
      <c r="R44" s="88">
        <f t="shared" ca="1" si="27"/>
        <v>3929</v>
      </c>
      <c r="T44" s="87">
        <f t="shared" ca="1" si="45"/>
        <v>0</v>
      </c>
      <c r="U44" s="87">
        <f t="shared" ca="1" si="45"/>
        <v>0</v>
      </c>
      <c r="V44" s="87">
        <f t="shared" ca="1" si="45"/>
        <v>0</v>
      </c>
      <c r="W44" s="87">
        <f t="shared" ca="1" si="45"/>
        <v>0</v>
      </c>
      <c r="X44" s="88">
        <f t="shared" ca="1" si="29"/>
        <v>0</v>
      </c>
      <c r="Z44" s="87">
        <f t="shared" ca="1" si="46"/>
        <v>0</v>
      </c>
      <c r="AA44" s="87">
        <f t="shared" ca="1" si="46"/>
        <v>0</v>
      </c>
      <c r="AB44" s="87">
        <f t="shared" ca="1" si="46"/>
        <v>0</v>
      </c>
      <c r="AC44" s="87">
        <f t="shared" ca="1" si="46"/>
        <v>0</v>
      </c>
      <c r="AD44" s="88">
        <f t="shared" ca="1" si="31"/>
        <v>0</v>
      </c>
      <c r="AF44" s="87">
        <f t="shared" ca="1" si="47"/>
        <v>0</v>
      </c>
      <c r="AG44" s="87">
        <f t="shared" ca="1" si="47"/>
        <v>0</v>
      </c>
      <c r="AH44" s="87">
        <f t="shared" ca="1" si="47"/>
        <v>0</v>
      </c>
      <c r="AI44" s="87">
        <f t="shared" ca="1" si="47"/>
        <v>0</v>
      </c>
      <c r="AJ44" s="88">
        <f t="shared" ca="1" si="33"/>
        <v>0</v>
      </c>
    </row>
    <row r="45" spans="1:36" ht="15" customHeight="1" x14ac:dyDescent="0.3">
      <c r="A45" s="4" t="s">
        <v>32</v>
      </c>
      <c r="B45" s="87">
        <f t="shared" ca="1" si="34"/>
        <v>2305</v>
      </c>
      <c r="C45" s="87">
        <f t="shared" ca="1" si="35"/>
        <v>0</v>
      </c>
      <c r="D45" s="87">
        <f t="shared" ca="1" si="36"/>
        <v>2229</v>
      </c>
      <c r="E45" s="87">
        <f t="shared" ca="1" si="37"/>
        <v>0</v>
      </c>
      <c r="F45" s="87">
        <f t="shared" ca="1" si="38"/>
        <v>76</v>
      </c>
      <c r="G45" s="87"/>
      <c r="H45" s="87">
        <f t="shared" ca="1" si="39"/>
        <v>1759</v>
      </c>
      <c r="I45" s="87">
        <f t="shared" ca="1" si="40"/>
        <v>0</v>
      </c>
      <c r="J45" s="87">
        <f t="shared" ca="1" si="41"/>
        <v>1197</v>
      </c>
      <c r="K45" s="87">
        <f t="shared" ca="1" si="42"/>
        <v>0</v>
      </c>
      <c r="L45" s="87">
        <f t="shared" ca="1" si="43"/>
        <v>562</v>
      </c>
      <c r="M45" s="87"/>
      <c r="N45" s="87">
        <f t="shared" ca="1" si="44"/>
        <v>2251</v>
      </c>
      <c r="O45" s="87">
        <f t="shared" ca="1" si="44"/>
        <v>0</v>
      </c>
      <c r="P45" s="87">
        <f t="shared" ca="1" si="44"/>
        <v>2186</v>
      </c>
      <c r="Q45" s="87">
        <f t="shared" ca="1" si="44"/>
        <v>0</v>
      </c>
      <c r="R45" s="88">
        <f t="shared" ca="1" si="27"/>
        <v>65</v>
      </c>
      <c r="T45" s="87">
        <f t="shared" ca="1" si="45"/>
        <v>1759</v>
      </c>
      <c r="U45" s="87">
        <f t="shared" ca="1" si="45"/>
        <v>0</v>
      </c>
      <c r="V45" s="87">
        <f t="shared" ca="1" si="45"/>
        <v>1197</v>
      </c>
      <c r="W45" s="87">
        <f t="shared" ca="1" si="45"/>
        <v>0</v>
      </c>
      <c r="X45" s="88">
        <f t="shared" ca="1" si="29"/>
        <v>562</v>
      </c>
      <c r="Z45" s="87">
        <f t="shared" ca="1" si="46"/>
        <v>54</v>
      </c>
      <c r="AA45" s="87">
        <f t="shared" ca="1" si="46"/>
        <v>0</v>
      </c>
      <c r="AB45" s="87">
        <f t="shared" ca="1" si="46"/>
        <v>43</v>
      </c>
      <c r="AC45" s="87">
        <f t="shared" ca="1" si="46"/>
        <v>0</v>
      </c>
      <c r="AD45" s="88">
        <f t="shared" ca="1" si="31"/>
        <v>11</v>
      </c>
      <c r="AF45" s="87">
        <f t="shared" ca="1" si="47"/>
        <v>0</v>
      </c>
      <c r="AG45" s="87">
        <f t="shared" ca="1" si="47"/>
        <v>0</v>
      </c>
      <c r="AH45" s="87">
        <f t="shared" ca="1" si="47"/>
        <v>0</v>
      </c>
      <c r="AI45" s="87">
        <f t="shared" ca="1" si="47"/>
        <v>0</v>
      </c>
      <c r="AJ45" s="88">
        <f t="shared" ca="1" si="33"/>
        <v>0</v>
      </c>
    </row>
    <row r="46" spans="1:36" ht="15" customHeight="1" x14ac:dyDescent="0.3">
      <c r="A46" s="4" t="s">
        <v>33</v>
      </c>
      <c r="B46" s="87">
        <f t="shared" ca="1" si="34"/>
        <v>3582</v>
      </c>
      <c r="C46" s="87">
        <f t="shared" ca="1" si="35"/>
        <v>739</v>
      </c>
      <c r="D46" s="87">
        <f t="shared" ca="1" si="36"/>
        <v>1345</v>
      </c>
      <c r="E46" s="87">
        <f t="shared" ca="1" si="37"/>
        <v>167</v>
      </c>
      <c r="F46" s="87">
        <f t="shared" ca="1" si="38"/>
        <v>1331</v>
      </c>
      <c r="G46" s="87"/>
      <c r="H46" s="87">
        <f t="shared" ca="1" si="39"/>
        <v>1432</v>
      </c>
      <c r="I46" s="87">
        <f t="shared" ca="1" si="40"/>
        <v>619</v>
      </c>
      <c r="J46" s="87">
        <f t="shared" ca="1" si="41"/>
        <v>316</v>
      </c>
      <c r="K46" s="87">
        <f t="shared" ca="1" si="42"/>
        <v>167</v>
      </c>
      <c r="L46" s="87">
        <f t="shared" ca="1" si="43"/>
        <v>330</v>
      </c>
      <c r="M46" s="87"/>
      <c r="N46" s="87">
        <f t="shared" ca="1" si="44"/>
        <v>3582</v>
      </c>
      <c r="O46" s="87">
        <f t="shared" ca="1" si="44"/>
        <v>739</v>
      </c>
      <c r="P46" s="87">
        <f t="shared" ca="1" si="44"/>
        <v>1345</v>
      </c>
      <c r="Q46" s="87">
        <f t="shared" ca="1" si="44"/>
        <v>167</v>
      </c>
      <c r="R46" s="88">
        <f t="shared" ca="1" si="27"/>
        <v>1331</v>
      </c>
      <c r="T46" s="87">
        <f t="shared" ca="1" si="45"/>
        <v>1432</v>
      </c>
      <c r="U46" s="87">
        <f t="shared" ca="1" si="45"/>
        <v>619</v>
      </c>
      <c r="V46" s="87">
        <f t="shared" ca="1" si="45"/>
        <v>316</v>
      </c>
      <c r="W46" s="87">
        <f t="shared" ca="1" si="45"/>
        <v>167</v>
      </c>
      <c r="X46" s="88">
        <f t="shared" ca="1" si="29"/>
        <v>330</v>
      </c>
      <c r="Z46" s="87">
        <f t="shared" ca="1" si="46"/>
        <v>0</v>
      </c>
      <c r="AA46" s="87">
        <f t="shared" ca="1" si="46"/>
        <v>0</v>
      </c>
      <c r="AB46" s="87">
        <f t="shared" ca="1" si="46"/>
        <v>0</v>
      </c>
      <c r="AC46" s="87">
        <f t="shared" ca="1" si="46"/>
        <v>0</v>
      </c>
      <c r="AD46" s="88">
        <f t="shared" ca="1" si="31"/>
        <v>0</v>
      </c>
      <c r="AF46" s="87">
        <f t="shared" ca="1" si="47"/>
        <v>0</v>
      </c>
      <c r="AG46" s="87">
        <f t="shared" ca="1" si="47"/>
        <v>0</v>
      </c>
      <c r="AH46" s="87">
        <f t="shared" ca="1" si="47"/>
        <v>0</v>
      </c>
      <c r="AI46" s="87">
        <f t="shared" ca="1" si="47"/>
        <v>0</v>
      </c>
      <c r="AJ46" s="88">
        <f t="shared" ca="1" si="33"/>
        <v>0</v>
      </c>
    </row>
    <row r="47" spans="1:36" ht="15" customHeight="1" x14ac:dyDescent="0.3">
      <c r="A47" s="4" t="s">
        <v>34</v>
      </c>
      <c r="B47" s="87">
        <f t="shared" ca="1" si="34"/>
        <v>7694</v>
      </c>
      <c r="C47" s="87">
        <f t="shared" ca="1" si="35"/>
        <v>891</v>
      </c>
      <c r="D47" s="87">
        <f t="shared" ca="1" si="36"/>
        <v>4221</v>
      </c>
      <c r="E47" s="87">
        <f t="shared" ca="1" si="37"/>
        <v>278</v>
      </c>
      <c r="F47" s="87">
        <f t="shared" ca="1" si="38"/>
        <v>2304</v>
      </c>
      <c r="G47" s="87"/>
      <c r="H47" s="87">
        <f t="shared" ca="1" si="39"/>
        <v>7694</v>
      </c>
      <c r="I47" s="87">
        <f t="shared" ca="1" si="40"/>
        <v>891</v>
      </c>
      <c r="J47" s="87">
        <f t="shared" ca="1" si="41"/>
        <v>4221</v>
      </c>
      <c r="K47" s="87">
        <f t="shared" ca="1" si="42"/>
        <v>278</v>
      </c>
      <c r="L47" s="87">
        <f t="shared" ca="1" si="43"/>
        <v>2304</v>
      </c>
      <c r="M47" s="87"/>
      <c r="N47" s="87">
        <f t="shared" ca="1" si="44"/>
        <v>7694</v>
      </c>
      <c r="O47" s="87">
        <f t="shared" ca="1" si="44"/>
        <v>891</v>
      </c>
      <c r="P47" s="87">
        <f t="shared" ca="1" si="44"/>
        <v>4221</v>
      </c>
      <c r="Q47" s="87">
        <f t="shared" ca="1" si="44"/>
        <v>278</v>
      </c>
      <c r="R47" s="88">
        <f t="shared" ca="1" si="27"/>
        <v>2304</v>
      </c>
      <c r="T47" s="87">
        <f t="shared" ca="1" si="45"/>
        <v>7694</v>
      </c>
      <c r="U47" s="87">
        <f t="shared" ca="1" si="45"/>
        <v>891</v>
      </c>
      <c r="V47" s="87">
        <f t="shared" ca="1" si="45"/>
        <v>4221</v>
      </c>
      <c r="W47" s="87">
        <f t="shared" ca="1" si="45"/>
        <v>278</v>
      </c>
      <c r="X47" s="88">
        <f t="shared" ca="1" si="29"/>
        <v>2304</v>
      </c>
      <c r="Z47" s="87">
        <f t="shared" ca="1" si="46"/>
        <v>0</v>
      </c>
      <c r="AA47" s="87">
        <f t="shared" ca="1" si="46"/>
        <v>0</v>
      </c>
      <c r="AB47" s="87">
        <f t="shared" ca="1" si="46"/>
        <v>0</v>
      </c>
      <c r="AC47" s="87">
        <f t="shared" ca="1" si="46"/>
        <v>0</v>
      </c>
      <c r="AD47" s="88">
        <f t="shared" ca="1" si="31"/>
        <v>0</v>
      </c>
      <c r="AF47" s="87">
        <f t="shared" ca="1" si="47"/>
        <v>0</v>
      </c>
      <c r="AG47" s="87">
        <f t="shared" ca="1" si="47"/>
        <v>0</v>
      </c>
      <c r="AH47" s="87">
        <f t="shared" ca="1" si="47"/>
        <v>0</v>
      </c>
      <c r="AI47" s="87">
        <f t="shared" ca="1" si="47"/>
        <v>0</v>
      </c>
      <c r="AJ47" s="88">
        <f t="shared" ca="1" si="33"/>
        <v>0</v>
      </c>
    </row>
    <row r="48" spans="1:36" ht="15" customHeight="1" x14ac:dyDescent="0.3">
      <c r="A48" s="4" t="s">
        <v>35</v>
      </c>
      <c r="B48" s="87">
        <f t="shared" ca="1" si="34"/>
        <v>8272</v>
      </c>
      <c r="C48" s="87">
        <f t="shared" ca="1" si="35"/>
        <v>1634</v>
      </c>
      <c r="D48" s="87">
        <f t="shared" ca="1" si="36"/>
        <v>2773</v>
      </c>
      <c r="E48" s="87">
        <f t="shared" ca="1" si="37"/>
        <v>744</v>
      </c>
      <c r="F48" s="87">
        <f t="shared" ca="1" si="38"/>
        <v>3121</v>
      </c>
      <c r="G48" s="87"/>
      <c r="H48" s="87">
        <f t="shared" ca="1" si="39"/>
        <v>6002</v>
      </c>
      <c r="I48" s="87">
        <f t="shared" ca="1" si="40"/>
        <v>1259</v>
      </c>
      <c r="J48" s="87">
        <f t="shared" ca="1" si="41"/>
        <v>2111</v>
      </c>
      <c r="K48" s="87">
        <f t="shared" ca="1" si="42"/>
        <v>546</v>
      </c>
      <c r="L48" s="87">
        <f t="shared" ca="1" si="43"/>
        <v>2086</v>
      </c>
      <c r="M48" s="87"/>
      <c r="N48" s="87">
        <f t="shared" ca="1" si="44"/>
        <v>7752</v>
      </c>
      <c r="O48" s="87">
        <f t="shared" ca="1" si="44"/>
        <v>1439</v>
      </c>
      <c r="P48" s="87">
        <f t="shared" ca="1" si="44"/>
        <v>2682</v>
      </c>
      <c r="Q48" s="87">
        <f t="shared" ca="1" si="44"/>
        <v>623</v>
      </c>
      <c r="R48" s="88">
        <f t="shared" ca="1" si="27"/>
        <v>3008</v>
      </c>
      <c r="T48" s="87">
        <f t="shared" ca="1" si="45"/>
        <v>5752</v>
      </c>
      <c r="U48" s="87">
        <f t="shared" ca="1" si="45"/>
        <v>1198</v>
      </c>
      <c r="V48" s="87">
        <f t="shared" ca="1" si="45"/>
        <v>2042</v>
      </c>
      <c r="W48" s="87">
        <f t="shared" ca="1" si="45"/>
        <v>484</v>
      </c>
      <c r="X48" s="88">
        <f t="shared" ca="1" si="29"/>
        <v>2028</v>
      </c>
      <c r="Z48" s="87">
        <f t="shared" ca="1" si="46"/>
        <v>520</v>
      </c>
      <c r="AA48" s="87">
        <f t="shared" ca="1" si="46"/>
        <v>195</v>
      </c>
      <c r="AB48" s="87">
        <f t="shared" ca="1" si="46"/>
        <v>91</v>
      </c>
      <c r="AC48" s="87">
        <f t="shared" ca="1" si="46"/>
        <v>121</v>
      </c>
      <c r="AD48" s="88">
        <f t="shared" ca="1" si="31"/>
        <v>113</v>
      </c>
      <c r="AF48" s="87">
        <f t="shared" ca="1" si="47"/>
        <v>250</v>
      </c>
      <c r="AG48" s="87">
        <f t="shared" ca="1" si="47"/>
        <v>61</v>
      </c>
      <c r="AH48" s="87">
        <f t="shared" ca="1" si="47"/>
        <v>69</v>
      </c>
      <c r="AI48" s="87">
        <f t="shared" ca="1" si="47"/>
        <v>62</v>
      </c>
      <c r="AJ48" s="88">
        <f t="shared" ca="1" si="33"/>
        <v>58</v>
      </c>
    </row>
    <row r="49" spans="1:36" ht="15" customHeight="1" x14ac:dyDescent="0.3">
      <c r="A49" s="4" t="s">
        <v>36</v>
      </c>
      <c r="B49" s="87">
        <f t="shared" ca="1" si="34"/>
        <v>2934</v>
      </c>
      <c r="C49" s="87">
        <f t="shared" ca="1" si="35"/>
        <v>0</v>
      </c>
      <c r="D49" s="87">
        <f t="shared" ca="1" si="36"/>
        <v>2071</v>
      </c>
      <c r="E49" s="87">
        <f t="shared" ca="1" si="37"/>
        <v>0</v>
      </c>
      <c r="F49" s="87">
        <f t="shared" ca="1" si="38"/>
        <v>863</v>
      </c>
      <c r="G49" s="87"/>
      <c r="H49" s="87">
        <f t="shared" ca="1" si="39"/>
        <v>2513</v>
      </c>
      <c r="I49" s="87">
        <f t="shared" ca="1" si="40"/>
        <v>0</v>
      </c>
      <c r="J49" s="87">
        <f t="shared" ca="1" si="41"/>
        <v>1893</v>
      </c>
      <c r="K49" s="87">
        <f t="shared" ca="1" si="42"/>
        <v>0</v>
      </c>
      <c r="L49" s="87">
        <f t="shared" ca="1" si="43"/>
        <v>620</v>
      </c>
      <c r="M49" s="87"/>
      <c r="N49" s="87">
        <f t="shared" ca="1" si="44"/>
        <v>2934</v>
      </c>
      <c r="O49" s="87">
        <f t="shared" ca="1" si="44"/>
        <v>0</v>
      </c>
      <c r="P49" s="87">
        <f t="shared" ca="1" si="44"/>
        <v>2071</v>
      </c>
      <c r="Q49" s="87">
        <f t="shared" ca="1" si="44"/>
        <v>0</v>
      </c>
      <c r="R49" s="88">
        <f t="shared" ca="1" si="27"/>
        <v>863</v>
      </c>
      <c r="T49" s="87">
        <f t="shared" ca="1" si="45"/>
        <v>2513</v>
      </c>
      <c r="U49" s="87">
        <f t="shared" ca="1" si="45"/>
        <v>0</v>
      </c>
      <c r="V49" s="87">
        <f t="shared" ca="1" si="45"/>
        <v>1893</v>
      </c>
      <c r="W49" s="87">
        <f t="shared" ca="1" si="45"/>
        <v>0</v>
      </c>
      <c r="X49" s="88">
        <f t="shared" ca="1" si="29"/>
        <v>620</v>
      </c>
      <c r="Z49" s="87">
        <f t="shared" ca="1" si="46"/>
        <v>0</v>
      </c>
      <c r="AA49" s="87">
        <f t="shared" ca="1" si="46"/>
        <v>0</v>
      </c>
      <c r="AB49" s="87">
        <f t="shared" ca="1" si="46"/>
        <v>0</v>
      </c>
      <c r="AC49" s="87">
        <f t="shared" ca="1" si="46"/>
        <v>0</v>
      </c>
      <c r="AD49" s="88">
        <f t="shared" ca="1" si="31"/>
        <v>0</v>
      </c>
      <c r="AF49" s="87">
        <f t="shared" ca="1" si="47"/>
        <v>0</v>
      </c>
      <c r="AG49" s="87">
        <f t="shared" ca="1" si="47"/>
        <v>0</v>
      </c>
      <c r="AH49" s="87">
        <f t="shared" ca="1" si="47"/>
        <v>0</v>
      </c>
      <c r="AI49" s="87">
        <f t="shared" ca="1" si="47"/>
        <v>0</v>
      </c>
      <c r="AJ49" s="88">
        <f t="shared" ca="1" si="33"/>
        <v>0</v>
      </c>
    </row>
    <row r="50" spans="1:36" ht="15" customHeight="1" x14ac:dyDescent="0.3">
      <c r="A50" s="4" t="s">
        <v>37</v>
      </c>
      <c r="B50" s="87">
        <f t="shared" ca="1" si="34"/>
        <v>4583</v>
      </c>
      <c r="C50" s="87">
        <f t="shared" ca="1" si="35"/>
        <v>827</v>
      </c>
      <c r="D50" s="87">
        <f t="shared" ca="1" si="36"/>
        <v>2179</v>
      </c>
      <c r="E50" s="87">
        <f t="shared" ca="1" si="37"/>
        <v>153</v>
      </c>
      <c r="F50" s="87">
        <f t="shared" ca="1" si="38"/>
        <v>1424</v>
      </c>
      <c r="G50" s="87"/>
      <c r="H50" s="87">
        <f t="shared" ca="1" si="39"/>
        <v>3815</v>
      </c>
      <c r="I50" s="87">
        <f t="shared" ca="1" si="40"/>
        <v>827</v>
      </c>
      <c r="J50" s="87">
        <f t="shared" ca="1" si="41"/>
        <v>2179</v>
      </c>
      <c r="K50" s="87">
        <f t="shared" ca="1" si="42"/>
        <v>153</v>
      </c>
      <c r="L50" s="87">
        <f t="shared" ca="1" si="43"/>
        <v>656</v>
      </c>
      <c r="M50" s="87"/>
      <c r="N50" s="87">
        <f t="shared" ca="1" si="44"/>
        <v>3815</v>
      </c>
      <c r="O50" s="87">
        <f t="shared" ca="1" si="44"/>
        <v>827</v>
      </c>
      <c r="P50" s="87">
        <f t="shared" ca="1" si="44"/>
        <v>2179</v>
      </c>
      <c r="Q50" s="87">
        <f t="shared" ca="1" si="44"/>
        <v>153</v>
      </c>
      <c r="R50" s="88">
        <f t="shared" ca="1" si="27"/>
        <v>656</v>
      </c>
      <c r="T50" s="87">
        <f t="shared" ca="1" si="45"/>
        <v>3815</v>
      </c>
      <c r="U50" s="87">
        <f t="shared" ca="1" si="45"/>
        <v>827</v>
      </c>
      <c r="V50" s="87">
        <f t="shared" ca="1" si="45"/>
        <v>2179</v>
      </c>
      <c r="W50" s="87">
        <f t="shared" ca="1" si="45"/>
        <v>153</v>
      </c>
      <c r="X50" s="88">
        <f t="shared" ca="1" si="29"/>
        <v>656</v>
      </c>
      <c r="Z50" s="87">
        <f t="shared" ca="1" si="46"/>
        <v>768</v>
      </c>
      <c r="AA50" s="87">
        <f t="shared" ca="1" si="46"/>
        <v>0</v>
      </c>
      <c r="AB50" s="87">
        <f t="shared" ca="1" si="46"/>
        <v>0</v>
      </c>
      <c r="AC50" s="87">
        <f t="shared" ca="1" si="46"/>
        <v>0</v>
      </c>
      <c r="AD50" s="88">
        <f t="shared" ca="1" si="31"/>
        <v>768</v>
      </c>
      <c r="AF50" s="87">
        <f t="shared" ca="1" si="47"/>
        <v>0</v>
      </c>
      <c r="AG50" s="87">
        <f t="shared" ca="1" si="47"/>
        <v>0</v>
      </c>
      <c r="AH50" s="87">
        <f t="shared" ca="1" si="47"/>
        <v>0</v>
      </c>
      <c r="AI50" s="87">
        <f t="shared" ca="1" si="47"/>
        <v>0</v>
      </c>
      <c r="AJ50" s="88">
        <f t="shared" ca="1" si="33"/>
        <v>0</v>
      </c>
    </row>
    <row r="51" spans="1:36" ht="15" customHeight="1" x14ac:dyDescent="0.3">
      <c r="A51" s="4" t="s">
        <v>38</v>
      </c>
      <c r="B51" s="87">
        <f t="shared" ca="1" si="34"/>
        <v>17508</v>
      </c>
      <c r="C51" s="87">
        <f t="shared" ca="1" si="35"/>
        <v>2596</v>
      </c>
      <c r="D51" s="87">
        <f t="shared" ca="1" si="36"/>
        <v>6490</v>
      </c>
      <c r="E51" s="87">
        <f t="shared" ca="1" si="37"/>
        <v>1071</v>
      </c>
      <c r="F51" s="87">
        <f t="shared" ca="1" si="38"/>
        <v>7351</v>
      </c>
      <c r="G51" s="87"/>
      <c r="H51" s="87">
        <f t="shared" ca="1" si="39"/>
        <v>1227</v>
      </c>
      <c r="I51" s="87">
        <f t="shared" ca="1" si="40"/>
        <v>402</v>
      </c>
      <c r="J51" s="87">
        <f t="shared" ca="1" si="41"/>
        <v>822</v>
      </c>
      <c r="K51" s="87">
        <f t="shared" ca="1" si="42"/>
        <v>2</v>
      </c>
      <c r="L51" s="87">
        <f t="shared" ca="1" si="43"/>
        <v>1</v>
      </c>
      <c r="M51" s="87"/>
      <c r="N51" s="87">
        <f t="shared" ca="1" si="44"/>
        <v>17480</v>
      </c>
      <c r="O51" s="87">
        <f t="shared" ca="1" si="44"/>
        <v>2596</v>
      </c>
      <c r="P51" s="87">
        <f t="shared" ca="1" si="44"/>
        <v>6485</v>
      </c>
      <c r="Q51" s="87">
        <f t="shared" ca="1" si="44"/>
        <v>1067</v>
      </c>
      <c r="R51" s="88">
        <f t="shared" ca="1" si="27"/>
        <v>7332</v>
      </c>
      <c r="T51" s="87">
        <f t="shared" ca="1" si="45"/>
        <v>1227</v>
      </c>
      <c r="U51" s="87">
        <f t="shared" ca="1" si="45"/>
        <v>402</v>
      </c>
      <c r="V51" s="87">
        <f t="shared" ca="1" si="45"/>
        <v>822</v>
      </c>
      <c r="W51" s="87">
        <f t="shared" ca="1" si="45"/>
        <v>2</v>
      </c>
      <c r="X51" s="88">
        <f t="shared" ca="1" si="29"/>
        <v>1</v>
      </c>
      <c r="Z51" s="87">
        <f t="shared" ca="1" si="46"/>
        <v>28</v>
      </c>
      <c r="AA51" s="87">
        <f t="shared" ca="1" si="46"/>
        <v>0</v>
      </c>
      <c r="AB51" s="87">
        <f t="shared" ca="1" si="46"/>
        <v>5</v>
      </c>
      <c r="AC51" s="87">
        <f t="shared" ca="1" si="46"/>
        <v>4</v>
      </c>
      <c r="AD51" s="88">
        <f t="shared" ca="1" si="31"/>
        <v>19</v>
      </c>
      <c r="AF51" s="87">
        <f t="shared" ca="1" si="47"/>
        <v>0</v>
      </c>
      <c r="AG51" s="87">
        <f t="shared" ca="1" si="47"/>
        <v>0</v>
      </c>
      <c r="AH51" s="87">
        <f t="shared" ca="1" si="47"/>
        <v>0</v>
      </c>
      <c r="AI51" s="87">
        <f t="shared" ca="1" si="47"/>
        <v>0</v>
      </c>
      <c r="AJ51" s="88">
        <f t="shared" ca="1" si="33"/>
        <v>0</v>
      </c>
    </row>
    <row r="52" spans="1:36" ht="15" customHeight="1" x14ac:dyDescent="0.3">
      <c r="A52" s="4" t="s">
        <v>39</v>
      </c>
      <c r="B52" s="87">
        <f t="shared" ca="1" si="34"/>
        <v>26909</v>
      </c>
      <c r="C52" s="87">
        <f t="shared" ca="1" si="35"/>
        <v>7541</v>
      </c>
      <c r="D52" s="87">
        <f t="shared" ca="1" si="36"/>
        <v>8953</v>
      </c>
      <c r="E52" s="87">
        <f t="shared" ca="1" si="37"/>
        <v>1542</v>
      </c>
      <c r="F52" s="87">
        <f t="shared" ca="1" si="38"/>
        <v>8873</v>
      </c>
      <c r="G52" s="87"/>
      <c r="H52" s="87">
        <f t="shared" ca="1" si="39"/>
        <v>26909</v>
      </c>
      <c r="I52" s="87">
        <f t="shared" ca="1" si="40"/>
        <v>7541</v>
      </c>
      <c r="J52" s="87">
        <f t="shared" ca="1" si="41"/>
        <v>8953</v>
      </c>
      <c r="K52" s="87">
        <f t="shared" ca="1" si="42"/>
        <v>1542</v>
      </c>
      <c r="L52" s="87">
        <f t="shared" ca="1" si="43"/>
        <v>8873</v>
      </c>
      <c r="M52" s="87"/>
      <c r="N52" s="87">
        <f t="shared" ca="1" si="44"/>
        <v>26908</v>
      </c>
      <c r="O52" s="87">
        <f t="shared" ca="1" si="44"/>
        <v>7541</v>
      </c>
      <c r="P52" s="87">
        <f t="shared" ca="1" si="44"/>
        <v>8953</v>
      </c>
      <c r="Q52" s="87">
        <f t="shared" ca="1" si="44"/>
        <v>1541</v>
      </c>
      <c r="R52" s="88">
        <f t="shared" ca="1" si="27"/>
        <v>8873</v>
      </c>
      <c r="T52" s="87">
        <f t="shared" ca="1" si="45"/>
        <v>26908</v>
      </c>
      <c r="U52" s="87">
        <f t="shared" ca="1" si="45"/>
        <v>7541</v>
      </c>
      <c r="V52" s="87">
        <f t="shared" ca="1" si="45"/>
        <v>8953</v>
      </c>
      <c r="W52" s="87">
        <f t="shared" ca="1" si="45"/>
        <v>1541</v>
      </c>
      <c r="X52" s="88">
        <f t="shared" ca="1" si="29"/>
        <v>8873</v>
      </c>
      <c r="Z52" s="87">
        <f t="shared" ca="1" si="46"/>
        <v>1</v>
      </c>
      <c r="AA52" s="87">
        <f t="shared" ca="1" si="46"/>
        <v>0</v>
      </c>
      <c r="AB52" s="87">
        <f t="shared" ca="1" si="46"/>
        <v>0</v>
      </c>
      <c r="AC52" s="87">
        <f t="shared" ca="1" si="46"/>
        <v>1</v>
      </c>
      <c r="AD52" s="88">
        <f t="shared" ca="1" si="31"/>
        <v>0</v>
      </c>
      <c r="AF52" s="87">
        <f t="shared" ca="1" si="47"/>
        <v>1</v>
      </c>
      <c r="AG52" s="87">
        <f t="shared" ca="1" si="47"/>
        <v>0</v>
      </c>
      <c r="AH52" s="87">
        <f t="shared" ca="1" si="47"/>
        <v>0</v>
      </c>
      <c r="AI52" s="87">
        <f t="shared" ca="1" si="47"/>
        <v>1</v>
      </c>
      <c r="AJ52" s="88">
        <f t="shared" ca="1" si="33"/>
        <v>0</v>
      </c>
    </row>
    <row r="53" spans="1:36" ht="15" customHeight="1" x14ac:dyDescent="0.3">
      <c r="A53" s="95" t="s">
        <v>40</v>
      </c>
      <c r="B53" s="87">
        <f t="shared" ca="1" si="34"/>
        <v>2970</v>
      </c>
      <c r="C53" s="87">
        <f t="shared" ca="1" si="35"/>
        <v>424</v>
      </c>
      <c r="D53" s="87">
        <f t="shared" ca="1" si="36"/>
        <v>1653</v>
      </c>
      <c r="E53" s="87">
        <f t="shared" ca="1" si="37"/>
        <v>44</v>
      </c>
      <c r="F53" s="87">
        <f t="shared" ca="1" si="38"/>
        <v>849</v>
      </c>
      <c r="G53" s="87"/>
      <c r="H53" s="87">
        <f t="shared" ca="1" si="39"/>
        <v>1190</v>
      </c>
      <c r="I53" s="87">
        <f t="shared" ca="1" si="40"/>
        <v>312</v>
      </c>
      <c r="J53" s="87">
        <f t="shared" ca="1" si="41"/>
        <v>860</v>
      </c>
      <c r="K53" s="87">
        <f t="shared" ca="1" si="42"/>
        <v>18</v>
      </c>
      <c r="L53" s="87">
        <f t="shared" ca="1" si="43"/>
        <v>0</v>
      </c>
      <c r="M53" s="87"/>
      <c r="N53" s="87">
        <f t="shared" ca="1" si="44"/>
        <v>2876</v>
      </c>
      <c r="O53" s="87">
        <f t="shared" ca="1" si="44"/>
        <v>424</v>
      </c>
      <c r="P53" s="87">
        <f t="shared" ca="1" si="44"/>
        <v>1653</v>
      </c>
      <c r="Q53" s="87">
        <f t="shared" ca="1" si="44"/>
        <v>44</v>
      </c>
      <c r="R53" s="88">
        <f t="shared" ca="1" si="27"/>
        <v>755</v>
      </c>
      <c r="T53" s="87">
        <f t="shared" ca="1" si="45"/>
        <v>1190</v>
      </c>
      <c r="U53" s="87">
        <f t="shared" ca="1" si="45"/>
        <v>312</v>
      </c>
      <c r="V53" s="87">
        <f t="shared" ca="1" si="45"/>
        <v>860</v>
      </c>
      <c r="W53" s="87">
        <f t="shared" ca="1" si="45"/>
        <v>18</v>
      </c>
      <c r="X53" s="88">
        <f t="shared" ca="1" si="29"/>
        <v>0</v>
      </c>
      <c r="Z53" s="87">
        <f t="shared" ca="1" si="46"/>
        <v>94</v>
      </c>
      <c r="AA53" s="87">
        <f t="shared" ca="1" si="46"/>
        <v>0</v>
      </c>
      <c r="AB53" s="87">
        <f t="shared" ca="1" si="46"/>
        <v>0</v>
      </c>
      <c r="AC53" s="87">
        <f t="shared" ca="1" si="46"/>
        <v>0</v>
      </c>
      <c r="AD53" s="88">
        <f t="shared" ca="1" si="31"/>
        <v>94</v>
      </c>
      <c r="AF53" s="87">
        <f t="shared" ca="1" si="47"/>
        <v>0</v>
      </c>
      <c r="AG53" s="87">
        <f t="shared" ca="1" si="47"/>
        <v>0</v>
      </c>
      <c r="AH53" s="87">
        <f t="shared" ca="1" si="47"/>
        <v>0</v>
      </c>
      <c r="AI53" s="87">
        <f t="shared" ca="1" si="47"/>
        <v>0</v>
      </c>
      <c r="AJ53" s="88">
        <f t="shared" ca="1" si="33"/>
        <v>0</v>
      </c>
    </row>
    <row r="54" spans="1:36" ht="15" customHeight="1" x14ac:dyDescent="0.3">
      <c r="A54" s="31" t="s">
        <v>41</v>
      </c>
      <c r="B54" s="87">
        <f t="shared" ca="1" si="34"/>
        <v>5045</v>
      </c>
      <c r="C54" s="87">
        <f t="shared" ca="1" si="35"/>
        <v>2497</v>
      </c>
      <c r="D54" s="87">
        <f t="shared" ca="1" si="36"/>
        <v>1354</v>
      </c>
      <c r="E54" s="87">
        <f t="shared" ca="1" si="37"/>
        <v>467</v>
      </c>
      <c r="F54" s="87">
        <f t="shared" ca="1" si="38"/>
        <v>727</v>
      </c>
      <c r="G54" s="87"/>
      <c r="H54" s="87">
        <f t="shared" ca="1" si="39"/>
        <v>213</v>
      </c>
      <c r="I54" s="87">
        <f t="shared" ca="1" si="40"/>
        <v>0</v>
      </c>
      <c r="J54" s="87">
        <f t="shared" ca="1" si="41"/>
        <v>0</v>
      </c>
      <c r="K54" s="87">
        <f t="shared" ca="1" si="42"/>
        <v>0</v>
      </c>
      <c r="L54" s="87">
        <f t="shared" ca="1" si="43"/>
        <v>213</v>
      </c>
      <c r="M54" s="87"/>
      <c r="N54" s="87">
        <f t="shared" ca="1" si="44"/>
        <v>5045</v>
      </c>
      <c r="O54" s="87">
        <f t="shared" ca="1" si="44"/>
        <v>2497</v>
      </c>
      <c r="P54" s="87">
        <f t="shared" ca="1" si="44"/>
        <v>1354</v>
      </c>
      <c r="Q54" s="87">
        <f t="shared" ca="1" si="44"/>
        <v>467</v>
      </c>
      <c r="R54" s="88">
        <f t="shared" ca="1" si="27"/>
        <v>727</v>
      </c>
      <c r="T54" s="87">
        <f t="shared" ca="1" si="45"/>
        <v>213</v>
      </c>
      <c r="U54" s="87">
        <f t="shared" ca="1" si="45"/>
        <v>0</v>
      </c>
      <c r="V54" s="87">
        <f t="shared" ca="1" si="45"/>
        <v>0</v>
      </c>
      <c r="W54" s="87">
        <f t="shared" ca="1" si="45"/>
        <v>0</v>
      </c>
      <c r="X54" s="88">
        <f t="shared" ca="1" si="29"/>
        <v>213</v>
      </c>
      <c r="Z54" s="87">
        <f t="shared" ca="1" si="46"/>
        <v>0</v>
      </c>
      <c r="AA54" s="87">
        <f t="shared" ca="1" si="46"/>
        <v>0</v>
      </c>
      <c r="AB54" s="87">
        <f t="shared" ca="1" si="46"/>
        <v>0</v>
      </c>
      <c r="AC54" s="87">
        <f t="shared" ca="1" si="46"/>
        <v>0</v>
      </c>
      <c r="AD54" s="88">
        <f t="shared" ca="1" si="31"/>
        <v>0</v>
      </c>
      <c r="AF54" s="87">
        <f t="shared" ca="1" si="47"/>
        <v>0</v>
      </c>
      <c r="AG54" s="87">
        <f t="shared" ca="1" si="47"/>
        <v>0</v>
      </c>
      <c r="AH54" s="87">
        <f t="shared" ca="1" si="47"/>
        <v>0</v>
      </c>
      <c r="AI54" s="87">
        <f t="shared" ca="1" si="47"/>
        <v>0</v>
      </c>
      <c r="AJ54" s="88">
        <f t="shared" ca="1" si="33"/>
        <v>0</v>
      </c>
    </row>
    <row r="55" spans="1:36" ht="15" customHeight="1" x14ac:dyDescent="0.3">
      <c r="A55" s="31" t="s">
        <v>42</v>
      </c>
      <c r="B55" s="87">
        <f t="shared" ca="1" si="34"/>
        <v>26724</v>
      </c>
      <c r="C55" s="87">
        <f t="shared" ca="1" si="35"/>
        <v>4651</v>
      </c>
      <c r="D55" s="87">
        <f t="shared" ca="1" si="36"/>
        <v>8496</v>
      </c>
      <c r="E55" s="87">
        <f t="shared" ca="1" si="37"/>
        <v>1711</v>
      </c>
      <c r="F55" s="87">
        <f t="shared" ca="1" si="38"/>
        <v>11866</v>
      </c>
      <c r="G55" s="87"/>
      <c r="H55" s="87">
        <f t="shared" ca="1" si="39"/>
        <v>19076</v>
      </c>
      <c r="I55" s="87">
        <f t="shared" ca="1" si="40"/>
        <v>5489</v>
      </c>
      <c r="J55" s="87">
        <f t="shared" ca="1" si="41"/>
        <v>6175</v>
      </c>
      <c r="K55" s="87">
        <f t="shared" ca="1" si="42"/>
        <v>2434</v>
      </c>
      <c r="L55" s="87">
        <f t="shared" ca="1" si="43"/>
        <v>4978</v>
      </c>
      <c r="M55" s="87"/>
      <c r="N55" s="87">
        <f t="shared" ca="1" si="44"/>
        <v>26586</v>
      </c>
      <c r="O55" s="87">
        <f t="shared" ca="1" si="44"/>
        <v>4648</v>
      </c>
      <c r="P55" s="87">
        <f t="shared" ca="1" si="44"/>
        <v>8479</v>
      </c>
      <c r="Q55" s="87">
        <f t="shared" ca="1" si="44"/>
        <v>1708</v>
      </c>
      <c r="R55" s="88">
        <f t="shared" ca="1" si="27"/>
        <v>11751</v>
      </c>
      <c r="T55" s="87">
        <f t="shared" ca="1" si="45"/>
        <v>12327</v>
      </c>
      <c r="U55" s="87">
        <f t="shared" ca="1" si="45"/>
        <v>3939</v>
      </c>
      <c r="V55" s="87">
        <f t="shared" ca="1" si="45"/>
        <v>4866</v>
      </c>
      <c r="W55" s="87">
        <f t="shared" ca="1" si="45"/>
        <v>1395</v>
      </c>
      <c r="X55" s="88">
        <f t="shared" ca="1" si="29"/>
        <v>2127</v>
      </c>
      <c r="Z55" s="87">
        <f t="shared" ca="1" si="46"/>
        <v>138</v>
      </c>
      <c r="AA55" s="87">
        <f t="shared" ca="1" si="46"/>
        <v>3</v>
      </c>
      <c r="AB55" s="87">
        <f t="shared" ca="1" si="46"/>
        <v>17</v>
      </c>
      <c r="AC55" s="87">
        <f t="shared" ca="1" si="46"/>
        <v>3</v>
      </c>
      <c r="AD55" s="88">
        <f t="shared" ca="1" si="31"/>
        <v>115</v>
      </c>
      <c r="AF55" s="87">
        <f t="shared" ca="1" si="47"/>
        <v>6749</v>
      </c>
      <c r="AG55" s="87">
        <f t="shared" ca="1" si="47"/>
        <v>1550</v>
      </c>
      <c r="AH55" s="87">
        <f t="shared" ca="1" si="47"/>
        <v>1309</v>
      </c>
      <c r="AI55" s="87">
        <f t="shared" ca="1" si="47"/>
        <v>1039</v>
      </c>
      <c r="AJ55" s="88">
        <f t="shared" ca="1" si="33"/>
        <v>2851</v>
      </c>
    </row>
    <row r="56" spans="1:36" ht="15" customHeight="1" x14ac:dyDescent="0.3">
      <c r="A56" s="31" t="s">
        <v>43</v>
      </c>
      <c r="B56" s="87">
        <f t="shared" ca="1" si="34"/>
        <v>6208</v>
      </c>
      <c r="C56" s="87">
        <f t="shared" ca="1" si="35"/>
        <v>876</v>
      </c>
      <c r="D56" s="87">
        <f t="shared" ca="1" si="36"/>
        <v>1860</v>
      </c>
      <c r="E56" s="87">
        <f t="shared" ca="1" si="37"/>
        <v>899</v>
      </c>
      <c r="F56" s="87">
        <f t="shared" ca="1" si="38"/>
        <v>2573</v>
      </c>
      <c r="G56" s="87"/>
      <c r="H56" s="87">
        <f t="shared" ca="1" si="39"/>
        <v>6208</v>
      </c>
      <c r="I56" s="87">
        <f t="shared" ca="1" si="40"/>
        <v>876</v>
      </c>
      <c r="J56" s="87">
        <f t="shared" ca="1" si="41"/>
        <v>1860</v>
      </c>
      <c r="K56" s="87">
        <f t="shared" ca="1" si="42"/>
        <v>899</v>
      </c>
      <c r="L56" s="87">
        <f t="shared" ca="1" si="43"/>
        <v>2573</v>
      </c>
      <c r="M56" s="87"/>
      <c r="N56" s="87">
        <f t="shared" ca="1" si="44"/>
        <v>6208</v>
      </c>
      <c r="O56" s="87">
        <f t="shared" ca="1" si="44"/>
        <v>876</v>
      </c>
      <c r="P56" s="87">
        <f t="shared" ca="1" si="44"/>
        <v>1860</v>
      </c>
      <c r="Q56" s="87">
        <f t="shared" ca="1" si="44"/>
        <v>899</v>
      </c>
      <c r="R56" s="88">
        <f t="shared" ca="1" si="27"/>
        <v>2573</v>
      </c>
      <c r="T56" s="87">
        <f t="shared" ca="1" si="45"/>
        <v>6208</v>
      </c>
      <c r="U56" s="87">
        <f t="shared" ca="1" si="45"/>
        <v>876</v>
      </c>
      <c r="V56" s="87">
        <f t="shared" ca="1" si="45"/>
        <v>1860</v>
      </c>
      <c r="W56" s="87">
        <f t="shared" ca="1" si="45"/>
        <v>899</v>
      </c>
      <c r="X56" s="88">
        <f t="shared" ca="1" si="29"/>
        <v>2573</v>
      </c>
      <c r="Z56" s="87">
        <f t="shared" ca="1" si="46"/>
        <v>0</v>
      </c>
      <c r="AA56" s="87">
        <f t="shared" ca="1" si="46"/>
        <v>0</v>
      </c>
      <c r="AB56" s="87">
        <f t="shared" ca="1" si="46"/>
        <v>0</v>
      </c>
      <c r="AC56" s="87">
        <f t="shared" ca="1" si="46"/>
        <v>0</v>
      </c>
      <c r="AD56" s="88">
        <f t="shared" ca="1" si="31"/>
        <v>0</v>
      </c>
      <c r="AF56" s="87">
        <f t="shared" ca="1" si="47"/>
        <v>0</v>
      </c>
      <c r="AG56" s="87">
        <f t="shared" ca="1" si="47"/>
        <v>0</v>
      </c>
      <c r="AH56" s="87">
        <f t="shared" ca="1" si="47"/>
        <v>0</v>
      </c>
      <c r="AI56" s="87">
        <f t="shared" ca="1" si="47"/>
        <v>0</v>
      </c>
      <c r="AJ56" s="88">
        <f t="shared" ca="1" si="33"/>
        <v>0</v>
      </c>
    </row>
    <row r="57" spans="1:36" ht="15" customHeight="1" x14ac:dyDescent="0.3">
      <c r="A57" s="31" t="s">
        <v>44</v>
      </c>
      <c r="B57" s="87">
        <f t="shared" ca="1" si="34"/>
        <v>35429</v>
      </c>
      <c r="C57" s="87">
        <f t="shared" ca="1" si="35"/>
        <v>12896</v>
      </c>
      <c r="D57" s="87">
        <f t="shared" ca="1" si="36"/>
        <v>2707</v>
      </c>
      <c r="E57" s="87">
        <f t="shared" ca="1" si="37"/>
        <v>4959</v>
      </c>
      <c r="F57" s="87">
        <f t="shared" ca="1" si="38"/>
        <v>14867</v>
      </c>
      <c r="G57" s="87"/>
      <c r="H57" s="87">
        <f t="shared" ca="1" si="39"/>
        <v>35429</v>
      </c>
      <c r="I57" s="87">
        <f t="shared" ca="1" si="40"/>
        <v>12896</v>
      </c>
      <c r="J57" s="87">
        <f t="shared" ca="1" si="41"/>
        <v>2707</v>
      </c>
      <c r="K57" s="87">
        <f t="shared" ca="1" si="42"/>
        <v>4959</v>
      </c>
      <c r="L57" s="87">
        <f t="shared" ca="1" si="43"/>
        <v>14867</v>
      </c>
      <c r="M57" s="87"/>
      <c r="N57" s="87">
        <f t="shared" ca="1" si="44"/>
        <v>35429</v>
      </c>
      <c r="O57" s="87">
        <f t="shared" ca="1" si="44"/>
        <v>12896</v>
      </c>
      <c r="P57" s="87">
        <f t="shared" ca="1" si="44"/>
        <v>2707</v>
      </c>
      <c r="Q57" s="87">
        <f t="shared" ca="1" si="44"/>
        <v>4959</v>
      </c>
      <c r="R57" s="88">
        <f t="shared" ca="1" si="27"/>
        <v>14867</v>
      </c>
      <c r="T57" s="87">
        <f t="shared" ca="1" si="45"/>
        <v>35429</v>
      </c>
      <c r="U57" s="87">
        <f t="shared" ca="1" si="45"/>
        <v>12896</v>
      </c>
      <c r="V57" s="87">
        <f t="shared" ca="1" si="45"/>
        <v>2707</v>
      </c>
      <c r="W57" s="87">
        <f t="shared" ca="1" si="45"/>
        <v>4959</v>
      </c>
      <c r="X57" s="88">
        <f t="shared" ca="1" si="29"/>
        <v>14867</v>
      </c>
      <c r="Z57" s="87">
        <f t="shared" ca="1" si="46"/>
        <v>0</v>
      </c>
      <c r="AA57" s="87">
        <f t="shared" ca="1" si="46"/>
        <v>0</v>
      </c>
      <c r="AB57" s="87">
        <f t="shared" ca="1" si="46"/>
        <v>0</v>
      </c>
      <c r="AC57" s="87">
        <f t="shared" ca="1" si="46"/>
        <v>0</v>
      </c>
      <c r="AD57" s="88">
        <f t="shared" ca="1" si="31"/>
        <v>0</v>
      </c>
      <c r="AF57" s="87">
        <f t="shared" ca="1" si="47"/>
        <v>0</v>
      </c>
      <c r="AG57" s="87">
        <f t="shared" ca="1" si="47"/>
        <v>0</v>
      </c>
      <c r="AH57" s="87">
        <f t="shared" ca="1" si="47"/>
        <v>0</v>
      </c>
      <c r="AI57" s="87">
        <f t="shared" ca="1" si="47"/>
        <v>0</v>
      </c>
      <c r="AJ57" s="88">
        <f t="shared" ca="1" si="33"/>
        <v>0</v>
      </c>
    </row>
    <row r="58" spans="1:36" ht="15" customHeight="1" x14ac:dyDescent="0.3">
      <c r="A58" s="31" t="s">
        <v>45</v>
      </c>
      <c r="B58" s="87">
        <f t="shared" ca="1" si="34"/>
        <v>4699</v>
      </c>
      <c r="C58" s="87">
        <f t="shared" ca="1" si="35"/>
        <v>986</v>
      </c>
      <c r="D58" s="87">
        <f t="shared" ca="1" si="36"/>
        <v>3103</v>
      </c>
      <c r="E58" s="87">
        <f t="shared" ca="1" si="37"/>
        <v>610</v>
      </c>
      <c r="F58" s="87">
        <f t="shared" ca="1" si="38"/>
        <v>0</v>
      </c>
      <c r="G58" s="87"/>
      <c r="H58" s="87">
        <f t="shared" ca="1" si="39"/>
        <v>4699</v>
      </c>
      <c r="I58" s="87">
        <f t="shared" ca="1" si="40"/>
        <v>986</v>
      </c>
      <c r="J58" s="87">
        <f t="shared" ca="1" si="41"/>
        <v>3103</v>
      </c>
      <c r="K58" s="87">
        <f t="shared" ca="1" si="42"/>
        <v>610</v>
      </c>
      <c r="L58" s="87">
        <f t="shared" ca="1" si="43"/>
        <v>0</v>
      </c>
      <c r="M58" s="87"/>
      <c r="N58" s="87">
        <f t="shared" ca="1" si="44"/>
        <v>4699</v>
      </c>
      <c r="O58" s="87">
        <f t="shared" ca="1" si="44"/>
        <v>986</v>
      </c>
      <c r="P58" s="87">
        <f t="shared" ca="1" si="44"/>
        <v>3103</v>
      </c>
      <c r="Q58" s="87">
        <f t="shared" ca="1" si="44"/>
        <v>610</v>
      </c>
      <c r="R58" s="88">
        <f t="shared" ca="1" si="27"/>
        <v>0</v>
      </c>
      <c r="T58" s="87">
        <f t="shared" ca="1" si="45"/>
        <v>4699</v>
      </c>
      <c r="U58" s="87">
        <f t="shared" ca="1" si="45"/>
        <v>986</v>
      </c>
      <c r="V58" s="87">
        <f t="shared" ca="1" si="45"/>
        <v>3103</v>
      </c>
      <c r="W58" s="87">
        <f t="shared" ca="1" si="45"/>
        <v>610</v>
      </c>
      <c r="X58" s="88">
        <f t="shared" ca="1" si="29"/>
        <v>0</v>
      </c>
      <c r="Z58" s="87">
        <f t="shared" ca="1" si="46"/>
        <v>0</v>
      </c>
      <c r="AA58" s="87">
        <f t="shared" ca="1" si="46"/>
        <v>0</v>
      </c>
      <c r="AB58" s="87">
        <f t="shared" ca="1" si="46"/>
        <v>0</v>
      </c>
      <c r="AC58" s="87">
        <f t="shared" ca="1" si="46"/>
        <v>0</v>
      </c>
      <c r="AD58" s="88">
        <f t="shared" ca="1" si="31"/>
        <v>0</v>
      </c>
      <c r="AF58" s="87">
        <f t="shared" ca="1" si="47"/>
        <v>0</v>
      </c>
      <c r="AG58" s="87">
        <f t="shared" ca="1" si="47"/>
        <v>0</v>
      </c>
      <c r="AH58" s="87">
        <f t="shared" ca="1" si="47"/>
        <v>0</v>
      </c>
      <c r="AI58" s="87">
        <f t="shared" ca="1" si="47"/>
        <v>0</v>
      </c>
      <c r="AJ58" s="88">
        <f t="shared" ca="1" si="33"/>
        <v>0</v>
      </c>
    </row>
    <row r="59" spans="1:36" ht="15" customHeight="1" x14ac:dyDescent="0.3">
      <c r="A59" s="31" t="s">
        <v>46</v>
      </c>
      <c r="B59" s="87">
        <f t="shared" ca="1" si="34"/>
        <v>15528</v>
      </c>
      <c r="C59" s="87">
        <f t="shared" ca="1" si="35"/>
        <v>3921</v>
      </c>
      <c r="D59" s="87">
        <f t="shared" ca="1" si="36"/>
        <v>4934</v>
      </c>
      <c r="E59" s="87">
        <f t="shared" ca="1" si="37"/>
        <v>1314</v>
      </c>
      <c r="F59" s="87">
        <f t="shared" ca="1" si="38"/>
        <v>5359</v>
      </c>
      <c r="G59" s="87"/>
      <c r="H59" s="87">
        <f t="shared" ca="1" si="39"/>
        <v>15528</v>
      </c>
      <c r="I59" s="87">
        <f t="shared" ca="1" si="40"/>
        <v>3921</v>
      </c>
      <c r="J59" s="87">
        <f t="shared" ca="1" si="41"/>
        <v>4934</v>
      </c>
      <c r="K59" s="87">
        <f t="shared" ca="1" si="42"/>
        <v>1314</v>
      </c>
      <c r="L59" s="87">
        <f t="shared" ca="1" si="43"/>
        <v>5359</v>
      </c>
      <c r="M59" s="87"/>
      <c r="N59" s="87">
        <f t="shared" ca="1" si="44"/>
        <v>15528</v>
      </c>
      <c r="O59" s="87">
        <f t="shared" ca="1" si="44"/>
        <v>3921</v>
      </c>
      <c r="P59" s="87">
        <f t="shared" ca="1" si="44"/>
        <v>4934</v>
      </c>
      <c r="Q59" s="87">
        <f t="shared" ca="1" si="44"/>
        <v>1314</v>
      </c>
      <c r="R59" s="88">
        <f t="shared" ca="1" si="27"/>
        <v>5359</v>
      </c>
      <c r="T59" s="87">
        <f t="shared" ca="1" si="45"/>
        <v>15528</v>
      </c>
      <c r="U59" s="87">
        <f t="shared" ca="1" si="45"/>
        <v>3921</v>
      </c>
      <c r="V59" s="87">
        <f t="shared" ca="1" si="45"/>
        <v>4934</v>
      </c>
      <c r="W59" s="87">
        <f t="shared" ca="1" si="45"/>
        <v>1314</v>
      </c>
      <c r="X59" s="88">
        <f t="shared" ca="1" si="29"/>
        <v>5359</v>
      </c>
      <c r="Z59" s="87">
        <f t="shared" ca="1" si="46"/>
        <v>0</v>
      </c>
      <c r="AA59" s="87">
        <f t="shared" ca="1" si="46"/>
        <v>0</v>
      </c>
      <c r="AB59" s="87">
        <f t="shared" ca="1" si="46"/>
        <v>0</v>
      </c>
      <c r="AC59" s="87">
        <f t="shared" ca="1" si="46"/>
        <v>0</v>
      </c>
      <c r="AD59" s="88">
        <f t="shared" ca="1" si="31"/>
        <v>0</v>
      </c>
      <c r="AF59" s="87">
        <f t="shared" ca="1" si="47"/>
        <v>0</v>
      </c>
      <c r="AG59" s="87">
        <f t="shared" ca="1" si="47"/>
        <v>0</v>
      </c>
      <c r="AH59" s="87">
        <f t="shared" ca="1" si="47"/>
        <v>0</v>
      </c>
      <c r="AI59" s="87">
        <f t="shared" ca="1" si="47"/>
        <v>0</v>
      </c>
      <c r="AJ59" s="88">
        <f t="shared" ca="1" si="33"/>
        <v>0</v>
      </c>
    </row>
    <row r="60" spans="1:36" x14ac:dyDescent="0.3">
      <c r="A60" s="53"/>
      <c r="B60" s="53"/>
      <c r="C60" s="53"/>
      <c r="D60" s="53"/>
      <c r="E60" s="53"/>
      <c r="F60" s="53"/>
      <c r="G60" s="53"/>
      <c r="H60" s="53"/>
      <c r="I60" s="53"/>
      <c r="J60" s="53"/>
      <c r="K60" s="53"/>
      <c r="L60" s="53"/>
      <c r="M60" s="53"/>
      <c r="N60" s="53"/>
    </row>
  </sheetData>
  <mergeCells count="12">
    <mergeCell ref="A1:AH1"/>
    <mergeCell ref="A4:S4"/>
    <mergeCell ref="N5:S5"/>
    <mergeCell ref="N6:X6"/>
    <mergeCell ref="N7:R7"/>
    <mergeCell ref="T7:X7"/>
    <mergeCell ref="Z6:AJ6"/>
    <mergeCell ref="Z7:AD7"/>
    <mergeCell ref="AF7:AJ7"/>
    <mergeCell ref="B6:L6"/>
    <mergeCell ref="B7:F7"/>
    <mergeCell ref="H7:L7"/>
  </mergeCells>
  <conditionalFormatting sqref="B9:AJ59">
    <cfRule type="cellIs" dxfId="2" priority="1" operator="lessThan">
      <formula>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6D71-EF94-44B3-AE34-A0F18C3351CE}">
  <sheetPr codeName="Sheet9"/>
  <dimension ref="A1:AL68"/>
  <sheetViews>
    <sheetView zoomScaleNormal="100" workbookViewId="0">
      <pane xSplit="1" ySplit="6" topLeftCell="B7" activePane="bottomRight" state="frozen"/>
      <selection pane="topRight" activeCell="B1" sqref="B1"/>
      <selection pane="bottomLeft" activeCell="A9" sqref="A9"/>
      <selection pane="bottomRight" activeCell="A3" sqref="A3"/>
    </sheetView>
  </sheetViews>
  <sheetFormatPr defaultColWidth="8.77734375" defaultRowHeight="14.4" x14ac:dyDescent="0.3"/>
  <cols>
    <col min="1" max="1" width="39.21875" style="5" bestFit="1" customWidth="1"/>
    <col min="2" max="6" width="12.77734375" style="5" customWidth="1"/>
    <col min="7" max="7" width="2.77734375" style="5" customWidth="1"/>
    <col min="8" max="12" width="12.77734375" style="5" customWidth="1"/>
    <col min="13" max="13" width="2.77734375" style="5" customWidth="1"/>
    <col min="14" max="18" width="12.77734375" style="5" customWidth="1"/>
    <col min="19" max="19" width="2.77734375" style="5" customWidth="1"/>
    <col min="20" max="24" width="12.77734375" style="5" customWidth="1"/>
    <col min="25" max="25" width="2.77734375" style="5" customWidth="1"/>
    <col min="26" max="30" width="12.77734375" style="5" customWidth="1"/>
    <col min="31" max="31" width="2.77734375" style="5" customWidth="1"/>
    <col min="32" max="36" width="12.77734375" style="5" customWidth="1"/>
    <col min="37" max="37" width="8.77734375" style="5"/>
    <col min="38" max="38" width="0" style="5" hidden="1" customWidth="1"/>
    <col min="39" max="16384" width="8.77734375" style="5"/>
  </cols>
  <sheetData>
    <row r="1" spans="1:37" s="3" customFormat="1" ht="18.75" customHeight="1" x14ac:dyDescent="0.45">
      <c r="A1" s="160" t="s">
        <v>187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row>
    <row r="2" spans="1:37" s="3" customFormat="1" ht="18.75" customHeight="1" x14ac:dyDescent="0.45">
      <c r="A2" s="21" t="s">
        <v>51</v>
      </c>
      <c r="B2" s="172"/>
      <c r="C2" s="174"/>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7" x14ac:dyDescent="0.3">
      <c r="A3" s="154" t="s">
        <v>147</v>
      </c>
      <c r="B3" s="4"/>
      <c r="C3" s="20"/>
      <c r="D3" s="4"/>
      <c r="E3" s="4"/>
      <c r="F3" s="4"/>
      <c r="G3" s="4"/>
      <c r="H3" s="4"/>
      <c r="I3" s="4"/>
      <c r="J3" s="4"/>
      <c r="K3" s="4"/>
      <c r="L3" s="4"/>
      <c r="M3" s="4"/>
      <c r="N3" s="4"/>
      <c r="O3" s="4"/>
      <c r="P3" s="4"/>
      <c r="Q3" s="4"/>
      <c r="R3" s="4"/>
      <c r="S3" s="4"/>
      <c r="T3" s="4"/>
      <c r="U3" s="4"/>
      <c r="V3" s="4"/>
      <c r="W3" s="4"/>
      <c r="X3" s="4"/>
      <c r="Y3" s="4"/>
      <c r="Z3" s="118"/>
      <c r="AA3" s="4"/>
      <c r="AB3" s="4"/>
      <c r="AC3" s="4"/>
      <c r="AD3" s="4"/>
      <c r="AE3" s="4"/>
      <c r="AF3" s="4"/>
      <c r="AG3" s="4"/>
      <c r="AH3" s="4"/>
      <c r="AI3" s="4"/>
      <c r="AJ3" s="4"/>
    </row>
    <row r="4" spans="1:37" s="3" customFormat="1" ht="20.100000000000001" customHeight="1" thickBot="1" x14ac:dyDescent="0.35">
      <c r="A4" s="2"/>
      <c r="C4" s="173"/>
      <c r="D4" s="167"/>
      <c r="E4" s="167"/>
      <c r="F4" s="167"/>
      <c r="G4" s="164" t="s">
        <v>134</v>
      </c>
      <c r="H4" s="167"/>
      <c r="I4" s="167"/>
      <c r="J4" s="167"/>
      <c r="K4" s="167"/>
      <c r="L4" s="167"/>
      <c r="M4" s="94"/>
      <c r="N4" s="175"/>
      <c r="O4" s="168"/>
      <c r="P4" s="168"/>
      <c r="Q4" s="168"/>
      <c r="R4" s="168"/>
      <c r="S4" s="165" t="s">
        <v>110</v>
      </c>
      <c r="T4" s="168"/>
      <c r="U4" s="168"/>
      <c r="V4" s="168"/>
      <c r="W4" s="168"/>
      <c r="X4" s="168"/>
      <c r="Y4" s="43"/>
      <c r="AA4" s="168"/>
      <c r="AB4" s="168"/>
      <c r="AC4" s="168"/>
      <c r="AD4" s="168"/>
      <c r="AE4" s="165" t="s">
        <v>159</v>
      </c>
      <c r="AF4" s="168"/>
      <c r="AG4" s="168"/>
      <c r="AH4" s="168"/>
      <c r="AI4" s="168"/>
      <c r="AJ4" s="168"/>
    </row>
    <row r="5" spans="1:37" s="3" customFormat="1" ht="20.100000000000001" customHeight="1" thickBot="1" x14ac:dyDescent="0.35">
      <c r="A5" s="2"/>
      <c r="C5" s="161"/>
      <c r="D5" s="152" t="s">
        <v>135</v>
      </c>
      <c r="E5" s="161"/>
      <c r="F5" s="161"/>
      <c r="G5" s="43"/>
      <c r="H5" s="161"/>
      <c r="I5" s="161"/>
      <c r="J5" s="152" t="s">
        <v>98</v>
      </c>
      <c r="K5" s="161"/>
      <c r="L5" s="161"/>
      <c r="M5" s="94"/>
      <c r="N5" s="161"/>
      <c r="O5" s="155"/>
      <c r="P5" s="152" t="s">
        <v>135</v>
      </c>
      <c r="Q5" s="161"/>
      <c r="R5" s="161"/>
      <c r="S5" s="43"/>
      <c r="T5" s="161"/>
      <c r="U5" s="151"/>
      <c r="V5" s="152" t="s">
        <v>98</v>
      </c>
      <c r="W5" s="161"/>
      <c r="X5" s="161"/>
      <c r="Y5" s="43"/>
      <c r="Z5" s="161"/>
      <c r="AA5" s="161"/>
      <c r="AB5" s="152" t="s">
        <v>135</v>
      </c>
      <c r="AC5" s="161"/>
      <c r="AD5" s="161"/>
      <c r="AE5" s="43"/>
      <c r="AF5" s="161"/>
      <c r="AG5" s="161"/>
      <c r="AH5" s="152" t="s">
        <v>98</v>
      </c>
      <c r="AI5" s="161"/>
      <c r="AJ5" s="161"/>
    </row>
    <row r="6" spans="1:37" s="45" customFormat="1" ht="60" customHeight="1" thickBot="1" x14ac:dyDescent="0.35">
      <c r="A6" s="46"/>
      <c r="B6" s="47" t="s">
        <v>99</v>
      </c>
      <c r="C6" s="48" t="s">
        <v>103</v>
      </c>
      <c r="D6" s="48" t="s">
        <v>100</v>
      </c>
      <c r="E6" s="48" t="s">
        <v>101</v>
      </c>
      <c r="F6" s="49" t="s">
        <v>102</v>
      </c>
      <c r="G6" s="49"/>
      <c r="H6" s="47" t="s">
        <v>99</v>
      </c>
      <c r="I6" s="48" t="s">
        <v>103</v>
      </c>
      <c r="J6" s="48" t="s">
        <v>100</v>
      </c>
      <c r="K6" s="48" t="s">
        <v>101</v>
      </c>
      <c r="L6" s="49" t="s">
        <v>102</v>
      </c>
      <c r="M6" s="47"/>
      <c r="N6" s="47" t="s">
        <v>99</v>
      </c>
      <c r="O6" s="48" t="s">
        <v>103</v>
      </c>
      <c r="P6" s="48" t="s">
        <v>100</v>
      </c>
      <c r="Q6" s="48" t="s">
        <v>101</v>
      </c>
      <c r="R6" s="49" t="s">
        <v>102</v>
      </c>
      <c r="S6" s="49"/>
      <c r="T6" s="47" t="s">
        <v>99</v>
      </c>
      <c r="U6" s="48" t="s">
        <v>103</v>
      </c>
      <c r="V6" s="48" t="s">
        <v>100</v>
      </c>
      <c r="W6" s="48" t="s">
        <v>101</v>
      </c>
      <c r="X6" s="49" t="s">
        <v>102</v>
      </c>
      <c r="Y6" s="49"/>
      <c r="Z6" s="47" t="s">
        <v>99</v>
      </c>
      <c r="AA6" s="48" t="s">
        <v>103</v>
      </c>
      <c r="AB6" s="48" t="s">
        <v>100</v>
      </c>
      <c r="AC6" s="48" t="s">
        <v>101</v>
      </c>
      <c r="AD6" s="49" t="s">
        <v>102</v>
      </c>
      <c r="AE6" s="49"/>
      <c r="AF6" s="47" t="s">
        <v>99</v>
      </c>
      <c r="AG6" s="48" t="s">
        <v>103</v>
      </c>
      <c r="AH6" s="48" t="s">
        <v>100</v>
      </c>
      <c r="AI6" s="48" t="s">
        <v>101</v>
      </c>
      <c r="AJ6" s="49" t="s">
        <v>102</v>
      </c>
    </row>
    <row r="7" spans="1:37" s="3" customFormat="1" ht="15" customHeight="1" x14ac:dyDescent="0.3">
      <c r="A7" s="24" t="s">
        <v>0</v>
      </c>
      <c r="B7" s="96">
        <f ca="1">ROUND(FIRE1201_raw!B9,0)</f>
        <v>581917</v>
      </c>
      <c r="C7" s="96">
        <f ca="1">ROUND(FIRE1201_raw!C9,0)</f>
        <v>126449</v>
      </c>
      <c r="D7" s="96">
        <f ca="1">ROUND(FIRE1201_raw!D9,0)</f>
        <v>194988</v>
      </c>
      <c r="E7" s="96">
        <f ca="1">ROUND(FIRE1201_raw!E9,0)</f>
        <v>42036</v>
      </c>
      <c r="F7" s="96">
        <f ca="1">ROUND(FIRE1201_raw!F9,0)</f>
        <v>218444</v>
      </c>
      <c r="G7" s="96"/>
      <c r="H7" s="96">
        <f ca="1">ROUND(FIRE1201_raw!H9,0)</f>
        <v>344815</v>
      </c>
      <c r="I7" s="96">
        <f ca="1">ROUND(FIRE1201_raw!I9,0)</f>
        <v>86163</v>
      </c>
      <c r="J7" s="96">
        <f ca="1">ROUND(FIRE1201_raw!J9,0)</f>
        <v>118374</v>
      </c>
      <c r="K7" s="96">
        <f ca="1">ROUND(FIRE1201_raw!K9,0)</f>
        <v>27734</v>
      </c>
      <c r="L7" s="96">
        <f ca="1">ROUND(FIRE1201_raw!L9,0)</f>
        <v>112544</v>
      </c>
      <c r="M7" s="96"/>
      <c r="N7" s="96">
        <f ca="1">ROUND(FIRE1201_raw!N9,0)</f>
        <v>572310</v>
      </c>
      <c r="O7" s="96">
        <f ca="1">ROUND(FIRE1201_raw!O9,0)</f>
        <v>123977</v>
      </c>
      <c r="P7" s="96">
        <f ca="1">ROUND(FIRE1201_raw!P9,0)</f>
        <v>192849</v>
      </c>
      <c r="Q7" s="96">
        <f ca="1">ROUND(FIRE1201_raw!Q9,0)</f>
        <v>40404</v>
      </c>
      <c r="R7" s="96">
        <f ca="1">ROUND(FIRE1201_raw!R9,0)</f>
        <v>215080</v>
      </c>
      <c r="S7" s="96"/>
      <c r="T7" s="96">
        <f ca="1">ROUND(FIRE1201_raw!T9,0)</f>
        <v>333708</v>
      </c>
      <c r="U7" s="96">
        <f ca="1">ROUND(FIRE1201_raw!U9,0)</f>
        <v>82979</v>
      </c>
      <c r="V7" s="96">
        <f ca="1">ROUND(FIRE1201_raw!V9,0)</f>
        <v>115910</v>
      </c>
      <c r="W7" s="96">
        <f ca="1">ROUND(FIRE1201_raw!W9,0)</f>
        <v>26017</v>
      </c>
      <c r="X7" s="96">
        <f ca="1">ROUND(FIRE1201_raw!X9,0)</f>
        <v>108802</v>
      </c>
      <c r="Y7" s="96"/>
      <c r="Z7" s="96">
        <f ca="1">ROUND(FIRE1201_raw!Z9,0)</f>
        <v>9607</v>
      </c>
      <c r="AA7" s="96">
        <f ca="1">ROUND(FIRE1201_raw!AA9,0)</f>
        <v>2472</v>
      </c>
      <c r="AB7" s="96">
        <f ca="1">ROUND(FIRE1201_raw!AB9,0)</f>
        <v>2139</v>
      </c>
      <c r="AC7" s="96">
        <f ca="1">ROUND(FIRE1201_raw!AC9,0)</f>
        <v>1632</v>
      </c>
      <c r="AD7" s="96">
        <f ca="1">ROUND(FIRE1201_raw!AD9,0)</f>
        <v>3364</v>
      </c>
      <c r="AE7" s="96"/>
      <c r="AF7" s="96">
        <f ca="1">ROUND(FIRE1201_raw!AF9,0)</f>
        <v>11107</v>
      </c>
      <c r="AG7" s="96">
        <f ca="1">ROUND(FIRE1201_raw!AG9,0)</f>
        <v>3184</v>
      </c>
      <c r="AH7" s="96">
        <f ca="1">ROUND(FIRE1201_raw!AH9,0)</f>
        <v>2464</v>
      </c>
      <c r="AI7" s="96">
        <f ca="1">ROUND(FIRE1201_raw!AI9,0)</f>
        <v>1717</v>
      </c>
      <c r="AJ7" s="96">
        <f ca="1">ROUND(FIRE1201_raw!AJ9,0)</f>
        <v>3742</v>
      </c>
      <c r="AK7" s="52"/>
    </row>
    <row r="8" spans="1:37" s="3" customFormat="1" ht="15" customHeight="1" x14ac:dyDescent="0.3">
      <c r="A8" s="25" t="s">
        <v>77</v>
      </c>
      <c r="B8" s="97">
        <f ca="1">ROUND(FIRE1201_raw!B10,0)</f>
        <v>331469</v>
      </c>
      <c r="C8" s="97">
        <f ca="1">ROUND(FIRE1201_raw!C10,0)</f>
        <v>73064</v>
      </c>
      <c r="D8" s="97">
        <f ca="1">ROUND(FIRE1201_raw!D10,0)</f>
        <v>123722</v>
      </c>
      <c r="E8" s="97">
        <f ca="1">ROUND(FIRE1201_raw!E10,0)</f>
        <v>22435</v>
      </c>
      <c r="F8" s="97">
        <f ca="1">ROUND(FIRE1201_raw!F10,0)</f>
        <v>112248</v>
      </c>
      <c r="G8" s="97"/>
      <c r="H8" s="97">
        <f ca="1">ROUND(FIRE1201_raw!H10,0)</f>
        <v>240839</v>
      </c>
      <c r="I8" s="97">
        <f ca="1">ROUND(FIRE1201_raw!I10,0)</f>
        <v>57154</v>
      </c>
      <c r="J8" s="97">
        <f ca="1">ROUND(FIRE1201_raw!J10,0)</f>
        <v>95302</v>
      </c>
      <c r="K8" s="97">
        <f ca="1">ROUND(FIRE1201_raw!K10,0)</f>
        <v>16687</v>
      </c>
      <c r="L8" s="97">
        <f ca="1">ROUND(FIRE1201_raw!L10,0)</f>
        <v>71696</v>
      </c>
      <c r="M8" s="97"/>
      <c r="N8" s="97">
        <f ca="1">ROUND(FIRE1201_raw!N10,0)</f>
        <v>322553</v>
      </c>
      <c r="O8" s="97">
        <f ca="1">ROUND(FIRE1201_raw!O10,0)</f>
        <v>70616</v>
      </c>
      <c r="P8" s="97">
        <f ca="1">ROUND(FIRE1201_raw!P10,0)</f>
        <v>121619</v>
      </c>
      <c r="Q8" s="97">
        <f ca="1">ROUND(FIRE1201_raw!Q10,0)</f>
        <v>20834</v>
      </c>
      <c r="R8" s="97">
        <f ca="1">ROUND(FIRE1201_raw!R10,0)</f>
        <v>109484</v>
      </c>
      <c r="S8" s="97"/>
      <c r="T8" s="97">
        <f ca="1">ROUND(FIRE1201_raw!T10,0)</f>
        <v>236481</v>
      </c>
      <c r="U8" s="97">
        <f ca="1">ROUND(FIRE1201_raw!U10,0)</f>
        <v>55520</v>
      </c>
      <c r="V8" s="97">
        <f ca="1">ROUND(FIRE1201_raw!V10,0)</f>
        <v>94147</v>
      </c>
      <c r="W8" s="97">
        <f ca="1">ROUND(FIRE1201_raw!W10,0)</f>
        <v>16009</v>
      </c>
      <c r="X8" s="97">
        <f ca="1">ROUND(FIRE1201_raw!X10,0)</f>
        <v>70805</v>
      </c>
      <c r="Y8" s="97"/>
      <c r="Z8" s="97">
        <f ca="1">ROUND(FIRE1201_raw!Z10,0)</f>
        <v>8916</v>
      </c>
      <c r="AA8" s="97">
        <f ca="1">ROUND(FIRE1201_raw!AA10,0)</f>
        <v>2448</v>
      </c>
      <c r="AB8" s="97">
        <f ca="1">ROUND(FIRE1201_raw!AB10,0)</f>
        <v>2103</v>
      </c>
      <c r="AC8" s="97">
        <f ca="1">ROUND(FIRE1201_raw!AC10,0)</f>
        <v>1601</v>
      </c>
      <c r="AD8" s="97">
        <f ca="1">ROUND(FIRE1201_raw!AD10,0)</f>
        <v>2764</v>
      </c>
      <c r="AE8" s="97"/>
      <c r="AF8" s="97">
        <f ca="1">ROUND(FIRE1201_raw!AF10,0)</f>
        <v>4358</v>
      </c>
      <c r="AG8" s="97">
        <f ca="1">ROUND(FIRE1201_raw!AG10,0)</f>
        <v>1634</v>
      </c>
      <c r="AH8" s="97">
        <f ca="1">ROUND(FIRE1201_raw!AH10,0)</f>
        <v>1155</v>
      </c>
      <c r="AI8" s="97">
        <f ca="1">ROUND(FIRE1201_raw!AI10,0)</f>
        <v>678</v>
      </c>
      <c r="AJ8" s="97">
        <f ca="1">ROUND(FIRE1201_raw!AJ10,0)</f>
        <v>891</v>
      </c>
    </row>
    <row r="9" spans="1:37" s="3" customFormat="1" ht="15" customHeight="1" x14ac:dyDescent="0.3">
      <c r="A9" s="25" t="s">
        <v>49</v>
      </c>
      <c r="B9" s="97">
        <f ca="1">ROUND(FIRE1201_raw!B11,0)</f>
        <v>250448</v>
      </c>
      <c r="C9" s="97">
        <f ca="1">ROUND(FIRE1201_raw!C11,0)</f>
        <v>53385</v>
      </c>
      <c r="D9" s="97">
        <f ca="1">ROUND(FIRE1201_raw!D11,0)</f>
        <v>71266</v>
      </c>
      <c r="E9" s="97">
        <f ca="1">ROUND(FIRE1201_raw!E11,0)</f>
        <v>19601</v>
      </c>
      <c r="F9" s="97">
        <f ca="1">ROUND(FIRE1201_raw!F11,0)</f>
        <v>106196</v>
      </c>
      <c r="G9" s="97"/>
      <c r="H9" s="97">
        <f ca="1">ROUND(FIRE1201_raw!H11,0)</f>
        <v>103976</v>
      </c>
      <c r="I9" s="97">
        <f ca="1">ROUND(FIRE1201_raw!I11,0)</f>
        <v>29009</v>
      </c>
      <c r="J9" s="97">
        <f ca="1">ROUND(FIRE1201_raw!J11,0)</f>
        <v>23072</v>
      </c>
      <c r="K9" s="97">
        <f ca="1">ROUND(FIRE1201_raw!K11,0)</f>
        <v>11047</v>
      </c>
      <c r="L9" s="97">
        <f ca="1">ROUND(FIRE1201_raw!L11,0)</f>
        <v>40848</v>
      </c>
      <c r="M9" s="97"/>
      <c r="N9" s="97">
        <f ca="1">ROUND(FIRE1201_raw!N11,0)</f>
        <v>249757</v>
      </c>
      <c r="O9" s="97">
        <f ca="1">ROUND(FIRE1201_raw!O11,0)</f>
        <v>53361</v>
      </c>
      <c r="P9" s="97">
        <f ca="1">ROUND(FIRE1201_raw!P11,0)</f>
        <v>71230</v>
      </c>
      <c r="Q9" s="97">
        <f ca="1">ROUND(FIRE1201_raw!Q11,0)</f>
        <v>19570</v>
      </c>
      <c r="R9" s="97">
        <f ca="1">ROUND(FIRE1201_raw!R11,0)</f>
        <v>105596</v>
      </c>
      <c r="S9" s="97"/>
      <c r="T9" s="97">
        <f ca="1">ROUND(FIRE1201_raw!T11,0)</f>
        <v>97227</v>
      </c>
      <c r="U9" s="97">
        <f ca="1">ROUND(FIRE1201_raw!U11,0)</f>
        <v>27459</v>
      </c>
      <c r="V9" s="97">
        <f ca="1">ROUND(FIRE1201_raw!V11,0)</f>
        <v>21763</v>
      </c>
      <c r="W9" s="97">
        <f ca="1">ROUND(FIRE1201_raw!W11,0)</f>
        <v>10008</v>
      </c>
      <c r="X9" s="97">
        <f ca="1">ROUND(FIRE1201_raw!X11,0)</f>
        <v>37997</v>
      </c>
      <c r="Y9" s="97"/>
      <c r="Z9" s="97">
        <f ca="1">ROUND(FIRE1201_raw!Z11,0)</f>
        <v>691</v>
      </c>
      <c r="AA9" s="97">
        <f ca="1">ROUND(FIRE1201_raw!AA11,0)</f>
        <v>24</v>
      </c>
      <c r="AB9" s="97">
        <f ca="1">ROUND(FIRE1201_raw!AB11,0)</f>
        <v>36</v>
      </c>
      <c r="AC9" s="97">
        <f ca="1">ROUND(FIRE1201_raw!AC11,0)</f>
        <v>31</v>
      </c>
      <c r="AD9" s="97">
        <f ca="1">ROUND(FIRE1201_raw!AD11,0)</f>
        <v>600</v>
      </c>
      <c r="AE9" s="97"/>
      <c r="AF9" s="97">
        <f ca="1">ROUND(FIRE1201_raw!AF11,0)</f>
        <v>6749</v>
      </c>
      <c r="AG9" s="97">
        <f ca="1">ROUND(FIRE1201_raw!AG11,0)</f>
        <v>1550</v>
      </c>
      <c r="AH9" s="97">
        <f ca="1">ROUND(FIRE1201_raw!AH11,0)</f>
        <v>1309</v>
      </c>
      <c r="AI9" s="97">
        <f ca="1">ROUND(FIRE1201_raw!AI11,0)</f>
        <v>1039</v>
      </c>
      <c r="AJ9" s="97">
        <f ca="1">ROUND(FIRE1201_raw!AJ11,0)</f>
        <v>2851</v>
      </c>
    </row>
    <row r="10" spans="1:37" s="3" customFormat="1" ht="15" customHeight="1" x14ac:dyDescent="0.3">
      <c r="A10" s="25" t="s">
        <v>114</v>
      </c>
      <c r="B10" s="97">
        <f ca="1">ROUND(FIRE1201_raw!B12,0)</f>
        <v>332540</v>
      </c>
      <c r="C10" s="97">
        <f ca="1">ROUND(FIRE1201_raw!C12,0)</f>
        <v>77055</v>
      </c>
      <c r="D10" s="97">
        <f ca="1">ROUND(FIRE1201_raw!D12,0)</f>
        <v>94497</v>
      </c>
      <c r="E10" s="97">
        <f ca="1">ROUND(FIRE1201_raw!E12,0)</f>
        <v>25929</v>
      </c>
      <c r="F10" s="97">
        <f ca="1">ROUND(FIRE1201_raw!F12,0)</f>
        <v>135059</v>
      </c>
      <c r="G10" s="97"/>
      <c r="H10" s="97">
        <f ca="1">ROUND(FIRE1201_raw!H12,0)</f>
        <v>158289</v>
      </c>
      <c r="I10" s="97">
        <f ca="1">ROUND(FIRE1201_raw!I12,0)</f>
        <v>45231</v>
      </c>
      <c r="J10" s="97">
        <f ca="1">ROUND(FIRE1201_raw!J12,0)</f>
        <v>38849</v>
      </c>
      <c r="K10" s="97">
        <f ca="1">ROUND(FIRE1201_raw!K12,0)</f>
        <v>15197</v>
      </c>
      <c r="L10" s="97">
        <f ca="1">ROUND(FIRE1201_raw!L12,0)</f>
        <v>59012</v>
      </c>
      <c r="M10" s="97"/>
      <c r="N10" s="97">
        <f ca="1">ROUND(FIRE1201_raw!N12,0)</f>
        <v>330148</v>
      </c>
      <c r="O10" s="97">
        <f ca="1">ROUND(FIRE1201_raw!O12,0)</f>
        <v>76505</v>
      </c>
      <c r="P10" s="97">
        <f ca="1">ROUND(FIRE1201_raw!P12,0)</f>
        <v>93957</v>
      </c>
      <c r="Q10" s="97">
        <f ca="1">ROUND(FIRE1201_raw!Q12,0)</f>
        <v>25656</v>
      </c>
      <c r="R10" s="97">
        <f ca="1">ROUND(FIRE1201_raw!R12,0)</f>
        <v>134030</v>
      </c>
      <c r="S10" s="97"/>
      <c r="T10" s="97">
        <f ca="1">ROUND(FIRE1201_raw!T12,0)</f>
        <v>151280</v>
      </c>
      <c r="U10" s="97">
        <f ca="1">ROUND(FIRE1201_raw!U12,0)</f>
        <v>43620</v>
      </c>
      <c r="V10" s="97">
        <f ca="1">ROUND(FIRE1201_raw!V12,0)</f>
        <v>37465</v>
      </c>
      <c r="W10" s="97">
        <f ca="1">ROUND(FIRE1201_raw!W12,0)</f>
        <v>14096</v>
      </c>
      <c r="X10" s="97">
        <f ca="1">ROUND(FIRE1201_raw!X12,0)</f>
        <v>56099</v>
      </c>
      <c r="Y10" s="97"/>
      <c r="Z10" s="97">
        <f ca="1">ROUND(FIRE1201_raw!Z12,0)</f>
        <v>2392</v>
      </c>
      <c r="AA10" s="97">
        <f ca="1">ROUND(FIRE1201_raw!AA12,0)</f>
        <v>550</v>
      </c>
      <c r="AB10" s="97">
        <f ca="1">ROUND(FIRE1201_raw!AB12,0)</f>
        <v>540</v>
      </c>
      <c r="AC10" s="97">
        <f ca="1">ROUND(FIRE1201_raw!AC12,0)</f>
        <v>273</v>
      </c>
      <c r="AD10" s="97">
        <f ca="1">ROUND(FIRE1201_raw!AD12,0)</f>
        <v>1029</v>
      </c>
      <c r="AE10" s="97"/>
      <c r="AF10" s="97">
        <f ca="1">ROUND(FIRE1201_raw!AF12,0)</f>
        <v>7009</v>
      </c>
      <c r="AG10" s="97">
        <f ca="1">ROUND(FIRE1201_raw!AG12,0)</f>
        <v>1611</v>
      </c>
      <c r="AH10" s="97">
        <f ca="1">ROUND(FIRE1201_raw!AH12,0)</f>
        <v>1384</v>
      </c>
      <c r="AI10" s="97">
        <f ca="1">ROUND(FIRE1201_raw!AI12,0)</f>
        <v>1101</v>
      </c>
      <c r="AJ10" s="97">
        <f ca="1">ROUND(FIRE1201_raw!AJ12,0)</f>
        <v>2913</v>
      </c>
    </row>
    <row r="11" spans="1:37" s="3" customFormat="1" ht="15" customHeight="1" x14ac:dyDescent="0.3">
      <c r="A11" s="25" t="s">
        <v>115</v>
      </c>
      <c r="B11" s="97">
        <f ca="1">ROUND(FIRE1201_raw!B13,0)</f>
        <v>163830</v>
      </c>
      <c r="C11" s="97">
        <f ca="1">ROUND(FIRE1201_raw!C13,0)</f>
        <v>32736</v>
      </c>
      <c r="D11" s="97">
        <f ca="1">ROUND(FIRE1201_raw!D13,0)</f>
        <v>69427</v>
      </c>
      <c r="E11" s="97">
        <f ca="1">ROUND(FIRE1201_raw!E13,0)</f>
        <v>9640</v>
      </c>
      <c r="F11" s="97">
        <f ca="1">ROUND(FIRE1201_raw!F13,0)</f>
        <v>52027</v>
      </c>
      <c r="G11" s="97"/>
      <c r="H11" s="97">
        <f ca="1">ROUND(FIRE1201_raw!H13,0)</f>
        <v>132771</v>
      </c>
      <c r="I11" s="97">
        <f ca="1">ROUND(FIRE1201_raw!I13,0)</f>
        <v>33000</v>
      </c>
      <c r="J11" s="97">
        <f ca="1">ROUND(FIRE1201_raw!J13,0)</f>
        <v>56315</v>
      </c>
      <c r="K11" s="97">
        <f ca="1">ROUND(FIRE1201_raw!K13,0)</f>
        <v>9405</v>
      </c>
      <c r="L11" s="97">
        <f ca="1">ROUND(FIRE1201_raw!L13,0)</f>
        <v>34051</v>
      </c>
      <c r="M11" s="97"/>
      <c r="N11" s="97">
        <f ca="1">ROUND(FIRE1201_raw!N13,0)</f>
        <v>159350</v>
      </c>
      <c r="O11" s="97">
        <f ca="1">ROUND(FIRE1201_raw!O13,0)</f>
        <v>31145</v>
      </c>
      <c r="P11" s="97">
        <f ca="1">ROUND(FIRE1201_raw!P13,0)</f>
        <v>68348</v>
      </c>
      <c r="Q11" s="97">
        <f ca="1">ROUND(FIRE1201_raw!Q13,0)</f>
        <v>8957</v>
      </c>
      <c r="R11" s="97">
        <f ca="1">ROUND(FIRE1201_raw!R13,0)</f>
        <v>50900</v>
      </c>
      <c r="S11" s="97"/>
      <c r="T11" s="97">
        <f ca="1">ROUND(FIRE1201_raw!T13,0)</f>
        <v>128786</v>
      </c>
      <c r="U11" s="97">
        <f ca="1">ROUND(FIRE1201_raw!U13,0)</f>
        <v>31427</v>
      </c>
      <c r="V11" s="97">
        <f ca="1">ROUND(FIRE1201_raw!V13,0)</f>
        <v>55348</v>
      </c>
      <c r="W11" s="97">
        <f ca="1">ROUND(FIRE1201_raw!W13,0)</f>
        <v>8789</v>
      </c>
      <c r="X11" s="97">
        <f ca="1">ROUND(FIRE1201_raw!X13,0)</f>
        <v>33222</v>
      </c>
      <c r="Y11" s="97"/>
      <c r="Z11" s="97">
        <f ca="1">ROUND(FIRE1201_raw!Z13,0)</f>
        <v>4480</v>
      </c>
      <c r="AA11" s="97">
        <f ca="1">ROUND(FIRE1201_raw!AA13,0)</f>
        <v>1591</v>
      </c>
      <c r="AB11" s="97">
        <f ca="1">ROUND(FIRE1201_raw!AB13,0)</f>
        <v>1079</v>
      </c>
      <c r="AC11" s="97">
        <f ca="1">ROUND(FIRE1201_raw!AC13,0)</f>
        <v>683</v>
      </c>
      <c r="AD11" s="97">
        <f ca="1">ROUND(FIRE1201_raw!AD13,0)</f>
        <v>1127</v>
      </c>
      <c r="AE11" s="97"/>
      <c r="AF11" s="97">
        <f ca="1">ROUND(FIRE1201_raw!AF13,0)</f>
        <v>3985</v>
      </c>
      <c r="AG11" s="97">
        <f ca="1">ROUND(FIRE1201_raw!AG13,0)</f>
        <v>1573</v>
      </c>
      <c r="AH11" s="97">
        <f ca="1">ROUND(FIRE1201_raw!AH13,0)</f>
        <v>967</v>
      </c>
      <c r="AI11" s="97">
        <f ca="1">ROUND(FIRE1201_raw!AI13,0)</f>
        <v>616</v>
      </c>
      <c r="AJ11" s="97">
        <f ca="1">ROUND(FIRE1201_raw!AJ13,0)</f>
        <v>829</v>
      </c>
    </row>
    <row r="12" spans="1:37" s="3" customFormat="1" ht="15" customHeight="1" x14ac:dyDescent="0.3">
      <c r="A12" s="25" t="s">
        <v>116</v>
      </c>
      <c r="B12" s="97">
        <f ca="1">ROUND(FIRE1201_raw!B14,0)</f>
        <v>85547</v>
      </c>
      <c r="C12" s="97">
        <f ca="1">ROUND(FIRE1201_raw!C14,0)</f>
        <v>16658</v>
      </c>
      <c r="D12" s="97">
        <f ca="1">ROUND(FIRE1201_raw!D14,0)</f>
        <v>31064</v>
      </c>
      <c r="E12" s="97">
        <f ca="1">ROUND(FIRE1201_raw!E14,0)</f>
        <v>6467</v>
      </c>
      <c r="F12" s="97">
        <f ca="1">ROUND(FIRE1201_raw!F14,0)</f>
        <v>31358</v>
      </c>
      <c r="G12" s="97"/>
      <c r="H12" s="97">
        <f ca="1">ROUND(FIRE1201_raw!H14,0)</f>
        <v>53755</v>
      </c>
      <c r="I12" s="97">
        <f ca="1">ROUND(FIRE1201_raw!I14,0)</f>
        <v>7932</v>
      </c>
      <c r="J12" s="97">
        <f ca="1">ROUND(FIRE1201_raw!J14,0)</f>
        <v>23210</v>
      </c>
      <c r="K12" s="97">
        <f ca="1">ROUND(FIRE1201_raw!K14,0)</f>
        <v>3132</v>
      </c>
      <c r="L12" s="97">
        <f ca="1">ROUND(FIRE1201_raw!L14,0)</f>
        <v>19481</v>
      </c>
      <c r="M12" s="97"/>
      <c r="N12" s="97">
        <f ca="1">ROUND(FIRE1201_raw!N14,0)</f>
        <v>82812</v>
      </c>
      <c r="O12" s="97">
        <f ca="1">ROUND(FIRE1201_raw!O14,0)</f>
        <v>16327</v>
      </c>
      <c r="P12" s="97">
        <f ca="1">ROUND(FIRE1201_raw!P14,0)</f>
        <v>30544</v>
      </c>
      <c r="Q12" s="97">
        <f ca="1">ROUND(FIRE1201_raw!Q14,0)</f>
        <v>5791</v>
      </c>
      <c r="R12" s="97">
        <f ca="1">ROUND(FIRE1201_raw!R14,0)</f>
        <v>30150</v>
      </c>
      <c r="S12" s="97"/>
      <c r="T12" s="97">
        <f ca="1">ROUND(FIRE1201_raw!T14,0)</f>
        <v>53642</v>
      </c>
      <c r="U12" s="97">
        <f ca="1">ROUND(FIRE1201_raw!U14,0)</f>
        <v>7932</v>
      </c>
      <c r="V12" s="97">
        <f ca="1">ROUND(FIRE1201_raw!V14,0)</f>
        <v>23097</v>
      </c>
      <c r="W12" s="97">
        <f ca="1">ROUND(FIRE1201_raw!W14,0)</f>
        <v>3132</v>
      </c>
      <c r="X12" s="97">
        <f ca="1">ROUND(FIRE1201_raw!X14,0)</f>
        <v>19481</v>
      </c>
      <c r="Y12" s="97"/>
      <c r="Z12" s="97">
        <f ca="1">ROUND(FIRE1201_raw!Z14,0)</f>
        <v>2735</v>
      </c>
      <c r="AA12" s="97">
        <f ca="1">ROUND(FIRE1201_raw!AA14,0)</f>
        <v>331</v>
      </c>
      <c r="AB12" s="97">
        <f ca="1">ROUND(FIRE1201_raw!AB14,0)</f>
        <v>520</v>
      </c>
      <c r="AC12" s="97">
        <f ca="1">ROUND(FIRE1201_raw!AC14,0)</f>
        <v>676</v>
      </c>
      <c r="AD12" s="97">
        <f ca="1">ROUND(FIRE1201_raw!AD14,0)</f>
        <v>1208</v>
      </c>
      <c r="AE12" s="97"/>
      <c r="AF12" s="97">
        <f ca="1">ROUND(FIRE1201_raw!AF14,0)</f>
        <v>113</v>
      </c>
      <c r="AG12" s="97">
        <f ca="1">ROUND(FIRE1201_raw!AG14,0)</f>
        <v>0</v>
      </c>
      <c r="AH12" s="97">
        <f ca="1">ROUND(FIRE1201_raw!AH14,0)</f>
        <v>113</v>
      </c>
      <c r="AI12" s="97">
        <f ca="1">ROUND(FIRE1201_raw!AI14,0)</f>
        <v>0</v>
      </c>
      <c r="AJ12" s="97">
        <f ca="1">ROUND(FIRE1201_raw!AJ14,0)</f>
        <v>0</v>
      </c>
    </row>
    <row r="13" spans="1:37" s="3" customFormat="1" ht="15" customHeight="1" x14ac:dyDescent="0.3">
      <c r="A13" s="31" t="s">
        <v>3</v>
      </c>
      <c r="B13" s="98">
        <f ca="1">ROUND(FIRE1201_raw!B15,0)</f>
        <v>6458</v>
      </c>
      <c r="C13" s="98">
        <f ca="1">ROUND(FIRE1201_raw!C15,0)</f>
        <v>2624</v>
      </c>
      <c r="D13" s="98">
        <f ca="1">ROUND(FIRE1201_raw!D15,0)</f>
        <v>1988</v>
      </c>
      <c r="E13" s="98">
        <f ca="1">ROUND(FIRE1201_raw!E15,0)</f>
        <v>581</v>
      </c>
      <c r="F13" s="98">
        <f ca="1">ROUND(FIRE1201_raw!F15,0)</f>
        <v>1265</v>
      </c>
      <c r="G13" s="98"/>
      <c r="H13" s="98">
        <f ca="1">ROUND(FIRE1201_raw!H15,0)</f>
        <v>0</v>
      </c>
      <c r="I13" s="98">
        <f ca="1">ROUND(FIRE1201_raw!I15,0)</f>
        <v>0</v>
      </c>
      <c r="J13" s="98">
        <f ca="1">ROUND(FIRE1201_raw!J15,0)</f>
        <v>0</v>
      </c>
      <c r="K13" s="98">
        <f ca="1">ROUND(FIRE1201_raw!K15,0)</f>
        <v>0</v>
      </c>
      <c r="L13" s="98">
        <f ca="1">ROUND(FIRE1201_raw!L15,0)</f>
        <v>0</v>
      </c>
      <c r="M13" s="98"/>
      <c r="N13" s="98">
        <f ca="1">ROUND(FIRE1201_raw!N15,0)</f>
        <v>6413</v>
      </c>
      <c r="O13" s="98">
        <f ca="1">ROUND(FIRE1201_raw!O15,0)</f>
        <v>2616</v>
      </c>
      <c r="P13" s="98">
        <f ca="1">ROUND(FIRE1201_raw!P15,0)</f>
        <v>1983</v>
      </c>
      <c r="Q13" s="98">
        <f ca="1">ROUND(FIRE1201_raw!Q15,0)</f>
        <v>560</v>
      </c>
      <c r="R13" s="98">
        <f ca="1">ROUND(FIRE1201_raw!R15,0)</f>
        <v>1254</v>
      </c>
      <c r="S13" s="98"/>
      <c r="T13" s="98">
        <f ca="1">ROUND(FIRE1201_raw!T15,0)</f>
        <v>0</v>
      </c>
      <c r="U13" s="98">
        <f ca="1">ROUND(FIRE1201_raw!U15,0)</f>
        <v>0</v>
      </c>
      <c r="V13" s="98">
        <f ca="1">ROUND(FIRE1201_raw!V15,0)</f>
        <v>0</v>
      </c>
      <c r="W13" s="98">
        <f ca="1">ROUND(FIRE1201_raw!W15,0)</f>
        <v>0</v>
      </c>
      <c r="X13" s="98">
        <f ca="1">ROUND(FIRE1201_raw!X15,0)</f>
        <v>0</v>
      </c>
      <c r="Y13" s="98"/>
      <c r="Z13" s="98">
        <f ca="1">ROUND(FIRE1201_raw!Z15,0)</f>
        <v>45</v>
      </c>
      <c r="AA13" s="98">
        <f ca="1">ROUND(FIRE1201_raw!AA15,0)</f>
        <v>8</v>
      </c>
      <c r="AB13" s="98">
        <f ca="1">ROUND(FIRE1201_raw!AB15,0)</f>
        <v>5</v>
      </c>
      <c r="AC13" s="98">
        <f ca="1">ROUND(FIRE1201_raw!AC15,0)</f>
        <v>21</v>
      </c>
      <c r="AD13" s="98">
        <f ca="1">ROUND(FIRE1201_raw!AD15,0)</f>
        <v>11</v>
      </c>
      <c r="AE13" s="98"/>
      <c r="AF13" s="98">
        <f ca="1">ROUND(FIRE1201_raw!AF15,0)</f>
        <v>0</v>
      </c>
      <c r="AG13" s="98">
        <f ca="1">ROUND(FIRE1201_raw!AG15,0)</f>
        <v>0</v>
      </c>
      <c r="AH13" s="98">
        <f ca="1">ROUND(FIRE1201_raw!AH15,0)</f>
        <v>0</v>
      </c>
      <c r="AI13" s="98">
        <f ca="1">ROUND(FIRE1201_raw!AI15,0)</f>
        <v>0</v>
      </c>
      <c r="AJ13" s="98">
        <f ca="1">ROUND(FIRE1201_raw!AJ15,0)</f>
        <v>0</v>
      </c>
    </row>
    <row r="14" spans="1:37" s="3" customFormat="1" ht="15" customHeight="1" x14ac:dyDescent="0.3">
      <c r="A14" s="31" t="s">
        <v>4</v>
      </c>
      <c r="B14" s="98">
        <f ca="1">ROUND(FIRE1201_raw!B16,0)</f>
        <v>5806</v>
      </c>
      <c r="C14" s="98">
        <f ca="1">ROUND(FIRE1201_raw!C16,0)</f>
        <v>405</v>
      </c>
      <c r="D14" s="98">
        <f ca="1">ROUND(FIRE1201_raw!D16,0)</f>
        <v>2796</v>
      </c>
      <c r="E14" s="98">
        <f ca="1">ROUND(FIRE1201_raw!E16,0)</f>
        <v>107</v>
      </c>
      <c r="F14" s="98">
        <f ca="1">ROUND(FIRE1201_raw!F16,0)</f>
        <v>2498</v>
      </c>
      <c r="G14" s="98"/>
      <c r="H14" s="98">
        <f ca="1">ROUND(FIRE1201_raw!H16,0)</f>
        <v>2560</v>
      </c>
      <c r="I14" s="98">
        <f ca="1">ROUND(FIRE1201_raw!I16,0)</f>
        <v>306</v>
      </c>
      <c r="J14" s="98">
        <f ca="1">ROUND(FIRE1201_raw!J16,0)</f>
        <v>1528</v>
      </c>
      <c r="K14" s="98">
        <f ca="1">ROUND(FIRE1201_raw!K16,0)</f>
        <v>54</v>
      </c>
      <c r="L14" s="98">
        <f ca="1">ROUND(FIRE1201_raw!L16,0)</f>
        <v>672</v>
      </c>
      <c r="M14" s="98"/>
      <c r="N14" s="98">
        <f ca="1">ROUND(FIRE1201_raw!N16,0)</f>
        <v>5701</v>
      </c>
      <c r="O14" s="98">
        <f ca="1">ROUND(FIRE1201_raw!O16,0)</f>
        <v>404</v>
      </c>
      <c r="P14" s="98">
        <f ca="1">ROUND(FIRE1201_raw!P16,0)</f>
        <v>2727</v>
      </c>
      <c r="Q14" s="98">
        <f ca="1">ROUND(FIRE1201_raw!Q16,0)</f>
        <v>107</v>
      </c>
      <c r="R14" s="98">
        <f ca="1">ROUND(FIRE1201_raw!R16,0)</f>
        <v>2463</v>
      </c>
      <c r="S14" s="98"/>
      <c r="T14" s="98">
        <f ca="1">ROUND(FIRE1201_raw!T16,0)</f>
        <v>2559</v>
      </c>
      <c r="U14" s="98">
        <f ca="1">ROUND(FIRE1201_raw!U16,0)</f>
        <v>305</v>
      </c>
      <c r="V14" s="98">
        <f ca="1">ROUND(FIRE1201_raw!V16,0)</f>
        <v>1528</v>
      </c>
      <c r="W14" s="98">
        <f ca="1">ROUND(FIRE1201_raw!W16,0)</f>
        <v>54</v>
      </c>
      <c r="X14" s="98">
        <f ca="1">ROUND(FIRE1201_raw!X16,0)</f>
        <v>672</v>
      </c>
      <c r="Y14" s="98"/>
      <c r="Z14" s="98">
        <f ca="1">ROUND(FIRE1201_raw!Z16,0)</f>
        <v>105</v>
      </c>
      <c r="AA14" s="98">
        <f ca="1">ROUND(FIRE1201_raw!AA16,0)</f>
        <v>1</v>
      </c>
      <c r="AB14" s="98">
        <f ca="1">ROUND(FIRE1201_raw!AB16,0)</f>
        <v>69</v>
      </c>
      <c r="AC14" s="98">
        <f ca="1">ROUND(FIRE1201_raw!AC16,0)</f>
        <v>0</v>
      </c>
      <c r="AD14" s="98">
        <f ca="1">ROUND(FIRE1201_raw!AD16,0)</f>
        <v>35</v>
      </c>
      <c r="AE14" s="98"/>
      <c r="AF14" s="98">
        <f ca="1">ROUND(FIRE1201_raw!AF16,0)</f>
        <v>1</v>
      </c>
      <c r="AG14" s="98">
        <f ca="1">ROUND(FIRE1201_raw!AG16,0)</f>
        <v>1</v>
      </c>
      <c r="AH14" s="98">
        <f ca="1">ROUND(FIRE1201_raw!AH16,0)</f>
        <v>0</v>
      </c>
      <c r="AI14" s="98">
        <f ca="1">ROUND(FIRE1201_raw!AI16,0)</f>
        <v>0</v>
      </c>
      <c r="AJ14" s="98">
        <f ca="1">ROUND(FIRE1201_raw!AJ16,0)</f>
        <v>0</v>
      </c>
    </row>
    <row r="15" spans="1:37" s="3" customFormat="1" ht="15" customHeight="1" x14ac:dyDescent="0.3">
      <c r="A15" s="31" t="s">
        <v>5</v>
      </c>
      <c r="B15" s="98">
        <f ca="1">ROUND(FIRE1201_raw!B17,0)</f>
        <v>10019</v>
      </c>
      <c r="C15" s="98">
        <f ca="1">ROUND(FIRE1201_raw!C17,0)</f>
        <v>1740</v>
      </c>
      <c r="D15" s="98">
        <f ca="1">ROUND(FIRE1201_raw!D17,0)</f>
        <v>4907</v>
      </c>
      <c r="E15" s="98">
        <f ca="1">ROUND(FIRE1201_raw!E17,0)</f>
        <v>326</v>
      </c>
      <c r="F15" s="98">
        <f ca="1">ROUND(FIRE1201_raw!F17,0)</f>
        <v>3046</v>
      </c>
      <c r="G15" s="98"/>
      <c r="H15" s="98">
        <f ca="1">ROUND(FIRE1201_raw!H17,0)</f>
        <v>10019</v>
      </c>
      <c r="I15" s="98">
        <f ca="1">ROUND(FIRE1201_raw!I17,0)</f>
        <v>1740</v>
      </c>
      <c r="J15" s="98">
        <f ca="1">ROUND(FIRE1201_raw!J17,0)</f>
        <v>4907</v>
      </c>
      <c r="K15" s="98">
        <f ca="1">ROUND(FIRE1201_raw!K17,0)</f>
        <v>326</v>
      </c>
      <c r="L15" s="98">
        <f ca="1">ROUND(FIRE1201_raw!L17,0)</f>
        <v>3046</v>
      </c>
      <c r="M15" s="98"/>
      <c r="N15" s="98">
        <f ca="1">ROUND(FIRE1201_raw!N17,0)</f>
        <v>10019</v>
      </c>
      <c r="O15" s="98">
        <f ca="1">ROUND(FIRE1201_raw!O17,0)</f>
        <v>1740</v>
      </c>
      <c r="P15" s="98">
        <f ca="1">ROUND(FIRE1201_raw!P17,0)</f>
        <v>4907</v>
      </c>
      <c r="Q15" s="98">
        <f ca="1">ROUND(FIRE1201_raw!Q17,0)</f>
        <v>326</v>
      </c>
      <c r="R15" s="98">
        <f ca="1">ROUND(FIRE1201_raw!R17,0)</f>
        <v>3046</v>
      </c>
      <c r="S15" s="98"/>
      <c r="T15" s="98">
        <f ca="1">ROUND(FIRE1201_raw!T17,0)</f>
        <v>10019</v>
      </c>
      <c r="U15" s="98">
        <f ca="1">ROUND(FIRE1201_raw!U17,0)</f>
        <v>1740</v>
      </c>
      <c r="V15" s="98">
        <f ca="1">ROUND(FIRE1201_raw!V17,0)</f>
        <v>4907</v>
      </c>
      <c r="W15" s="98">
        <f ca="1">ROUND(FIRE1201_raw!W17,0)</f>
        <v>326</v>
      </c>
      <c r="X15" s="98">
        <f ca="1">ROUND(FIRE1201_raw!X17,0)</f>
        <v>3046</v>
      </c>
      <c r="Y15" s="98"/>
      <c r="Z15" s="98">
        <f ca="1">ROUND(FIRE1201_raw!Z17,0)</f>
        <v>0</v>
      </c>
      <c r="AA15" s="98">
        <f ca="1">ROUND(FIRE1201_raw!AA17,0)</f>
        <v>0</v>
      </c>
      <c r="AB15" s="98">
        <f ca="1">ROUND(FIRE1201_raw!AB17,0)</f>
        <v>0</v>
      </c>
      <c r="AC15" s="98">
        <f ca="1">ROUND(FIRE1201_raw!AC17,0)</f>
        <v>0</v>
      </c>
      <c r="AD15" s="98">
        <f ca="1">ROUND(FIRE1201_raw!AD17,0)</f>
        <v>0</v>
      </c>
      <c r="AE15" s="98"/>
      <c r="AF15" s="98">
        <f ca="1">ROUND(FIRE1201_raw!AF17,0)</f>
        <v>0</v>
      </c>
      <c r="AG15" s="98">
        <f ca="1">ROUND(FIRE1201_raw!AG17,0)</f>
        <v>0</v>
      </c>
      <c r="AH15" s="98">
        <f ca="1">ROUND(FIRE1201_raw!AH17,0)</f>
        <v>0</v>
      </c>
      <c r="AI15" s="98">
        <f ca="1">ROUND(FIRE1201_raw!AI17,0)</f>
        <v>0</v>
      </c>
      <c r="AJ15" s="98">
        <f ca="1">ROUND(FIRE1201_raw!AJ17,0)</f>
        <v>0</v>
      </c>
    </row>
    <row r="16" spans="1:37" s="10" customFormat="1" ht="15" customHeight="1" x14ac:dyDescent="0.3">
      <c r="A16" s="31" t="s">
        <v>6</v>
      </c>
      <c r="B16" s="98">
        <f ca="1">ROUND(FIRE1201_raw!B18,0)</f>
        <v>1644</v>
      </c>
      <c r="C16" s="98">
        <f ca="1">ROUND(FIRE1201_raw!C18,0)</f>
        <v>520</v>
      </c>
      <c r="D16" s="98">
        <f ca="1">ROUND(FIRE1201_raw!D18,0)</f>
        <v>555</v>
      </c>
      <c r="E16" s="98">
        <f ca="1">ROUND(FIRE1201_raw!E18,0)</f>
        <v>203</v>
      </c>
      <c r="F16" s="98">
        <f ca="1">ROUND(FIRE1201_raw!F18,0)</f>
        <v>366</v>
      </c>
      <c r="G16" s="98"/>
      <c r="H16" s="98">
        <f ca="1">ROUND(FIRE1201_raw!H18,0)</f>
        <v>1041</v>
      </c>
      <c r="I16" s="98">
        <f ca="1">ROUND(FIRE1201_raw!I18,0)</f>
        <v>354</v>
      </c>
      <c r="J16" s="98">
        <f ca="1">ROUND(FIRE1201_raw!J18,0)</f>
        <v>336</v>
      </c>
      <c r="K16" s="98">
        <f ca="1">ROUND(FIRE1201_raw!K18,0)</f>
        <v>127</v>
      </c>
      <c r="L16" s="98">
        <f ca="1">ROUND(FIRE1201_raw!L18,0)</f>
        <v>224</v>
      </c>
      <c r="M16" s="98"/>
      <c r="N16" s="98">
        <f ca="1">ROUND(FIRE1201_raw!N18,0)</f>
        <v>1642</v>
      </c>
      <c r="O16" s="98">
        <f ca="1">ROUND(FIRE1201_raw!O18,0)</f>
        <v>520</v>
      </c>
      <c r="P16" s="98">
        <f ca="1">ROUND(FIRE1201_raw!P18,0)</f>
        <v>555</v>
      </c>
      <c r="Q16" s="98">
        <f ca="1">ROUND(FIRE1201_raw!Q18,0)</f>
        <v>201</v>
      </c>
      <c r="R16" s="98">
        <f ca="1">ROUND(FIRE1201_raw!R18,0)</f>
        <v>366</v>
      </c>
      <c r="S16" s="98"/>
      <c r="T16" s="98">
        <f ca="1">ROUND(FIRE1201_raw!T18,0)</f>
        <v>1040</v>
      </c>
      <c r="U16" s="98">
        <f ca="1">ROUND(FIRE1201_raw!U18,0)</f>
        <v>354</v>
      </c>
      <c r="V16" s="98">
        <f ca="1">ROUND(FIRE1201_raw!V18,0)</f>
        <v>336</v>
      </c>
      <c r="W16" s="98">
        <f ca="1">ROUND(FIRE1201_raw!W18,0)</f>
        <v>126</v>
      </c>
      <c r="X16" s="98">
        <f ca="1">ROUND(FIRE1201_raw!X18,0)</f>
        <v>224</v>
      </c>
      <c r="Y16" s="98"/>
      <c r="Z16" s="98">
        <f ca="1">ROUND(FIRE1201_raw!Z18,0)</f>
        <v>2</v>
      </c>
      <c r="AA16" s="98">
        <f ca="1">ROUND(FIRE1201_raw!AA18,0)</f>
        <v>0</v>
      </c>
      <c r="AB16" s="98">
        <f ca="1">ROUND(FIRE1201_raw!AB18,0)</f>
        <v>0</v>
      </c>
      <c r="AC16" s="98">
        <f ca="1">ROUND(FIRE1201_raw!AC18,0)</f>
        <v>2</v>
      </c>
      <c r="AD16" s="98">
        <f ca="1">ROUND(FIRE1201_raw!AD18,0)</f>
        <v>0</v>
      </c>
      <c r="AE16" s="98"/>
      <c r="AF16" s="98">
        <f ca="1">ROUND(FIRE1201_raw!AF18,0)</f>
        <v>1</v>
      </c>
      <c r="AG16" s="98">
        <f ca="1">ROUND(FIRE1201_raw!AG18,0)</f>
        <v>0</v>
      </c>
      <c r="AH16" s="98">
        <f ca="1">ROUND(FIRE1201_raw!AH18,0)</f>
        <v>0</v>
      </c>
      <c r="AI16" s="98">
        <f ca="1">ROUND(FIRE1201_raw!AI18,0)</f>
        <v>1</v>
      </c>
      <c r="AJ16" s="98">
        <f ca="1">ROUND(FIRE1201_raw!AJ18,0)</f>
        <v>0</v>
      </c>
    </row>
    <row r="17" spans="1:36" ht="15" customHeight="1" x14ac:dyDescent="0.3">
      <c r="A17" s="31" t="s">
        <v>7</v>
      </c>
      <c r="B17" s="98">
        <f ca="1">ROUND(FIRE1201_raw!B19,0)</f>
        <v>5248</v>
      </c>
      <c r="C17" s="98">
        <f ca="1">ROUND(FIRE1201_raw!C19,0)</f>
        <v>2086</v>
      </c>
      <c r="D17" s="98">
        <f ca="1">ROUND(FIRE1201_raw!D19,0)</f>
        <v>2178</v>
      </c>
      <c r="E17" s="98">
        <f ca="1">ROUND(FIRE1201_raw!E19,0)</f>
        <v>385</v>
      </c>
      <c r="F17" s="98">
        <f ca="1">ROUND(FIRE1201_raw!F19,0)</f>
        <v>599</v>
      </c>
      <c r="G17" s="98"/>
      <c r="H17" s="98">
        <f ca="1">ROUND(FIRE1201_raw!H19,0)</f>
        <v>4408</v>
      </c>
      <c r="I17" s="98">
        <f ca="1">ROUND(FIRE1201_raw!I19,0)</f>
        <v>1912</v>
      </c>
      <c r="J17" s="98">
        <f ca="1">ROUND(FIRE1201_raw!J19,0)</f>
        <v>1817</v>
      </c>
      <c r="K17" s="98">
        <f ca="1">ROUND(FIRE1201_raw!K19,0)</f>
        <v>344</v>
      </c>
      <c r="L17" s="98">
        <f ca="1">ROUND(FIRE1201_raw!L19,0)</f>
        <v>335</v>
      </c>
      <c r="M17" s="98"/>
      <c r="N17" s="98">
        <f ca="1">ROUND(FIRE1201_raw!N19,0)</f>
        <v>4408</v>
      </c>
      <c r="O17" s="98">
        <f ca="1">ROUND(FIRE1201_raw!O19,0)</f>
        <v>1912</v>
      </c>
      <c r="P17" s="98">
        <f ca="1">ROUND(FIRE1201_raw!P19,0)</f>
        <v>1817</v>
      </c>
      <c r="Q17" s="98">
        <f ca="1">ROUND(FIRE1201_raw!Q19,0)</f>
        <v>344</v>
      </c>
      <c r="R17" s="98">
        <f ca="1">ROUND(FIRE1201_raw!R19,0)</f>
        <v>335</v>
      </c>
      <c r="S17" s="98"/>
      <c r="T17" s="98">
        <f ca="1">ROUND(FIRE1201_raw!T19,0)</f>
        <v>4408</v>
      </c>
      <c r="U17" s="98">
        <f ca="1">ROUND(FIRE1201_raw!U19,0)</f>
        <v>1912</v>
      </c>
      <c r="V17" s="98">
        <f ca="1">ROUND(FIRE1201_raw!V19,0)</f>
        <v>1817</v>
      </c>
      <c r="W17" s="98">
        <f ca="1">ROUND(FIRE1201_raw!W19,0)</f>
        <v>344</v>
      </c>
      <c r="X17" s="98">
        <f ca="1">ROUND(FIRE1201_raw!X19,0)</f>
        <v>335</v>
      </c>
      <c r="Y17" s="98"/>
      <c r="Z17" s="98">
        <f ca="1">ROUND(FIRE1201_raw!Z19,0)</f>
        <v>840</v>
      </c>
      <c r="AA17" s="98">
        <f ca="1">ROUND(FIRE1201_raw!AA19,0)</f>
        <v>174</v>
      </c>
      <c r="AB17" s="98">
        <f ca="1">ROUND(FIRE1201_raw!AB19,0)</f>
        <v>361</v>
      </c>
      <c r="AC17" s="98">
        <f ca="1">ROUND(FIRE1201_raw!AC19,0)</f>
        <v>41</v>
      </c>
      <c r="AD17" s="98">
        <f ca="1">ROUND(FIRE1201_raw!AD19,0)</f>
        <v>264</v>
      </c>
      <c r="AE17" s="98"/>
      <c r="AF17" s="98">
        <f ca="1">ROUND(FIRE1201_raw!AF19,0)</f>
        <v>0</v>
      </c>
      <c r="AG17" s="98">
        <f ca="1">ROUND(FIRE1201_raw!AG19,0)</f>
        <v>0</v>
      </c>
      <c r="AH17" s="98">
        <f ca="1">ROUND(FIRE1201_raw!AH19,0)</f>
        <v>0</v>
      </c>
      <c r="AI17" s="98">
        <f ca="1">ROUND(FIRE1201_raw!AI19,0)</f>
        <v>0</v>
      </c>
      <c r="AJ17" s="98">
        <f ca="1">ROUND(FIRE1201_raw!AJ19,0)</f>
        <v>0</v>
      </c>
    </row>
    <row r="18" spans="1:36" ht="15" customHeight="1" x14ac:dyDescent="0.3">
      <c r="A18" s="31" t="s">
        <v>8</v>
      </c>
      <c r="B18" s="98">
        <f ca="1">ROUND(FIRE1201_raw!B20,0)</f>
        <v>32539</v>
      </c>
      <c r="C18" s="98">
        <f ca="1">ROUND(FIRE1201_raw!C20,0)</f>
        <v>1095</v>
      </c>
      <c r="D18" s="98">
        <f ca="1">ROUND(FIRE1201_raw!D20,0)</f>
        <v>23196</v>
      </c>
      <c r="E18" s="98">
        <f ca="1">ROUND(FIRE1201_raw!E20,0)</f>
        <v>237</v>
      </c>
      <c r="F18" s="98">
        <f ca="1">ROUND(FIRE1201_raw!F20,0)</f>
        <v>8011</v>
      </c>
      <c r="G18" s="98"/>
      <c r="H18" s="98">
        <f ca="1">ROUND(FIRE1201_raw!H20,0)</f>
        <v>15391</v>
      </c>
      <c r="I18" s="98">
        <f ca="1">ROUND(FIRE1201_raw!I20,0)</f>
        <v>547</v>
      </c>
      <c r="J18" s="98">
        <f ca="1">ROUND(FIRE1201_raw!J20,0)</f>
        <v>14831</v>
      </c>
      <c r="K18" s="98">
        <f ca="1">ROUND(FIRE1201_raw!K20,0)</f>
        <v>0</v>
      </c>
      <c r="L18" s="98">
        <f ca="1">ROUND(FIRE1201_raw!L20,0)</f>
        <v>13</v>
      </c>
      <c r="M18" s="98"/>
      <c r="N18" s="98">
        <f ca="1">ROUND(FIRE1201_raw!N20,0)</f>
        <v>32539</v>
      </c>
      <c r="O18" s="98">
        <f ca="1">ROUND(FIRE1201_raw!O20,0)</f>
        <v>1095</v>
      </c>
      <c r="P18" s="98">
        <f ca="1">ROUND(FIRE1201_raw!P20,0)</f>
        <v>23196</v>
      </c>
      <c r="Q18" s="98">
        <f ca="1">ROUND(FIRE1201_raw!Q20,0)</f>
        <v>237</v>
      </c>
      <c r="R18" s="98">
        <f ca="1">ROUND(FIRE1201_raw!R20,0)</f>
        <v>8011</v>
      </c>
      <c r="S18" s="98"/>
      <c r="T18" s="98">
        <f ca="1">ROUND(FIRE1201_raw!T20,0)</f>
        <v>15391</v>
      </c>
      <c r="U18" s="98">
        <f ca="1">ROUND(FIRE1201_raw!U20,0)</f>
        <v>547</v>
      </c>
      <c r="V18" s="98">
        <f ca="1">ROUND(FIRE1201_raw!V20,0)</f>
        <v>14831</v>
      </c>
      <c r="W18" s="98">
        <f ca="1">ROUND(FIRE1201_raw!W20,0)</f>
        <v>0</v>
      </c>
      <c r="X18" s="98">
        <f ca="1">ROUND(FIRE1201_raw!X20,0)</f>
        <v>13</v>
      </c>
      <c r="Y18" s="98"/>
      <c r="Z18" s="98">
        <f ca="1">ROUND(FIRE1201_raw!Z20,0)</f>
        <v>0</v>
      </c>
      <c r="AA18" s="98">
        <f ca="1">ROUND(FIRE1201_raw!AA20,0)</f>
        <v>0</v>
      </c>
      <c r="AB18" s="98">
        <f ca="1">ROUND(FIRE1201_raw!AB20,0)</f>
        <v>0</v>
      </c>
      <c r="AC18" s="98">
        <f ca="1">ROUND(FIRE1201_raw!AC20,0)</f>
        <v>0</v>
      </c>
      <c r="AD18" s="98">
        <f ca="1">ROUND(FIRE1201_raw!AD20,0)</f>
        <v>0</v>
      </c>
      <c r="AE18" s="98"/>
      <c r="AF18" s="98">
        <f ca="1">ROUND(FIRE1201_raw!AF20,0)</f>
        <v>0</v>
      </c>
      <c r="AG18" s="98">
        <f ca="1">ROUND(FIRE1201_raw!AG20,0)</f>
        <v>0</v>
      </c>
      <c r="AH18" s="98">
        <f ca="1">ROUND(FIRE1201_raw!AH20,0)</f>
        <v>0</v>
      </c>
      <c r="AI18" s="98">
        <f ca="1">ROUND(FIRE1201_raw!AI20,0)</f>
        <v>0</v>
      </c>
      <c r="AJ18" s="98">
        <f ca="1">ROUND(FIRE1201_raw!AJ20,0)</f>
        <v>0</v>
      </c>
    </row>
    <row r="19" spans="1:36" ht="15" customHeight="1" x14ac:dyDescent="0.3">
      <c r="A19" s="31" t="s">
        <v>9</v>
      </c>
      <c r="B19" s="98">
        <f ca="1">ROUND(FIRE1201_raw!B21,0)</f>
        <v>17293</v>
      </c>
      <c r="C19" s="98">
        <f ca="1">ROUND(FIRE1201_raw!C21,0)</f>
        <v>2455</v>
      </c>
      <c r="D19" s="98">
        <f ca="1">ROUND(FIRE1201_raw!D21,0)</f>
        <v>4848</v>
      </c>
      <c r="E19" s="98">
        <f ca="1">ROUND(FIRE1201_raw!E21,0)</f>
        <v>1050</v>
      </c>
      <c r="F19" s="98">
        <f ca="1">ROUND(FIRE1201_raw!F21,0)</f>
        <v>8940</v>
      </c>
      <c r="G19" s="98"/>
      <c r="H19" s="98">
        <f ca="1">ROUND(FIRE1201_raw!H21,0)</f>
        <v>3078</v>
      </c>
      <c r="I19" s="98">
        <f ca="1">ROUND(FIRE1201_raw!I21,0)</f>
        <v>504</v>
      </c>
      <c r="J19" s="98">
        <f ca="1">ROUND(FIRE1201_raw!J21,0)</f>
        <v>1399</v>
      </c>
      <c r="K19" s="98">
        <f ca="1">ROUND(FIRE1201_raw!K21,0)</f>
        <v>118</v>
      </c>
      <c r="L19" s="98">
        <f ca="1">ROUND(FIRE1201_raw!L21,0)</f>
        <v>1057</v>
      </c>
      <c r="M19" s="98"/>
      <c r="N19" s="98">
        <f ca="1">ROUND(FIRE1201_raw!N21,0)</f>
        <v>16160</v>
      </c>
      <c r="O19" s="98">
        <f ca="1">ROUND(FIRE1201_raw!O21,0)</f>
        <v>2132</v>
      </c>
      <c r="P19" s="98">
        <f ca="1">ROUND(FIRE1201_raw!P21,0)</f>
        <v>4440</v>
      </c>
      <c r="Q19" s="98">
        <f ca="1">ROUND(FIRE1201_raw!Q21,0)</f>
        <v>950</v>
      </c>
      <c r="R19" s="98">
        <f ca="1">ROUND(FIRE1201_raw!R21,0)</f>
        <v>8638</v>
      </c>
      <c r="S19" s="98"/>
      <c r="T19" s="98">
        <f ca="1">ROUND(FIRE1201_raw!T21,0)</f>
        <v>3071</v>
      </c>
      <c r="U19" s="98">
        <f ca="1">ROUND(FIRE1201_raw!U21,0)</f>
        <v>504</v>
      </c>
      <c r="V19" s="98">
        <f ca="1">ROUND(FIRE1201_raw!V21,0)</f>
        <v>1393</v>
      </c>
      <c r="W19" s="98">
        <f ca="1">ROUND(FIRE1201_raw!W21,0)</f>
        <v>118</v>
      </c>
      <c r="X19" s="98">
        <f ca="1">ROUND(FIRE1201_raw!X21,0)</f>
        <v>1056</v>
      </c>
      <c r="Y19" s="98"/>
      <c r="Z19" s="98">
        <f ca="1">ROUND(FIRE1201_raw!Z21,0)</f>
        <v>1133</v>
      </c>
      <c r="AA19" s="98">
        <f ca="1">ROUND(FIRE1201_raw!AA21,0)</f>
        <v>323</v>
      </c>
      <c r="AB19" s="98">
        <f ca="1">ROUND(FIRE1201_raw!AB21,0)</f>
        <v>408</v>
      </c>
      <c r="AC19" s="98">
        <f ca="1">ROUND(FIRE1201_raw!AC21,0)</f>
        <v>100</v>
      </c>
      <c r="AD19" s="98">
        <f ca="1">ROUND(FIRE1201_raw!AD21,0)</f>
        <v>302</v>
      </c>
      <c r="AE19" s="98"/>
      <c r="AF19" s="98">
        <f ca="1">ROUND(FIRE1201_raw!AF21,0)</f>
        <v>7</v>
      </c>
      <c r="AG19" s="98">
        <f ca="1">ROUND(FIRE1201_raw!AG21,0)</f>
        <v>0</v>
      </c>
      <c r="AH19" s="98">
        <f ca="1">ROUND(FIRE1201_raw!AH21,0)</f>
        <v>6</v>
      </c>
      <c r="AI19" s="98">
        <f ca="1">ROUND(FIRE1201_raw!AI21,0)</f>
        <v>0</v>
      </c>
      <c r="AJ19" s="98">
        <f ca="1">ROUND(FIRE1201_raw!AJ21,0)</f>
        <v>1</v>
      </c>
    </row>
    <row r="20" spans="1:36" ht="15" customHeight="1" x14ac:dyDescent="0.3">
      <c r="A20" s="31" t="s">
        <v>10</v>
      </c>
      <c r="B20" s="98">
        <f ca="1">ROUND(FIRE1201_raw!B22,0)</f>
        <v>5630</v>
      </c>
      <c r="C20" s="98">
        <f ca="1">ROUND(FIRE1201_raw!C22,0)</f>
        <v>530</v>
      </c>
      <c r="D20" s="98">
        <f ca="1">ROUND(FIRE1201_raw!D22,0)</f>
        <v>83</v>
      </c>
      <c r="E20" s="98">
        <f ca="1">ROUND(FIRE1201_raw!E22,0)</f>
        <v>2099</v>
      </c>
      <c r="F20" s="98">
        <f ca="1">ROUND(FIRE1201_raw!F22,0)</f>
        <v>2918</v>
      </c>
      <c r="G20" s="98"/>
      <c r="H20" s="98">
        <f ca="1">ROUND(FIRE1201_raw!H22,0)</f>
        <v>341</v>
      </c>
      <c r="I20" s="98">
        <f ca="1">ROUND(FIRE1201_raw!I22,0)</f>
        <v>0</v>
      </c>
      <c r="J20" s="98">
        <f ca="1">ROUND(FIRE1201_raw!J22,0)</f>
        <v>0</v>
      </c>
      <c r="K20" s="98">
        <f ca="1">ROUND(FIRE1201_raw!K22,0)</f>
        <v>341</v>
      </c>
      <c r="L20" s="98">
        <f ca="1">ROUND(FIRE1201_raw!L22,0)</f>
        <v>0</v>
      </c>
      <c r="M20" s="98"/>
      <c r="N20" s="98">
        <f ca="1">ROUND(FIRE1201_raw!N22,0)</f>
        <v>4764</v>
      </c>
      <c r="O20" s="98">
        <f ca="1">ROUND(FIRE1201_raw!O22,0)</f>
        <v>373</v>
      </c>
      <c r="P20" s="98">
        <f ca="1">ROUND(FIRE1201_raw!P22,0)</f>
        <v>80</v>
      </c>
      <c r="Q20" s="98">
        <f ca="1">ROUND(FIRE1201_raw!Q22,0)</f>
        <v>1464</v>
      </c>
      <c r="R20" s="98">
        <f ca="1">ROUND(FIRE1201_raw!R22,0)</f>
        <v>2847</v>
      </c>
      <c r="S20" s="98"/>
      <c r="T20" s="98">
        <f ca="1">ROUND(FIRE1201_raw!T22,0)</f>
        <v>341</v>
      </c>
      <c r="U20" s="98">
        <f ca="1">ROUND(FIRE1201_raw!U22,0)</f>
        <v>0</v>
      </c>
      <c r="V20" s="98">
        <f ca="1">ROUND(FIRE1201_raw!V22,0)</f>
        <v>0</v>
      </c>
      <c r="W20" s="98">
        <f ca="1">ROUND(FIRE1201_raw!W22,0)</f>
        <v>341</v>
      </c>
      <c r="X20" s="98">
        <f ca="1">ROUND(FIRE1201_raw!X22,0)</f>
        <v>0</v>
      </c>
      <c r="Y20" s="98"/>
      <c r="Z20" s="98">
        <f ca="1">ROUND(FIRE1201_raw!Z22,0)</f>
        <v>866</v>
      </c>
      <c r="AA20" s="98">
        <f ca="1">ROUND(FIRE1201_raw!AA22,0)</f>
        <v>157</v>
      </c>
      <c r="AB20" s="98">
        <f ca="1">ROUND(FIRE1201_raw!AB22,0)</f>
        <v>3</v>
      </c>
      <c r="AC20" s="98">
        <f ca="1">ROUND(FIRE1201_raw!AC22,0)</f>
        <v>635</v>
      </c>
      <c r="AD20" s="98">
        <f ca="1">ROUND(FIRE1201_raw!AD22,0)</f>
        <v>71</v>
      </c>
      <c r="AE20" s="98"/>
      <c r="AF20" s="98">
        <f ca="1">ROUND(FIRE1201_raw!AF22,0)</f>
        <v>0</v>
      </c>
      <c r="AG20" s="98">
        <f ca="1">ROUND(FIRE1201_raw!AG22,0)</f>
        <v>0</v>
      </c>
      <c r="AH20" s="98">
        <f ca="1">ROUND(FIRE1201_raw!AH22,0)</f>
        <v>0</v>
      </c>
      <c r="AI20" s="98">
        <f ca="1">ROUND(FIRE1201_raw!AI22,0)</f>
        <v>0</v>
      </c>
      <c r="AJ20" s="98">
        <f ca="1">ROUND(FIRE1201_raw!AJ22,0)</f>
        <v>0</v>
      </c>
    </row>
    <row r="21" spans="1:36" ht="15" customHeight="1" x14ac:dyDescent="0.3">
      <c r="A21" s="31" t="s">
        <v>11</v>
      </c>
      <c r="B21" s="98">
        <f ca="1">ROUND(FIRE1201_raw!B23,0)</f>
        <v>9915</v>
      </c>
      <c r="C21" s="98">
        <f ca="1">ROUND(FIRE1201_raw!C23,0)</f>
        <v>1863</v>
      </c>
      <c r="D21" s="98">
        <f ca="1">ROUND(FIRE1201_raw!D23,0)</f>
        <v>4113</v>
      </c>
      <c r="E21" s="98">
        <f ca="1">ROUND(FIRE1201_raw!E23,0)</f>
        <v>975</v>
      </c>
      <c r="F21" s="98">
        <f ca="1">ROUND(FIRE1201_raw!F23,0)</f>
        <v>2964</v>
      </c>
      <c r="G21" s="98"/>
      <c r="H21" s="98">
        <f ca="1">ROUND(FIRE1201_raw!H23,0)</f>
        <v>9915</v>
      </c>
      <c r="I21" s="98">
        <f ca="1">ROUND(FIRE1201_raw!I23,0)</f>
        <v>1863</v>
      </c>
      <c r="J21" s="98">
        <f ca="1">ROUND(FIRE1201_raw!J23,0)</f>
        <v>4113</v>
      </c>
      <c r="K21" s="98">
        <f ca="1">ROUND(FIRE1201_raw!K23,0)</f>
        <v>975</v>
      </c>
      <c r="L21" s="98">
        <f ca="1">ROUND(FIRE1201_raw!L23,0)</f>
        <v>2964</v>
      </c>
      <c r="M21" s="98"/>
      <c r="N21" s="98">
        <f ca="1">ROUND(FIRE1201_raw!N23,0)</f>
        <v>9915</v>
      </c>
      <c r="O21" s="98">
        <f ca="1">ROUND(FIRE1201_raw!O23,0)</f>
        <v>1863</v>
      </c>
      <c r="P21" s="98">
        <f ca="1">ROUND(FIRE1201_raw!P23,0)</f>
        <v>4113</v>
      </c>
      <c r="Q21" s="98">
        <f ca="1">ROUND(FIRE1201_raw!Q23,0)</f>
        <v>975</v>
      </c>
      <c r="R21" s="98">
        <f ca="1">ROUND(FIRE1201_raw!R23,0)</f>
        <v>2964</v>
      </c>
      <c r="S21" s="98"/>
      <c r="T21" s="98">
        <f ca="1">ROUND(FIRE1201_raw!T23,0)</f>
        <v>9915</v>
      </c>
      <c r="U21" s="98">
        <f ca="1">ROUND(FIRE1201_raw!U23,0)</f>
        <v>1863</v>
      </c>
      <c r="V21" s="98">
        <f ca="1">ROUND(FIRE1201_raw!V23,0)</f>
        <v>4113</v>
      </c>
      <c r="W21" s="98">
        <f ca="1">ROUND(FIRE1201_raw!W23,0)</f>
        <v>975</v>
      </c>
      <c r="X21" s="98">
        <f ca="1">ROUND(FIRE1201_raw!X23,0)</f>
        <v>2964</v>
      </c>
      <c r="Y21" s="98"/>
      <c r="Z21" s="98">
        <f ca="1">ROUND(FIRE1201_raw!Z23,0)</f>
        <v>0</v>
      </c>
      <c r="AA21" s="98">
        <f ca="1">ROUND(FIRE1201_raw!AA23,0)</f>
        <v>0</v>
      </c>
      <c r="AB21" s="98">
        <f ca="1">ROUND(FIRE1201_raw!AB23,0)</f>
        <v>0</v>
      </c>
      <c r="AC21" s="98">
        <f ca="1">ROUND(FIRE1201_raw!AC23,0)</f>
        <v>0</v>
      </c>
      <c r="AD21" s="98">
        <f ca="1">ROUND(FIRE1201_raw!AD23,0)</f>
        <v>0</v>
      </c>
      <c r="AE21" s="98"/>
      <c r="AF21" s="98">
        <f ca="1">ROUND(FIRE1201_raw!AF23,0)</f>
        <v>0</v>
      </c>
      <c r="AG21" s="98">
        <f ca="1">ROUND(FIRE1201_raw!AG23,0)</f>
        <v>0</v>
      </c>
      <c r="AH21" s="98">
        <f ca="1">ROUND(FIRE1201_raw!AH23,0)</f>
        <v>0</v>
      </c>
      <c r="AI21" s="98">
        <f ca="1">ROUND(FIRE1201_raw!AI23,0)</f>
        <v>0</v>
      </c>
      <c r="AJ21" s="98">
        <f ca="1">ROUND(FIRE1201_raw!AJ23,0)</f>
        <v>0</v>
      </c>
    </row>
    <row r="22" spans="1:36" ht="15" customHeight="1" x14ac:dyDescent="0.3">
      <c r="A22" s="99" t="s">
        <v>12</v>
      </c>
      <c r="B22" s="98">
        <f ca="1">ROUND(FIRE1201_raw!B24,0)</f>
        <v>13973</v>
      </c>
      <c r="C22" s="98">
        <f ca="1">ROUND(FIRE1201_raw!C24,0)</f>
        <v>4607</v>
      </c>
      <c r="D22" s="98">
        <f ca="1">ROUND(FIRE1201_raw!D24,0)</f>
        <v>5747</v>
      </c>
      <c r="E22" s="98">
        <f ca="1">ROUND(FIRE1201_raw!E24,0)</f>
        <v>1513</v>
      </c>
      <c r="F22" s="98">
        <f ca="1">ROUND(FIRE1201_raw!F24,0)</f>
        <v>2106</v>
      </c>
      <c r="G22" s="98"/>
      <c r="H22" s="98">
        <f ca="1">ROUND(FIRE1201_raw!H24,0)</f>
        <v>13973</v>
      </c>
      <c r="I22" s="98">
        <f ca="1">ROUND(FIRE1201_raw!I24,0)</f>
        <v>4607</v>
      </c>
      <c r="J22" s="98">
        <f ca="1">ROUND(FIRE1201_raw!J24,0)</f>
        <v>5747</v>
      </c>
      <c r="K22" s="98">
        <f ca="1">ROUND(FIRE1201_raw!K24,0)</f>
        <v>1513</v>
      </c>
      <c r="L22" s="98">
        <f ca="1">ROUND(FIRE1201_raw!L24,0)</f>
        <v>2106</v>
      </c>
      <c r="M22" s="98"/>
      <c r="N22" s="98">
        <f ca="1">ROUND(FIRE1201_raw!N24,0)</f>
        <v>10562</v>
      </c>
      <c r="O22" s="98">
        <f ca="1">ROUND(FIRE1201_raw!O24,0)</f>
        <v>3201</v>
      </c>
      <c r="P22" s="98">
        <f ca="1">ROUND(FIRE1201_raw!P24,0)</f>
        <v>5108</v>
      </c>
      <c r="Q22" s="98">
        <f ca="1">ROUND(FIRE1201_raw!Q24,0)</f>
        <v>949</v>
      </c>
      <c r="R22" s="98">
        <f ca="1">ROUND(FIRE1201_raw!R24,0)</f>
        <v>1304</v>
      </c>
      <c r="S22" s="98"/>
      <c r="T22" s="98">
        <f ca="1">ROUND(FIRE1201_raw!T24,0)</f>
        <v>10562</v>
      </c>
      <c r="U22" s="98">
        <f ca="1">ROUND(FIRE1201_raw!U24,0)</f>
        <v>3201</v>
      </c>
      <c r="V22" s="98">
        <f ca="1">ROUND(FIRE1201_raw!V24,0)</f>
        <v>5108</v>
      </c>
      <c r="W22" s="98">
        <f ca="1">ROUND(FIRE1201_raw!W24,0)</f>
        <v>949</v>
      </c>
      <c r="X22" s="98">
        <f ca="1">ROUND(FIRE1201_raw!X24,0)</f>
        <v>1304</v>
      </c>
      <c r="Y22" s="98"/>
      <c r="Z22" s="98">
        <f ca="1">ROUND(FIRE1201_raw!Z24,0)</f>
        <v>3411</v>
      </c>
      <c r="AA22" s="98">
        <f ca="1">ROUND(FIRE1201_raw!AA24,0)</f>
        <v>1406</v>
      </c>
      <c r="AB22" s="98">
        <f ca="1">ROUND(FIRE1201_raw!AB24,0)</f>
        <v>639</v>
      </c>
      <c r="AC22" s="98">
        <f ca="1">ROUND(FIRE1201_raw!AC24,0)</f>
        <v>564</v>
      </c>
      <c r="AD22" s="98">
        <f ca="1">ROUND(FIRE1201_raw!AD24,0)</f>
        <v>802</v>
      </c>
      <c r="AE22" s="98"/>
      <c r="AF22" s="98">
        <f ca="1">ROUND(FIRE1201_raw!AF24,0)</f>
        <v>3411</v>
      </c>
      <c r="AG22" s="98">
        <f ca="1">ROUND(FIRE1201_raw!AG24,0)</f>
        <v>1406</v>
      </c>
      <c r="AH22" s="98">
        <f ca="1">ROUND(FIRE1201_raw!AH24,0)</f>
        <v>639</v>
      </c>
      <c r="AI22" s="98">
        <f ca="1">ROUND(FIRE1201_raw!AI24,0)</f>
        <v>564</v>
      </c>
      <c r="AJ22" s="98">
        <f ca="1">ROUND(FIRE1201_raw!AJ24,0)</f>
        <v>802</v>
      </c>
    </row>
    <row r="23" spans="1:36" ht="15" customHeight="1" x14ac:dyDescent="0.3">
      <c r="A23" s="99" t="s">
        <v>13</v>
      </c>
      <c r="B23" s="98">
        <f ca="1">ROUND(FIRE1201_raw!B25,0)</f>
        <v>16697</v>
      </c>
      <c r="C23" s="98">
        <f ca="1">ROUND(FIRE1201_raw!C25,0)</f>
        <v>7443</v>
      </c>
      <c r="D23" s="98">
        <f ca="1">ROUND(FIRE1201_raw!D25,0)</f>
        <v>5045</v>
      </c>
      <c r="E23" s="98">
        <f ca="1">ROUND(FIRE1201_raw!E25,0)</f>
        <v>1316</v>
      </c>
      <c r="F23" s="98">
        <f ca="1">ROUND(FIRE1201_raw!F25,0)</f>
        <v>2893</v>
      </c>
      <c r="G23" s="98"/>
      <c r="H23" s="98">
        <f ca="1">ROUND(FIRE1201_raw!H25,0)</f>
        <v>0</v>
      </c>
      <c r="I23" s="98">
        <f ca="1">ROUND(FIRE1201_raw!I25,0)</f>
        <v>0</v>
      </c>
      <c r="J23" s="98">
        <f ca="1">ROUND(FIRE1201_raw!J25,0)</f>
        <v>0</v>
      </c>
      <c r="K23" s="98">
        <f ca="1">ROUND(FIRE1201_raw!K25,0)</f>
        <v>0</v>
      </c>
      <c r="L23" s="98">
        <f ca="1">ROUND(FIRE1201_raw!L25,0)</f>
        <v>0</v>
      </c>
      <c r="M23" s="98"/>
      <c r="N23" s="98">
        <f ca="1">ROUND(FIRE1201_raw!N25,0)</f>
        <v>16697</v>
      </c>
      <c r="O23" s="98">
        <f ca="1">ROUND(FIRE1201_raw!O25,0)</f>
        <v>7443</v>
      </c>
      <c r="P23" s="98">
        <f ca="1">ROUND(FIRE1201_raw!P25,0)</f>
        <v>5045</v>
      </c>
      <c r="Q23" s="98">
        <f ca="1">ROUND(FIRE1201_raw!Q25,0)</f>
        <v>1316</v>
      </c>
      <c r="R23" s="98">
        <f ca="1">ROUND(FIRE1201_raw!R25,0)</f>
        <v>2893</v>
      </c>
      <c r="S23" s="98"/>
      <c r="T23" s="98">
        <f ca="1">ROUND(FIRE1201_raw!T25,0)</f>
        <v>0</v>
      </c>
      <c r="U23" s="98">
        <f ca="1">ROUND(FIRE1201_raw!U25,0)</f>
        <v>0</v>
      </c>
      <c r="V23" s="98">
        <f ca="1">ROUND(FIRE1201_raw!V25,0)</f>
        <v>0</v>
      </c>
      <c r="W23" s="98">
        <f ca="1">ROUND(FIRE1201_raw!W25,0)</f>
        <v>0</v>
      </c>
      <c r="X23" s="98">
        <f ca="1">ROUND(FIRE1201_raw!X25,0)</f>
        <v>0</v>
      </c>
      <c r="Y23" s="98"/>
      <c r="Z23" s="98">
        <f ca="1">ROUND(FIRE1201_raw!Z25,0)</f>
        <v>0</v>
      </c>
      <c r="AA23" s="98">
        <f ca="1">ROUND(FIRE1201_raw!AA25,0)</f>
        <v>0</v>
      </c>
      <c r="AB23" s="98">
        <f ca="1">ROUND(FIRE1201_raw!AB25,0)</f>
        <v>0</v>
      </c>
      <c r="AC23" s="98">
        <f ca="1">ROUND(FIRE1201_raw!AC25,0)</f>
        <v>0</v>
      </c>
      <c r="AD23" s="98">
        <f ca="1">ROUND(FIRE1201_raw!AD25,0)</f>
        <v>0</v>
      </c>
      <c r="AE23" s="98"/>
      <c r="AF23" s="98">
        <f ca="1">ROUND(FIRE1201_raw!AF25,0)</f>
        <v>0</v>
      </c>
      <c r="AG23" s="98">
        <f ca="1">ROUND(FIRE1201_raw!AG25,0)</f>
        <v>0</v>
      </c>
      <c r="AH23" s="98">
        <f ca="1">ROUND(FIRE1201_raw!AH25,0)</f>
        <v>0</v>
      </c>
      <c r="AI23" s="98">
        <f ca="1">ROUND(FIRE1201_raw!AI25,0)</f>
        <v>0</v>
      </c>
      <c r="AJ23" s="98">
        <f ca="1">ROUND(FIRE1201_raw!AJ25,0)</f>
        <v>0</v>
      </c>
    </row>
    <row r="24" spans="1:36" ht="15" customHeight="1" x14ac:dyDescent="0.3">
      <c r="A24" s="99" t="s">
        <v>74</v>
      </c>
      <c r="B24" s="98">
        <f ca="1">ROUND(FIRE1201_raw!B26,0)</f>
        <v>12934</v>
      </c>
      <c r="C24" s="98">
        <f ca="1">ROUND(FIRE1201_raw!C26,0)</f>
        <v>3910</v>
      </c>
      <c r="D24" s="98">
        <f ca="1">ROUND(FIRE1201_raw!D26,0)</f>
        <v>5392</v>
      </c>
      <c r="E24" s="98">
        <f ca="1">ROUND(FIRE1201_raw!E26,0)</f>
        <v>645</v>
      </c>
      <c r="F24" s="98">
        <f ca="1">ROUND(FIRE1201_raw!F26,0)</f>
        <v>2987</v>
      </c>
      <c r="G24" s="98"/>
      <c r="H24" s="98">
        <f ca="1">ROUND(FIRE1201_raw!H26,0)</f>
        <v>12934</v>
      </c>
      <c r="I24" s="98">
        <f ca="1">ROUND(FIRE1201_raw!I26,0)</f>
        <v>3910</v>
      </c>
      <c r="J24" s="98">
        <f ca="1">ROUND(FIRE1201_raw!J26,0)</f>
        <v>5392</v>
      </c>
      <c r="K24" s="98">
        <f ca="1">ROUND(FIRE1201_raw!K26,0)</f>
        <v>645</v>
      </c>
      <c r="L24" s="98">
        <f ca="1">ROUND(FIRE1201_raw!L26,0)</f>
        <v>2987</v>
      </c>
      <c r="M24" s="98"/>
      <c r="N24" s="98">
        <f ca="1">ROUND(FIRE1201_raw!N26,0)</f>
        <v>12473</v>
      </c>
      <c r="O24" s="98">
        <f ca="1">ROUND(FIRE1201_raw!O26,0)</f>
        <v>3808</v>
      </c>
      <c r="P24" s="98">
        <f ca="1">ROUND(FIRE1201_raw!P26,0)</f>
        <v>5071</v>
      </c>
      <c r="Q24" s="98">
        <f ca="1">ROUND(FIRE1201_raw!Q26,0)</f>
        <v>634</v>
      </c>
      <c r="R24" s="98">
        <f ca="1">ROUND(FIRE1201_raw!R26,0)</f>
        <v>2960</v>
      </c>
      <c r="S24" s="98"/>
      <c r="T24" s="98">
        <f ca="1">ROUND(FIRE1201_raw!T26,0)</f>
        <v>12473</v>
      </c>
      <c r="U24" s="98">
        <f ca="1">ROUND(FIRE1201_raw!U26,0)</f>
        <v>3808</v>
      </c>
      <c r="V24" s="98">
        <f ca="1">ROUND(FIRE1201_raw!V26,0)</f>
        <v>5071</v>
      </c>
      <c r="W24" s="98">
        <f ca="1">ROUND(FIRE1201_raw!W26,0)</f>
        <v>634</v>
      </c>
      <c r="X24" s="98">
        <f ca="1">ROUND(FIRE1201_raw!X26,0)</f>
        <v>2960</v>
      </c>
      <c r="Y24" s="98"/>
      <c r="Z24" s="98">
        <f ca="1">ROUND(FIRE1201_raw!Z26,0)</f>
        <v>461</v>
      </c>
      <c r="AA24" s="98">
        <f ca="1">ROUND(FIRE1201_raw!AA26,0)</f>
        <v>102</v>
      </c>
      <c r="AB24" s="98">
        <f ca="1">ROUND(FIRE1201_raw!AB26,0)</f>
        <v>321</v>
      </c>
      <c r="AC24" s="98">
        <f ca="1">ROUND(FIRE1201_raw!AC26,0)</f>
        <v>11</v>
      </c>
      <c r="AD24" s="98">
        <f ca="1">ROUND(FIRE1201_raw!AD26,0)</f>
        <v>27</v>
      </c>
      <c r="AE24" s="98"/>
      <c r="AF24" s="98">
        <f ca="1">ROUND(FIRE1201_raw!AF26,0)</f>
        <v>461</v>
      </c>
      <c r="AG24" s="98">
        <f ca="1">ROUND(FIRE1201_raw!AG26,0)</f>
        <v>102</v>
      </c>
      <c r="AH24" s="98">
        <f ca="1">ROUND(FIRE1201_raw!AH26,0)</f>
        <v>321</v>
      </c>
      <c r="AI24" s="98">
        <f ca="1">ROUND(FIRE1201_raw!AI26,0)</f>
        <v>11</v>
      </c>
      <c r="AJ24" s="98">
        <f ca="1">ROUND(FIRE1201_raw!AJ26,0)</f>
        <v>27</v>
      </c>
    </row>
    <row r="25" spans="1:36" ht="15" customHeight="1" x14ac:dyDescent="0.3">
      <c r="A25" s="31" t="s">
        <v>14</v>
      </c>
      <c r="B25" s="98">
        <f ca="1">ROUND(FIRE1201_raw!B27,0)</f>
        <v>19349</v>
      </c>
      <c r="C25" s="98">
        <f ca="1">ROUND(FIRE1201_raw!C27,0)</f>
        <v>1051</v>
      </c>
      <c r="D25" s="98">
        <f ca="1">ROUND(FIRE1201_raw!D27,0)</f>
        <v>6123</v>
      </c>
      <c r="E25" s="98">
        <f ca="1">ROUND(FIRE1201_raw!E27,0)</f>
        <v>585</v>
      </c>
      <c r="F25" s="98">
        <f ca="1">ROUND(FIRE1201_raw!F27,0)</f>
        <v>11590</v>
      </c>
      <c r="G25" s="98"/>
      <c r="H25" s="98">
        <f ca="1">ROUND(FIRE1201_raw!H27,0)</f>
        <v>19349</v>
      </c>
      <c r="I25" s="98">
        <f ca="1">ROUND(FIRE1201_raw!I27,0)</f>
        <v>1051</v>
      </c>
      <c r="J25" s="98">
        <f ca="1">ROUND(FIRE1201_raw!J27,0)</f>
        <v>6123</v>
      </c>
      <c r="K25" s="98">
        <f ca="1">ROUND(FIRE1201_raw!K27,0)</f>
        <v>585</v>
      </c>
      <c r="L25" s="98">
        <f ca="1">ROUND(FIRE1201_raw!L27,0)</f>
        <v>11590</v>
      </c>
      <c r="M25" s="98"/>
      <c r="N25" s="98">
        <f ca="1">ROUND(FIRE1201_raw!N27,0)</f>
        <v>19349</v>
      </c>
      <c r="O25" s="98">
        <f ca="1">ROUND(FIRE1201_raw!O27,0)</f>
        <v>1051</v>
      </c>
      <c r="P25" s="98">
        <f ca="1">ROUND(FIRE1201_raw!P27,0)</f>
        <v>6123</v>
      </c>
      <c r="Q25" s="98">
        <f ca="1">ROUND(FIRE1201_raw!Q27,0)</f>
        <v>585</v>
      </c>
      <c r="R25" s="98">
        <f ca="1">ROUND(FIRE1201_raw!R27,0)</f>
        <v>11590</v>
      </c>
      <c r="S25" s="98"/>
      <c r="T25" s="98">
        <f ca="1">ROUND(FIRE1201_raw!T27,0)</f>
        <v>19349</v>
      </c>
      <c r="U25" s="98">
        <f ca="1">ROUND(FIRE1201_raw!U27,0)</f>
        <v>1051</v>
      </c>
      <c r="V25" s="98">
        <f ca="1">ROUND(FIRE1201_raw!V27,0)</f>
        <v>6123</v>
      </c>
      <c r="W25" s="98">
        <f ca="1">ROUND(FIRE1201_raw!W27,0)</f>
        <v>585</v>
      </c>
      <c r="X25" s="98">
        <f ca="1">ROUND(FIRE1201_raw!X27,0)</f>
        <v>11590</v>
      </c>
      <c r="Y25" s="98"/>
      <c r="Z25" s="98">
        <f ca="1">ROUND(FIRE1201_raw!Z27,0)</f>
        <v>0</v>
      </c>
      <c r="AA25" s="98">
        <f ca="1">ROUND(FIRE1201_raw!AA27,0)</f>
        <v>0</v>
      </c>
      <c r="AB25" s="98">
        <f ca="1">ROUND(FIRE1201_raw!AB27,0)</f>
        <v>0</v>
      </c>
      <c r="AC25" s="98">
        <f ca="1">ROUND(FIRE1201_raw!AC27,0)</f>
        <v>0</v>
      </c>
      <c r="AD25" s="98">
        <f ca="1">ROUND(FIRE1201_raw!AD27,0)</f>
        <v>0</v>
      </c>
      <c r="AE25" s="98"/>
      <c r="AF25" s="98">
        <f ca="1">ROUND(FIRE1201_raw!AF27,0)</f>
        <v>0</v>
      </c>
      <c r="AG25" s="98">
        <f ca="1">ROUND(FIRE1201_raw!AG27,0)</f>
        <v>0</v>
      </c>
      <c r="AH25" s="98">
        <f ca="1">ROUND(FIRE1201_raw!AH27,0)</f>
        <v>0</v>
      </c>
      <c r="AI25" s="98">
        <f ca="1">ROUND(FIRE1201_raw!AI27,0)</f>
        <v>0</v>
      </c>
      <c r="AJ25" s="98">
        <f ca="1">ROUND(FIRE1201_raw!AJ27,0)</f>
        <v>0</v>
      </c>
    </row>
    <row r="26" spans="1:36" ht="15" customHeight="1" x14ac:dyDescent="0.3">
      <c r="A26" s="31" t="s">
        <v>15</v>
      </c>
      <c r="B26" s="98">
        <f ca="1">ROUND(FIRE1201_raw!B28,0)</f>
        <v>6775</v>
      </c>
      <c r="C26" s="98">
        <f ca="1">ROUND(FIRE1201_raw!C28,0)</f>
        <v>1702</v>
      </c>
      <c r="D26" s="98">
        <f ca="1">ROUND(FIRE1201_raw!D28,0)</f>
        <v>2067</v>
      </c>
      <c r="E26" s="98">
        <f ca="1">ROUND(FIRE1201_raw!E28,0)</f>
        <v>488</v>
      </c>
      <c r="F26" s="98">
        <f ca="1">ROUND(FIRE1201_raw!F28,0)</f>
        <v>2518</v>
      </c>
      <c r="G26" s="98"/>
      <c r="H26" s="98">
        <f ca="1">ROUND(FIRE1201_raw!H28,0)</f>
        <v>3441</v>
      </c>
      <c r="I26" s="98">
        <f ca="1">ROUND(FIRE1201_raw!I28,0)</f>
        <v>1660</v>
      </c>
      <c r="J26" s="98">
        <f ca="1">ROUND(FIRE1201_raw!J28,0)</f>
        <v>660</v>
      </c>
      <c r="K26" s="98">
        <f ca="1">ROUND(FIRE1201_raw!K28,0)</f>
        <v>327</v>
      </c>
      <c r="L26" s="98">
        <f ca="1">ROUND(FIRE1201_raw!L28,0)</f>
        <v>794</v>
      </c>
      <c r="M26" s="98"/>
      <c r="N26" s="98">
        <f ca="1">ROUND(FIRE1201_raw!N28,0)</f>
        <v>6775</v>
      </c>
      <c r="O26" s="98">
        <f ca="1">ROUND(FIRE1201_raw!O28,0)</f>
        <v>1702</v>
      </c>
      <c r="P26" s="98">
        <f ca="1">ROUND(FIRE1201_raw!P28,0)</f>
        <v>2067</v>
      </c>
      <c r="Q26" s="98">
        <f ca="1">ROUND(FIRE1201_raw!Q28,0)</f>
        <v>488</v>
      </c>
      <c r="R26" s="98">
        <f ca="1">ROUND(FIRE1201_raw!R28,0)</f>
        <v>2518</v>
      </c>
      <c r="S26" s="98"/>
      <c r="T26" s="98">
        <f ca="1">ROUND(FIRE1201_raw!T28,0)</f>
        <v>3441</v>
      </c>
      <c r="U26" s="98">
        <f ca="1">ROUND(FIRE1201_raw!U28,0)</f>
        <v>1660</v>
      </c>
      <c r="V26" s="98">
        <f ca="1">ROUND(FIRE1201_raw!V28,0)</f>
        <v>660</v>
      </c>
      <c r="W26" s="98">
        <f ca="1">ROUND(FIRE1201_raw!W28,0)</f>
        <v>327</v>
      </c>
      <c r="X26" s="98">
        <f ca="1">ROUND(FIRE1201_raw!X28,0)</f>
        <v>794</v>
      </c>
      <c r="Y26" s="98"/>
      <c r="Z26" s="98">
        <f ca="1">ROUND(FIRE1201_raw!Z28,0)</f>
        <v>0</v>
      </c>
      <c r="AA26" s="98">
        <f ca="1">ROUND(FIRE1201_raw!AA28,0)</f>
        <v>0</v>
      </c>
      <c r="AB26" s="98">
        <f ca="1">ROUND(FIRE1201_raw!AB28,0)</f>
        <v>0</v>
      </c>
      <c r="AC26" s="98">
        <f ca="1">ROUND(FIRE1201_raw!AC28,0)</f>
        <v>0</v>
      </c>
      <c r="AD26" s="98">
        <f ca="1">ROUND(FIRE1201_raw!AD28,0)</f>
        <v>0</v>
      </c>
      <c r="AE26" s="98"/>
      <c r="AF26" s="98">
        <f ca="1">ROUND(FIRE1201_raw!AF28,0)</f>
        <v>0</v>
      </c>
      <c r="AG26" s="98">
        <f ca="1">ROUND(FIRE1201_raw!AG28,0)</f>
        <v>0</v>
      </c>
      <c r="AH26" s="98">
        <f ca="1">ROUND(FIRE1201_raw!AH28,0)</f>
        <v>0</v>
      </c>
      <c r="AI26" s="98">
        <f ca="1">ROUND(FIRE1201_raw!AI28,0)</f>
        <v>0</v>
      </c>
      <c r="AJ26" s="98">
        <f ca="1">ROUND(FIRE1201_raw!AJ28,0)</f>
        <v>0</v>
      </c>
    </row>
    <row r="27" spans="1:36" ht="15" customHeight="1" x14ac:dyDescent="0.3">
      <c r="A27" s="31" t="s">
        <v>16</v>
      </c>
      <c r="B27" s="98">
        <f ca="1">ROUND(FIRE1201_raw!B29,0)</f>
        <v>7718</v>
      </c>
      <c r="C27" s="98">
        <f ca="1">ROUND(FIRE1201_raw!C29,0)</f>
        <v>2559</v>
      </c>
      <c r="D27" s="98">
        <f ca="1">ROUND(FIRE1201_raw!D29,0)</f>
        <v>2481</v>
      </c>
      <c r="E27" s="98">
        <f ca="1">ROUND(FIRE1201_raw!E29,0)</f>
        <v>494</v>
      </c>
      <c r="F27" s="98">
        <f ca="1">ROUND(FIRE1201_raw!F29,0)</f>
        <v>2184</v>
      </c>
      <c r="G27" s="98"/>
      <c r="H27" s="98">
        <f ca="1">ROUND(FIRE1201_raw!H29,0)</f>
        <v>5288</v>
      </c>
      <c r="I27" s="98">
        <f ca="1">ROUND(FIRE1201_raw!I29,0)</f>
        <v>2224</v>
      </c>
      <c r="J27" s="98">
        <f ca="1">ROUND(FIRE1201_raw!J29,0)</f>
        <v>1404</v>
      </c>
      <c r="K27" s="98">
        <f ca="1">ROUND(FIRE1201_raw!K29,0)</f>
        <v>410</v>
      </c>
      <c r="L27" s="98">
        <f ca="1">ROUND(FIRE1201_raw!L29,0)</f>
        <v>1250</v>
      </c>
      <c r="M27" s="98"/>
      <c r="N27" s="98">
        <f ca="1">ROUND(FIRE1201_raw!N29,0)</f>
        <v>7694</v>
      </c>
      <c r="O27" s="98">
        <f ca="1">ROUND(FIRE1201_raw!O29,0)</f>
        <v>2559</v>
      </c>
      <c r="P27" s="98">
        <f ca="1">ROUND(FIRE1201_raw!P29,0)</f>
        <v>2479</v>
      </c>
      <c r="Q27" s="98">
        <f ca="1">ROUND(FIRE1201_raw!Q29,0)</f>
        <v>493</v>
      </c>
      <c r="R27" s="98">
        <f ca="1">ROUND(FIRE1201_raw!R29,0)</f>
        <v>2163</v>
      </c>
      <c r="S27" s="98"/>
      <c r="T27" s="98">
        <f ca="1">ROUND(FIRE1201_raw!T29,0)</f>
        <v>5288</v>
      </c>
      <c r="U27" s="98">
        <f ca="1">ROUND(FIRE1201_raw!U29,0)</f>
        <v>2224</v>
      </c>
      <c r="V27" s="98">
        <f ca="1">ROUND(FIRE1201_raw!V29,0)</f>
        <v>1404</v>
      </c>
      <c r="W27" s="98">
        <f ca="1">ROUND(FIRE1201_raw!W29,0)</f>
        <v>410</v>
      </c>
      <c r="X27" s="98">
        <f ca="1">ROUND(FIRE1201_raw!X29,0)</f>
        <v>1250</v>
      </c>
      <c r="Y27" s="98"/>
      <c r="Z27" s="98">
        <f ca="1">ROUND(FIRE1201_raw!Z29,0)</f>
        <v>24</v>
      </c>
      <c r="AA27" s="98">
        <f ca="1">ROUND(FIRE1201_raw!AA29,0)</f>
        <v>0</v>
      </c>
      <c r="AB27" s="98">
        <f ca="1">ROUND(FIRE1201_raw!AB29,0)</f>
        <v>2</v>
      </c>
      <c r="AC27" s="98">
        <f ca="1">ROUND(FIRE1201_raw!AC29,0)</f>
        <v>1</v>
      </c>
      <c r="AD27" s="98">
        <f ca="1">ROUND(FIRE1201_raw!AD29,0)</f>
        <v>21</v>
      </c>
      <c r="AE27" s="98"/>
      <c r="AF27" s="98">
        <f ca="1">ROUND(FIRE1201_raw!AF29,0)</f>
        <v>0</v>
      </c>
      <c r="AG27" s="98">
        <f ca="1">ROUND(FIRE1201_raw!AG29,0)</f>
        <v>0</v>
      </c>
      <c r="AH27" s="98">
        <f ca="1">ROUND(FIRE1201_raw!AH29,0)</f>
        <v>0</v>
      </c>
      <c r="AI27" s="98">
        <f ca="1">ROUND(FIRE1201_raw!AI29,0)</f>
        <v>0</v>
      </c>
      <c r="AJ27" s="98">
        <f ca="1">ROUND(FIRE1201_raw!AJ29,0)</f>
        <v>0</v>
      </c>
    </row>
    <row r="28" spans="1:36" ht="15" customHeight="1" x14ac:dyDescent="0.3">
      <c r="A28" s="31" t="s">
        <v>17</v>
      </c>
      <c r="B28" s="98">
        <f ca="1">ROUND(FIRE1201_raw!B30,0)</f>
        <v>5668</v>
      </c>
      <c r="C28" s="98">
        <f ca="1">ROUND(FIRE1201_raw!C30,0)</f>
        <v>2500</v>
      </c>
      <c r="D28" s="98">
        <f ca="1">ROUND(FIRE1201_raw!D30,0)</f>
        <v>1002</v>
      </c>
      <c r="E28" s="98">
        <f ca="1">ROUND(FIRE1201_raw!E30,0)</f>
        <v>1005</v>
      </c>
      <c r="F28" s="98">
        <f ca="1">ROUND(FIRE1201_raw!F30,0)</f>
        <v>1161</v>
      </c>
      <c r="G28" s="98"/>
      <c r="H28" s="98">
        <f ca="1">ROUND(FIRE1201_raw!H30,0)</f>
        <v>5668</v>
      </c>
      <c r="I28" s="98">
        <f ca="1">ROUND(FIRE1201_raw!I30,0)</f>
        <v>2500</v>
      </c>
      <c r="J28" s="98">
        <f ca="1">ROUND(FIRE1201_raw!J30,0)</f>
        <v>1002</v>
      </c>
      <c r="K28" s="98">
        <f ca="1">ROUND(FIRE1201_raw!K30,0)</f>
        <v>1005</v>
      </c>
      <c r="L28" s="98">
        <f ca="1">ROUND(FIRE1201_raw!L30,0)</f>
        <v>1161</v>
      </c>
      <c r="M28" s="98"/>
      <c r="N28" s="98">
        <f ca="1">ROUND(FIRE1201_raw!N30,0)</f>
        <v>5558</v>
      </c>
      <c r="O28" s="98">
        <f ca="1">ROUND(FIRE1201_raw!O30,0)</f>
        <v>2436</v>
      </c>
      <c r="P28" s="98">
        <f ca="1">ROUND(FIRE1201_raw!P30,0)</f>
        <v>995</v>
      </c>
      <c r="Q28" s="98">
        <f ca="1">ROUND(FIRE1201_raw!Q30,0)</f>
        <v>966</v>
      </c>
      <c r="R28" s="98">
        <f ca="1">ROUND(FIRE1201_raw!R30,0)</f>
        <v>1161</v>
      </c>
      <c r="S28" s="98"/>
      <c r="T28" s="98">
        <f ca="1">ROUND(FIRE1201_raw!T30,0)</f>
        <v>5558</v>
      </c>
      <c r="U28" s="98">
        <f ca="1">ROUND(FIRE1201_raw!U30,0)</f>
        <v>2436</v>
      </c>
      <c r="V28" s="98">
        <f ca="1">ROUND(FIRE1201_raw!V30,0)</f>
        <v>995</v>
      </c>
      <c r="W28" s="98">
        <f ca="1">ROUND(FIRE1201_raw!W30,0)</f>
        <v>966</v>
      </c>
      <c r="X28" s="98">
        <f ca="1">ROUND(FIRE1201_raw!X30,0)</f>
        <v>1161</v>
      </c>
      <c r="Y28" s="98"/>
      <c r="Z28" s="98">
        <f ca="1">ROUND(FIRE1201_raw!Z30,0)</f>
        <v>110</v>
      </c>
      <c r="AA28" s="98">
        <f ca="1">ROUND(FIRE1201_raw!AA30,0)</f>
        <v>64</v>
      </c>
      <c r="AB28" s="98">
        <f ca="1">ROUND(FIRE1201_raw!AB30,0)</f>
        <v>7</v>
      </c>
      <c r="AC28" s="98">
        <f ca="1">ROUND(FIRE1201_raw!AC30,0)</f>
        <v>39</v>
      </c>
      <c r="AD28" s="98">
        <f ca="1">ROUND(FIRE1201_raw!AD30,0)</f>
        <v>0</v>
      </c>
      <c r="AE28" s="98"/>
      <c r="AF28" s="98">
        <f ca="1">ROUND(FIRE1201_raw!AF30,0)</f>
        <v>110</v>
      </c>
      <c r="AG28" s="98">
        <f ca="1">ROUND(FIRE1201_raw!AG30,0)</f>
        <v>64</v>
      </c>
      <c r="AH28" s="98">
        <f ca="1">ROUND(FIRE1201_raw!AH30,0)</f>
        <v>7</v>
      </c>
      <c r="AI28" s="98">
        <f ca="1">ROUND(FIRE1201_raw!AI30,0)</f>
        <v>39</v>
      </c>
      <c r="AJ28" s="98">
        <f ca="1">ROUND(FIRE1201_raw!AJ30,0)</f>
        <v>0</v>
      </c>
    </row>
    <row r="29" spans="1:36" ht="15" customHeight="1" x14ac:dyDescent="0.3">
      <c r="A29" s="31" t="s">
        <v>18</v>
      </c>
      <c r="B29" s="98">
        <f ca="1">ROUND(FIRE1201_raw!B31,0)</f>
        <v>77371</v>
      </c>
      <c r="C29" s="98">
        <f ca="1">ROUND(FIRE1201_raw!C31,0)</f>
        <v>20673</v>
      </c>
      <c r="D29" s="98">
        <f ca="1">ROUND(FIRE1201_raw!D31,0)</f>
        <v>15606</v>
      </c>
      <c r="E29" s="98">
        <f ca="1">ROUND(FIRE1201_raw!E31,0)</f>
        <v>7573</v>
      </c>
      <c r="F29" s="98">
        <f ca="1">ROUND(FIRE1201_raw!F31,0)</f>
        <v>33519</v>
      </c>
      <c r="G29" s="98"/>
      <c r="H29" s="98">
        <f ca="1">ROUND(FIRE1201_raw!H31,0)</f>
        <v>241</v>
      </c>
      <c r="I29" s="98">
        <f ca="1">ROUND(FIRE1201_raw!I31,0)</f>
        <v>125</v>
      </c>
      <c r="J29" s="98">
        <f ca="1">ROUND(FIRE1201_raw!J31,0)</f>
        <v>48</v>
      </c>
      <c r="K29" s="98">
        <f ca="1">ROUND(FIRE1201_raw!K31,0)</f>
        <v>24</v>
      </c>
      <c r="L29" s="98">
        <f ca="1">ROUND(FIRE1201_raw!L31,0)</f>
        <v>44</v>
      </c>
      <c r="M29" s="98"/>
      <c r="N29" s="98">
        <f ca="1">ROUND(FIRE1201_raw!N31,0)</f>
        <v>76846</v>
      </c>
      <c r="O29" s="98">
        <f ca="1">ROUND(FIRE1201_raw!O31,0)</f>
        <v>20652</v>
      </c>
      <c r="P29" s="98">
        <f ca="1">ROUND(FIRE1201_raw!P31,0)</f>
        <v>15592</v>
      </c>
      <c r="Q29" s="98">
        <f ca="1">ROUND(FIRE1201_raw!Q31,0)</f>
        <v>7549</v>
      </c>
      <c r="R29" s="98">
        <f ca="1">ROUND(FIRE1201_raw!R31,0)</f>
        <v>33053</v>
      </c>
      <c r="S29" s="98"/>
      <c r="T29" s="98">
        <f ca="1">ROUND(FIRE1201_raw!T31,0)</f>
        <v>241</v>
      </c>
      <c r="U29" s="98">
        <f ca="1">ROUND(FIRE1201_raw!U31,0)</f>
        <v>125</v>
      </c>
      <c r="V29" s="98">
        <f ca="1">ROUND(FIRE1201_raw!V31,0)</f>
        <v>48</v>
      </c>
      <c r="W29" s="98">
        <f ca="1">ROUND(FIRE1201_raw!W31,0)</f>
        <v>24</v>
      </c>
      <c r="X29" s="98">
        <f ca="1">ROUND(FIRE1201_raw!X31,0)</f>
        <v>44</v>
      </c>
      <c r="Y29" s="98"/>
      <c r="Z29" s="98">
        <f ca="1">ROUND(FIRE1201_raw!Z31,0)</f>
        <v>525</v>
      </c>
      <c r="AA29" s="98">
        <f ca="1">ROUND(FIRE1201_raw!AA31,0)</f>
        <v>21</v>
      </c>
      <c r="AB29" s="98">
        <f ca="1">ROUND(FIRE1201_raw!AB31,0)</f>
        <v>14</v>
      </c>
      <c r="AC29" s="98">
        <f ca="1">ROUND(FIRE1201_raw!AC31,0)</f>
        <v>24</v>
      </c>
      <c r="AD29" s="98">
        <f ca="1">ROUND(FIRE1201_raw!AD31,0)</f>
        <v>466</v>
      </c>
      <c r="AE29" s="98"/>
      <c r="AF29" s="98">
        <f ca="1">ROUND(FIRE1201_raw!AF31,0)</f>
        <v>0</v>
      </c>
      <c r="AG29" s="98">
        <f ca="1">ROUND(FIRE1201_raw!AG31,0)</f>
        <v>0</v>
      </c>
      <c r="AH29" s="98">
        <f ca="1">ROUND(FIRE1201_raw!AH31,0)</f>
        <v>0</v>
      </c>
      <c r="AI29" s="98">
        <f ca="1">ROUND(FIRE1201_raw!AI31,0)</f>
        <v>0</v>
      </c>
      <c r="AJ29" s="98">
        <f ca="1">ROUND(FIRE1201_raw!AJ31,0)</f>
        <v>0</v>
      </c>
    </row>
    <row r="30" spans="1:36" ht="15" customHeight="1" x14ac:dyDescent="0.3">
      <c r="A30" s="31" t="s">
        <v>19</v>
      </c>
      <c r="B30" s="98">
        <f ca="1">ROUND(FIRE1201_raw!B32,0)</f>
        <v>22298</v>
      </c>
      <c r="C30" s="98">
        <f ca="1">ROUND(FIRE1201_raw!C32,0)</f>
        <v>1346</v>
      </c>
      <c r="D30" s="98">
        <f ca="1">ROUND(FIRE1201_raw!D32,0)</f>
        <v>6963</v>
      </c>
      <c r="E30" s="98">
        <f ca="1">ROUND(FIRE1201_raw!E32,0)</f>
        <v>655</v>
      </c>
      <c r="F30" s="98">
        <f ca="1">ROUND(FIRE1201_raw!F32,0)</f>
        <v>13334</v>
      </c>
      <c r="G30" s="98"/>
      <c r="H30" s="98">
        <f ca="1">ROUND(FIRE1201_raw!H32,0)</f>
        <v>22298</v>
      </c>
      <c r="I30" s="98">
        <f ca="1">ROUND(FIRE1201_raw!I32,0)</f>
        <v>1346</v>
      </c>
      <c r="J30" s="98">
        <f ca="1">ROUND(FIRE1201_raw!J32,0)</f>
        <v>6963</v>
      </c>
      <c r="K30" s="98">
        <f ca="1">ROUND(FIRE1201_raw!K32,0)</f>
        <v>655</v>
      </c>
      <c r="L30" s="98">
        <f ca="1">ROUND(FIRE1201_raw!L32,0)</f>
        <v>13334</v>
      </c>
      <c r="M30" s="98"/>
      <c r="N30" s="98">
        <f ca="1">ROUND(FIRE1201_raw!N32,0)</f>
        <v>22298</v>
      </c>
      <c r="O30" s="98">
        <f ca="1">ROUND(FIRE1201_raw!O32,0)</f>
        <v>1346</v>
      </c>
      <c r="P30" s="98">
        <f ca="1">ROUND(FIRE1201_raw!P32,0)</f>
        <v>6963</v>
      </c>
      <c r="Q30" s="98">
        <f ca="1">ROUND(FIRE1201_raw!Q32,0)</f>
        <v>655</v>
      </c>
      <c r="R30" s="98">
        <f ca="1">ROUND(FIRE1201_raw!R32,0)</f>
        <v>13334</v>
      </c>
      <c r="S30" s="98"/>
      <c r="T30" s="98">
        <f ca="1">ROUND(FIRE1201_raw!T32,0)</f>
        <v>22298</v>
      </c>
      <c r="U30" s="98">
        <f ca="1">ROUND(FIRE1201_raw!U32,0)</f>
        <v>1346</v>
      </c>
      <c r="V30" s="98">
        <f ca="1">ROUND(FIRE1201_raw!V32,0)</f>
        <v>6963</v>
      </c>
      <c r="W30" s="98">
        <f ca="1">ROUND(FIRE1201_raw!W32,0)</f>
        <v>655</v>
      </c>
      <c r="X30" s="98">
        <f ca="1">ROUND(FIRE1201_raw!X32,0)</f>
        <v>13334</v>
      </c>
      <c r="Y30" s="98"/>
      <c r="Z30" s="98">
        <f ca="1">ROUND(FIRE1201_raw!Z32,0)</f>
        <v>0</v>
      </c>
      <c r="AA30" s="98">
        <f ca="1">ROUND(FIRE1201_raw!AA32,0)</f>
        <v>0</v>
      </c>
      <c r="AB30" s="98">
        <f ca="1">ROUND(FIRE1201_raw!AB32,0)</f>
        <v>0</v>
      </c>
      <c r="AC30" s="98">
        <f ca="1">ROUND(FIRE1201_raw!AC32,0)</f>
        <v>0</v>
      </c>
      <c r="AD30" s="98">
        <f ca="1">ROUND(FIRE1201_raw!AD32,0)</f>
        <v>0</v>
      </c>
      <c r="AE30" s="98"/>
      <c r="AF30" s="98">
        <f ca="1">ROUND(FIRE1201_raw!AF32,0)</f>
        <v>0</v>
      </c>
      <c r="AG30" s="98">
        <f ca="1">ROUND(FIRE1201_raw!AG32,0)</f>
        <v>0</v>
      </c>
      <c r="AH30" s="98">
        <f ca="1">ROUND(FIRE1201_raw!AH32,0)</f>
        <v>0</v>
      </c>
      <c r="AI30" s="98">
        <f ca="1">ROUND(FIRE1201_raw!AI32,0)</f>
        <v>0</v>
      </c>
      <c r="AJ30" s="98">
        <f ca="1">ROUND(FIRE1201_raw!AJ32,0)</f>
        <v>0</v>
      </c>
    </row>
    <row r="31" spans="1:36" ht="15" customHeight="1" x14ac:dyDescent="0.3">
      <c r="A31" s="31" t="s">
        <v>20</v>
      </c>
      <c r="B31" s="98">
        <f ca="1">ROUND(FIRE1201_raw!B33,0)</f>
        <v>8693</v>
      </c>
      <c r="C31" s="98">
        <f ca="1">ROUND(FIRE1201_raw!C33,0)</f>
        <v>2276</v>
      </c>
      <c r="D31" s="98">
        <f ca="1">ROUND(FIRE1201_raw!D33,0)</f>
        <v>1781</v>
      </c>
      <c r="E31" s="98">
        <f ca="1">ROUND(FIRE1201_raw!E33,0)</f>
        <v>783</v>
      </c>
      <c r="F31" s="98">
        <f ca="1">ROUND(FIRE1201_raw!F33,0)</f>
        <v>3853</v>
      </c>
      <c r="G31" s="98"/>
      <c r="H31" s="98">
        <f ca="1">ROUND(FIRE1201_raw!H33,0)</f>
        <v>8689</v>
      </c>
      <c r="I31" s="98">
        <f ca="1">ROUND(FIRE1201_raw!I33,0)</f>
        <v>2275</v>
      </c>
      <c r="J31" s="98">
        <f ca="1">ROUND(FIRE1201_raw!J33,0)</f>
        <v>1780</v>
      </c>
      <c r="K31" s="98">
        <f ca="1">ROUND(FIRE1201_raw!K33,0)</f>
        <v>783</v>
      </c>
      <c r="L31" s="98">
        <f ca="1">ROUND(FIRE1201_raw!L33,0)</f>
        <v>3851</v>
      </c>
      <c r="M31" s="98"/>
      <c r="N31" s="98">
        <f ca="1">ROUND(FIRE1201_raw!N33,0)</f>
        <v>8690</v>
      </c>
      <c r="O31" s="98">
        <f ca="1">ROUND(FIRE1201_raw!O33,0)</f>
        <v>2276</v>
      </c>
      <c r="P31" s="98">
        <f ca="1">ROUND(FIRE1201_raw!P33,0)</f>
        <v>1781</v>
      </c>
      <c r="Q31" s="98">
        <f ca="1">ROUND(FIRE1201_raw!Q33,0)</f>
        <v>783</v>
      </c>
      <c r="R31" s="98">
        <f ca="1">ROUND(FIRE1201_raw!R33,0)</f>
        <v>3850</v>
      </c>
      <c r="S31" s="98"/>
      <c r="T31" s="98">
        <f ca="1">ROUND(FIRE1201_raw!T33,0)</f>
        <v>8686</v>
      </c>
      <c r="U31" s="98">
        <f ca="1">ROUND(FIRE1201_raw!U33,0)</f>
        <v>2275</v>
      </c>
      <c r="V31" s="98">
        <f ca="1">ROUND(FIRE1201_raw!V33,0)</f>
        <v>1780</v>
      </c>
      <c r="W31" s="98">
        <f ca="1">ROUND(FIRE1201_raw!W33,0)</f>
        <v>783</v>
      </c>
      <c r="X31" s="98">
        <f ca="1">ROUND(FIRE1201_raw!X33,0)</f>
        <v>3848</v>
      </c>
      <c r="Y31" s="98"/>
      <c r="Z31" s="98">
        <f ca="1">ROUND(FIRE1201_raw!Z33,0)</f>
        <v>3</v>
      </c>
      <c r="AA31" s="98">
        <f ca="1">ROUND(FIRE1201_raw!AA33,0)</f>
        <v>0</v>
      </c>
      <c r="AB31" s="98">
        <f ca="1">ROUND(FIRE1201_raw!AB33,0)</f>
        <v>0</v>
      </c>
      <c r="AC31" s="98">
        <f ca="1">ROUND(FIRE1201_raw!AC33,0)</f>
        <v>0</v>
      </c>
      <c r="AD31" s="98">
        <f ca="1">ROUND(FIRE1201_raw!AD33,0)</f>
        <v>3</v>
      </c>
      <c r="AE31" s="98"/>
      <c r="AF31" s="98">
        <f ca="1">ROUND(FIRE1201_raw!AF33,0)</f>
        <v>3</v>
      </c>
      <c r="AG31" s="98">
        <f ca="1">ROUND(FIRE1201_raw!AG33,0)</f>
        <v>0</v>
      </c>
      <c r="AH31" s="98">
        <f ca="1">ROUND(FIRE1201_raw!AH33,0)</f>
        <v>0</v>
      </c>
      <c r="AI31" s="98">
        <f ca="1">ROUND(FIRE1201_raw!AI33,0)</f>
        <v>0</v>
      </c>
      <c r="AJ31" s="98">
        <f ca="1">ROUND(FIRE1201_raw!AJ33,0)</f>
        <v>3</v>
      </c>
    </row>
    <row r="32" spans="1:36" ht="15" customHeight="1" x14ac:dyDescent="0.3">
      <c r="A32" s="31" t="s">
        <v>21</v>
      </c>
      <c r="B32" s="98">
        <f ca="1">ROUND(FIRE1201_raw!B34,0)</f>
        <v>2510</v>
      </c>
      <c r="C32" s="98">
        <f ca="1">ROUND(FIRE1201_raw!C34,0)</f>
        <v>513</v>
      </c>
      <c r="D32" s="98">
        <f ca="1">ROUND(FIRE1201_raw!D34,0)</f>
        <v>1359</v>
      </c>
      <c r="E32" s="98">
        <f ca="1">ROUND(FIRE1201_raw!E34,0)</f>
        <v>98</v>
      </c>
      <c r="F32" s="98">
        <f ca="1">ROUND(FIRE1201_raw!F34,0)</f>
        <v>540</v>
      </c>
      <c r="G32" s="98"/>
      <c r="H32" s="98">
        <f ca="1">ROUND(FIRE1201_raw!H34,0)</f>
        <v>1335</v>
      </c>
      <c r="I32" s="98">
        <f ca="1">ROUND(FIRE1201_raw!I34,0)</f>
        <v>421</v>
      </c>
      <c r="J32" s="98">
        <f ca="1">ROUND(FIRE1201_raw!J34,0)</f>
        <v>681</v>
      </c>
      <c r="K32" s="98">
        <f ca="1">ROUND(FIRE1201_raw!K34,0)</f>
        <v>49</v>
      </c>
      <c r="L32" s="98">
        <f ca="1">ROUND(FIRE1201_raw!L34,0)</f>
        <v>184</v>
      </c>
      <c r="M32" s="98"/>
      <c r="N32" s="98">
        <f ca="1">ROUND(FIRE1201_raw!N34,0)</f>
        <v>2510</v>
      </c>
      <c r="O32" s="98">
        <f ca="1">ROUND(FIRE1201_raw!O34,0)</f>
        <v>513</v>
      </c>
      <c r="P32" s="98">
        <f ca="1">ROUND(FIRE1201_raw!P34,0)</f>
        <v>1359</v>
      </c>
      <c r="Q32" s="98">
        <f ca="1">ROUND(FIRE1201_raw!Q34,0)</f>
        <v>98</v>
      </c>
      <c r="R32" s="98">
        <f ca="1">ROUND(FIRE1201_raw!R34,0)</f>
        <v>540</v>
      </c>
      <c r="S32" s="98"/>
      <c r="T32" s="98">
        <f ca="1">ROUND(FIRE1201_raw!T34,0)</f>
        <v>1335</v>
      </c>
      <c r="U32" s="98">
        <f ca="1">ROUND(FIRE1201_raw!U34,0)</f>
        <v>421</v>
      </c>
      <c r="V32" s="98">
        <f ca="1">ROUND(FIRE1201_raw!V34,0)</f>
        <v>681</v>
      </c>
      <c r="W32" s="98">
        <f ca="1">ROUND(FIRE1201_raw!W34,0)</f>
        <v>49</v>
      </c>
      <c r="X32" s="98">
        <f ca="1">ROUND(FIRE1201_raw!X34,0)</f>
        <v>184</v>
      </c>
      <c r="Y32" s="98"/>
      <c r="Z32" s="98">
        <f ca="1">ROUND(FIRE1201_raw!Z34,0)</f>
        <v>0</v>
      </c>
      <c r="AA32" s="98">
        <f ca="1">ROUND(FIRE1201_raw!AA34,0)</f>
        <v>0</v>
      </c>
      <c r="AB32" s="98">
        <f ca="1">ROUND(FIRE1201_raw!AB34,0)</f>
        <v>0</v>
      </c>
      <c r="AC32" s="98">
        <f ca="1">ROUND(FIRE1201_raw!AC34,0)</f>
        <v>0</v>
      </c>
      <c r="AD32" s="98">
        <f ca="1">ROUND(FIRE1201_raw!AD34,0)</f>
        <v>0</v>
      </c>
      <c r="AE32" s="98"/>
      <c r="AF32" s="98">
        <f ca="1">ROUND(FIRE1201_raw!AF34,0)</f>
        <v>0</v>
      </c>
      <c r="AG32" s="98">
        <f ca="1">ROUND(FIRE1201_raw!AG34,0)</f>
        <v>0</v>
      </c>
      <c r="AH32" s="98">
        <f ca="1">ROUND(FIRE1201_raw!AH34,0)</f>
        <v>0</v>
      </c>
      <c r="AI32" s="98">
        <f ca="1">ROUND(FIRE1201_raw!AI34,0)</f>
        <v>0</v>
      </c>
      <c r="AJ32" s="98">
        <f ca="1">ROUND(FIRE1201_raw!AJ34,0)</f>
        <v>0</v>
      </c>
    </row>
    <row r="33" spans="1:36" ht="15" customHeight="1" x14ac:dyDescent="0.3">
      <c r="A33" s="31" t="s">
        <v>22</v>
      </c>
      <c r="B33" s="98">
        <f ca="1">ROUND(FIRE1201_raw!B35,0)</f>
        <v>6851</v>
      </c>
      <c r="C33" s="98">
        <f ca="1">ROUND(FIRE1201_raw!C35,0)</f>
        <v>1001</v>
      </c>
      <c r="D33" s="98">
        <f ca="1">ROUND(FIRE1201_raw!D35,0)</f>
        <v>2623</v>
      </c>
      <c r="E33" s="98">
        <f ca="1">ROUND(FIRE1201_raw!E35,0)</f>
        <v>186</v>
      </c>
      <c r="F33" s="98">
        <f ca="1">ROUND(FIRE1201_raw!F35,0)</f>
        <v>3041</v>
      </c>
      <c r="G33" s="98"/>
      <c r="H33" s="98">
        <f ca="1">ROUND(FIRE1201_raw!H35,0)</f>
        <v>6851</v>
      </c>
      <c r="I33" s="98">
        <f ca="1">ROUND(FIRE1201_raw!I35,0)</f>
        <v>1001</v>
      </c>
      <c r="J33" s="98">
        <f ca="1">ROUND(FIRE1201_raw!J35,0)</f>
        <v>2623</v>
      </c>
      <c r="K33" s="98">
        <f ca="1">ROUND(FIRE1201_raw!K35,0)</f>
        <v>186</v>
      </c>
      <c r="L33" s="98">
        <f ca="1">ROUND(FIRE1201_raw!L35,0)</f>
        <v>3041</v>
      </c>
      <c r="M33" s="98"/>
      <c r="N33" s="98">
        <f ca="1">ROUND(FIRE1201_raw!N35,0)</f>
        <v>6851</v>
      </c>
      <c r="O33" s="98">
        <f ca="1">ROUND(FIRE1201_raw!O35,0)</f>
        <v>1001</v>
      </c>
      <c r="P33" s="98">
        <f ca="1">ROUND(FIRE1201_raw!P35,0)</f>
        <v>2623</v>
      </c>
      <c r="Q33" s="98">
        <f ca="1">ROUND(FIRE1201_raw!Q35,0)</f>
        <v>186</v>
      </c>
      <c r="R33" s="98">
        <f ca="1">ROUND(FIRE1201_raw!R35,0)</f>
        <v>3041</v>
      </c>
      <c r="S33" s="98"/>
      <c r="T33" s="98">
        <f ca="1">ROUND(FIRE1201_raw!T35,0)</f>
        <v>6851</v>
      </c>
      <c r="U33" s="98">
        <f ca="1">ROUND(FIRE1201_raw!U35,0)</f>
        <v>1001</v>
      </c>
      <c r="V33" s="98">
        <f ca="1">ROUND(FIRE1201_raw!V35,0)</f>
        <v>2623</v>
      </c>
      <c r="W33" s="98">
        <f ca="1">ROUND(FIRE1201_raw!W35,0)</f>
        <v>186</v>
      </c>
      <c r="X33" s="98">
        <f ca="1">ROUND(FIRE1201_raw!X35,0)</f>
        <v>3041</v>
      </c>
      <c r="Y33" s="98"/>
      <c r="Z33" s="98">
        <f ca="1">ROUND(FIRE1201_raw!Z35,0)</f>
        <v>0</v>
      </c>
      <c r="AA33" s="98">
        <f ca="1">ROUND(FIRE1201_raw!AA35,0)</f>
        <v>0</v>
      </c>
      <c r="AB33" s="98">
        <f ca="1">ROUND(FIRE1201_raw!AB35,0)</f>
        <v>0</v>
      </c>
      <c r="AC33" s="98">
        <f ca="1">ROUND(FIRE1201_raw!AC35,0)</f>
        <v>0</v>
      </c>
      <c r="AD33" s="98">
        <f ca="1">ROUND(FIRE1201_raw!AD35,0)</f>
        <v>0</v>
      </c>
      <c r="AE33" s="98"/>
      <c r="AF33" s="98">
        <f ca="1">ROUND(FIRE1201_raw!AF35,0)</f>
        <v>0</v>
      </c>
      <c r="AG33" s="98">
        <f ca="1">ROUND(FIRE1201_raw!AG35,0)</f>
        <v>0</v>
      </c>
      <c r="AH33" s="98">
        <f ca="1">ROUND(FIRE1201_raw!AH35,0)</f>
        <v>0</v>
      </c>
      <c r="AI33" s="98">
        <f ca="1">ROUND(FIRE1201_raw!AI35,0)</f>
        <v>0</v>
      </c>
      <c r="AJ33" s="98">
        <f ca="1">ROUND(FIRE1201_raw!AJ35,0)</f>
        <v>0</v>
      </c>
    </row>
    <row r="34" spans="1:36" ht="15" customHeight="1" x14ac:dyDescent="0.3">
      <c r="A34" s="53" t="s">
        <v>23</v>
      </c>
      <c r="B34" s="98">
        <f ca="1">ROUND(FIRE1201_raw!B36,0)</f>
        <v>5654</v>
      </c>
      <c r="C34" s="98">
        <f ca="1">ROUND(FIRE1201_raw!C36,0)</f>
        <v>357</v>
      </c>
      <c r="D34" s="98">
        <f ca="1">ROUND(FIRE1201_raw!D36,0)</f>
        <v>2026</v>
      </c>
      <c r="E34" s="98">
        <f ca="1">ROUND(FIRE1201_raw!E36,0)</f>
        <v>181</v>
      </c>
      <c r="F34" s="98">
        <f ca="1">ROUND(FIRE1201_raw!F36,0)</f>
        <v>3090</v>
      </c>
      <c r="G34" s="98"/>
      <c r="H34" s="98">
        <f ca="1">ROUND(FIRE1201_raw!H36,0)</f>
        <v>5654</v>
      </c>
      <c r="I34" s="98">
        <f ca="1">ROUND(FIRE1201_raw!I36,0)</f>
        <v>357</v>
      </c>
      <c r="J34" s="98">
        <f ca="1">ROUND(FIRE1201_raw!J36,0)</f>
        <v>2026</v>
      </c>
      <c r="K34" s="98">
        <f ca="1">ROUND(FIRE1201_raw!K36,0)</f>
        <v>181</v>
      </c>
      <c r="L34" s="98">
        <f ca="1">ROUND(FIRE1201_raw!L36,0)</f>
        <v>3090</v>
      </c>
      <c r="M34" s="98"/>
      <c r="N34" s="98">
        <f ca="1">ROUND(FIRE1201_raw!N36,0)</f>
        <v>5654</v>
      </c>
      <c r="O34" s="98">
        <f ca="1">ROUND(FIRE1201_raw!O36,0)</f>
        <v>357</v>
      </c>
      <c r="P34" s="98">
        <f ca="1">ROUND(FIRE1201_raw!P36,0)</f>
        <v>2026</v>
      </c>
      <c r="Q34" s="98">
        <f ca="1">ROUND(FIRE1201_raw!Q36,0)</f>
        <v>181</v>
      </c>
      <c r="R34" s="98">
        <f ca="1">ROUND(FIRE1201_raw!R36,0)</f>
        <v>3090</v>
      </c>
      <c r="S34" s="98"/>
      <c r="T34" s="98">
        <f ca="1">ROUND(FIRE1201_raw!T36,0)</f>
        <v>5654</v>
      </c>
      <c r="U34" s="98">
        <f ca="1">ROUND(FIRE1201_raw!U36,0)</f>
        <v>357</v>
      </c>
      <c r="V34" s="98">
        <f ca="1">ROUND(FIRE1201_raw!V36,0)</f>
        <v>2026</v>
      </c>
      <c r="W34" s="98">
        <f ca="1">ROUND(FIRE1201_raw!W36,0)</f>
        <v>181</v>
      </c>
      <c r="X34" s="98">
        <f ca="1">ROUND(FIRE1201_raw!X36,0)</f>
        <v>3090</v>
      </c>
      <c r="Y34" s="98"/>
      <c r="Z34" s="98">
        <f ca="1">ROUND(FIRE1201_raw!Z36,0)</f>
        <v>0</v>
      </c>
      <c r="AA34" s="98">
        <f ca="1">ROUND(FIRE1201_raw!AA36,0)</f>
        <v>0</v>
      </c>
      <c r="AB34" s="98">
        <f ca="1">ROUND(FIRE1201_raw!AB36,0)</f>
        <v>0</v>
      </c>
      <c r="AC34" s="98">
        <f ca="1">ROUND(FIRE1201_raw!AC36,0)</f>
        <v>0</v>
      </c>
      <c r="AD34" s="98">
        <f ca="1">ROUND(FIRE1201_raw!AD36,0)</f>
        <v>0</v>
      </c>
      <c r="AE34" s="98"/>
      <c r="AF34" s="98">
        <f ca="1">ROUND(FIRE1201_raw!AF36,0)</f>
        <v>0</v>
      </c>
      <c r="AG34" s="98">
        <f ca="1">ROUND(FIRE1201_raw!AG36,0)</f>
        <v>0</v>
      </c>
      <c r="AH34" s="98">
        <f ca="1">ROUND(FIRE1201_raw!AH36,0)</f>
        <v>0</v>
      </c>
      <c r="AI34" s="98">
        <f ca="1">ROUND(FIRE1201_raw!AI36,0)</f>
        <v>0</v>
      </c>
      <c r="AJ34" s="98">
        <f ca="1">ROUND(FIRE1201_raw!AJ36,0)</f>
        <v>0</v>
      </c>
    </row>
    <row r="35" spans="1:36" ht="15" customHeight="1" x14ac:dyDescent="0.3">
      <c r="A35" s="53" t="s">
        <v>48</v>
      </c>
      <c r="B35" s="98">
        <f ca="1">ROUND(FIRE1201_raw!B37,0)</f>
        <v>619</v>
      </c>
      <c r="C35" s="98">
        <f ca="1">ROUND(FIRE1201_raw!C37,0)</f>
        <v>0</v>
      </c>
      <c r="D35" s="98">
        <f ca="1">ROUND(FIRE1201_raw!D37,0)</f>
        <v>619</v>
      </c>
      <c r="E35" s="98">
        <f ca="1">ROUND(FIRE1201_raw!E37,0)</f>
        <v>0</v>
      </c>
      <c r="F35" s="98">
        <f ca="1">ROUND(FIRE1201_raw!F37,0)</f>
        <v>0</v>
      </c>
      <c r="G35" s="98"/>
      <c r="H35" s="98">
        <f ca="1">ROUND(FIRE1201_raw!H37,0)</f>
        <v>619</v>
      </c>
      <c r="I35" s="98">
        <f ca="1">ROUND(FIRE1201_raw!I37,0)</f>
        <v>0</v>
      </c>
      <c r="J35" s="98">
        <f ca="1">ROUND(FIRE1201_raw!J37,0)</f>
        <v>619</v>
      </c>
      <c r="K35" s="98">
        <f ca="1">ROUND(FIRE1201_raw!K37,0)</f>
        <v>0</v>
      </c>
      <c r="L35" s="98">
        <f ca="1">ROUND(FIRE1201_raw!L37,0)</f>
        <v>0</v>
      </c>
      <c r="M35" s="98"/>
      <c r="N35" s="98">
        <f ca="1">ROUND(FIRE1201_raw!N37,0)</f>
        <v>506</v>
      </c>
      <c r="O35" s="98">
        <f ca="1">ROUND(FIRE1201_raw!O37,0)</f>
        <v>0</v>
      </c>
      <c r="P35" s="98">
        <f ca="1">ROUND(FIRE1201_raw!P37,0)</f>
        <v>506</v>
      </c>
      <c r="Q35" s="98">
        <f ca="1">ROUND(FIRE1201_raw!Q37,0)</f>
        <v>0</v>
      </c>
      <c r="R35" s="98">
        <f ca="1">ROUND(FIRE1201_raw!R37,0)</f>
        <v>0</v>
      </c>
      <c r="S35" s="98"/>
      <c r="T35" s="98">
        <f ca="1">ROUND(FIRE1201_raw!T37,0)</f>
        <v>506</v>
      </c>
      <c r="U35" s="98">
        <f ca="1">ROUND(FIRE1201_raw!U37,0)</f>
        <v>0</v>
      </c>
      <c r="V35" s="98">
        <f ca="1">ROUND(FIRE1201_raw!V37,0)</f>
        <v>506</v>
      </c>
      <c r="W35" s="98">
        <f ca="1">ROUND(FIRE1201_raw!W37,0)</f>
        <v>0</v>
      </c>
      <c r="X35" s="98">
        <f ca="1">ROUND(FIRE1201_raw!X37,0)</f>
        <v>0</v>
      </c>
      <c r="Y35" s="98"/>
      <c r="Z35" s="98">
        <f ca="1">ROUND(FIRE1201_raw!Z37,0)</f>
        <v>113</v>
      </c>
      <c r="AA35" s="98">
        <f ca="1">ROUND(FIRE1201_raw!AA37,0)</f>
        <v>0</v>
      </c>
      <c r="AB35" s="98">
        <f ca="1">ROUND(FIRE1201_raw!AB37,0)</f>
        <v>113</v>
      </c>
      <c r="AC35" s="98">
        <f ca="1">ROUND(FIRE1201_raw!AC37,0)</f>
        <v>0</v>
      </c>
      <c r="AD35" s="98">
        <f ca="1">ROUND(FIRE1201_raw!AD37,0)</f>
        <v>0</v>
      </c>
      <c r="AE35" s="98"/>
      <c r="AF35" s="98">
        <f ca="1">ROUND(FIRE1201_raw!AF37,0)</f>
        <v>113</v>
      </c>
      <c r="AG35" s="98">
        <f ca="1">ROUND(FIRE1201_raw!AG37,0)</f>
        <v>0</v>
      </c>
      <c r="AH35" s="98">
        <f ca="1">ROUND(FIRE1201_raw!AH37,0)</f>
        <v>113</v>
      </c>
      <c r="AI35" s="98">
        <f ca="1">ROUND(FIRE1201_raw!AI37,0)</f>
        <v>0</v>
      </c>
      <c r="AJ35" s="98">
        <f ca="1">ROUND(FIRE1201_raw!AJ37,0)</f>
        <v>0</v>
      </c>
    </row>
    <row r="36" spans="1:36" ht="15" customHeight="1" x14ac:dyDescent="0.3">
      <c r="A36" s="31" t="s">
        <v>25</v>
      </c>
      <c r="B36" s="98">
        <f ca="1">ROUND(FIRE1201_raw!B38,0)</f>
        <v>82</v>
      </c>
      <c r="C36" s="98">
        <f ca="1">ROUND(FIRE1201_raw!C38,0)</f>
        <v>22</v>
      </c>
      <c r="D36" s="98">
        <f ca="1">ROUND(FIRE1201_raw!D38,0)</f>
        <v>55</v>
      </c>
      <c r="E36" s="98">
        <f ca="1">ROUND(FIRE1201_raw!E38,0)</f>
        <v>1</v>
      </c>
      <c r="F36" s="98">
        <f ca="1">ROUND(FIRE1201_raw!F38,0)</f>
        <v>4</v>
      </c>
      <c r="G36" s="98"/>
      <c r="H36" s="98">
        <f ca="1">ROUND(FIRE1201_raw!H38,0)</f>
        <v>0</v>
      </c>
      <c r="I36" s="98">
        <f ca="1">ROUND(FIRE1201_raw!I38,0)</f>
        <v>0</v>
      </c>
      <c r="J36" s="98">
        <f ca="1">ROUND(FIRE1201_raw!J38,0)</f>
        <v>0</v>
      </c>
      <c r="K36" s="98">
        <f ca="1">ROUND(FIRE1201_raw!K38,0)</f>
        <v>0</v>
      </c>
      <c r="L36" s="98">
        <f ca="1">ROUND(FIRE1201_raw!L38,0)</f>
        <v>0</v>
      </c>
      <c r="M36" s="98"/>
      <c r="N36" s="98">
        <f ca="1">ROUND(FIRE1201_raw!N38,0)</f>
        <v>82</v>
      </c>
      <c r="O36" s="98">
        <f ca="1">ROUND(FIRE1201_raw!O38,0)</f>
        <v>22</v>
      </c>
      <c r="P36" s="98">
        <f ca="1">ROUND(FIRE1201_raw!P38,0)</f>
        <v>55</v>
      </c>
      <c r="Q36" s="98">
        <f ca="1">ROUND(FIRE1201_raw!Q38,0)</f>
        <v>1</v>
      </c>
      <c r="R36" s="98">
        <f ca="1">ROUND(FIRE1201_raw!R38,0)</f>
        <v>4</v>
      </c>
      <c r="S36" s="98"/>
      <c r="T36" s="98">
        <f ca="1">ROUND(FIRE1201_raw!T38,0)</f>
        <v>0</v>
      </c>
      <c r="U36" s="98">
        <f ca="1">ROUND(FIRE1201_raw!U38,0)</f>
        <v>0</v>
      </c>
      <c r="V36" s="98">
        <f ca="1">ROUND(FIRE1201_raw!V38,0)</f>
        <v>0</v>
      </c>
      <c r="W36" s="98">
        <f ca="1">ROUND(FIRE1201_raw!W38,0)</f>
        <v>0</v>
      </c>
      <c r="X36" s="98">
        <f ca="1">ROUND(FIRE1201_raw!X38,0)</f>
        <v>0</v>
      </c>
      <c r="Y36" s="98"/>
      <c r="Z36" s="98">
        <f ca="1">ROUND(FIRE1201_raw!Z38,0)</f>
        <v>0</v>
      </c>
      <c r="AA36" s="98">
        <f ca="1">ROUND(FIRE1201_raw!AA38,0)</f>
        <v>0</v>
      </c>
      <c r="AB36" s="98">
        <f ca="1">ROUND(FIRE1201_raw!AB38,0)</f>
        <v>0</v>
      </c>
      <c r="AC36" s="98">
        <f ca="1">ROUND(FIRE1201_raw!AC38,0)</f>
        <v>0</v>
      </c>
      <c r="AD36" s="98">
        <f ca="1">ROUND(FIRE1201_raw!AD38,0)</f>
        <v>0</v>
      </c>
      <c r="AE36" s="98"/>
      <c r="AF36" s="98">
        <f ca="1">ROUND(FIRE1201_raw!AF38,0)</f>
        <v>0</v>
      </c>
      <c r="AG36" s="98">
        <f ca="1">ROUND(FIRE1201_raw!AG38,0)</f>
        <v>0</v>
      </c>
      <c r="AH36" s="98">
        <f ca="1">ROUND(FIRE1201_raw!AH38,0)</f>
        <v>0</v>
      </c>
      <c r="AI36" s="98">
        <f ca="1">ROUND(FIRE1201_raw!AI38,0)</f>
        <v>0</v>
      </c>
      <c r="AJ36" s="98">
        <f ca="1">ROUND(FIRE1201_raw!AJ38,0)</f>
        <v>0</v>
      </c>
    </row>
    <row r="37" spans="1:36" ht="15" customHeight="1" x14ac:dyDescent="0.3">
      <c r="A37" s="53" t="s">
        <v>26</v>
      </c>
      <c r="B37" s="98">
        <f ca="1">ROUND(FIRE1201_raw!B39,0)</f>
        <v>20303</v>
      </c>
      <c r="C37" s="98">
        <f ca="1">ROUND(FIRE1201_raw!C39,0)</f>
        <v>4287</v>
      </c>
      <c r="D37" s="98">
        <f ca="1">ROUND(FIRE1201_raw!D39,0)</f>
        <v>7263</v>
      </c>
      <c r="E37" s="98">
        <f ca="1">ROUND(FIRE1201_raw!E39,0)</f>
        <v>1342</v>
      </c>
      <c r="F37" s="98">
        <f ca="1">ROUND(FIRE1201_raw!F39,0)</f>
        <v>7411</v>
      </c>
      <c r="G37" s="98"/>
      <c r="H37" s="98">
        <f ca="1">ROUND(FIRE1201_raw!H39,0)</f>
        <v>20303</v>
      </c>
      <c r="I37" s="98">
        <f ca="1">ROUND(FIRE1201_raw!I39,0)</f>
        <v>4287</v>
      </c>
      <c r="J37" s="98">
        <f ca="1">ROUND(FIRE1201_raw!J39,0)</f>
        <v>7263</v>
      </c>
      <c r="K37" s="98">
        <f ca="1">ROUND(FIRE1201_raw!K39,0)</f>
        <v>1342</v>
      </c>
      <c r="L37" s="98">
        <f ca="1">ROUND(FIRE1201_raw!L39,0)</f>
        <v>7411</v>
      </c>
      <c r="M37" s="98"/>
      <c r="N37" s="98">
        <f ca="1">ROUND(FIRE1201_raw!N39,0)</f>
        <v>20303</v>
      </c>
      <c r="O37" s="98">
        <f ca="1">ROUND(FIRE1201_raw!O39,0)</f>
        <v>4287</v>
      </c>
      <c r="P37" s="98">
        <f ca="1">ROUND(FIRE1201_raw!P39,0)</f>
        <v>7263</v>
      </c>
      <c r="Q37" s="98">
        <f ca="1">ROUND(FIRE1201_raw!Q39,0)</f>
        <v>1342</v>
      </c>
      <c r="R37" s="98">
        <f ca="1">ROUND(FIRE1201_raw!R39,0)</f>
        <v>7411</v>
      </c>
      <c r="S37" s="98"/>
      <c r="T37" s="98">
        <f ca="1">ROUND(FIRE1201_raw!T39,0)</f>
        <v>20303</v>
      </c>
      <c r="U37" s="98">
        <f ca="1">ROUND(FIRE1201_raw!U39,0)</f>
        <v>4287</v>
      </c>
      <c r="V37" s="98">
        <f ca="1">ROUND(FIRE1201_raw!V39,0)</f>
        <v>7263</v>
      </c>
      <c r="W37" s="98">
        <f ca="1">ROUND(FIRE1201_raw!W39,0)</f>
        <v>1342</v>
      </c>
      <c r="X37" s="98">
        <f ca="1">ROUND(FIRE1201_raw!X39,0)</f>
        <v>7411</v>
      </c>
      <c r="Y37" s="98"/>
      <c r="Z37" s="98">
        <f ca="1">ROUND(FIRE1201_raw!Z39,0)</f>
        <v>0</v>
      </c>
      <c r="AA37" s="98">
        <f ca="1">ROUND(FIRE1201_raw!AA39,0)</f>
        <v>0</v>
      </c>
      <c r="AB37" s="98">
        <f ca="1">ROUND(FIRE1201_raw!AB39,0)</f>
        <v>0</v>
      </c>
      <c r="AC37" s="98">
        <f ca="1">ROUND(FIRE1201_raw!AC39,0)</f>
        <v>0</v>
      </c>
      <c r="AD37" s="98">
        <f ca="1">ROUND(FIRE1201_raw!AD39,0)</f>
        <v>0</v>
      </c>
      <c r="AE37" s="98"/>
      <c r="AF37" s="98">
        <f ca="1">ROUND(FIRE1201_raw!AF39,0)</f>
        <v>0</v>
      </c>
      <c r="AG37" s="98">
        <f ca="1">ROUND(FIRE1201_raw!AG39,0)</f>
        <v>0</v>
      </c>
      <c r="AH37" s="98">
        <f ca="1">ROUND(FIRE1201_raw!AH39,0)</f>
        <v>0</v>
      </c>
      <c r="AI37" s="98">
        <f ca="1">ROUND(FIRE1201_raw!AI39,0)</f>
        <v>0</v>
      </c>
      <c r="AJ37" s="98">
        <f ca="1">ROUND(FIRE1201_raw!AJ39,0)</f>
        <v>0</v>
      </c>
    </row>
    <row r="38" spans="1:36" ht="15" customHeight="1" x14ac:dyDescent="0.3">
      <c r="A38" s="53" t="s">
        <v>27</v>
      </c>
      <c r="B38" s="98">
        <f ca="1">ROUND(FIRE1201_raw!B40,0)</f>
        <v>19461</v>
      </c>
      <c r="C38" s="98">
        <f ca="1">ROUND(FIRE1201_raw!C40,0)</f>
        <v>9443</v>
      </c>
      <c r="D38" s="98">
        <f ca="1">ROUND(FIRE1201_raw!D40,0)</f>
        <v>2957</v>
      </c>
      <c r="E38" s="98">
        <f ca="1">ROUND(FIRE1201_raw!E40,0)</f>
        <v>2191</v>
      </c>
      <c r="F38" s="98">
        <f ca="1">ROUND(FIRE1201_raw!F40,0)</f>
        <v>4870</v>
      </c>
      <c r="G38" s="98"/>
      <c r="H38" s="98">
        <f ca="1">ROUND(FIRE1201_raw!H40,0)</f>
        <v>19461</v>
      </c>
      <c r="I38" s="98">
        <f ca="1">ROUND(FIRE1201_raw!I40,0)</f>
        <v>9443</v>
      </c>
      <c r="J38" s="98">
        <f ca="1">ROUND(FIRE1201_raw!J40,0)</f>
        <v>2957</v>
      </c>
      <c r="K38" s="98">
        <f ca="1">ROUND(FIRE1201_raw!K40,0)</f>
        <v>2191</v>
      </c>
      <c r="L38" s="98">
        <f ca="1">ROUND(FIRE1201_raw!L40,0)</f>
        <v>4870</v>
      </c>
      <c r="M38" s="98"/>
      <c r="N38" s="98">
        <f ca="1">ROUND(FIRE1201_raw!N40,0)</f>
        <v>19461</v>
      </c>
      <c r="O38" s="98">
        <f ca="1">ROUND(FIRE1201_raw!O40,0)</f>
        <v>9443</v>
      </c>
      <c r="P38" s="98">
        <f ca="1">ROUND(FIRE1201_raw!P40,0)</f>
        <v>2957</v>
      </c>
      <c r="Q38" s="98">
        <f ca="1">ROUND(FIRE1201_raw!Q40,0)</f>
        <v>2191</v>
      </c>
      <c r="R38" s="98">
        <f ca="1">ROUND(FIRE1201_raw!R40,0)</f>
        <v>4870</v>
      </c>
      <c r="S38" s="98"/>
      <c r="T38" s="98">
        <f ca="1">ROUND(FIRE1201_raw!T40,0)</f>
        <v>19461</v>
      </c>
      <c r="U38" s="98">
        <f ca="1">ROUND(FIRE1201_raw!U40,0)</f>
        <v>9443</v>
      </c>
      <c r="V38" s="98">
        <f ca="1">ROUND(FIRE1201_raw!V40,0)</f>
        <v>2957</v>
      </c>
      <c r="W38" s="98">
        <f ca="1">ROUND(FIRE1201_raw!W40,0)</f>
        <v>2191</v>
      </c>
      <c r="X38" s="98">
        <f ca="1">ROUND(FIRE1201_raw!X40,0)</f>
        <v>4870</v>
      </c>
      <c r="Y38" s="98"/>
      <c r="Z38" s="98">
        <f ca="1">ROUND(FIRE1201_raw!Z40,0)</f>
        <v>0</v>
      </c>
      <c r="AA38" s="98">
        <f ca="1">ROUND(FIRE1201_raw!AA40,0)</f>
        <v>0</v>
      </c>
      <c r="AB38" s="98">
        <f ca="1">ROUND(FIRE1201_raw!AB40,0)</f>
        <v>0</v>
      </c>
      <c r="AC38" s="98">
        <f ca="1">ROUND(FIRE1201_raw!AC40,0)</f>
        <v>0</v>
      </c>
      <c r="AD38" s="98">
        <f ca="1">ROUND(FIRE1201_raw!AD40,0)</f>
        <v>0</v>
      </c>
      <c r="AE38" s="98"/>
      <c r="AF38" s="98">
        <f ca="1">ROUND(FIRE1201_raw!AF40,0)</f>
        <v>0</v>
      </c>
      <c r="AG38" s="98">
        <f ca="1">ROUND(FIRE1201_raw!AG40,0)</f>
        <v>0</v>
      </c>
      <c r="AH38" s="98">
        <f ca="1">ROUND(FIRE1201_raw!AH40,0)</f>
        <v>0</v>
      </c>
      <c r="AI38" s="98">
        <f ca="1">ROUND(FIRE1201_raw!AI40,0)</f>
        <v>0</v>
      </c>
      <c r="AJ38" s="98">
        <f ca="1">ROUND(FIRE1201_raw!AJ40,0)</f>
        <v>0</v>
      </c>
    </row>
    <row r="39" spans="1:36" ht="15" customHeight="1" x14ac:dyDescent="0.3">
      <c r="A39" s="53" t="s">
        <v>28</v>
      </c>
      <c r="B39" s="98">
        <f ca="1">ROUND(FIRE1201_raw!B41,0)</f>
        <v>6908</v>
      </c>
      <c r="C39" s="98">
        <f ca="1">ROUND(FIRE1201_raw!C41,0)</f>
        <v>139</v>
      </c>
      <c r="D39" s="98">
        <f ca="1">ROUND(FIRE1201_raw!D41,0)</f>
        <v>282</v>
      </c>
      <c r="E39" s="98">
        <f ca="1">ROUND(FIRE1201_raw!E41,0)</f>
        <v>109</v>
      </c>
      <c r="F39" s="98">
        <f ca="1">ROUND(FIRE1201_raw!F41,0)</f>
        <v>6378</v>
      </c>
      <c r="G39" s="98"/>
      <c r="H39" s="98">
        <f ca="1">ROUND(FIRE1201_raw!H41,0)</f>
        <v>5935</v>
      </c>
      <c r="I39" s="98">
        <f ca="1">ROUND(FIRE1201_raw!I41,0)</f>
        <v>1805</v>
      </c>
      <c r="J39" s="98">
        <f ca="1">ROUND(FIRE1201_raw!J41,0)</f>
        <v>1213</v>
      </c>
      <c r="K39" s="98">
        <f ca="1">ROUND(FIRE1201_raw!K41,0)</f>
        <v>534</v>
      </c>
      <c r="L39" s="98">
        <f ca="1">ROUND(FIRE1201_raw!L41,0)</f>
        <v>2383</v>
      </c>
      <c r="M39" s="98"/>
      <c r="N39" s="98">
        <f ca="1">ROUND(FIRE1201_raw!N41,0)</f>
        <v>6542</v>
      </c>
      <c r="O39" s="98">
        <f ca="1">ROUND(FIRE1201_raw!O41,0)</f>
        <v>121</v>
      </c>
      <c r="P39" s="98">
        <f ca="1">ROUND(FIRE1201_raw!P41,0)</f>
        <v>241</v>
      </c>
      <c r="Q39" s="98">
        <f ca="1">ROUND(FIRE1201_raw!Q41,0)</f>
        <v>44</v>
      </c>
      <c r="R39" s="98">
        <f ca="1">ROUND(FIRE1201_raw!R41,0)</f>
        <v>6136</v>
      </c>
      <c r="S39" s="98"/>
      <c r="T39" s="98">
        <f ca="1">ROUND(FIRE1201_raw!T41,0)</f>
        <v>5935</v>
      </c>
      <c r="U39" s="98">
        <f ca="1">ROUND(FIRE1201_raw!U41,0)</f>
        <v>1805</v>
      </c>
      <c r="V39" s="98">
        <f ca="1">ROUND(FIRE1201_raw!V41,0)</f>
        <v>1213</v>
      </c>
      <c r="W39" s="98">
        <f ca="1">ROUND(FIRE1201_raw!W41,0)</f>
        <v>534</v>
      </c>
      <c r="X39" s="98">
        <f ca="1">ROUND(FIRE1201_raw!X41,0)</f>
        <v>2383</v>
      </c>
      <c r="Y39" s="98"/>
      <c r="Z39" s="98">
        <f ca="1">ROUND(FIRE1201_raw!Z41,0)</f>
        <v>366</v>
      </c>
      <c r="AA39" s="98">
        <f ca="1">ROUND(FIRE1201_raw!AA41,0)</f>
        <v>18</v>
      </c>
      <c r="AB39" s="98">
        <f ca="1">ROUND(FIRE1201_raw!AB41,0)</f>
        <v>41</v>
      </c>
      <c r="AC39" s="98">
        <f ca="1">ROUND(FIRE1201_raw!AC41,0)</f>
        <v>65</v>
      </c>
      <c r="AD39" s="98">
        <f ca="1">ROUND(FIRE1201_raw!AD41,0)</f>
        <v>242</v>
      </c>
      <c r="AE39" s="98"/>
      <c r="AF39" s="98">
        <f ca="1">ROUND(FIRE1201_raw!AF41,0)</f>
        <v>0</v>
      </c>
      <c r="AG39" s="98">
        <f ca="1">ROUND(FIRE1201_raw!AG41,0)</f>
        <v>0</v>
      </c>
      <c r="AH39" s="98">
        <f ca="1">ROUND(FIRE1201_raw!AH41,0)</f>
        <v>0</v>
      </c>
      <c r="AI39" s="98">
        <f ca="1">ROUND(FIRE1201_raw!AI41,0)</f>
        <v>0</v>
      </c>
      <c r="AJ39" s="98">
        <f ca="1">ROUND(FIRE1201_raw!AJ41,0)</f>
        <v>0</v>
      </c>
    </row>
    <row r="40" spans="1:36" ht="15" customHeight="1" x14ac:dyDescent="0.3">
      <c r="A40" s="53" t="s">
        <v>29</v>
      </c>
      <c r="B40" s="98">
        <f ca="1">ROUND(FIRE1201_raw!B42,0)</f>
        <v>3592</v>
      </c>
      <c r="C40" s="98">
        <f ca="1">ROUND(FIRE1201_raw!C42,0)</f>
        <v>1521</v>
      </c>
      <c r="D40" s="98">
        <f ca="1">ROUND(FIRE1201_raw!D42,0)</f>
        <v>495</v>
      </c>
      <c r="E40" s="98">
        <f ca="1">ROUND(FIRE1201_raw!E42,0)</f>
        <v>631</v>
      </c>
      <c r="F40" s="98">
        <f ca="1">ROUND(FIRE1201_raw!F42,0)</f>
        <v>945</v>
      </c>
      <c r="G40" s="98"/>
      <c r="H40" s="98">
        <f ca="1">ROUND(FIRE1201_raw!H42,0)</f>
        <v>2152</v>
      </c>
      <c r="I40" s="98">
        <f ca="1">ROUND(FIRE1201_raw!I42,0)</f>
        <v>1076</v>
      </c>
      <c r="J40" s="98">
        <f ca="1">ROUND(FIRE1201_raw!J42,0)</f>
        <v>188</v>
      </c>
      <c r="K40" s="98">
        <f ca="1">ROUND(FIRE1201_raw!K42,0)</f>
        <v>438</v>
      </c>
      <c r="L40" s="98">
        <f ca="1">ROUND(FIRE1201_raw!L42,0)</f>
        <v>450</v>
      </c>
      <c r="M40" s="98"/>
      <c r="N40" s="98">
        <f ca="1">ROUND(FIRE1201_raw!N42,0)</f>
        <v>3592</v>
      </c>
      <c r="O40" s="98">
        <f ca="1">ROUND(FIRE1201_raw!O42,0)</f>
        <v>1521</v>
      </c>
      <c r="P40" s="98">
        <f ca="1">ROUND(FIRE1201_raw!P42,0)</f>
        <v>495</v>
      </c>
      <c r="Q40" s="98">
        <f ca="1">ROUND(FIRE1201_raw!Q42,0)</f>
        <v>631</v>
      </c>
      <c r="R40" s="98">
        <f ca="1">ROUND(FIRE1201_raw!R42,0)</f>
        <v>945</v>
      </c>
      <c r="S40" s="98"/>
      <c r="T40" s="98">
        <f ca="1">ROUND(FIRE1201_raw!T42,0)</f>
        <v>2152</v>
      </c>
      <c r="U40" s="98">
        <f ca="1">ROUND(FIRE1201_raw!U42,0)</f>
        <v>1076</v>
      </c>
      <c r="V40" s="98">
        <f ca="1">ROUND(FIRE1201_raw!V42,0)</f>
        <v>188</v>
      </c>
      <c r="W40" s="98">
        <f ca="1">ROUND(FIRE1201_raw!W42,0)</f>
        <v>438</v>
      </c>
      <c r="X40" s="98">
        <f ca="1">ROUND(FIRE1201_raw!X42,0)</f>
        <v>450</v>
      </c>
      <c r="Y40" s="98"/>
      <c r="Z40" s="98">
        <f ca="1">ROUND(FIRE1201_raw!Z42,0)</f>
        <v>0</v>
      </c>
      <c r="AA40" s="98">
        <f ca="1">ROUND(FIRE1201_raw!AA42,0)</f>
        <v>0</v>
      </c>
      <c r="AB40" s="98">
        <f ca="1">ROUND(FIRE1201_raw!AB42,0)</f>
        <v>0</v>
      </c>
      <c r="AC40" s="98">
        <f ca="1">ROUND(FIRE1201_raw!AC42,0)</f>
        <v>0</v>
      </c>
      <c r="AD40" s="98">
        <f ca="1">ROUND(FIRE1201_raw!AD42,0)</f>
        <v>0</v>
      </c>
      <c r="AE40" s="98"/>
      <c r="AF40" s="98">
        <f ca="1">ROUND(FIRE1201_raw!AF42,0)</f>
        <v>0</v>
      </c>
      <c r="AG40" s="98">
        <f ca="1">ROUND(FIRE1201_raw!AG42,0)</f>
        <v>0</v>
      </c>
      <c r="AH40" s="98">
        <f ca="1">ROUND(FIRE1201_raw!AH42,0)</f>
        <v>0</v>
      </c>
      <c r="AI40" s="98">
        <f ca="1">ROUND(FIRE1201_raw!AI42,0)</f>
        <v>0</v>
      </c>
      <c r="AJ40" s="98">
        <f ca="1">ROUND(FIRE1201_raw!AJ42,0)</f>
        <v>0</v>
      </c>
    </row>
    <row r="41" spans="1:36" ht="15" customHeight="1" x14ac:dyDescent="0.3">
      <c r="A41" s="53" t="s">
        <v>30</v>
      </c>
      <c r="B41" s="98">
        <f ca="1">ROUND(FIRE1201_raw!B43,0)</f>
        <v>55590</v>
      </c>
      <c r="C41" s="98">
        <f ca="1">ROUND(FIRE1201_raw!C43,0)</f>
        <v>7302</v>
      </c>
      <c r="D41" s="98">
        <f ca="1">ROUND(FIRE1201_raw!D43,0)</f>
        <v>26070</v>
      </c>
      <c r="E41" s="98">
        <f ca="1">ROUND(FIRE1201_raw!E43,0)</f>
        <v>2318</v>
      </c>
      <c r="F41" s="98">
        <f ca="1">ROUND(FIRE1201_raw!F43,0)</f>
        <v>19900</v>
      </c>
      <c r="G41" s="98"/>
      <c r="H41" s="98">
        <f ca="1">ROUND(FIRE1201_raw!H43,0)</f>
        <v>10177</v>
      </c>
      <c r="I41" s="98">
        <f ca="1">ROUND(FIRE1201_raw!I43,0)</f>
        <v>4830</v>
      </c>
      <c r="J41" s="98">
        <f ca="1">ROUND(FIRE1201_raw!J43,0)</f>
        <v>1423</v>
      </c>
      <c r="K41" s="98">
        <f ca="1">ROUND(FIRE1201_raw!K43,0)</f>
        <v>1659</v>
      </c>
      <c r="L41" s="98">
        <f ca="1">ROUND(FIRE1201_raw!L43,0)</f>
        <v>2265</v>
      </c>
      <c r="M41" s="98"/>
      <c r="N41" s="98">
        <f ca="1">ROUND(FIRE1201_raw!N43,0)</f>
        <v>55590</v>
      </c>
      <c r="O41" s="98">
        <f ca="1">ROUND(FIRE1201_raw!O43,0)</f>
        <v>7302</v>
      </c>
      <c r="P41" s="98">
        <f ca="1">ROUND(FIRE1201_raw!P43,0)</f>
        <v>26070</v>
      </c>
      <c r="Q41" s="98">
        <f ca="1">ROUND(FIRE1201_raw!Q43,0)</f>
        <v>2318</v>
      </c>
      <c r="R41" s="98">
        <f ca="1">ROUND(FIRE1201_raw!R43,0)</f>
        <v>19900</v>
      </c>
      <c r="S41" s="98"/>
      <c r="T41" s="98">
        <f ca="1">ROUND(FIRE1201_raw!T43,0)</f>
        <v>10177</v>
      </c>
      <c r="U41" s="98">
        <f ca="1">ROUND(FIRE1201_raw!U43,0)</f>
        <v>4830</v>
      </c>
      <c r="V41" s="98">
        <f ca="1">ROUND(FIRE1201_raw!V43,0)</f>
        <v>1423</v>
      </c>
      <c r="W41" s="98">
        <f ca="1">ROUND(FIRE1201_raw!W43,0)</f>
        <v>1659</v>
      </c>
      <c r="X41" s="98">
        <f ca="1">ROUND(FIRE1201_raw!X43,0)</f>
        <v>2265</v>
      </c>
      <c r="Y41" s="98"/>
      <c r="Z41" s="98">
        <f ca="1">ROUND(FIRE1201_raw!Z43,0)</f>
        <v>0</v>
      </c>
      <c r="AA41" s="98">
        <f ca="1">ROUND(FIRE1201_raw!AA43,0)</f>
        <v>0</v>
      </c>
      <c r="AB41" s="98">
        <f ca="1">ROUND(FIRE1201_raw!AB43,0)</f>
        <v>0</v>
      </c>
      <c r="AC41" s="98">
        <f ca="1">ROUND(FIRE1201_raw!AC43,0)</f>
        <v>0</v>
      </c>
      <c r="AD41" s="98">
        <f ca="1">ROUND(FIRE1201_raw!AD43,0)</f>
        <v>0</v>
      </c>
      <c r="AE41" s="98"/>
      <c r="AF41" s="98">
        <f ca="1">ROUND(FIRE1201_raw!AF43,0)</f>
        <v>0</v>
      </c>
      <c r="AG41" s="98">
        <f ca="1">ROUND(FIRE1201_raw!AG43,0)</f>
        <v>0</v>
      </c>
      <c r="AH41" s="98">
        <f ca="1">ROUND(FIRE1201_raw!AH43,0)</f>
        <v>0</v>
      </c>
      <c r="AI41" s="98">
        <f ca="1">ROUND(FIRE1201_raw!AI43,0)</f>
        <v>0</v>
      </c>
      <c r="AJ41" s="98">
        <f ca="1">ROUND(FIRE1201_raw!AJ43,0)</f>
        <v>0</v>
      </c>
    </row>
    <row r="42" spans="1:36" ht="15" customHeight="1" x14ac:dyDescent="0.3">
      <c r="A42" s="31" t="s">
        <v>31</v>
      </c>
      <c r="B42" s="98">
        <f ca="1">ROUND(FIRE1201_raw!B44,0)</f>
        <v>3929</v>
      </c>
      <c r="C42" s="98">
        <f ca="1">ROUND(FIRE1201_raw!C44,0)</f>
        <v>0</v>
      </c>
      <c r="D42" s="98">
        <f ca="1">ROUND(FIRE1201_raw!D44,0)</f>
        <v>0</v>
      </c>
      <c r="E42" s="98">
        <f ca="1">ROUND(FIRE1201_raw!E44,0)</f>
        <v>0</v>
      </c>
      <c r="F42" s="98">
        <f ca="1">ROUND(FIRE1201_raw!F44,0)</f>
        <v>3929</v>
      </c>
      <c r="G42" s="98"/>
      <c r="H42" s="98">
        <f ca="1">ROUND(FIRE1201_raw!H44,0)</f>
        <v>0</v>
      </c>
      <c r="I42" s="98">
        <f ca="1">ROUND(FIRE1201_raw!I44,0)</f>
        <v>0</v>
      </c>
      <c r="J42" s="98">
        <f ca="1">ROUND(FIRE1201_raw!J44,0)</f>
        <v>0</v>
      </c>
      <c r="K42" s="98">
        <f ca="1">ROUND(FIRE1201_raw!K44,0)</f>
        <v>0</v>
      </c>
      <c r="L42" s="98">
        <f ca="1">ROUND(FIRE1201_raw!L44,0)</f>
        <v>0</v>
      </c>
      <c r="M42" s="98"/>
      <c r="N42" s="98">
        <f ca="1">ROUND(FIRE1201_raw!N44,0)</f>
        <v>3929</v>
      </c>
      <c r="O42" s="98">
        <f ca="1">ROUND(FIRE1201_raw!O44,0)</f>
        <v>0</v>
      </c>
      <c r="P42" s="98">
        <f ca="1">ROUND(FIRE1201_raw!P44,0)</f>
        <v>0</v>
      </c>
      <c r="Q42" s="98">
        <f ca="1">ROUND(FIRE1201_raw!Q44,0)</f>
        <v>0</v>
      </c>
      <c r="R42" s="98">
        <f ca="1">ROUND(FIRE1201_raw!R44,0)</f>
        <v>3929</v>
      </c>
      <c r="S42" s="98"/>
      <c r="T42" s="98">
        <f ca="1">ROUND(FIRE1201_raw!T44,0)</f>
        <v>0</v>
      </c>
      <c r="U42" s="98">
        <f ca="1">ROUND(FIRE1201_raw!U44,0)</f>
        <v>0</v>
      </c>
      <c r="V42" s="98">
        <f ca="1">ROUND(FIRE1201_raw!V44,0)</f>
        <v>0</v>
      </c>
      <c r="W42" s="98">
        <f ca="1">ROUND(FIRE1201_raw!W44,0)</f>
        <v>0</v>
      </c>
      <c r="X42" s="98">
        <f ca="1">ROUND(FIRE1201_raw!X44,0)</f>
        <v>0</v>
      </c>
      <c r="Y42" s="98"/>
      <c r="Z42" s="98">
        <f ca="1">ROUND(FIRE1201_raw!Z44,0)</f>
        <v>0</v>
      </c>
      <c r="AA42" s="98">
        <f ca="1">ROUND(FIRE1201_raw!AA44,0)</f>
        <v>0</v>
      </c>
      <c r="AB42" s="98">
        <f ca="1">ROUND(FIRE1201_raw!AB44,0)</f>
        <v>0</v>
      </c>
      <c r="AC42" s="98">
        <f ca="1">ROUND(FIRE1201_raw!AC44,0)</f>
        <v>0</v>
      </c>
      <c r="AD42" s="98">
        <f ca="1">ROUND(FIRE1201_raw!AD44,0)</f>
        <v>0</v>
      </c>
      <c r="AE42" s="98"/>
      <c r="AF42" s="98">
        <f ca="1">ROUND(FIRE1201_raw!AF44,0)</f>
        <v>0</v>
      </c>
      <c r="AG42" s="98">
        <f ca="1">ROUND(FIRE1201_raw!AG44,0)</f>
        <v>0</v>
      </c>
      <c r="AH42" s="98">
        <f ca="1">ROUND(FIRE1201_raw!AH44,0)</f>
        <v>0</v>
      </c>
      <c r="AI42" s="98">
        <f ca="1">ROUND(FIRE1201_raw!AI44,0)</f>
        <v>0</v>
      </c>
      <c r="AJ42" s="98">
        <f ca="1">ROUND(FIRE1201_raw!AJ44,0)</f>
        <v>0</v>
      </c>
    </row>
    <row r="43" spans="1:36" ht="15" customHeight="1" x14ac:dyDescent="0.3">
      <c r="A43" s="31" t="s">
        <v>32</v>
      </c>
      <c r="B43" s="98">
        <f ca="1">ROUND(FIRE1201_raw!B45,0)</f>
        <v>2305</v>
      </c>
      <c r="C43" s="98">
        <f ca="1">ROUND(FIRE1201_raw!C45,0)</f>
        <v>0</v>
      </c>
      <c r="D43" s="98">
        <f ca="1">ROUND(FIRE1201_raw!D45,0)</f>
        <v>2229</v>
      </c>
      <c r="E43" s="98">
        <f ca="1">ROUND(FIRE1201_raw!E45,0)</f>
        <v>0</v>
      </c>
      <c r="F43" s="98">
        <f ca="1">ROUND(FIRE1201_raw!F45,0)</f>
        <v>76</v>
      </c>
      <c r="G43" s="98"/>
      <c r="H43" s="98">
        <f ca="1">ROUND(FIRE1201_raw!H45,0)</f>
        <v>1759</v>
      </c>
      <c r="I43" s="98">
        <f ca="1">ROUND(FIRE1201_raw!I45,0)</f>
        <v>0</v>
      </c>
      <c r="J43" s="98">
        <f ca="1">ROUND(FIRE1201_raw!J45,0)</f>
        <v>1197</v>
      </c>
      <c r="K43" s="98">
        <f ca="1">ROUND(FIRE1201_raw!K45,0)</f>
        <v>0</v>
      </c>
      <c r="L43" s="98">
        <f ca="1">ROUND(FIRE1201_raw!L45,0)</f>
        <v>562</v>
      </c>
      <c r="M43" s="98"/>
      <c r="N43" s="98">
        <f ca="1">ROUND(FIRE1201_raw!N45,0)</f>
        <v>2251</v>
      </c>
      <c r="O43" s="98">
        <f ca="1">ROUND(FIRE1201_raw!O45,0)</f>
        <v>0</v>
      </c>
      <c r="P43" s="98">
        <f ca="1">ROUND(FIRE1201_raw!P45,0)</f>
        <v>2186</v>
      </c>
      <c r="Q43" s="98">
        <f ca="1">ROUND(FIRE1201_raw!Q45,0)</f>
        <v>0</v>
      </c>
      <c r="R43" s="98">
        <f ca="1">ROUND(FIRE1201_raw!R45,0)</f>
        <v>65</v>
      </c>
      <c r="S43" s="98"/>
      <c r="T43" s="98">
        <f ca="1">ROUND(FIRE1201_raw!T45,0)</f>
        <v>1759</v>
      </c>
      <c r="U43" s="98">
        <f ca="1">ROUND(FIRE1201_raw!U45,0)</f>
        <v>0</v>
      </c>
      <c r="V43" s="98">
        <f ca="1">ROUND(FIRE1201_raw!V45,0)</f>
        <v>1197</v>
      </c>
      <c r="W43" s="98">
        <f ca="1">ROUND(FIRE1201_raw!W45,0)</f>
        <v>0</v>
      </c>
      <c r="X43" s="98">
        <f ca="1">ROUND(FIRE1201_raw!X45,0)</f>
        <v>562</v>
      </c>
      <c r="Y43" s="98"/>
      <c r="Z43" s="98">
        <f ca="1">ROUND(FIRE1201_raw!Z45,0)</f>
        <v>54</v>
      </c>
      <c r="AA43" s="98">
        <f ca="1">ROUND(FIRE1201_raw!AA45,0)</f>
        <v>0</v>
      </c>
      <c r="AB43" s="98">
        <f ca="1">ROUND(FIRE1201_raw!AB45,0)</f>
        <v>43</v>
      </c>
      <c r="AC43" s="98">
        <f ca="1">ROUND(FIRE1201_raw!AC45,0)</f>
        <v>0</v>
      </c>
      <c r="AD43" s="98">
        <f ca="1">ROUND(FIRE1201_raw!AD45,0)</f>
        <v>11</v>
      </c>
      <c r="AE43" s="98"/>
      <c r="AF43" s="98">
        <f ca="1">ROUND(FIRE1201_raw!AF45,0)</f>
        <v>0</v>
      </c>
      <c r="AG43" s="98">
        <f ca="1">ROUND(FIRE1201_raw!AG45,0)</f>
        <v>0</v>
      </c>
      <c r="AH43" s="98">
        <f ca="1">ROUND(FIRE1201_raw!AH45,0)</f>
        <v>0</v>
      </c>
      <c r="AI43" s="98">
        <f ca="1">ROUND(FIRE1201_raw!AI45,0)</f>
        <v>0</v>
      </c>
      <c r="AJ43" s="98">
        <f ca="1">ROUND(FIRE1201_raw!AJ45,0)</f>
        <v>0</v>
      </c>
    </row>
    <row r="44" spans="1:36" ht="15" customHeight="1" x14ac:dyDescent="0.3">
      <c r="A44" s="31" t="s">
        <v>33</v>
      </c>
      <c r="B44" s="98">
        <f ca="1">ROUND(FIRE1201_raw!B46,0)</f>
        <v>3582</v>
      </c>
      <c r="C44" s="98">
        <f ca="1">ROUND(FIRE1201_raw!C46,0)</f>
        <v>739</v>
      </c>
      <c r="D44" s="98">
        <f ca="1">ROUND(FIRE1201_raw!D46,0)</f>
        <v>1345</v>
      </c>
      <c r="E44" s="98">
        <f ca="1">ROUND(FIRE1201_raw!E46,0)</f>
        <v>167</v>
      </c>
      <c r="F44" s="98">
        <f ca="1">ROUND(FIRE1201_raw!F46,0)</f>
        <v>1331</v>
      </c>
      <c r="G44" s="98"/>
      <c r="H44" s="98">
        <f ca="1">ROUND(FIRE1201_raw!H46,0)</f>
        <v>1432</v>
      </c>
      <c r="I44" s="98">
        <f ca="1">ROUND(FIRE1201_raw!I46,0)</f>
        <v>619</v>
      </c>
      <c r="J44" s="98">
        <f ca="1">ROUND(FIRE1201_raw!J46,0)</f>
        <v>316</v>
      </c>
      <c r="K44" s="98">
        <f ca="1">ROUND(FIRE1201_raw!K46,0)</f>
        <v>167</v>
      </c>
      <c r="L44" s="98">
        <f ca="1">ROUND(FIRE1201_raw!L46,0)</f>
        <v>330</v>
      </c>
      <c r="M44" s="98"/>
      <c r="N44" s="98">
        <f ca="1">ROUND(FIRE1201_raw!N46,0)</f>
        <v>3582</v>
      </c>
      <c r="O44" s="98">
        <f ca="1">ROUND(FIRE1201_raw!O46,0)</f>
        <v>739</v>
      </c>
      <c r="P44" s="98">
        <f ca="1">ROUND(FIRE1201_raw!P46,0)</f>
        <v>1345</v>
      </c>
      <c r="Q44" s="98">
        <f ca="1">ROUND(FIRE1201_raw!Q46,0)</f>
        <v>167</v>
      </c>
      <c r="R44" s="98">
        <f ca="1">ROUND(FIRE1201_raw!R46,0)</f>
        <v>1331</v>
      </c>
      <c r="S44" s="98"/>
      <c r="T44" s="98">
        <f ca="1">ROUND(FIRE1201_raw!T46,0)</f>
        <v>1432</v>
      </c>
      <c r="U44" s="98">
        <f ca="1">ROUND(FIRE1201_raw!U46,0)</f>
        <v>619</v>
      </c>
      <c r="V44" s="98">
        <f ca="1">ROUND(FIRE1201_raw!V46,0)</f>
        <v>316</v>
      </c>
      <c r="W44" s="98">
        <f ca="1">ROUND(FIRE1201_raw!W46,0)</f>
        <v>167</v>
      </c>
      <c r="X44" s="98">
        <f ca="1">ROUND(FIRE1201_raw!X46,0)</f>
        <v>330</v>
      </c>
      <c r="Y44" s="98"/>
      <c r="Z44" s="98">
        <f ca="1">ROUND(FIRE1201_raw!Z46,0)</f>
        <v>0</v>
      </c>
      <c r="AA44" s="98">
        <f ca="1">ROUND(FIRE1201_raw!AA46,0)</f>
        <v>0</v>
      </c>
      <c r="AB44" s="98">
        <f ca="1">ROUND(FIRE1201_raw!AB46,0)</f>
        <v>0</v>
      </c>
      <c r="AC44" s="98">
        <f ca="1">ROUND(FIRE1201_raw!AC46,0)</f>
        <v>0</v>
      </c>
      <c r="AD44" s="98">
        <f ca="1">ROUND(FIRE1201_raw!AD46,0)</f>
        <v>0</v>
      </c>
      <c r="AE44" s="98"/>
      <c r="AF44" s="98">
        <f ca="1">ROUND(FIRE1201_raw!AF46,0)</f>
        <v>0</v>
      </c>
      <c r="AG44" s="98">
        <f ca="1">ROUND(FIRE1201_raw!AG46,0)</f>
        <v>0</v>
      </c>
      <c r="AH44" s="98">
        <f ca="1">ROUND(FIRE1201_raw!AH46,0)</f>
        <v>0</v>
      </c>
      <c r="AI44" s="98">
        <f ca="1">ROUND(FIRE1201_raw!AI46,0)</f>
        <v>0</v>
      </c>
      <c r="AJ44" s="98">
        <f ca="1">ROUND(FIRE1201_raw!AJ46,0)</f>
        <v>0</v>
      </c>
    </row>
    <row r="45" spans="1:36" ht="15" customHeight="1" x14ac:dyDescent="0.3">
      <c r="A45" s="31" t="s">
        <v>34</v>
      </c>
      <c r="B45" s="98">
        <f ca="1">ROUND(FIRE1201_raw!B47,0)</f>
        <v>7694</v>
      </c>
      <c r="C45" s="98">
        <f ca="1">ROUND(FIRE1201_raw!C47,0)</f>
        <v>891</v>
      </c>
      <c r="D45" s="98">
        <f ca="1">ROUND(FIRE1201_raw!D47,0)</f>
        <v>4221</v>
      </c>
      <c r="E45" s="98">
        <f ca="1">ROUND(FIRE1201_raw!E47,0)</f>
        <v>278</v>
      </c>
      <c r="F45" s="98">
        <f ca="1">ROUND(FIRE1201_raw!F47,0)</f>
        <v>2304</v>
      </c>
      <c r="G45" s="98"/>
      <c r="H45" s="98">
        <f ca="1">ROUND(FIRE1201_raw!H47,0)</f>
        <v>7694</v>
      </c>
      <c r="I45" s="98">
        <f ca="1">ROUND(FIRE1201_raw!I47,0)</f>
        <v>891</v>
      </c>
      <c r="J45" s="98">
        <f ca="1">ROUND(FIRE1201_raw!J47,0)</f>
        <v>4221</v>
      </c>
      <c r="K45" s="98">
        <f ca="1">ROUND(FIRE1201_raw!K47,0)</f>
        <v>278</v>
      </c>
      <c r="L45" s="98">
        <f ca="1">ROUND(FIRE1201_raw!L47,0)</f>
        <v>2304</v>
      </c>
      <c r="M45" s="98"/>
      <c r="N45" s="98">
        <f ca="1">ROUND(FIRE1201_raw!N47,0)</f>
        <v>7694</v>
      </c>
      <c r="O45" s="98">
        <f ca="1">ROUND(FIRE1201_raw!O47,0)</f>
        <v>891</v>
      </c>
      <c r="P45" s="98">
        <f ca="1">ROUND(FIRE1201_raw!P47,0)</f>
        <v>4221</v>
      </c>
      <c r="Q45" s="98">
        <f ca="1">ROUND(FIRE1201_raw!Q47,0)</f>
        <v>278</v>
      </c>
      <c r="R45" s="98">
        <f ca="1">ROUND(FIRE1201_raw!R47,0)</f>
        <v>2304</v>
      </c>
      <c r="S45" s="98"/>
      <c r="T45" s="98">
        <f ca="1">ROUND(FIRE1201_raw!T47,0)</f>
        <v>7694</v>
      </c>
      <c r="U45" s="98">
        <f ca="1">ROUND(FIRE1201_raw!U47,0)</f>
        <v>891</v>
      </c>
      <c r="V45" s="98">
        <f ca="1">ROUND(FIRE1201_raw!V47,0)</f>
        <v>4221</v>
      </c>
      <c r="W45" s="98">
        <f ca="1">ROUND(FIRE1201_raw!W47,0)</f>
        <v>278</v>
      </c>
      <c r="X45" s="98">
        <f ca="1">ROUND(FIRE1201_raw!X47,0)</f>
        <v>2304</v>
      </c>
      <c r="Y45" s="98"/>
      <c r="Z45" s="98">
        <f ca="1">ROUND(FIRE1201_raw!Z47,0)</f>
        <v>0</v>
      </c>
      <c r="AA45" s="98">
        <f ca="1">ROUND(FIRE1201_raw!AA47,0)</f>
        <v>0</v>
      </c>
      <c r="AB45" s="98">
        <f ca="1">ROUND(FIRE1201_raw!AB47,0)</f>
        <v>0</v>
      </c>
      <c r="AC45" s="98">
        <f ca="1">ROUND(FIRE1201_raw!AC47,0)</f>
        <v>0</v>
      </c>
      <c r="AD45" s="98">
        <f ca="1">ROUND(FIRE1201_raw!AD47,0)</f>
        <v>0</v>
      </c>
      <c r="AE45" s="98"/>
      <c r="AF45" s="98">
        <f ca="1">ROUND(FIRE1201_raw!AF47,0)</f>
        <v>0</v>
      </c>
      <c r="AG45" s="98">
        <f ca="1">ROUND(FIRE1201_raw!AG47,0)</f>
        <v>0</v>
      </c>
      <c r="AH45" s="98">
        <f ca="1">ROUND(FIRE1201_raw!AH47,0)</f>
        <v>0</v>
      </c>
      <c r="AI45" s="98">
        <f ca="1">ROUND(FIRE1201_raw!AI47,0)</f>
        <v>0</v>
      </c>
      <c r="AJ45" s="98">
        <f ca="1">ROUND(FIRE1201_raw!AJ47,0)</f>
        <v>0</v>
      </c>
    </row>
    <row r="46" spans="1:36" ht="15" customHeight="1" x14ac:dyDescent="0.3">
      <c r="A46" s="31" t="s">
        <v>35</v>
      </c>
      <c r="B46" s="98">
        <f ca="1">ROUND(FIRE1201_raw!B48,0)</f>
        <v>8272</v>
      </c>
      <c r="C46" s="98">
        <f ca="1">ROUND(FIRE1201_raw!C48,0)</f>
        <v>1634</v>
      </c>
      <c r="D46" s="98">
        <f ca="1">ROUND(FIRE1201_raw!D48,0)</f>
        <v>2773</v>
      </c>
      <c r="E46" s="98">
        <f ca="1">ROUND(FIRE1201_raw!E48,0)</f>
        <v>744</v>
      </c>
      <c r="F46" s="98">
        <f ca="1">ROUND(FIRE1201_raw!F48,0)</f>
        <v>3121</v>
      </c>
      <c r="G46" s="98"/>
      <c r="H46" s="98">
        <f ca="1">ROUND(FIRE1201_raw!H48,0)</f>
        <v>6002</v>
      </c>
      <c r="I46" s="98">
        <f ca="1">ROUND(FIRE1201_raw!I48,0)</f>
        <v>1259</v>
      </c>
      <c r="J46" s="98">
        <f ca="1">ROUND(FIRE1201_raw!J48,0)</f>
        <v>2111</v>
      </c>
      <c r="K46" s="98">
        <f ca="1">ROUND(FIRE1201_raw!K48,0)</f>
        <v>546</v>
      </c>
      <c r="L46" s="98">
        <f ca="1">ROUND(FIRE1201_raw!L48,0)</f>
        <v>2086</v>
      </c>
      <c r="M46" s="98"/>
      <c r="N46" s="98">
        <f ca="1">ROUND(FIRE1201_raw!N48,0)</f>
        <v>7752</v>
      </c>
      <c r="O46" s="98">
        <f ca="1">ROUND(FIRE1201_raw!O48,0)</f>
        <v>1439</v>
      </c>
      <c r="P46" s="98">
        <f ca="1">ROUND(FIRE1201_raw!P48,0)</f>
        <v>2682</v>
      </c>
      <c r="Q46" s="98">
        <f ca="1">ROUND(FIRE1201_raw!Q48,0)</f>
        <v>623</v>
      </c>
      <c r="R46" s="98">
        <f ca="1">ROUND(FIRE1201_raw!R48,0)</f>
        <v>3008</v>
      </c>
      <c r="S46" s="98"/>
      <c r="T46" s="98">
        <f ca="1">ROUND(FIRE1201_raw!T48,0)</f>
        <v>5752</v>
      </c>
      <c r="U46" s="98">
        <f ca="1">ROUND(FIRE1201_raw!U48,0)</f>
        <v>1198</v>
      </c>
      <c r="V46" s="98">
        <f ca="1">ROUND(FIRE1201_raw!V48,0)</f>
        <v>2042</v>
      </c>
      <c r="W46" s="98">
        <f ca="1">ROUND(FIRE1201_raw!W48,0)</f>
        <v>484</v>
      </c>
      <c r="X46" s="98">
        <f ca="1">ROUND(FIRE1201_raw!X48,0)</f>
        <v>2028</v>
      </c>
      <c r="Y46" s="98"/>
      <c r="Z46" s="98">
        <f ca="1">ROUND(FIRE1201_raw!Z48,0)</f>
        <v>520</v>
      </c>
      <c r="AA46" s="98">
        <f ca="1">ROUND(FIRE1201_raw!AA48,0)</f>
        <v>195</v>
      </c>
      <c r="AB46" s="98">
        <f ca="1">ROUND(FIRE1201_raw!AB48,0)</f>
        <v>91</v>
      </c>
      <c r="AC46" s="98">
        <f ca="1">ROUND(FIRE1201_raw!AC48,0)</f>
        <v>121</v>
      </c>
      <c r="AD46" s="98">
        <f ca="1">ROUND(FIRE1201_raw!AD48,0)</f>
        <v>113</v>
      </c>
      <c r="AE46" s="98"/>
      <c r="AF46" s="98">
        <f ca="1">ROUND(FIRE1201_raw!AF48,0)</f>
        <v>250</v>
      </c>
      <c r="AG46" s="98">
        <f ca="1">ROUND(FIRE1201_raw!AG48,0)</f>
        <v>61</v>
      </c>
      <c r="AH46" s="98">
        <f ca="1">ROUND(FIRE1201_raw!AH48,0)</f>
        <v>69</v>
      </c>
      <c r="AI46" s="98">
        <f ca="1">ROUND(FIRE1201_raw!AI48,0)</f>
        <v>62</v>
      </c>
      <c r="AJ46" s="98">
        <f ca="1">ROUND(FIRE1201_raw!AJ48,0)</f>
        <v>58</v>
      </c>
    </row>
    <row r="47" spans="1:36" ht="15" customHeight="1" x14ac:dyDescent="0.3">
      <c r="A47" s="31" t="s">
        <v>36</v>
      </c>
      <c r="B47" s="98">
        <f ca="1">ROUND(FIRE1201_raw!B49,0)</f>
        <v>2934</v>
      </c>
      <c r="C47" s="98">
        <f ca="1">ROUND(FIRE1201_raw!C49,0)</f>
        <v>0</v>
      </c>
      <c r="D47" s="98">
        <f ca="1">ROUND(FIRE1201_raw!D49,0)</f>
        <v>2071</v>
      </c>
      <c r="E47" s="98">
        <f ca="1">ROUND(FIRE1201_raw!E49,0)</f>
        <v>0</v>
      </c>
      <c r="F47" s="98">
        <f ca="1">ROUND(FIRE1201_raw!F49,0)</f>
        <v>863</v>
      </c>
      <c r="G47" s="98"/>
      <c r="H47" s="98">
        <f ca="1">ROUND(FIRE1201_raw!H49,0)</f>
        <v>2513</v>
      </c>
      <c r="I47" s="98">
        <f ca="1">ROUND(FIRE1201_raw!I49,0)</f>
        <v>0</v>
      </c>
      <c r="J47" s="98">
        <f ca="1">ROUND(FIRE1201_raw!J49,0)</f>
        <v>1893</v>
      </c>
      <c r="K47" s="98">
        <f ca="1">ROUND(FIRE1201_raw!K49,0)</f>
        <v>0</v>
      </c>
      <c r="L47" s="98">
        <f ca="1">ROUND(FIRE1201_raw!L49,0)</f>
        <v>620</v>
      </c>
      <c r="M47" s="98"/>
      <c r="N47" s="98">
        <f ca="1">ROUND(FIRE1201_raw!N49,0)</f>
        <v>2934</v>
      </c>
      <c r="O47" s="98">
        <f ca="1">ROUND(FIRE1201_raw!O49,0)</f>
        <v>0</v>
      </c>
      <c r="P47" s="98">
        <f ca="1">ROUND(FIRE1201_raw!P49,0)</f>
        <v>2071</v>
      </c>
      <c r="Q47" s="98">
        <f ca="1">ROUND(FIRE1201_raw!Q49,0)</f>
        <v>0</v>
      </c>
      <c r="R47" s="98">
        <f ca="1">ROUND(FIRE1201_raw!R49,0)</f>
        <v>863</v>
      </c>
      <c r="S47" s="98"/>
      <c r="T47" s="98">
        <f ca="1">ROUND(FIRE1201_raw!T49,0)</f>
        <v>2513</v>
      </c>
      <c r="U47" s="98">
        <f ca="1">ROUND(FIRE1201_raw!U49,0)</f>
        <v>0</v>
      </c>
      <c r="V47" s="98">
        <f ca="1">ROUND(FIRE1201_raw!V49,0)</f>
        <v>1893</v>
      </c>
      <c r="W47" s="98">
        <f ca="1">ROUND(FIRE1201_raw!W49,0)</f>
        <v>0</v>
      </c>
      <c r="X47" s="98">
        <f ca="1">ROUND(FIRE1201_raw!X49,0)</f>
        <v>620</v>
      </c>
      <c r="Y47" s="98"/>
      <c r="Z47" s="98">
        <f ca="1">ROUND(FIRE1201_raw!Z49,0)</f>
        <v>0</v>
      </c>
      <c r="AA47" s="98">
        <f ca="1">ROUND(FIRE1201_raw!AA49,0)</f>
        <v>0</v>
      </c>
      <c r="AB47" s="98">
        <f ca="1">ROUND(FIRE1201_raw!AB49,0)</f>
        <v>0</v>
      </c>
      <c r="AC47" s="98">
        <f ca="1">ROUND(FIRE1201_raw!AC49,0)</f>
        <v>0</v>
      </c>
      <c r="AD47" s="98">
        <f ca="1">ROUND(FIRE1201_raw!AD49,0)</f>
        <v>0</v>
      </c>
      <c r="AE47" s="98"/>
      <c r="AF47" s="98">
        <f ca="1">ROUND(FIRE1201_raw!AF49,0)</f>
        <v>0</v>
      </c>
      <c r="AG47" s="98">
        <f ca="1">ROUND(FIRE1201_raw!AG49,0)</f>
        <v>0</v>
      </c>
      <c r="AH47" s="98">
        <f ca="1">ROUND(FIRE1201_raw!AH49,0)</f>
        <v>0</v>
      </c>
      <c r="AI47" s="98">
        <f ca="1">ROUND(FIRE1201_raw!AI49,0)</f>
        <v>0</v>
      </c>
      <c r="AJ47" s="98">
        <f ca="1">ROUND(FIRE1201_raw!AJ49,0)</f>
        <v>0</v>
      </c>
    </row>
    <row r="48" spans="1:36" ht="15" customHeight="1" x14ac:dyDescent="0.3">
      <c r="A48" s="31" t="s">
        <v>37</v>
      </c>
      <c r="B48" s="98">
        <f ca="1">ROUND(FIRE1201_raw!B50,0)</f>
        <v>4583</v>
      </c>
      <c r="C48" s="98">
        <f ca="1">ROUND(FIRE1201_raw!C50,0)</f>
        <v>827</v>
      </c>
      <c r="D48" s="98">
        <f ca="1">ROUND(FIRE1201_raw!D50,0)</f>
        <v>2179</v>
      </c>
      <c r="E48" s="98">
        <f ca="1">ROUND(FIRE1201_raw!E50,0)</f>
        <v>153</v>
      </c>
      <c r="F48" s="98">
        <f ca="1">ROUND(FIRE1201_raw!F50,0)</f>
        <v>1424</v>
      </c>
      <c r="G48" s="98"/>
      <c r="H48" s="98">
        <f ca="1">ROUND(FIRE1201_raw!H50,0)</f>
        <v>3815</v>
      </c>
      <c r="I48" s="98">
        <f ca="1">ROUND(FIRE1201_raw!I50,0)</f>
        <v>827</v>
      </c>
      <c r="J48" s="98">
        <f ca="1">ROUND(FIRE1201_raw!J50,0)</f>
        <v>2179</v>
      </c>
      <c r="K48" s="98">
        <f ca="1">ROUND(FIRE1201_raw!K50,0)</f>
        <v>153</v>
      </c>
      <c r="L48" s="98">
        <f ca="1">ROUND(FIRE1201_raw!L50,0)</f>
        <v>656</v>
      </c>
      <c r="M48" s="98"/>
      <c r="N48" s="98">
        <f ca="1">ROUND(FIRE1201_raw!N50,0)</f>
        <v>3815</v>
      </c>
      <c r="O48" s="98">
        <f ca="1">ROUND(FIRE1201_raw!O50,0)</f>
        <v>827</v>
      </c>
      <c r="P48" s="98">
        <f ca="1">ROUND(FIRE1201_raw!P50,0)</f>
        <v>2179</v>
      </c>
      <c r="Q48" s="98">
        <f ca="1">ROUND(FIRE1201_raw!Q50,0)</f>
        <v>153</v>
      </c>
      <c r="R48" s="98">
        <f ca="1">ROUND(FIRE1201_raw!R50,0)</f>
        <v>656</v>
      </c>
      <c r="S48" s="98"/>
      <c r="T48" s="98">
        <f ca="1">ROUND(FIRE1201_raw!T50,0)</f>
        <v>3815</v>
      </c>
      <c r="U48" s="98">
        <f ca="1">ROUND(FIRE1201_raw!U50,0)</f>
        <v>827</v>
      </c>
      <c r="V48" s="98">
        <f ca="1">ROUND(FIRE1201_raw!V50,0)</f>
        <v>2179</v>
      </c>
      <c r="W48" s="98">
        <f ca="1">ROUND(FIRE1201_raw!W50,0)</f>
        <v>153</v>
      </c>
      <c r="X48" s="98">
        <f ca="1">ROUND(FIRE1201_raw!X50,0)</f>
        <v>656</v>
      </c>
      <c r="Y48" s="98"/>
      <c r="Z48" s="98">
        <f ca="1">ROUND(FIRE1201_raw!Z50,0)</f>
        <v>768</v>
      </c>
      <c r="AA48" s="98">
        <f ca="1">ROUND(FIRE1201_raw!AA50,0)</f>
        <v>0</v>
      </c>
      <c r="AB48" s="98">
        <f ca="1">ROUND(FIRE1201_raw!AB50,0)</f>
        <v>0</v>
      </c>
      <c r="AC48" s="98">
        <f ca="1">ROUND(FIRE1201_raw!AC50,0)</f>
        <v>0</v>
      </c>
      <c r="AD48" s="98">
        <f ca="1">ROUND(FIRE1201_raw!AD50,0)</f>
        <v>768</v>
      </c>
      <c r="AE48" s="98"/>
      <c r="AF48" s="98">
        <f ca="1">ROUND(FIRE1201_raw!AF50,0)</f>
        <v>0</v>
      </c>
      <c r="AG48" s="98">
        <f ca="1">ROUND(FIRE1201_raw!AG50,0)</f>
        <v>0</v>
      </c>
      <c r="AH48" s="98">
        <f ca="1">ROUND(FIRE1201_raw!AH50,0)</f>
        <v>0</v>
      </c>
      <c r="AI48" s="98">
        <f ca="1">ROUND(FIRE1201_raw!AI50,0)</f>
        <v>0</v>
      </c>
      <c r="AJ48" s="98">
        <f ca="1">ROUND(FIRE1201_raw!AJ50,0)</f>
        <v>0</v>
      </c>
    </row>
    <row r="49" spans="1:37" ht="15" customHeight="1" x14ac:dyDescent="0.3">
      <c r="A49" s="31" t="s">
        <v>38</v>
      </c>
      <c r="B49" s="98">
        <f ca="1">ROUND(FIRE1201_raw!B51,0)</f>
        <v>17508</v>
      </c>
      <c r="C49" s="98">
        <f ca="1">ROUND(FIRE1201_raw!C51,0)</f>
        <v>2596</v>
      </c>
      <c r="D49" s="98">
        <f ca="1">ROUND(FIRE1201_raw!D51,0)</f>
        <v>6490</v>
      </c>
      <c r="E49" s="98">
        <f ca="1">ROUND(FIRE1201_raw!E51,0)</f>
        <v>1071</v>
      </c>
      <c r="F49" s="98">
        <f ca="1">ROUND(FIRE1201_raw!F51,0)</f>
        <v>7351</v>
      </c>
      <c r="G49" s="98"/>
      <c r="H49" s="98">
        <f ca="1">ROUND(FIRE1201_raw!H51,0)</f>
        <v>1227</v>
      </c>
      <c r="I49" s="98">
        <f ca="1">ROUND(FIRE1201_raw!I51,0)</f>
        <v>402</v>
      </c>
      <c r="J49" s="98">
        <f ca="1">ROUND(FIRE1201_raw!J51,0)</f>
        <v>822</v>
      </c>
      <c r="K49" s="98">
        <f ca="1">ROUND(FIRE1201_raw!K51,0)</f>
        <v>2</v>
      </c>
      <c r="L49" s="98">
        <f ca="1">ROUND(FIRE1201_raw!L51,0)</f>
        <v>1</v>
      </c>
      <c r="M49" s="98"/>
      <c r="N49" s="98">
        <f ca="1">ROUND(FIRE1201_raw!N51,0)</f>
        <v>17480</v>
      </c>
      <c r="O49" s="98">
        <f ca="1">ROUND(FIRE1201_raw!O51,0)</f>
        <v>2596</v>
      </c>
      <c r="P49" s="98">
        <f ca="1">ROUND(FIRE1201_raw!P51,0)</f>
        <v>6485</v>
      </c>
      <c r="Q49" s="98">
        <f ca="1">ROUND(FIRE1201_raw!Q51,0)</f>
        <v>1067</v>
      </c>
      <c r="R49" s="98">
        <f ca="1">ROUND(FIRE1201_raw!R51,0)</f>
        <v>7332</v>
      </c>
      <c r="S49" s="98"/>
      <c r="T49" s="98">
        <f ca="1">ROUND(FIRE1201_raw!T51,0)</f>
        <v>1227</v>
      </c>
      <c r="U49" s="98">
        <f ca="1">ROUND(FIRE1201_raw!U51,0)</f>
        <v>402</v>
      </c>
      <c r="V49" s="98">
        <f ca="1">ROUND(FIRE1201_raw!V51,0)</f>
        <v>822</v>
      </c>
      <c r="W49" s="98">
        <f ca="1">ROUND(FIRE1201_raw!W51,0)</f>
        <v>2</v>
      </c>
      <c r="X49" s="98">
        <f ca="1">ROUND(FIRE1201_raw!X51,0)</f>
        <v>1</v>
      </c>
      <c r="Y49" s="98"/>
      <c r="Z49" s="98">
        <f ca="1">ROUND(FIRE1201_raw!Z51,0)</f>
        <v>28</v>
      </c>
      <c r="AA49" s="98">
        <f ca="1">ROUND(FIRE1201_raw!AA51,0)</f>
        <v>0</v>
      </c>
      <c r="AB49" s="98">
        <f ca="1">ROUND(FIRE1201_raw!AB51,0)</f>
        <v>5</v>
      </c>
      <c r="AC49" s="98">
        <f ca="1">ROUND(FIRE1201_raw!AC51,0)</f>
        <v>4</v>
      </c>
      <c r="AD49" s="98">
        <f ca="1">ROUND(FIRE1201_raw!AD51,0)</f>
        <v>19</v>
      </c>
      <c r="AE49" s="98"/>
      <c r="AF49" s="98">
        <f ca="1">ROUND(FIRE1201_raw!AF51,0)</f>
        <v>0</v>
      </c>
      <c r="AG49" s="98">
        <f ca="1">ROUND(FIRE1201_raw!AG51,0)</f>
        <v>0</v>
      </c>
      <c r="AH49" s="98">
        <f ca="1">ROUND(FIRE1201_raw!AH51,0)</f>
        <v>0</v>
      </c>
      <c r="AI49" s="98">
        <f ca="1">ROUND(FIRE1201_raw!AI51,0)</f>
        <v>0</v>
      </c>
      <c r="AJ49" s="98">
        <f ca="1">ROUND(FIRE1201_raw!AJ51,0)</f>
        <v>0</v>
      </c>
    </row>
    <row r="50" spans="1:37" ht="15" customHeight="1" x14ac:dyDescent="0.3">
      <c r="A50" s="31" t="s">
        <v>39</v>
      </c>
      <c r="B50" s="98">
        <f ca="1">ROUND(FIRE1201_raw!B52,0)</f>
        <v>26909</v>
      </c>
      <c r="C50" s="98">
        <f ca="1">ROUND(FIRE1201_raw!C52,0)</f>
        <v>7541</v>
      </c>
      <c r="D50" s="98">
        <f ca="1">ROUND(FIRE1201_raw!D52,0)</f>
        <v>8953</v>
      </c>
      <c r="E50" s="98">
        <f ca="1">ROUND(FIRE1201_raw!E52,0)</f>
        <v>1542</v>
      </c>
      <c r="F50" s="98">
        <f ca="1">ROUND(FIRE1201_raw!F52,0)</f>
        <v>8873</v>
      </c>
      <c r="G50" s="98"/>
      <c r="H50" s="98">
        <f ca="1">ROUND(FIRE1201_raw!H52,0)</f>
        <v>26909</v>
      </c>
      <c r="I50" s="98">
        <f ca="1">ROUND(FIRE1201_raw!I52,0)</f>
        <v>7541</v>
      </c>
      <c r="J50" s="98">
        <f ca="1">ROUND(FIRE1201_raw!J52,0)</f>
        <v>8953</v>
      </c>
      <c r="K50" s="98">
        <f ca="1">ROUND(FIRE1201_raw!K52,0)</f>
        <v>1542</v>
      </c>
      <c r="L50" s="98">
        <f ca="1">ROUND(FIRE1201_raw!L52,0)</f>
        <v>8873</v>
      </c>
      <c r="M50" s="98"/>
      <c r="N50" s="98">
        <f ca="1">ROUND(FIRE1201_raw!N52,0)</f>
        <v>26908</v>
      </c>
      <c r="O50" s="98">
        <f ca="1">ROUND(FIRE1201_raw!O52,0)</f>
        <v>7541</v>
      </c>
      <c r="P50" s="98">
        <f ca="1">ROUND(FIRE1201_raw!P52,0)</f>
        <v>8953</v>
      </c>
      <c r="Q50" s="98">
        <f ca="1">ROUND(FIRE1201_raw!Q52,0)</f>
        <v>1541</v>
      </c>
      <c r="R50" s="98">
        <f ca="1">ROUND(FIRE1201_raw!R52,0)</f>
        <v>8873</v>
      </c>
      <c r="S50" s="98"/>
      <c r="T50" s="98">
        <f ca="1">ROUND(FIRE1201_raw!T52,0)</f>
        <v>26908</v>
      </c>
      <c r="U50" s="98">
        <f ca="1">ROUND(FIRE1201_raw!U52,0)</f>
        <v>7541</v>
      </c>
      <c r="V50" s="98">
        <f ca="1">ROUND(FIRE1201_raw!V52,0)</f>
        <v>8953</v>
      </c>
      <c r="W50" s="98">
        <f ca="1">ROUND(FIRE1201_raw!W52,0)</f>
        <v>1541</v>
      </c>
      <c r="X50" s="98">
        <f ca="1">ROUND(FIRE1201_raw!X52,0)</f>
        <v>8873</v>
      </c>
      <c r="Y50" s="98"/>
      <c r="Z50" s="98">
        <f ca="1">ROUND(FIRE1201_raw!Z52,0)</f>
        <v>1</v>
      </c>
      <c r="AA50" s="98">
        <f ca="1">ROUND(FIRE1201_raw!AA52,0)</f>
        <v>0</v>
      </c>
      <c r="AB50" s="98">
        <f ca="1">ROUND(FIRE1201_raw!AB52,0)</f>
        <v>0</v>
      </c>
      <c r="AC50" s="98">
        <f ca="1">ROUND(FIRE1201_raw!AC52,0)</f>
        <v>1</v>
      </c>
      <c r="AD50" s="98">
        <f ca="1">ROUND(FIRE1201_raw!AD52,0)</f>
        <v>0</v>
      </c>
      <c r="AE50" s="98"/>
      <c r="AF50" s="98">
        <f ca="1">ROUND(FIRE1201_raw!AF52,0)</f>
        <v>1</v>
      </c>
      <c r="AG50" s="98">
        <f ca="1">ROUND(FIRE1201_raw!AG52,0)</f>
        <v>0</v>
      </c>
      <c r="AH50" s="98">
        <f ca="1">ROUND(FIRE1201_raw!AH52,0)</f>
        <v>0</v>
      </c>
      <c r="AI50" s="98">
        <f ca="1">ROUND(FIRE1201_raw!AI52,0)</f>
        <v>1</v>
      </c>
      <c r="AJ50" s="98">
        <f ca="1">ROUND(FIRE1201_raw!AJ52,0)</f>
        <v>0</v>
      </c>
    </row>
    <row r="51" spans="1:37" ht="15" customHeight="1" x14ac:dyDescent="0.3">
      <c r="A51" s="100" t="s">
        <v>40</v>
      </c>
      <c r="B51" s="98">
        <f ca="1">ROUND(FIRE1201_raw!B53,0)</f>
        <v>2970</v>
      </c>
      <c r="C51" s="98">
        <f ca="1">ROUND(FIRE1201_raw!C53,0)</f>
        <v>424</v>
      </c>
      <c r="D51" s="98">
        <f ca="1">ROUND(FIRE1201_raw!D53,0)</f>
        <v>1653</v>
      </c>
      <c r="E51" s="98">
        <f ca="1">ROUND(FIRE1201_raw!E53,0)</f>
        <v>44</v>
      </c>
      <c r="F51" s="98">
        <f ca="1">ROUND(FIRE1201_raw!F53,0)</f>
        <v>849</v>
      </c>
      <c r="G51" s="98"/>
      <c r="H51" s="98">
        <f ca="1">ROUND(FIRE1201_raw!H53,0)</f>
        <v>1190</v>
      </c>
      <c r="I51" s="98">
        <f ca="1">ROUND(FIRE1201_raw!I53,0)</f>
        <v>312</v>
      </c>
      <c r="J51" s="98">
        <f ca="1">ROUND(FIRE1201_raw!J53,0)</f>
        <v>860</v>
      </c>
      <c r="K51" s="98">
        <f ca="1">ROUND(FIRE1201_raw!K53,0)</f>
        <v>18</v>
      </c>
      <c r="L51" s="98">
        <f ca="1">ROUND(FIRE1201_raw!L53,0)</f>
        <v>0</v>
      </c>
      <c r="M51" s="98"/>
      <c r="N51" s="98">
        <f ca="1">ROUND(FIRE1201_raw!N53,0)</f>
        <v>2876</v>
      </c>
      <c r="O51" s="98">
        <f ca="1">ROUND(FIRE1201_raw!O53,0)</f>
        <v>424</v>
      </c>
      <c r="P51" s="98">
        <f ca="1">ROUND(FIRE1201_raw!P53,0)</f>
        <v>1653</v>
      </c>
      <c r="Q51" s="98">
        <f ca="1">ROUND(FIRE1201_raw!Q53,0)</f>
        <v>44</v>
      </c>
      <c r="R51" s="98">
        <f ca="1">ROUND(FIRE1201_raw!R53,0)</f>
        <v>755</v>
      </c>
      <c r="S51" s="98"/>
      <c r="T51" s="98">
        <f ca="1">ROUND(FIRE1201_raw!T53,0)</f>
        <v>1190</v>
      </c>
      <c r="U51" s="98">
        <f ca="1">ROUND(FIRE1201_raw!U53,0)</f>
        <v>312</v>
      </c>
      <c r="V51" s="98">
        <f ca="1">ROUND(FIRE1201_raw!V53,0)</f>
        <v>860</v>
      </c>
      <c r="W51" s="98">
        <f ca="1">ROUND(FIRE1201_raw!W53,0)</f>
        <v>18</v>
      </c>
      <c r="X51" s="98">
        <f ca="1">ROUND(FIRE1201_raw!X53,0)</f>
        <v>0</v>
      </c>
      <c r="Y51" s="98"/>
      <c r="Z51" s="98">
        <f ca="1">ROUND(FIRE1201_raw!Z53,0)</f>
        <v>94</v>
      </c>
      <c r="AA51" s="98">
        <f ca="1">ROUND(FIRE1201_raw!AA53,0)</f>
        <v>0</v>
      </c>
      <c r="AB51" s="98">
        <f ca="1">ROUND(FIRE1201_raw!AB53,0)</f>
        <v>0</v>
      </c>
      <c r="AC51" s="98">
        <f ca="1">ROUND(FIRE1201_raw!AC53,0)</f>
        <v>0</v>
      </c>
      <c r="AD51" s="98">
        <f ca="1">ROUND(FIRE1201_raw!AD53,0)</f>
        <v>94</v>
      </c>
      <c r="AE51" s="98"/>
      <c r="AF51" s="98">
        <f ca="1">ROUND(FIRE1201_raw!AF53,0)</f>
        <v>0</v>
      </c>
      <c r="AG51" s="98">
        <f ca="1">ROUND(FIRE1201_raw!AG53,0)</f>
        <v>0</v>
      </c>
      <c r="AH51" s="98">
        <f ca="1">ROUND(FIRE1201_raw!AH53,0)</f>
        <v>0</v>
      </c>
      <c r="AI51" s="98">
        <f ca="1">ROUND(FIRE1201_raw!AI53,0)</f>
        <v>0</v>
      </c>
      <c r="AJ51" s="98">
        <f ca="1">ROUND(FIRE1201_raw!AJ53,0)</f>
        <v>0</v>
      </c>
    </row>
    <row r="52" spans="1:37" ht="15" customHeight="1" x14ac:dyDescent="0.3">
      <c r="A52" s="31" t="s">
        <v>41</v>
      </c>
      <c r="B52" s="98">
        <f ca="1">ROUND(FIRE1201_raw!B54,0)</f>
        <v>5045</v>
      </c>
      <c r="C52" s="98">
        <f ca="1">ROUND(FIRE1201_raw!C54,0)</f>
        <v>2497</v>
      </c>
      <c r="D52" s="98">
        <f ca="1">ROUND(FIRE1201_raw!D54,0)</f>
        <v>1354</v>
      </c>
      <c r="E52" s="98">
        <f ca="1">ROUND(FIRE1201_raw!E54,0)</f>
        <v>467</v>
      </c>
      <c r="F52" s="98">
        <f ca="1">ROUND(FIRE1201_raw!F54,0)</f>
        <v>727</v>
      </c>
      <c r="G52" s="98"/>
      <c r="H52" s="98">
        <f ca="1">ROUND(FIRE1201_raw!H54,0)</f>
        <v>213</v>
      </c>
      <c r="I52" s="98">
        <f ca="1">ROUND(FIRE1201_raw!I54,0)</f>
        <v>0</v>
      </c>
      <c r="J52" s="98">
        <f ca="1">ROUND(FIRE1201_raw!J54,0)</f>
        <v>0</v>
      </c>
      <c r="K52" s="98">
        <f ca="1">ROUND(FIRE1201_raw!K54,0)</f>
        <v>0</v>
      </c>
      <c r="L52" s="98">
        <f ca="1">ROUND(FIRE1201_raw!L54,0)</f>
        <v>213</v>
      </c>
      <c r="M52" s="98"/>
      <c r="N52" s="98">
        <f ca="1">ROUND(FIRE1201_raw!N54,0)</f>
        <v>5045</v>
      </c>
      <c r="O52" s="98">
        <f ca="1">ROUND(FIRE1201_raw!O54,0)</f>
        <v>2497</v>
      </c>
      <c r="P52" s="98">
        <f ca="1">ROUND(FIRE1201_raw!P54,0)</f>
        <v>1354</v>
      </c>
      <c r="Q52" s="98">
        <f ca="1">ROUND(FIRE1201_raw!Q54,0)</f>
        <v>467</v>
      </c>
      <c r="R52" s="98">
        <f ca="1">ROUND(FIRE1201_raw!R54,0)</f>
        <v>727</v>
      </c>
      <c r="S52" s="98"/>
      <c r="T52" s="98">
        <f ca="1">ROUND(FIRE1201_raw!T54,0)</f>
        <v>213</v>
      </c>
      <c r="U52" s="98">
        <f ca="1">ROUND(FIRE1201_raw!U54,0)</f>
        <v>0</v>
      </c>
      <c r="V52" s="98">
        <f ca="1">ROUND(FIRE1201_raw!V54,0)</f>
        <v>0</v>
      </c>
      <c r="W52" s="98">
        <f ca="1">ROUND(FIRE1201_raw!W54,0)</f>
        <v>0</v>
      </c>
      <c r="X52" s="98">
        <f ca="1">ROUND(FIRE1201_raw!X54,0)</f>
        <v>213</v>
      </c>
      <c r="Y52" s="98"/>
      <c r="Z52" s="98">
        <f ca="1">ROUND(FIRE1201_raw!Z54,0)</f>
        <v>0</v>
      </c>
      <c r="AA52" s="98">
        <f ca="1">ROUND(FIRE1201_raw!AA54,0)</f>
        <v>0</v>
      </c>
      <c r="AB52" s="98">
        <f ca="1">ROUND(FIRE1201_raw!AB54,0)</f>
        <v>0</v>
      </c>
      <c r="AC52" s="98">
        <f ca="1">ROUND(FIRE1201_raw!AC54,0)</f>
        <v>0</v>
      </c>
      <c r="AD52" s="98">
        <f ca="1">ROUND(FIRE1201_raw!AD54,0)</f>
        <v>0</v>
      </c>
      <c r="AE52" s="98"/>
      <c r="AF52" s="98">
        <f ca="1">ROUND(FIRE1201_raw!AF54,0)</f>
        <v>0</v>
      </c>
      <c r="AG52" s="98">
        <f ca="1">ROUND(FIRE1201_raw!AG54,0)</f>
        <v>0</v>
      </c>
      <c r="AH52" s="98">
        <f ca="1">ROUND(FIRE1201_raw!AH54,0)</f>
        <v>0</v>
      </c>
      <c r="AI52" s="98">
        <f ca="1">ROUND(FIRE1201_raw!AI54,0)</f>
        <v>0</v>
      </c>
      <c r="AJ52" s="98">
        <f ca="1">ROUND(FIRE1201_raw!AJ54,0)</f>
        <v>0</v>
      </c>
    </row>
    <row r="53" spans="1:37" ht="15" customHeight="1" x14ac:dyDescent="0.3">
      <c r="A53" s="31" t="s">
        <v>42</v>
      </c>
      <c r="B53" s="98">
        <f ca="1">ROUND(FIRE1201_raw!B55,0)</f>
        <v>26724</v>
      </c>
      <c r="C53" s="98">
        <f ca="1">ROUND(FIRE1201_raw!C55,0)</f>
        <v>4651</v>
      </c>
      <c r="D53" s="98">
        <f ca="1">ROUND(FIRE1201_raw!D55,0)</f>
        <v>8496</v>
      </c>
      <c r="E53" s="98">
        <f ca="1">ROUND(FIRE1201_raw!E55,0)</f>
        <v>1711</v>
      </c>
      <c r="F53" s="98">
        <f ca="1">ROUND(FIRE1201_raw!F55,0)</f>
        <v>11866</v>
      </c>
      <c r="G53" s="98"/>
      <c r="H53" s="98">
        <f ca="1">ROUND(FIRE1201_raw!H55,0)</f>
        <v>19076</v>
      </c>
      <c r="I53" s="98">
        <f ca="1">ROUND(FIRE1201_raw!I55,0)</f>
        <v>5489</v>
      </c>
      <c r="J53" s="98">
        <f ca="1">ROUND(FIRE1201_raw!J55,0)</f>
        <v>6175</v>
      </c>
      <c r="K53" s="98">
        <f ca="1">ROUND(FIRE1201_raw!K55,0)</f>
        <v>2434</v>
      </c>
      <c r="L53" s="98">
        <f ca="1">ROUND(FIRE1201_raw!L55,0)</f>
        <v>4978</v>
      </c>
      <c r="M53" s="98"/>
      <c r="N53" s="98">
        <f ca="1">ROUND(FIRE1201_raw!N55,0)</f>
        <v>26586</v>
      </c>
      <c r="O53" s="98">
        <f ca="1">ROUND(FIRE1201_raw!O55,0)</f>
        <v>4648</v>
      </c>
      <c r="P53" s="98">
        <f ca="1">ROUND(FIRE1201_raw!P55,0)</f>
        <v>8479</v>
      </c>
      <c r="Q53" s="98">
        <f ca="1">ROUND(FIRE1201_raw!Q55,0)</f>
        <v>1708</v>
      </c>
      <c r="R53" s="98">
        <f ca="1">ROUND(FIRE1201_raw!R55,0)</f>
        <v>11751</v>
      </c>
      <c r="S53" s="98"/>
      <c r="T53" s="98">
        <f ca="1">ROUND(FIRE1201_raw!T55,0)</f>
        <v>12327</v>
      </c>
      <c r="U53" s="98">
        <f ca="1">ROUND(FIRE1201_raw!U55,0)</f>
        <v>3939</v>
      </c>
      <c r="V53" s="98">
        <f ca="1">ROUND(FIRE1201_raw!V55,0)</f>
        <v>4866</v>
      </c>
      <c r="W53" s="98">
        <f ca="1">ROUND(FIRE1201_raw!W55,0)</f>
        <v>1395</v>
      </c>
      <c r="X53" s="98">
        <f ca="1">ROUND(FIRE1201_raw!X55,0)</f>
        <v>2127</v>
      </c>
      <c r="Y53" s="98"/>
      <c r="Z53" s="98">
        <f ca="1">ROUND(FIRE1201_raw!Z55,0)</f>
        <v>138</v>
      </c>
      <c r="AA53" s="98">
        <f ca="1">ROUND(FIRE1201_raw!AA55,0)</f>
        <v>3</v>
      </c>
      <c r="AB53" s="98">
        <f ca="1">ROUND(FIRE1201_raw!AB55,0)</f>
        <v>17</v>
      </c>
      <c r="AC53" s="98">
        <f ca="1">ROUND(FIRE1201_raw!AC55,0)</f>
        <v>3</v>
      </c>
      <c r="AD53" s="98">
        <f ca="1">ROUND(FIRE1201_raw!AD55,0)</f>
        <v>115</v>
      </c>
      <c r="AE53" s="98"/>
      <c r="AF53" s="98">
        <f ca="1">ROUND(FIRE1201_raw!AF55,0)</f>
        <v>6749</v>
      </c>
      <c r="AG53" s="98">
        <f ca="1">ROUND(FIRE1201_raw!AG55,0)</f>
        <v>1550</v>
      </c>
      <c r="AH53" s="98">
        <f ca="1">ROUND(FIRE1201_raw!AH55,0)</f>
        <v>1309</v>
      </c>
      <c r="AI53" s="98">
        <f ca="1">ROUND(FIRE1201_raw!AI55,0)</f>
        <v>1039</v>
      </c>
      <c r="AJ53" s="98">
        <f ca="1">ROUND(FIRE1201_raw!AJ55,0)</f>
        <v>2851</v>
      </c>
    </row>
    <row r="54" spans="1:37" ht="15" customHeight="1" x14ac:dyDescent="0.3">
      <c r="A54" s="31" t="s">
        <v>43</v>
      </c>
      <c r="B54" s="98">
        <f ca="1">ROUND(FIRE1201_raw!B56,0)</f>
        <v>6208</v>
      </c>
      <c r="C54" s="98">
        <f ca="1">ROUND(FIRE1201_raw!C56,0)</f>
        <v>876</v>
      </c>
      <c r="D54" s="98">
        <f ca="1">ROUND(FIRE1201_raw!D56,0)</f>
        <v>1860</v>
      </c>
      <c r="E54" s="98">
        <f ca="1">ROUND(FIRE1201_raw!E56,0)</f>
        <v>899</v>
      </c>
      <c r="F54" s="98">
        <f ca="1">ROUND(FIRE1201_raw!F56,0)</f>
        <v>2573</v>
      </c>
      <c r="G54" s="98"/>
      <c r="H54" s="98">
        <f ca="1">ROUND(FIRE1201_raw!H56,0)</f>
        <v>6208</v>
      </c>
      <c r="I54" s="98">
        <f ca="1">ROUND(FIRE1201_raw!I56,0)</f>
        <v>876</v>
      </c>
      <c r="J54" s="98">
        <f ca="1">ROUND(FIRE1201_raw!J56,0)</f>
        <v>1860</v>
      </c>
      <c r="K54" s="98">
        <f ca="1">ROUND(FIRE1201_raw!K56,0)</f>
        <v>899</v>
      </c>
      <c r="L54" s="98">
        <f ca="1">ROUND(FIRE1201_raw!L56,0)</f>
        <v>2573</v>
      </c>
      <c r="M54" s="98"/>
      <c r="N54" s="98">
        <f ca="1">ROUND(FIRE1201_raw!N56,0)</f>
        <v>6208</v>
      </c>
      <c r="O54" s="98">
        <f ca="1">ROUND(FIRE1201_raw!O56,0)</f>
        <v>876</v>
      </c>
      <c r="P54" s="98">
        <f ca="1">ROUND(FIRE1201_raw!P56,0)</f>
        <v>1860</v>
      </c>
      <c r="Q54" s="98">
        <f ca="1">ROUND(FIRE1201_raw!Q56,0)</f>
        <v>899</v>
      </c>
      <c r="R54" s="98">
        <f ca="1">ROUND(FIRE1201_raw!R56,0)</f>
        <v>2573</v>
      </c>
      <c r="S54" s="98"/>
      <c r="T54" s="98">
        <f ca="1">ROUND(FIRE1201_raw!T56,0)</f>
        <v>6208</v>
      </c>
      <c r="U54" s="98">
        <f ca="1">ROUND(FIRE1201_raw!U56,0)</f>
        <v>876</v>
      </c>
      <c r="V54" s="98">
        <f ca="1">ROUND(FIRE1201_raw!V56,0)</f>
        <v>1860</v>
      </c>
      <c r="W54" s="98">
        <f ca="1">ROUND(FIRE1201_raw!W56,0)</f>
        <v>899</v>
      </c>
      <c r="X54" s="98">
        <f ca="1">ROUND(FIRE1201_raw!X56,0)</f>
        <v>2573</v>
      </c>
      <c r="Y54" s="98"/>
      <c r="Z54" s="98">
        <f ca="1">ROUND(FIRE1201_raw!Z56,0)</f>
        <v>0</v>
      </c>
      <c r="AA54" s="98">
        <f ca="1">ROUND(FIRE1201_raw!AA56,0)</f>
        <v>0</v>
      </c>
      <c r="AB54" s="98">
        <f ca="1">ROUND(FIRE1201_raw!AB56,0)</f>
        <v>0</v>
      </c>
      <c r="AC54" s="98">
        <f ca="1">ROUND(FIRE1201_raw!AC56,0)</f>
        <v>0</v>
      </c>
      <c r="AD54" s="98">
        <f ca="1">ROUND(FIRE1201_raw!AD56,0)</f>
        <v>0</v>
      </c>
      <c r="AE54" s="98"/>
      <c r="AF54" s="98">
        <f ca="1">ROUND(FIRE1201_raw!AF56,0)</f>
        <v>0</v>
      </c>
      <c r="AG54" s="98">
        <f ca="1">ROUND(FIRE1201_raw!AG56,0)</f>
        <v>0</v>
      </c>
      <c r="AH54" s="98">
        <f ca="1">ROUND(FIRE1201_raw!AH56,0)</f>
        <v>0</v>
      </c>
      <c r="AI54" s="98">
        <f ca="1">ROUND(FIRE1201_raw!AI56,0)</f>
        <v>0</v>
      </c>
      <c r="AJ54" s="98">
        <f ca="1">ROUND(FIRE1201_raw!AJ56,0)</f>
        <v>0</v>
      </c>
    </row>
    <row r="55" spans="1:37" ht="15" customHeight="1" x14ac:dyDescent="0.3">
      <c r="A55" s="31" t="s">
        <v>44</v>
      </c>
      <c r="B55" s="98">
        <f ca="1">ROUND(FIRE1201_raw!B57,0)</f>
        <v>35429</v>
      </c>
      <c r="C55" s="98">
        <f ca="1">ROUND(FIRE1201_raw!C57,0)</f>
        <v>12896</v>
      </c>
      <c r="D55" s="98">
        <f ca="1">ROUND(FIRE1201_raw!D57,0)</f>
        <v>2707</v>
      </c>
      <c r="E55" s="98">
        <f ca="1">ROUND(FIRE1201_raw!E57,0)</f>
        <v>4959</v>
      </c>
      <c r="F55" s="98">
        <f ca="1">ROUND(FIRE1201_raw!F57,0)</f>
        <v>14867</v>
      </c>
      <c r="G55" s="98"/>
      <c r="H55" s="98">
        <f ca="1">ROUND(FIRE1201_raw!H57,0)</f>
        <v>35429</v>
      </c>
      <c r="I55" s="98">
        <f ca="1">ROUND(FIRE1201_raw!I57,0)</f>
        <v>12896</v>
      </c>
      <c r="J55" s="98">
        <f ca="1">ROUND(FIRE1201_raw!J57,0)</f>
        <v>2707</v>
      </c>
      <c r="K55" s="98">
        <f ca="1">ROUND(FIRE1201_raw!K57,0)</f>
        <v>4959</v>
      </c>
      <c r="L55" s="98">
        <f ca="1">ROUND(FIRE1201_raw!L57,0)</f>
        <v>14867</v>
      </c>
      <c r="M55" s="98"/>
      <c r="N55" s="98">
        <f ca="1">ROUND(FIRE1201_raw!N57,0)</f>
        <v>35429</v>
      </c>
      <c r="O55" s="98">
        <f ca="1">ROUND(FIRE1201_raw!O57,0)</f>
        <v>12896</v>
      </c>
      <c r="P55" s="98">
        <f ca="1">ROUND(FIRE1201_raw!P57,0)</f>
        <v>2707</v>
      </c>
      <c r="Q55" s="98">
        <f ca="1">ROUND(FIRE1201_raw!Q57,0)</f>
        <v>4959</v>
      </c>
      <c r="R55" s="98">
        <f ca="1">ROUND(FIRE1201_raw!R57,0)</f>
        <v>14867</v>
      </c>
      <c r="S55" s="98"/>
      <c r="T55" s="98">
        <f ca="1">ROUND(FIRE1201_raw!T57,0)</f>
        <v>35429</v>
      </c>
      <c r="U55" s="98">
        <f ca="1">ROUND(FIRE1201_raw!U57,0)</f>
        <v>12896</v>
      </c>
      <c r="V55" s="98">
        <f ca="1">ROUND(FIRE1201_raw!V57,0)</f>
        <v>2707</v>
      </c>
      <c r="W55" s="98">
        <f ca="1">ROUND(FIRE1201_raw!W57,0)</f>
        <v>4959</v>
      </c>
      <c r="X55" s="98">
        <f ca="1">ROUND(FIRE1201_raw!X57,0)</f>
        <v>14867</v>
      </c>
      <c r="Y55" s="98"/>
      <c r="Z55" s="98">
        <f ca="1">ROUND(FIRE1201_raw!Z57,0)</f>
        <v>0</v>
      </c>
      <c r="AA55" s="98">
        <f ca="1">ROUND(FIRE1201_raw!AA57,0)</f>
        <v>0</v>
      </c>
      <c r="AB55" s="98">
        <f ca="1">ROUND(FIRE1201_raw!AB57,0)</f>
        <v>0</v>
      </c>
      <c r="AC55" s="98">
        <f ca="1">ROUND(FIRE1201_raw!AC57,0)</f>
        <v>0</v>
      </c>
      <c r="AD55" s="98">
        <f ca="1">ROUND(FIRE1201_raw!AD57,0)</f>
        <v>0</v>
      </c>
      <c r="AE55" s="98"/>
      <c r="AF55" s="98">
        <f ca="1">ROUND(FIRE1201_raw!AF57,0)</f>
        <v>0</v>
      </c>
      <c r="AG55" s="98">
        <f ca="1">ROUND(FIRE1201_raw!AG57,0)</f>
        <v>0</v>
      </c>
      <c r="AH55" s="98">
        <f ca="1">ROUND(FIRE1201_raw!AH57,0)</f>
        <v>0</v>
      </c>
      <c r="AI55" s="98">
        <f ca="1">ROUND(FIRE1201_raw!AI57,0)</f>
        <v>0</v>
      </c>
      <c r="AJ55" s="98">
        <f ca="1">ROUND(FIRE1201_raw!AJ57,0)</f>
        <v>0</v>
      </c>
    </row>
    <row r="56" spans="1:37" ht="15" customHeight="1" x14ac:dyDescent="0.3">
      <c r="A56" s="31" t="s">
        <v>45</v>
      </c>
      <c r="B56" s="98">
        <f ca="1">ROUND(FIRE1201_raw!B58,0)</f>
        <v>4699</v>
      </c>
      <c r="C56" s="98">
        <f ca="1">ROUND(FIRE1201_raw!C58,0)</f>
        <v>986</v>
      </c>
      <c r="D56" s="98">
        <f ca="1">ROUND(FIRE1201_raw!D58,0)</f>
        <v>3103</v>
      </c>
      <c r="E56" s="98">
        <f ca="1">ROUND(FIRE1201_raw!E58,0)</f>
        <v>610</v>
      </c>
      <c r="F56" s="98">
        <f ca="1">ROUND(FIRE1201_raw!F58,0)</f>
        <v>0</v>
      </c>
      <c r="G56" s="98"/>
      <c r="H56" s="98">
        <f ca="1">ROUND(FIRE1201_raw!H58,0)</f>
        <v>4699</v>
      </c>
      <c r="I56" s="98">
        <f ca="1">ROUND(FIRE1201_raw!I58,0)</f>
        <v>986</v>
      </c>
      <c r="J56" s="98">
        <f ca="1">ROUND(FIRE1201_raw!J58,0)</f>
        <v>3103</v>
      </c>
      <c r="K56" s="98">
        <f ca="1">ROUND(FIRE1201_raw!K58,0)</f>
        <v>610</v>
      </c>
      <c r="L56" s="98">
        <f ca="1">ROUND(FIRE1201_raw!L58,0)</f>
        <v>0</v>
      </c>
      <c r="M56" s="98"/>
      <c r="N56" s="98">
        <f ca="1">ROUND(FIRE1201_raw!N58,0)</f>
        <v>4699</v>
      </c>
      <c r="O56" s="98">
        <f ca="1">ROUND(FIRE1201_raw!O58,0)</f>
        <v>986</v>
      </c>
      <c r="P56" s="98">
        <f ca="1">ROUND(FIRE1201_raw!P58,0)</f>
        <v>3103</v>
      </c>
      <c r="Q56" s="98">
        <f ca="1">ROUND(FIRE1201_raw!Q58,0)</f>
        <v>610</v>
      </c>
      <c r="R56" s="98">
        <f ca="1">ROUND(FIRE1201_raw!R58,0)</f>
        <v>0</v>
      </c>
      <c r="S56" s="98"/>
      <c r="T56" s="98">
        <f ca="1">ROUND(FIRE1201_raw!T58,0)</f>
        <v>4699</v>
      </c>
      <c r="U56" s="98">
        <f ca="1">ROUND(FIRE1201_raw!U58,0)</f>
        <v>986</v>
      </c>
      <c r="V56" s="98">
        <f ca="1">ROUND(FIRE1201_raw!V58,0)</f>
        <v>3103</v>
      </c>
      <c r="W56" s="98">
        <f ca="1">ROUND(FIRE1201_raw!W58,0)</f>
        <v>610</v>
      </c>
      <c r="X56" s="98">
        <f ca="1">ROUND(FIRE1201_raw!X58,0)</f>
        <v>0</v>
      </c>
      <c r="Y56" s="98"/>
      <c r="Z56" s="98">
        <f ca="1">ROUND(FIRE1201_raw!Z58,0)</f>
        <v>0</v>
      </c>
      <c r="AA56" s="98">
        <f ca="1">ROUND(FIRE1201_raw!AA58,0)</f>
        <v>0</v>
      </c>
      <c r="AB56" s="98">
        <f ca="1">ROUND(FIRE1201_raw!AB58,0)</f>
        <v>0</v>
      </c>
      <c r="AC56" s="98">
        <f ca="1">ROUND(FIRE1201_raw!AC58,0)</f>
        <v>0</v>
      </c>
      <c r="AD56" s="98">
        <f ca="1">ROUND(FIRE1201_raw!AD58,0)</f>
        <v>0</v>
      </c>
      <c r="AE56" s="98"/>
      <c r="AF56" s="98">
        <f ca="1">ROUND(FIRE1201_raw!AF58,0)</f>
        <v>0</v>
      </c>
      <c r="AG56" s="98">
        <f ca="1">ROUND(FIRE1201_raw!AG58,0)</f>
        <v>0</v>
      </c>
      <c r="AH56" s="98">
        <f ca="1">ROUND(FIRE1201_raw!AH58,0)</f>
        <v>0</v>
      </c>
      <c r="AI56" s="98">
        <f ca="1">ROUND(FIRE1201_raw!AI58,0)</f>
        <v>0</v>
      </c>
      <c r="AJ56" s="98">
        <f ca="1">ROUND(FIRE1201_raw!AJ58,0)</f>
        <v>0</v>
      </c>
    </row>
    <row r="57" spans="1:37" ht="15" customHeight="1" thickBot="1" x14ac:dyDescent="0.35">
      <c r="A57" s="16" t="s">
        <v>46</v>
      </c>
      <c r="B57" s="101">
        <f ca="1">ROUND(FIRE1201_raw!B59,0)</f>
        <v>15528</v>
      </c>
      <c r="C57" s="101">
        <f ca="1">ROUND(FIRE1201_raw!C59,0)</f>
        <v>3921</v>
      </c>
      <c r="D57" s="101">
        <f ca="1">ROUND(FIRE1201_raw!D59,0)</f>
        <v>4934</v>
      </c>
      <c r="E57" s="101">
        <f ca="1">ROUND(FIRE1201_raw!E59,0)</f>
        <v>1314</v>
      </c>
      <c r="F57" s="101">
        <f ca="1">ROUND(FIRE1201_raw!F59,0)</f>
        <v>5359</v>
      </c>
      <c r="G57" s="101"/>
      <c r="H57" s="101">
        <f ca="1">ROUND(FIRE1201_raw!H59,0)</f>
        <v>15528</v>
      </c>
      <c r="I57" s="101">
        <f ca="1">ROUND(FIRE1201_raw!I59,0)</f>
        <v>3921</v>
      </c>
      <c r="J57" s="101">
        <f ca="1">ROUND(FIRE1201_raw!J59,0)</f>
        <v>4934</v>
      </c>
      <c r="K57" s="101">
        <f ca="1">ROUND(FIRE1201_raw!K59,0)</f>
        <v>1314</v>
      </c>
      <c r="L57" s="101">
        <f ca="1">ROUND(FIRE1201_raw!L59,0)</f>
        <v>5359</v>
      </c>
      <c r="M57" s="101"/>
      <c r="N57" s="101">
        <f ca="1">ROUND(FIRE1201_raw!N59,0)</f>
        <v>15528</v>
      </c>
      <c r="O57" s="101">
        <f ca="1">ROUND(FIRE1201_raw!O59,0)</f>
        <v>3921</v>
      </c>
      <c r="P57" s="101">
        <f ca="1">ROUND(FIRE1201_raw!P59,0)</f>
        <v>4934</v>
      </c>
      <c r="Q57" s="101">
        <f ca="1">ROUND(FIRE1201_raw!Q59,0)</f>
        <v>1314</v>
      </c>
      <c r="R57" s="101">
        <f ca="1">ROUND(FIRE1201_raw!R59,0)</f>
        <v>5359</v>
      </c>
      <c r="S57" s="101"/>
      <c r="T57" s="101">
        <f ca="1">ROUND(FIRE1201_raw!T59,0)</f>
        <v>15528</v>
      </c>
      <c r="U57" s="101">
        <f ca="1">ROUND(FIRE1201_raw!U59,0)</f>
        <v>3921</v>
      </c>
      <c r="V57" s="101">
        <f ca="1">ROUND(FIRE1201_raw!V59,0)</f>
        <v>4934</v>
      </c>
      <c r="W57" s="101">
        <f ca="1">ROUND(FIRE1201_raw!W59,0)</f>
        <v>1314</v>
      </c>
      <c r="X57" s="101">
        <f ca="1">ROUND(FIRE1201_raw!X59,0)</f>
        <v>5359</v>
      </c>
      <c r="Y57" s="101"/>
      <c r="Z57" s="101">
        <f ca="1">ROUND(FIRE1201_raw!Z59,0)</f>
        <v>0</v>
      </c>
      <c r="AA57" s="101">
        <f ca="1">ROUND(FIRE1201_raw!AA59,0)</f>
        <v>0</v>
      </c>
      <c r="AB57" s="101">
        <f ca="1">ROUND(FIRE1201_raw!AB59,0)</f>
        <v>0</v>
      </c>
      <c r="AC57" s="101">
        <f ca="1">ROUND(FIRE1201_raw!AC59,0)</f>
        <v>0</v>
      </c>
      <c r="AD57" s="101">
        <f ca="1">ROUND(FIRE1201_raw!AD59,0)</f>
        <v>0</v>
      </c>
      <c r="AE57" s="101"/>
      <c r="AF57" s="101">
        <f ca="1">ROUND(FIRE1201_raw!AF59,0)</f>
        <v>0</v>
      </c>
      <c r="AG57" s="101">
        <f ca="1">ROUND(FIRE1201_raw!AG59,0)</f>
        <v>0</v>
      </c>
      <c r="AH57" s="101">
        <f ca="1">ROUND(FIRE1201_raw!AH59,0)</f>
        <v>0</v>
      </c>
      <c r="AI57" s="101">
        <f ca="1">ROUND(FIRE1201_raw!AI59,0)</f>
        <v>0</v>
      </c>
      <c r="AJ57" s="101">
        <f ca="1">ROUND(FIRE1201_raw!AJ59,0)</f>
        <v>0</v>
      </c>
    </row>
    <row r="58" spans="1:37" ht="30" customHeight="1" x14ac:dyDescent="0.3">
      <c r="A58" s="53" t="s">
        <v>191</v>
      </c>
      <c r="B58" s="53"/>
      <c r="C58" s="53"/>
      <c r="D58" s="53"/>
      <c r="E58" s="53"/>
      <c r="F58" s="53"/>
      <c r="G58" s="53"/>
      <c r="H58" s="53"/>
      <c r="I58" s="53"/>
      <c r="J58" s="53"/>
      <c r="K58" s="53"/>
      <c r="L58" s="53"/>
      <c r="M58" s="53"/>
      <c r="N58" s="53"/>
    </row>
    <row r="59" spans="1:37" x14ac:dyDescent="0.3">
      <c r="A59" s="5" t="s">
        <v>136</v>
      </c>
    </row>
    <row r="60" spans="1:37" x14ac:dyDescent="0.3">
      <c r="A60" s="103" t="s">
        <v>137</v>
      </c>
    </row>
    <row r="61" spans="1:37" ht="29.25" customHeight="1" x14ac:dyDescent="0.3">
      <c r="A61" s="4" t="s">
        <v>85</v>
      </c>
      <c r="B61" s="2"/>
      <c r="C61" s="2"/>
      <c r="D61" s="2"/>
      <c r="E61" s="2"/>
      <c r="F61" s="2"/>
      <c r="G61" s="2"/>
      <c r="H61" s="2"/>
      <c r="I61" s="2"/>
      <c r="J61" s="2"/>
      <c r="K61" s="2"/>
      <c r="L61" s="2"/>
    </row>
    <row r="62" spans="1:37" x14ac:dyDescent="0.3">
      <c r="A62" s="158" t="s">
        <v>1</v>
      </c>
      <c r="B62" s="158"/>
      <c r="C62" s="2"/>
      <c r="D62" s="2"/>
      <c r="E62" s="2"/>
      <c r="F62" s="2"/>
      <c r="G62" s="2"/>
      <c r="H62" s="2"/>
      <c r="I62" s="2"/>
      <c r="J62" s="2"/>
      <c r="K62" s="2"/>
      <c r="L62" s="2"/>
    </row>
    <row r="63" spans="1:37" ht="29.25" customHeight="1" x14ac:dyDescent="0.3">
      <c r="A63" s="156" t="s">
        <v>57</v>
      </c>
      <c r="B63" s="156"/>
      <c r="C63" s="156"/>
      <c r="D63" s="156"/>
      <c r="E63" s="156"/>
      <c r="F63" s="156"/>
      <c r="G63" s="156"/>
      <c r="H63" s="156"/>
      <c r="I63" s="156"/>
      <c r="J63" s="156"/>
      <c r="K63" s="156"/>
      <c r="L63" s="156"/>
    </row>
    <row r="64" spans="1:37" ht="28.5" customHeight="1" x14ac:dyDescent="0.3">
      <c r="A64" s="4" t="s">
        <v>2</v>
      </c>
      <c r="B64" s="4"/>
      <c r="C64" s="4"/>
      <c r="D64" s="4"/>
      <c r="E64" s="4"/>
      <c r="F64" s="4"/>
      <c r="G64" s="4"/>
      <c r="H64" s="19"/>
      <c r="I64" s="19"/>
      <c r="AI64" s="149"/>
      <c r="AJ64" s="149" t="s">
        <v>161</v>
      </c>
      <c r="AK64" s="93"/>
    </row>
    <row r="65" spans="1:38" x14ac:dyDescent="0.3">
      <c r="A65" s="42" t="s">
        <v>91</v>
      </c>
      <c r="B65" s="4"/>
      <c r="C65" s="4"/>
      <c r="D65" s="4"/>
      <c r="E65" s="4"/>
      <c r="F65" s="4"/>
      <c r="G65" s="4"/>
      <c r="H65" s="19"/>
      <c r="I65" s="19"/>
      <c r="AJ65" s="163" t="s">
        <v>148</v>
      </c>
      <c r="AK65" s="102"/>
    </row>
    <row r="66" spans="1:38" x14ac:dyDescent="0.3">
      <c r="A66" s="148" t="s">
        <v>196</v>
      </c>
    </row>
    <row r="67" spans="1:38" x14ac:dyDescent="0.3">
      <c r="AL67" s="5" t="s">
        <v>96</v>
      </c>
    </row>
    <row r="68" spans="1:38" x14ac:dyDescent="0.3">
      <c r="AL68" s="5" t="s">
        <v>147</v>
      </c>
    </row>
  </sheetData>
  <dataValidations count="1">
    <dataValidation type="list" allowBlank="1" showInputMessage="1" showErrorMessage="1" sqref="A3" xr:uid="{352AB643-8884-4168-BAC2-28073D04E2B8}">
      <formula1>$AL$67:$AL$68</formula1>
    </dataValidation>
  </dataValidations>
  <hyperlinks>
    <hyperlink ref="A62" r:id="rId1" xr:uid="{07EAA9D1-E8FC-42CB-A001-8C461FDE85E6}"/>
    <hyperlink ref="A65" r:id="rId2" xr:uid="{BF4FEF72-E334-431A-8A81-C5866E5438A7}"/>
    <hyperlink ref="AJ64" r:id="rId3" location="fire-prevention-and-protection-statistics:-latest-version" display="Updated alongside fire prevention and protection statistics." xr:uid="{8976342D-279A-4D6E-81CD-661DD9ED618A}"/>
    <hyperlink ref="AJ65" r:id="rId4" display="Autumn 2020" xr:uid="{52039BAE-7BAB-4183-B43C-BEF99C48A93F}"/>
    <hyperlink ref="A60" location="'FRS geographical categories'!A1" display="3. For a list of FRAs and whether they are considered &quot;Metropolitan&quot;, &quot;Non Metropolitan&quot;, &quot;Predominately Rural&quot;, &quot;Significantly Rural&quot; or &quot;Predominantely Urban&quot; please see the FRS geographical categories sheet." xr:uid="{4E233FB6-6947-4D25-B004-BFC47C53CCA9}"/>
  </hyperlinks>
  <pageMargins left="0.7" right="0.7" top="0.75" bottom="0.75" header="0.3" footer="0.3"/>
  <pageSetup paperSize="9" orientation="portrait"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2A98-0627-4057-BAF5-CAB58FDBF144}">
  <sheetPr codeName="Sheet21">
    <tabColor rgb="FF2634EA"/>
  </sheetPr>
  <dimension ref="A1:Q60"/>
  <sheetViews>
    <sheetView zoomScale="60" zoomScaleNormal="60" workbookViewId="0">
      <pane ySplit="9" topLeftCell="A10" activePane="bottomLeft" state="frozen"/>
      <selection pane="bottomLeft" sqref="A1:Q1"/>
    </sheetView>
  </sheetViews>
  <sheetFormatPr defaultColWidth="8.77734375" defaultRowHeight="14.4" x14ac:dyDescent="0.3"/>
  <cols>
    <col min="1" max="1" width="39.21875" style="5" bestFit="1" customWidth="1"/>
    <col min="2" max="17" width="12.77734375" style="5" customWidth="1"/>
    <col min="18" max="16384" width="8.77734375" style="5"/>
  </cols>
  <sheetData>
    <row r="1" spans="1:17" s="3" customFormat="1" ht="41.55" customHeight="1" x14ac:dyDescent="0.45">
      <c r="A1" s="198">
        <v>24</v>
      </c>
      <c r="B1" s="198"/>
      <c r="C1" s="198"/>
      <c r="D1" s="198"/>
      <c r="E1" s="198"/>
      <c r="F1" s="198"/>
      <c r="G1" s="198"/>
      <c r="H1" s="198"/>
      <c r="I1" s="198"/>
      <c r="J1" s="198"/>
      <c r="K1" s="198"/>
      <c r="L1" s="198"/>
      <c r="M1" s="198"/>
      <c r="N1" s="198"/>
      <c r="O1" s="198"/>
      <c r="P1" s="198"/>
      <c r="Q1" s="198"/>
    </row>
    <row r="2" spans="1:17" ht="15" customHeight="1" x14ac:dyDescent="0.3">
      <c r="A2" s="4"/>
      <c r="B2" s="4"/>
      <c r="C2" s="4">
        <v>18</v>
      </c>
      <c r="D2" s="4">
        <v>19</v>
      </c>
      <c r="E2" s="4">
        <v>20</v>
      </c>
      <c r="F2" s="4">
        <v>21</v>
      </c>
      <c r="G2" s="4">
        <v>22</v>
      </c>
      <c r="H2" s="4">
        <v>23</v>
      </c>
      <c r="I2" s="4"/>
      <c r="J2" s="4"/>
      <c r="K2" s="4">
        <v>24</v>
      </c>
      <c r="L2" s="4">
        <v>25</v>
      </c>
      <c r="M2" s="4">
        <v>26</v>
      </c>
      <c r="N2" s="4">
        <v>27</v>
      </c>
      <c r="O2" s="4">
        <v>28</v>
      </c>
      <c r="P2" s="4">
        <v>29</v>
      </c>
      <c r="Q2" s="4"/>
    </row>
    <row r="3" spans="1:17" ht="15" customHeight="1" x14ac:dyDescent="0.3">
      <c r="A3" s="21"/>
      <c r="B3" s="22"/>
      <c r="C3" s="22"/>
      <c r="D3" s="22"/>
      <c r="E3" s="22"/>
      <c r="F3" s="22"/>
      <c r="G3" s="22"/>
      <c r="H3" s="22"/>
      <c r="I3" s="22"/>
      <c r="J3" s="22"/>
      <c r="K3" s="22"/>
      <c r="L3" s="22"/>
      <c r="M3" s="22"/>
      <c r="N3" s="22"/>
      <c r="O3" s="22"/>
      <c r="P3" s="22"/>
      <c r="Q3" s="22"/>
    </row>
    <row r="4" spans="1:17" ht="15" customHeight="1" x14ac:dyDescent="0.3">
      <c r="A4" s="185" t="str">
        <f>FIRE1201a!$A$3</f>
        <v>2019-20</v>
      </c>
      <c r="B4" s="185"/>
      <c r="C4" s="185"/>
      <c r="D4" s="185"/>
      <c r="E4" s="185"/>
      <c r="F4" s="185"/>
      <c r="G4" s="185"/>
      <c r="H4" s="185"/>
      <c r="I4" s="185"/>
      <c r="J4" s="185"/>
      <c r="K4" s="185"/>
      <c r="L4" s="185"/>
      <c r="M4" s="185"/>
      <c r="N4" s="185"/>
      <c r="O4" s="185"/>
      <c r="P4" s="185"/>
      <c r="Q4" s="185"/>
    </row>
    <row r="5" spans="1:17" ht="15" thickBot="1" x14ac:dyDescent="0.35">
      <c r="A5" s="4"/>
      <c r="B5" s="119"/>
      <c r="C5" s="119"/>
      <c r="D5" s="119"/>
      <c r="E5" s="119"/>
      <c r="F5" s="119"/>
      <c r="G5" s="119"/>
      <c r="H5" s="119"/>
      <c r="I5" s="119"/>
      <c r="J5" s="119"/>
      <c r="K5" s="119"/>
      <c r="L5" s="119"/>
      <c r="M5" s="119"/>
      <c r="N5" s="119"/>
      <c r="O5" s="119"/>
      <c r="P5" s="119"/>
      <c r="Q5" s="119"/>
    </row>
    <row r="6" spans="1:17" s="3" customFormat="1" ht="20.100000000000001" customHeight="1" thickBot="1" x14ac:dyDescent="0.35">
      <c r="A6" s="2"/>
      <c r="B6" s="201" t="s">
        <v>154</v>
      </c>
      <c r="C6" s="201"/>
      <c r="D6" s="201"/>
      <c r="E6" s="201"/>
      <c r="F6" s="201"/>
      <c r="G6" s="201"/>
      <c r="H6" s="201"/>
      <c r="I6" s="201"/>
      <c r="J6" s="201"/>
      <c r="K6" s="201"/>
      <c r="L6" s="201"/>
      <c r="M6" s="201"/>
      <c r="N6" s="201"/>
      <c r="O6" s="201"/>
      <c r="P6" s="201"/>
      <c r="Q6" s="119"/>
    </row>
    <row r="7" spans="1:17" s="3" customFormat="1" ht="20.100000000000001" customHeight="1" thickBot="1" x14ac:dyDescent="0.35">
      <c r="A7" s="2"/>
      <c r="B7" s="200" t="s">
        <v>155</v>
      </c>
      <c r="C7" s="200"/>
      <c r="D7" s="200"/>
      <c r="E7" s="200"/>
      <c r="F7" s="200"/>
      <c r="G7" s="200"/>
      <c r="H7" s="200"/>
      <c r="I7" s="43"/>
      <c r="J7" s="186" t="s">
        <v>156</v>
      </c>
      <c r="K7" s="186"/>
      <c r="L7" s="186"/>
      <c r="M7" s="186"/>
      <c r="N7" s="186"/>
      <c r="O7" s="186"/>
      <c r="P7" s="186"/>
      <c r="Q7" s="119"/>
    </row>
    <row r="8" spans="1:17" s="45" customFormat="1" ht="68.55" customHeight="1" thickBot="1" x14ac:dyDescent="0.35">
      <c r="A8" s="46"/>
      <c r="B8" s="47" t="s">
        <v>99</v>
      </c>
      <c r="C8" s="48" t="s">
        <v>106</v>
      </c>
      <c r="D8" s="48" t="s">
        <v>105</v>
      </c>
      <c r="E8" s="48" t="s">
        <v>104</v>
      </c>
      <c r="F8" s="49" t="s">
        <v>107</v>
      </c>
      <c r="G8" s="49" t="s">
        <v>108</v>
      </c>
      <c r="H8" s="49" t="s">
        <v>109</v>
      </c>
      <c r="I8" s="49"/>
      <c r="J8" s="47" t="s">
        <v>99</v>
      </c>
      <c r="K8" s="48" t="s">
        <v>106</v>
      </c>
      <c r="L8" s="48" t="s">
        <v>105</v>
      </c>
      <c r="M8" s="48" t="s">
        <v>104</v>
      </c>
      <c r="N8" s="49" t="s">
        <v>107</v>
      </c>
      <c r="O8" s="49" t="s">
        <v>108</v>
      </c>
      <c r="P8" s="49" t="s">
        <v>109</v>
      </c>
      <c r="Q8" s="47"/>
    </row>
    <row r="9" spans="1:17" s="3" customFormat="1" ht="15" customHeight="1" x14ac:dyDescent="0.3">
      <c r="A9" s="24" t="s">
        <v>0</v>
      </c>
      <c r="B9" s="52">
        <f ca="1">SUM($C9:$H9)</f>
        <v>1179258</v>
      </c>
      <c r="C9" s="52">
        <f ca="1">SUM(C$15:C$59)</f>
        <v>1029916</v>
      </c>
      <c r="D9" s="52">
        <f t="shared" ref="D9:H9" ca="1" si="0">SUM(D$15:D$59)</f>
        <v>5708</v>
      </c>
      <c r="E9" s="52">
        <f t="shared" ca="1" si="0"/>
        <v>81030</v>
      </c>
      <c r="F9" s="52">
        <f t="shared" ca="1" si="0"/>
        <v>51319</v>
      </c>
      <c r="G9" s="52">
        <f t="shared" ca="1" si="0"/>
        <v>3594</v>
      </c>
      <c r="H9" s="52">
        <f t="shared" ca="1" si="0"/>
        <v>7691</v>
      </c>
      <c r="I9" s="52"/>
      <c r="J9" s="52">
        <f ca="1">SUM(K9:P9)</f>
        <v>561401</v>
      </c>
      <c r="K9" s="52">
        <f ca="1">SUM(K$15:K$59)</f>
        <v>450708</v>
      </c>
      <c r="L9" s="52">
        <f t="shared" ref="L9:P9" ca="1" si="1">SUM(L$15:L$59)</f>
        <v>696</v>
      </c>
      <c r="M9" s="52">
        <f t="shared" ca="1" si="1"/>
        <v>71307</v>
      </c>
      <c r="N9" s="52">
        <f t="shared" ca="1" si="1"/>
        <v>30230</v>
      </c>
      <c r="O9" s="52">
        <f t="shared" ca="1" si="1"/>
        <v>3594</v>
      </c>
      <c r="P9" s="52">
        <f t="shared" ca="1" si="1"/>
        <v>4866</v>
      </c>
      <c r="Q9" s="52"/>
    </row>
    <row r="10" spans="1:17" s="3" customFormat="1" ht="15" customHeight="1" x14ac:dyDescent="0.3">
      <c r="A10" s="25" t="s">
        <v>77</v>
      </c>
      <c r="B10" s="52">
        <f t="shared" ref="B10:B14" ca="1" si="2">SUM($C10:$H10)</f>
        <v>511577</v>
      </c>
      <c r="C10" s="52">
        <f ca="1">VLOOKUP($A10,INDIRECT("'"&amp;$A$4&amp;"'!"&amp;"a1:ac110"),C$2,FALSE)</f>
        <v>382195</v>
      </c>
      <c r="D10" s="52">
        <f t="shared" ref="D10:H14" ca="1" si="3">VLOOKUP($A10,INDIRECT("'"&amp;$A$4&amp;"'!"&amp;"a1:ac110"),D$2,FALSE)</f>
        <v>5589</v>
      </c>
      <c r="E10" s="52">
        <f t="shared" ca="1" si="3"/>
        <v>61229</v>
      </c>
      <c r="F10" s="52">
        <f t="shared" ca="1" si="3"/>
        <v>51279</v>
      </c>
      <c r="G10" s="52">
        <f t="shared" ca="1" si="3"/>
        <v>3594</v>
      </c>
      <c r="H10" s="52">
        <f t="shared" ca="1" si="3"/>
        <v>7691</v>
      </c>
      <c r="I10" s="52"/>
      <c r="J10" s="52">
        <f ca="1">SUM(K10:P10)</f>
        <v>370427</v>
      </c>
      <c r="K10" s="52">
        <f ca="1">VLOOKUP($A10,INDIRECT("'"&amp;$A$4&amp;"'!"&amp;"a1:ac110"),K$2,FALSE)</f>
        <v>273604</v>
      </c>
      <c r="L10" s="52">
        <f t="shared" ref="L10:P14" ca="1" si="4">VLOOKUP($A10,INDIRECT("'"&amp;$A$4&amp;"'!"&amp;"a1:ac110"),L$2,FALSE)</f>
        <v>633</v>
      </c>
      <c r="M10" s="52">
        <f t="shared" ca="1" si="4"/>
        <v>58022</v>
      </c>
      <c r="N10" s="52">
        <f t="shared" ca="1" si="4"/>
        <v>29708</v>
      </c>
      <c r="O10" s="52">
        <f t="shared" ca="1" si="4"/>
        <v>3594</v>
      </c>
      <c r="P10" s="52">
        <f t="shared" ca="1" si="4"/>
        <v>4866</v>
      </c>
      <c r="Q10" s="52"/>
    </row>
    <row r="11" spans="1:17" s="3" customFormat="1" ht="15" customHeight="1" x14ac:dyDescent="0.3">
      <c r="A11" s="25" t="s">
        <v>49</v>
      </c>
      <c r="B11" s="52">
        <f t="shared" ca="1" si="2"/>
        <v>667681</v>
      </c>
      <c r="C11" s="52">
        <f t="shared" ref="C11:C14" ca="1" si="5">VLOOKUP($A11,INDIRECT("'"&amp;$A$4&amp;"'!"&amp;"a1:ac110"),C$2,FALSE)</f>
        <v>647721</v>
      </c>
      <c r="D11" s="52">
        <f t="shared" ca="1" si="3"/>
        <v>119</v>
      </c>
      <c r="E11" s="52">
        <f t="shared" ca="1" si="3"/>
        <v>19801</v>
      </c>
      <c r="F11" s="52">
        <f t="shared" ca="1" si="3"/>
        <v>40</v>
      </c>
      <c r="G11" s="52">
        <f t="shared" ca="1" si="3"/>
        <v>0</v>
      </c>
      <c r="H11" s="52">
        <f t="shared" ca="1" si="3"/>
        <v>0</v>
      </c>
      <c r="I11" s="52"/>
      <c r="J11" s="52">
        <f t="shared" ref="J11:J14" ca="1" si="6">SUM(K11:P11)</f>
        <v>190974</v>
      </c>
      <c r="K11" s="52">
        <f t="shared" ref="K11:K14" ca="1" si="7">VLOOKUP($A11,INDIRECT("'"&amp;$A$4&amp;"'!"&amp;"a1:ac110"),K$2,FALSE)</f>
        <v>177104</v>
      </c>
      <c r="L11" s="52">
        <f t="shared" ca="1" si="4"/>
        <v>63</v>
      </c>
      <c r="M11" s="52">
        <f t="shared" ca="1" si="4"/>
        <v>13285</v>
      </c>
      <c r="N11" s="52">
        <f t="shared" ca="1" si="4"/>
        <v>522</v>
      </c>
      <c r="O11" s="52">
        <f t="shared" ca="1" si="4"/>
        <v>0</v>
      </c>
      <c r="P11" s="52">
        <f t="shared" ca="1" si="4"/>
        <v>0</v>
      </c>
      <c r="Q11" s="52"/>
    </row>
    <row r="12" spans="1:17" s="3" customFormat="1" ht="15" customHeight="1" x14ac:dyDescent="0.3">
      <c r="A12" s="25" t="s">
        <v>114</v>
      </c>
      <c r="B12" s="52">
        <f t="shared" ca="1" si="2"/>
        <v>844710</v>
      </c>
      <c r="C12" s="52">
        <f t="shared" ca="1" si="5"/>
        <v>791781</v>
      </c>
      <c r="D12" s="52">
        <f t="shared" ca="1" si="3"/>
        <v>3691</v>
      </c>
      <c r="E12" s="52">
        <f t="shared" ca="1" si="3"/>
        <v>38537</v>
      </c>
      <c r="F12" s="52">
        <f t="shared" ca="1" si="3"/>
        <v>10176</v>
      </c>
      <c r="G12" s="52">
        <f t="shared" ca="1" si="3"/>
        <v>3</v>
      </c>
      <c r="H12" s="52">
        <f t="shared" ca="1" si="3"/>
        <v>522</v>
      </c>
      <c r="I12" s="52"/>
      <c r="J12" s="52">
        <f t="shared" ca="1" si="6"/>
        <v>304215</v>
      </c>
      <c r="K12" s="52">
        <f t="shared" ca="1" si="7"/>
        <v>267581</v>
      </c>
      <c r="L12" s="52">
        <f t="shared" ca="1" si="4"/>
        <v>455</v>
      </c>
      <c r="M12" s="52">
        <f t="shared" ca="1" si="4"/>
        <v>30059</v>
      </c>
      <c r="N12" s="52">
        <f t="shared" ca="1" si="4"/>
        <v>5867</v>
      </c>
      <c r="O12" s="52">
        <f t="shared" ca="1" si="4"/>
        <v>3</v>
      </c>
      <c r="P12" s="52">
        <f t="shared" ca="1" si="4"/>
        <v>250</v>
      </c>
      <c r="Q12" s="52"/>
    </row>
    <row r="13" spans="1:17" s="3" customFormat="1" ht="15" customHeight="1" x14ac:dyDescent="0.3">
      <c r="A13" s="25" t="s">
        <v>115</v>
      </c>
      <c r="B13" s="52">
        <f t="shared" ca="1" si="2"/>
        <v>199475</v>
      </c>
      <c r="C13" s="52">
        <f t="shared" ca="1" si="5"/>
        <v>139856</v>
      </c>
      <c r="D13" s="52">
        <f t="shared" ca="1" si="3"/>
        <v>1721</v>
      </c>
      <c r="E13" s="52">
        <f t="shared" ca="1" si="3"/>
        <v>39883</v>
      </c>
      <c r="F13" s="52">
        <f t="shared" ca="1" si="3"/>
        <v>13880</v>
      </c>
      <c r="G13" s="52">
        <f t="shared" ca="1" si="3"/>
        <v>3457</v>
      </c>
      <c r="H13" s="52">
        <f t="shared" ca="1" si="3"/>
        <v>678</v>
      </c>
      <c r="I13" s="52"/>
      <c r="J13" s="52">
        <f t="shared" ca="1" si="6"/>
        <v>155071</v>
      </c>
      <c r="K13" s="52">
        <f t="shared" ca="1" si="7"/>
        <v>97562</v>
      </c>
      <c r="L13" s="52">
        <f t="shared" ca="1" si="4"/>
        <v>241</v>
      </c>
      <c r="M13" s="52">
        <f t="shared" ca="1" si="4"/>
        <v>38643</v>
      </c>
      <c r="N13" s="52">
        <f t="shared" ca="1" si="4"/>
        <v>14619</v>
      </c>
      <c r="O13" s="52">
        <f t="shared" ca="1" si="4"/>
        <v>3457</v>
      </c>
      <c r="P13" s="52">
        <f t="shared" ca="1" si="4"/>
        <v>549</v>
      </c>
      <c r="Q13" s="52"/>
    </row>
    <row r="14" spans="1:17" s="3" customFormat="1" ht="15" customHeight="1" x14ac:dyDescent="0.3">
      <c r="A14" s="25" t="s">
        <v>116</v>
      </c>
      <c r="B14" s="52">
        <f t="shared" ca="1" si="2"/>
        <v>135073</v>
      </c>
      <c r="C14" s="52">
        <f t="shared" ca="1" si="5"/>
        <v>98279</v>
      </c>
      <c r="D14" s="52">
        <f t="shared" ca="1" si="3"/>
        <v>296</v>
      </c>
      <c r="E14" s="52">
        <f t="shared" ca="1" si="3"/>
        <v>2610</v>
      </c>
      <c r="F14" s="52">
        <f t="shared" ca="1" si="3"/>
        <v>27263</v>
      </c>
      <c r="G14" s="52">
        <f t="shared" ca="1" si="3"/>
        <v>134</v>
      </c>
      <c r="H14" s="52">
        <f t="shared" ca="1" si="3"/>
        <v>6491</v>
      </c>
      <c r="I14" s="52"/>
      <c r="J14" s="52">
        <f t="shared" ca="1" si="6"/>
        <v>102115</v>
      </c>
      <c r="K14" s="52">
        <f t="shared" ca="1" si="7"/>
        <v>85565</v>
      </c>
      <c r="L14" s="52">
        <f t="shared" ca="1" si="4"/>
        <v>0</v>
      </c>
      <c r="M14" s="52">
        <f t="shared" ca="1" si="4"/>
        <v>2605</v>
      </c>
      <c r="N14" s="52">
        <f t="shared" ca="1" si="4"/>
        <v>9744</v>
      </c>
      <c r="O14" s="52">
        <f t="shared" ca="1" si="4"/>
        <v>134</v>
      </c>
      <c r="P14" s="52">
        <f t="shared" ca="1" si="4"/>
        <v>4067</v>
      </c>
      <c r="Q14" s="52"/>
    </row>
    <row r="15" spans="1:17" s="3" customFormat="1" ht="15" customHeight="1" x14ac:dyDescent="0.3">
      <c r="A15" s="4" t="s">
        <v>3</v>
      </c>
      <c r="B15" s="87">
        <f ca="1">SUM(C15:H15)</f>
        <v>3248</v>
      </c>
      <c r="C15" s="87">
        <f ca="1">VLOOKUP($A15,INDIRECT("'"&amp;$A$4&amp;"'!"&amp;"a1:ac110"),C$2,FALSE)</f>
        <v>2522</v>
      </c>
      <c r="D15" s="87">
        <f t="shared" ref="D15:H30" ca="1" si="8">VLOOKUP($A15,INDIRECT("'"&amp;$A$4&amp;"'!"&amp;"a1:ac110"),D$2,FALSE)</f>
        <v>0</v>
      </c>
      <c r="E15" s="87">
        <f t="shared" ca="1" si="8"/>
        <v>0</v>
      </c>
      <c r="F15" s="87">
        <f t="shared" ca="1" si="8"/>
        <v>726</v>
      </c>
      <c r="G15" s="87">
        <f t="shared" ca="1" si="8"/>
        <v>0</v>
      </c>
      <c r="H15" s="87">
        <f t="shared" ca="1" si="8"/>
        <v>0</v>
      </c>
      <c r="I15" s="87"/>
      <c r="J15" s="87">
        <f ca="1">SUM(K15:P15)</f>
        <v>0</v>
      </c>
      <c r="K15" s="87">
        <f ca="1">VLOOKUP($A15,INDIRECT("'"&amp;$A$4&amp;"'!"&amp;"a1:ac110"),K$2,FALSE)</f>
        <v>0</v>
      </c>
      <c r="L15" s="87">
        <f t="shared" ref="L15:P30" ca="1" si="9">VLOOKUP($A15,INDIRECT("'"&amp;$A$4&amp;"'!"&amp;"a1:ac110"),L$2,FALSE)</f>
        <v>0</v>
      </c>
      <c r="M15" s="87">
        <f t="shared" ca="1" si="9"/>
        <v>0</v>
      </c>
      <c r="N15" s="87">
        <f t="shared" ca="1" si="9"/>
        <v>0</v>
      </c>
      <c r="O15" s="87">
        <f t="shared" ca="1" si="9"/>
        <v>0</v>
      </c>
      <c r="P15" s="87">
        <f t="shared" ca="1" si="9"/>
        <v>0</v>
      </c>
      <c r="Q15" s="87"/>
    </row>
    <row r="16" spans="1:17" s="3" customFormat="1" ht="15" customHeight="1" x14ac:dyDescent="0.3">
      <c r="A16" s="4" t="s">
        <v>4</v>
      </c>
      <c r="B16" s="87">
        <f t="shared" ref="B16:B59" ca="1" si="10">SUM(C16:H16)</f>
        <v>12354</v>
      </c>
      <c r="C16" s="87">
        <f t="shared" ref="C16:H59" ca="1" si="11">VLOOKUP($A16,INDIRECT("'"&amp;$A$4&amp;"'!"&amp;"a1:ac110"),C$2,FALSE)</f>
        <v>10723</v>
      </c>
      <c r="D16" s="87">
        <f t="shared" ca="1" si="8"/>
        <v>0</v>
      </c>
      <c r="E16" s="87">
        <f t="shared" ca="1" si="8"/>
        <v>0</v>
      </c>
      <c r="F16" s="87">
        <f t="shared" ca="1" si="8"/>
        <v>1526</v>
      </c>
      <c r="G16" s="87">
        <f t="shared" ca="1" si="8"/>
        <v>0</v>
      </c>
      <c r="H16" s="87">
        <f t="shared" ca="1" si="8"/>
        <v>105</v>
      </c>
      <c r="I16" s="87"/>
      <c r="J16" s="87">
        <f t="shared" ref="J16:J59" ca="1" si="12">SUM(K16:P16)</f>
        <v>5098</v>
      </c>
      <c r="K16" s="87">
        <f t="shared" ref="K16:P59" ca="1" si="13">VLOOKUP($A16,INDIRECT("'"&amp;$A$4&amp;"'!"&amp;"a1:ac110"),K$2,FALSE)</f>
        <v>4436</v>
      </c>
      <c r="L16" s="87">
        <f t="shared" ca="1" si="9"/>
        <v>0</v>
      </c>
      <c r="M16" s="87">
        <f t="shared" ca="1" si="9"/>
        <v>0</v>
      </c>
      <c r="N16" s="87">
        <f t="shared" ca="1" si="9"/>
        <v>661</v>
      </c>
      <c r="O16" s="87">
        <f t="shared" ca="1" si="9"/>
        <v>0</v>
      </c>
      <c r="P16" s="87">
        <f t="shared" ca="1" si="9"/>
        <v>1</v>
      </c>
      <c r="Q16" s="87"/>
    </row>
    <row r="17" spans="1:17" s="3" customFormat="1" ht="15" customHeight="1" x14ac:dyDescent="0.3">
      <c r="A17" s="4" t="s">
        <v>5</v>
      </c>
      <c r="B17" s="87">
        <f t="shared" ca="1" si="10"/>
        <v>20087</v>
      </c>
      <c r="C17" s="87">
        <f t="shared" ca="1" si="11"/>
        <v>18399</v>
      </c>
      <c r="D17" s="87">
        <f t="shared" ca="1" si="8"/>
        <v>135</v>
      </c>
      <c r="E17" s="87">
        <f t="shared" ca="1" si="8"/>
        <v>0</v>
      </c>
      <c r="F17" s="87">
        <f t="shared" ca="1" si="8"/>
        <v>1553</v>
      </c>
      <c r="G17" s="87">
        <f t="shared" ca="1" si="8"/>
        <v>0</v>
      </c>
      <c r="H17" s="87">
        <f t="shared" ca="1" si="8"/>
        <v>0</v>
      </c>
      <c r="I17" s="87"/>
      <c r="J17" s="87">
        <f t="shared" ca="1" si="12"/>
        <v>20087</v>
      </c>
      <c r="K17" s="87">
        <f t="shared" ca="1" si="13"/>
        <v>18399</v>
      </c>
      <c r="L17" s="87">
        <f t="shared" ca="1" si="9"/>
        <v>135</v>
      </c>
      <c r="M17" s="87">
        <f t="shared" ca="1" si="9"/>
        <v>0</v>
      </c>
      <c r="N17" s="87">
        <f t="shared" ca="1" si="9"/>
        <v>1553</v>
      </c>
      <c r="O17" s="87">
        <f t="shared" ca="1" si="9"/>
        <v>0</v>
      </c>
      <c r="P17" s="87">
        <f t="shared" ca="1" si="9"/>
        <v>0</v>
      </c>
      <c r="Q17" s="87"/>
    </row>
    <row r="18" spans="1:17" s="10" customFormat="1" ht="15" customHeight="1" x14ac:dyDescent="0.3">
      <c r="A18" s="4" t="s">
        <v>6</v>
      </c>
      <c r="B18" s="87">
        <f t="shared" ca="1" si="10"/>
        <v>3625</v>
      </c>
      <c r="C18" s="87">
        <f t="shared" ca="1" si="11"/>
        <v>3287</v>
      </c>
      <c r="D18" s="87">
        <f t="shared" ca="1" si="8"/>
        <v>0</v>
      </c>
      <c r="E18" s="87">
        <f t="shared" ca="1" si="8"/>
        <v>336</v>
      </c>
      <c r="F18" s="87">
        <f t="shared" ca="1" si="8"/>
        <v>0</v>
      </c>
      <c r="G18" s="87">
        <f t="shared" ca="1" si="8"/>
        <v>0</v>
      </c>
      <c r="H18" s="87">
        <f t="shared" ca="1" si="8"/>
        <v>2</v>
      </c>
      <c r="I18" s="87"/>
      <c r="J18" s="87">
        <f t="shared" ca="1" si="12"/>
        <v>2555</v>
      </c>
      <c r="K18" s="87">
        <f t="shared" ca="1" si="13"/>
        <v>2398</v>
      </c>
      <c r="L18" s="87">
        <f t="shared" ca="1" si="9"/>
        <v>0</v>
      </c>
      <c r="M18" s="87">
        <f t="shared" ca="1" si="9"/>
        <v>156</v>
      </c>
      <c r="N18" s="87">
        <f t="shared" ca="1" si="9"/>
        <v>0</v>
      </c>
      <c r="O18" s="87">
        <f t="shared" ca="1" si="9"/>
        <v>0</v>
      </c>
      <c r="P18" s="87">
        <f t="shared" ca="1" si="9"/>
        <v>1</v>
      </c>
      <c r="Q18" s="87"/>
    </row>
    <row r="19" spans="1:17" ht="15" customHeight="1" x14ac:dyDescent="0.3">
      <c r="A19" s="4" t="s">
        <v>7</v>
      </c>
      <c r="B19" s="87">
        <f t="shared" ca="1" si="10"/>
        <v>6384</v>
      </c>
      <c r="C19" s="87">
        <f t="shared" ca="1" si="11"/>
        <v>3165</v>
      </c>
      <c r="D19" s="87">
        <f t="shared" ca="1" si="8"/>
        <v>0</v>
      </c>
      <c r="E19" s="87">
        <f t="shared" ca="1" si="8"/>
        <v>0</v>
      </c>
      <c r="F19" s="87">
        <f t="shared" ca="1" si="8"/>
        <v>2379</v>
      </c>
      <c r="G19" s="87">
        <f t="shared" ca="1" si="8"/>
        <v>0</v>
      </c>
      <c r="H19" s="87">
        <f t="shared" ca="1" si="8"/>
        <v>840</v>
      </c>
      <c r="I19" s="87"/>
      <c r="J19" s="87">
        <f t="shared" ca="1" si="12"/>
        <v>5544</v>
      </c>
      <c r="K19" s="87">
        <f t="shared" ca="1" si="13"/>
        <v>3165</v>
      </c>
      <c r="L19" s="87">
        <f t="shared" ca="1" si="9"/>
        <v>0</v>
      </c>
      <c r="M19" s="87">
        <f t="shared" ca="1" si="9"/>
        <v>0</v>
      </c>
      <c r="N19" s="87">
        <f t="shared" ca="1" si="9"/>
        <v>2379</v>
      </c>
      <c r="O19" s="87">
        <f t="shared" ca="1" si="9"/>
        <v>0</v>
      </c>
      <c r="P19" s="87">
        <f t="shared" ca="1" si="9"/>
        <v>0</v>
      </c>
      <c r="Q19" s="87"/>
    </row>
    <row r="20" spans="1:17" ht="15" customHeight="1" x14ac:dyDescent="0.3">
      <c r="A20" s="4" t="s">
        <v>8</v>
      </c>
      <c r="B20" s="87">
        <f t="shared" ca="1" si="10"/>
        <v>36678</v>
      </c>
      <c r="C20" s="87">
        <f t="shared" ca="1" si="11"/>
        <v>19904</v>
      </c>
      <c r="D20" s="87">
        <f t="shared" ca="1" si="8"/>
        <v>0</v>
      </c>
      <c r="E20" s="87">
        <f t="shared" ca="1" si="8"/>
        <v>16774</v>
      </c>
      <c r="F20" s="87">
        <f t="shared" ca="1" si="8"/>
        <v>0</v>
      </c>
      <c r="G20" s="87">
        <f t="shared" ca="1" si="8"/>
        <v>0</v>
      </c>
      <c r="H20" s="87">
        <f t="shared" ca="1" si="8"/>
        <v>0</v>
      </c>
      <c r="I20" s="87"/>
      <c r="J20" s="87">
        <f t="shared" ca="1" si="12"/>
        <v>18878</v>
      </c>
      <c r="K20" s="87">
        <f t="shared" ca="1" si="13"/>
        <v>10046</v>
      </c>
      <c r="L20" s="87">
        <f t="shared" ca="1" si="9"/>
        <v>0</v>
      </c>
      <c r="M20" s="87">
        <f t="shared" ca="1" si="9"/>
        <v>8832</v>
      </c>
      <c r="N20" s="87">
        <f t="shared" ca="1" si="9"/>
        <v>0</v>
      </c>
      <c r="O20" s="87">
        <f t="shared" ca="1" si="9"/>
        <v>0</v>
      </c>
      <c r="P20" s="87">
        <f t="shared" ca="1" si="9"/>
        <v>0</v>
      </c>
      <c r="Q20" s="87"/>
    </row>
    <row r="21" spans="1:17" ht="15" customHeight="1" x14ac:dyDescent="0.3">
      <c r="A21" s="4" t="s">
        <v>9</v>
      </c>
      <c r="B21" s="87">
        <f t="shared" ca="1" si="10"/>
        <v>60382</v>
      </c>
      <c r="C21" s="87">
        <f t="shared" ca="1" si="11"/>
        <v>52592</v>
      </c>
      <c r="D21" s="87">
        <f t="shared" ca="1" si="8"/>
        <v>2170</v>
      </c>
      <c r="E21" s="87">
        <f t="shared" ca="1" si="8"/>
        <v>2266</v>
      </c>
      <c r="F21" s="87">
        <f t="shared" ca="1" si="8"/>
        <v>3354</v>
      </c>
      <c r="G21" s="87">
        <f t="shared" ca="1" si="8"/>
        <v>0</v>
      </c>
      <c r="H21" s="87">
        <f t="shared" ca="1" si="8"/>
        <v>0</v>
      </c>
      <c r="I21" s="87"/>
      <c r="J21" s="87">
        <f t="shared" ca="1" si="12"/>
        <v>12842</v>
      </c>
      <c r="K21" s="87">
        <f t="shared" ca="1" si="13"/>
        <v>12368</v>
      </c>
      <c r="L21" s="87">
        <f t="shared" ca="1" si="9"/>
        <v>134</v>
      </c>
      <c r="M21" s="87">
        <f t="shared" ca="1" si="9"/>
        <v>326</v>
      </c>
      <c r="N21" s="87">
        <f t="shared" ca="1" si="9"/>
        <v>14</v>
      </c>
      <c r="O21" s="87">
        <f t="shared" ca="1" si="9"/>
        <v>0</v>
      </c>
      <c r="P21" s="87">
        <f t="shared" ca="1" si="9"/>
        <v>0</v>
      </c>
      <c r="Q21" s="87"/>
    </row>
    <row r="22" spans="1:17" ht="15" customHeight="1" x14ac:dyDescent="0.3">
      <c r="A22" s="4" t="s">
        <v>10</v>
      </c>
      <c r="B22" s="87">
        <f t="shared" ca="1" si="10"/>
        <v>9085</v>
      </c>
      <c r="C22" s="87">
        <f t="shared" ca="1" si="11"/>
        <v>8642</v>
      </c>
      <c r="D22" s="87">
        <f t="shared" ca="1" si="8"/>
        <v>7</v>
      </c>
      <c r="E22" s="87">
        <f t="shared" ca="1" si="8"/>
        <v>0</v>
      </c>
      <c r="F22" s="87">
        <f t="shared" ca="1" si="8"/>
        <v>292</v>
      </c>
      <c r="G22" s="87">
        <f t="shared" ca="1" si="8"/>
        <v>0</v>
      </c>
      <c r="H22" s="87">
        <f t="shared" ca="1" si="8"/>
        <v>144</v>
      </c>
      <c r="I22" s="87"/>
      <c r="J22" s="87">
        <f t="shared" ca="1" si="12"/>
        <v>341</v>
      </c>
      <c r="K22" s="87">
        <f t="shared" ca="1" si="13"/>
        <v>341</v>
      </c>
      <c r="L22" s="87">
        <f t="shared" ca="1" si="9"/>
        <v>0</v>
      </c>
      <c r="M22" s="87">
        <f t="shared" ca="1" si="9"/>
        <v>0</v>
      </c>
      <c r="N22" s="87">
        <f t="shared" ca="1" si="9"/>
        <v>0</v>
      </c>
      <c r="O22" s="87">
        <f t="shared" ca="1" si="9"/>
        <v>0</v>
      </c>
      <c r="P22" s="87">
        <f t="shared" ca="1" si="9"/>
        <v>0</v>
      </c>
      <c r="Q22" s="87"/>
    </row>
    <row r="23" spans="1:17" ht="15" customHeight="1" x14ac:dyDescent="0.3">
      <c r="A23" s="4" t="s">
        <v>11</v>
      </c>
      <c r="B23" s="87">
        <f t="shared" ca="1" si="10"/>
        <v>17106</v>
      </c>
      <c r="C23" s="87">
        <f t="shared" ca="1" si="11"/>
        <v>14597</v>
      </c>
      <c r="D23" s="87">
        <f t="shared" ca="1" si="8"/>
        <v>0</v>
      </c>
      <c r="E23" s="87">
        <f t="shared" ca="1" si="8"/>
        <v>1556</v>
      </c>
      <c r="F23" s="87">
        <f t="shared" ca="1" si="8"/>
        <v>932</v>
      </c>
      <c r="G23" s="87">
        <f t="shared" ca="1" si="8"/>
        <v>21</v>
      </c>
      <c r="H23" s="87">
        <f t="shared" ca="1" si="8"/>
        <v>0</v>
      </c>
      <c r="I23" s="87"/>
      <c r="J23" s="87">
        <f t="shared" ca="1" si="12"/>
        <v>17106</v>
      </c>
      <c r="K23" s="87">
        <f t="shared" ca="1" si="13"/>
        <v>14597</v>
      </c>
      <c r="L23" s="87">
        <f t="shared" ca="1" si="9"/>
        <v>0</v>
      </c>
      <c r="M23" s="87">
        <f t="shared" ca="1" si="9"/>
        <v>1556</v>
      </c>
      <c r="N23" s="87">
        <f t="shared" ca="1" si="9"/>
        <v>932</v>
      </c>
      <c r="O23" s="87">
        <f t="shared" ca="1" si="9"/>
        <v>21</v>
      </c>
      <c r="P23" s="87">
        <f t="shared" ca="1" si="9"/>
        <v>0</v>
      </c>
      <c r="Q23" s="87"/>
    </row>
    <row r="24" spans="1:17" ht="15" customHeight="1" x14ac:dyDescent="0.3">
      <c r="A24" s="20" t="s">
        <v>12</v>
      </c>
      <c r="B24" s="87">
        <f t="shared" ca="1" si="10"/>
        <v>18824</v>
      </c>
      <c r="C24" s="87">
        <f t="shared" ca="1" si="11"/>
        <v>12243</v>
      </c>
      <c r="D24" s="87">
        <f t="shared" ca="1" si="8"/>
        <v>0</v>
      </c>
      <c r="E24" s="87">
        <f t="shared" ca="1" si="8"/>
        <v>3089</v>
      </c>
      <c r="F24" s="87">
        <f t="shared" ca="1" si="8"/>
        <v>35</v>
      </c>
      <c r="G24" s="87">
        <f t="shared" ca="1" si="8"/>
        <v>3457</v>
      </c>
      <c r="H24" s="87">
        <f t="shared" ca="1" si="8"/>
        <v>0</v>
      </c>
      <c r="I24" s="87"/>
      <c r="J24" s="87">
        <f t="shared" ca="1" si="12"/>
        <v>18824</v>
      </c>
      <c r="K24" s="87">
        <f t="shared" ca="1" si="13"/>
        <v>12243</v>
      </c>
      <c r="L24" s="87">
        <f t="shared" ca="1" si="9"/>
        <v>0</v>
      </c>
      <c r="M24" s="87">
        <f t="shared" ca="1" si="9"/>
        <v>3089</v>
      </c>
      <c r="N24" s="87">
        <f t="shared" ca="1" si="9"/>
        <v>35</v>
      </c>
      <c r="O24" s="87">
        <f t="shared" ca="1" si="9"/>
        <v>3457</v>
      </c>
      <c r="P24" s="87">
        <f t="shared" ca="1" si="9"/>
        <v>0</v>
      </c>
      <c r="Q24" s="87"/>
    </row>
    <row r="25" spans="1:17" ht="15" customHeight="1" x14ac:dyDescent="0.3">
      <c r="A25" s="20" t="s">
        <v>13</v>
      </c>
      <c r="B25" s="87">
        <f t="shared" ca="1" si="10"/>
        <v>17100</v>
      </c>
      <c r="C25" s="87">
        <f t="shared" ca="1" si="11"/>
        <v>0</v>
      </c>
      <c r="D25" s="87">
        <f t="shared" ca="1" si="8"/>
        <v>0</v>
      </c>
      <c r="E25" s="87">
        <f t="shared" ca="1" si="8"/>
        <v>0</v>
      </c>
      <c r="F25" s="87">
        <f t="shared" ca="1" si="8"/>
        <v>17100</v>
      </c>
      <c r="G25" s="87">
        <f t="shared" ca="1" si="8"/>
        <v>0</v>
      </c>
      <c r="H25" s="87">
        <f t="shared" ca="1" si="8"/>
        <v>0</v>
      </c>
      <c r="I25" s="87"/>
      <c r="J25" s="87">
        <f t="shared" ca="1" si="12"/>
        <v>0</v>
      </c>
      <c r="K25" s="87">
        <f t="shared" ca="1" si="13"/>
        <v>0</v>
      </c>
      <c r="L25" s="87">
        <f t="shared" ca="1" si="9"/>
        <v>0</v>
      </c>
      <c r="M25" s="87">
        <f t="shared" ca="1" si="9"/>
        <v>0</v>
      </c>
      <c r="N25" s="87">
        <f t="shared" ca="1" si="9"/>
        <v>0</v>
      </c>
      <c r="O25" s="87">
        <f t="shared" ca="1" si="9"/>
        <v>0</v>
      </c>
      <c r="P25" s="87">
        <f t="shared" ca="1" si="9"/>
        <v>0</v>
      </c>
      <c r="Q25" s="87"/>
    </row>
    <row r="26" spans="1:17" ht="15" customHeight="1" x14ac:dyDescent="0.3">
      <c r="A26" s="20" t="s">
        <v>74</v>
      </c>
      <c r="B26" s="87">
        <f t="shared" ca="1" si="10"/>
        <v>20077</v>
      </c>
      <c r="C26" s="87">
        <f t="shared" ca="1" si="11"/>
        <v>14286</v>
      </c>
      <c r="D26" s="87">
        <f t="shared" ca="1" si="8"/>
        <v>3</v>
      </c>
      <c r="E26" s="87">
        <f t="shared" ca="1" si="8"/>
        <v>0</v>
      </c>
      <c r="F26" s="87">
        <f t="shared" ca="1" si="8"/>
        <v>5330</v>
      </c>
      <c r="G26" s="87">
        <f t="shared" ca="1" si="8"/>
        <v>0</v>
      </c>
      <c r="H26" s="87">
        <f t="shared" ca="1" si="8"/>
        <v>458</v>
      </c>
      <c r="I26" s="87"/>
      <c r="J26" s="87">
        <f t="shared" ca="1" si="12"/>
        <v>20077</v>
      </c>
      <c r="K26" s="87">
        <f t="shared" ca="1" si="13"/>
        <v>14286</v>
      </c>
      <c r="L26" s="87">
        <f t="shared" ca="1" si="9"/>
        <v>3</v>
      </c>
      <c r="M26" s="87">
        <f t="shared" ca="1" si="9"/>
        <v>0</v>
      </c>
      <c r="N26" s="87">
        <f t="shared" ca="1" si="9"/>
        <v>5330</v>
      </c>
      <c r="O26" s="87">
        <f t="shared" ca="1" si="9"/>
        <v>0</v>
      </c>
      <c r="P26" s="87">
        <f t="shared" ca="1" si="9"/>
        <v>458</v>
      </c>
      <c r="Q26" s="87"/>
    </row>
    <row r="27" spans="1:17" ht="15" customHeight="1" x14ac:dyDescent="0.3">
      <c r="A27" s="4" t="s">
        <v>14</v>
      </c>
      <c r="B27" s="87">
        <f t="shared" ca="1" si="10"/>
        <v>38025</v>
      </c>
      <c r="C27" s="87">
        <f t="shared" ca="1" si="11"/>
        <v>37188</v>
      </c>
      <c r="D27" s="87">
        <f t="shared" ca="1" si="8"/>
        <v>0</v>
      </c>
      <c r="E27" s="87">
        <f t="shared" ca="1" si="8"/>
        <v>837</v>
      </c>
      <c r="F27" s="87">
        <f t="shared" ca="1" si="8"/>
        <v>0</v>
      </c>
      <c r="G27" s="87">
        <f t="shared" ca="1" si="8"/>
        <v>0</v>
      </c>
      <c r="H27" s="87">
        <f t="shared" ca="1" si="8"/>
        <v>0</v>
      </c>
      <c r="I27" s="87"/>
      <c r="J27" s="87">
        <f t="shared" ca="1" si="12"/>
        <v>38025</v>
      </c>
      <c r="K27" s="87">
        <f t="shared" ca="1" si="13"/>
        <v>37188</v>
      </c>
      <c r="L27" s="87">
        <f t="shared" ca="1" si="9"/>
        <v>0</v>
      </c>
      <c r="M27" s="87">
        <f t="shared" ca="1" si="9"/>
        <v>837</v>
      </c>
      <c r="N27" s="87">
        <f t="shared" ca="1" si="9"/>
        <v>0</v>
      </c>
      <c r="O27" s="87">
        <f t="shared" ca="1" si="9"/>
        <v>0</v>
      </c>
      <c r="P27" s="87">
        <f t="shared" ca="1" si="9"/>
        <v>0</v>
      </c>
      <c r="Q27" s="87"/>
    </row>
    <row r="28" spans="1:17" ht="15" customHeight="1" x14ac:dyDescent="0.3">
      <c r="A28" s="4" t="s">
        <v>15</v>
      </c>
      <c r="B28" s="87">
        <f t="shared" ca="1" si="10"/>
        <v>13550</v>
      </c>
      <c r="C28" s="87">
        <f t="shared" ca="1" si="11"/>
        <v>13550</v>
      </c>
      <c r="D28" s="87">
        <f t="shared" ca="1" si="8"/>
        <v>0</v>
      </c>
      <c r="E28" s="87">
        <f t="shared" ca="1" si="8"/>
        <v>0</v>
      </c>
      <c r="F28" s="87">
        <f t="shared" ca="1" si="8"/>
        <v>0</v>
      </c>
      <c r="G28" s="87">
        <f t="shared" ca="1" si="8"/>
        <v>0</v>
      </c>
      <c r="H28" s="87">
        <f t="shared" ca="1" si="8"/>
        <v>0</v>
      </c>
      <c r="I28" s="87"/>
      <c r="J28" s="87">
        <f t="shared" ca="1" si="12"/>
        <v>6882</v>
      </c>
      <c r="K28" s="87">
        <f t="shared" ca="1" si="13"/>
        <v>0</v>
      </c>
      <c r="L28" s="87">
        <f t="shared" ca="1" si="9"/>
        <v>0</v>
      </c>
      <c r="M28" s="87">
        <f t="shared" ca="1" si="9"/>
        <v>6882</v>
      </c>
      <c r="N28" s="87">
        <f t="shared" ca="1" si="9"/>
        <v>0</v>
      </c>
      <c r="O28" s="87">
        <f t="shared" ca="1" si="9"/>
        <v>0</v>
      </c>
      <c r="P28" s="87">
        <f t="shared" ca="1" si="9"/>
        <v>0</v>
      </c>
      <c r="Q28" s="87"/>
    </row>
    <row r="29" spans="1:17" ht="15" customHeight="1" x14ac:dyDescent="0.3">
      <c r="A29" s="4" t="s">
        <v>16</v>
      </c>
      <c r="B29" s="87">
        <f t="shared" ca="1" si="10"/>
        <v>8013</v>
      </c>
      <c r="C29" s="87">
        <f t="shared" ca="1" si="11"/>
        <v>590</v>
      </c>
      <c r="D29" s="87">
        <f t="shared" ca="1" si="8"/>
        <v>1480</v>
      </c>
      <c r="E29" s="87">
        <f t="shared" ca="1" si="8"/>
        <v>0</v>
      </c>
      <c r="F29" s="87">
        <f t="shared" ca="1" si="8"/>
        <v>5919</v>
      </c>
      <c r="G29" s="87">
        <f t="shared" ca="1" si="8"/>
        <v>0</v>
      </c>
      <c r="H29" s="87">
        <f t="shared" ca="1" si="8"/>
        <v>24</v>
      </c>
      <c r="I29" s="87"/>
      <c r="J29" s="87">
        <f t="shared" ca="1" si="12"/>
        <v>5288</v>
      </c>
      <c r="K29" s="87">
        <f t="shared" ca="1" si="13"/>
        <v>0</v>
      </c>
      <c r="L29" s="87">
        <f t="shared" ca="1" si="9"/>
        <v>0</v>
      </c>
      <c r="M29" s="87">
        <f t="shared" ca="1" si="9"/>
        <v>0</v>
      </c>
      <c r="N29" s="87">
        <f t="shared" ca="1" si="9"/>
        <v>5288</v>
      </c>
      <c r="O29" s="87">
        <f t="shared" ca="1" si="9"/>
        <v>0</v>
      </c>
      <c r="P29" s="87">
        <f t="shared" ca="1" si="9"/>
        <v>0</v>
      </c>
      <c r="Q29" s="87"/>
    </row>
    <row r="30" spans="1:17" ht="15" customHeight="1" x14ac:dyDescent="0.3">
      <c r="A30" s="4" t="s">
        <v>17</v>
      </c>
      <c r="B30" s="87">
        <f t="shared" ca="1" si="10"/>
        <v>8514</v>
      </c>
      <c r="C30" s="87">
        <f t="shared" ca="1" si="11"/>
        <v>7825</v>
      </c>
      <c r="D30" s="87">
        <f t="shared" ca="1" si="8"/>
        <v>0</v>
      </c>
      <c r="E30" s="87">
        <f t="shared" ca="1" si="8"/>
        <v>600</v>
      </c>
      <c r="F30" s="87">
        <f t="shared" ca="1" si="8"/>
        <v>0</v>
      </c>
      <c r="G30" s="87">
        <f t="shared" ca="1" si="8"/>
        <v>0</v>
      </c>
      <c r="H30" s="87">
        <f t="shared" ca="1" si="8"/>
        <v>89</v>
      </c>
      <c r="I30" s="87"/>
      <c r="J30" s="87">
        <f t="shared" ca="1" si="12"/>
        <v>8514</v>
      </c>
      <c r="K30" s="87">
        <f t="shared" ca="1" si="13"/>
        <v>7825</v>
      </c>
      <c r="L30" s="87">
        <f t="shared" ca="1" si="9"/>
        <v>0</v>
      </c>
      <c r="M30" s="87">
        <f t="shared" ca="1" si="9"/>
        <v>600</v>
      </c>
      <c r="N30" s="87">
        <f t="shared" ca="1" si="9"/>
        <v>0</v>
      </c>
      <c r="O30" s="87">
        <f t="shared" ca="1" si="9"/>
        <v>0</v>
      </c>
      <c r="P30" s="87">
        <f t="shared" ca="1" si="9"/>
        <v>89</v>
      </c>
      <c r="Q30" s="87"/>
    </row>
    <row r="31" spans="1:17" ht="15" customHeight="1" x14ac:dyDescent="0.3">
      <c r="A31" s="4" t="s">
        <v>18</v>
      </c>
      <c r="B31" s="87">
        <f t="shared" ca="1" si="10"/>
        <v>355029</v>
      </c>
      <c r="C31" s="87">
        <f t="shared" ca="1" si="11"/>
        <v>355029</v>
      </c>
      <c r="D31" s="87">
        <f t="shared" ca="1" si="11"/>
        <v>0</v>
      </c>
      <c r="E31" s="87">
        <f t="shared" ca="1" si="11"/>
        <v>0</v>
      </c>
      <c r="F31" s="87">
        <f t="shared" ca="1" si="11"/>
        <v>0</v>
      </c>
      <c r="G31" s="87">
        <f t="shared" ca="1" si="11"/>
        <v>0</v>
      </c>
      <c r="H31" s="87">
        <f t="shared" ca="1" si="11"/>
        <v>0</v>
      </c>
      <c r="I31" s="87"/>
      <c r="J31" s="87">
        <f t="shared" ca="1" si="12"/>
        <v>482</v>
      </c>
      <c r="K31" s="87">
        <f t="shared" ca="1" si="13"/>
        <v>0</v>
      </c>
      <c r="L31" s="87">
        <f t="shared" ca="1" si="13"/>
        <v>0</v>
      </c>
      <c r="M31" s="87">
        <f t="shared" ca="1" si="13"/>
        <v>0</v>
      </c>
      <c r="N31" s="87">
        <f t="shared" ca="1" si="13"/>
        <v>482</v>
      </c>
      <c r="O31" s="87">
        <f t="shared" ca="1" si="13"/>
        <v>0</v>
      </c>
      <c r="P31" s="87">
        <f t="shared" ca="1" si="13"/>
        <v>0</v>
      </c>
      <c r="Q31" s="87"/>
    </row>
    <row r="32" spans="1:17" ht="15" customHeight="1" x14ac:dyDescent="0.3">
      <c r="A32" s="4" t="s">
        <v>19</v>
      </c>
      <c r="B32" s="87">
        <f t="shared" ca="1" si="10"/>
        <v>22298</v>
      </c>
      <c r="C32" s="87">
        <f t="shared" ca="1" si="11"/>
        <v>19782</v>
      </c>
      <c r="D32" s="87">
        <f t="shared" ca="1" si="11"/>
        <v>63</v>
      </c>
      <c r="E32" s="87">
        <f t="shared" ca="1" si="11"/>
        <v>2434</v>
      </c>
      <c r="F32" s="87">
        <f t="shared" ca="1" si="11"/>
        <v>19</v>
      </c>
      <c r="G32" s="87">
        <f t="shared" ca="1" si="11"/>
        <v>0</v>
      </c>
      <c r="H32" s="87">
        <f t="shared" ca="1" si="11"/>
        <v>0</v>
      </c>
      <c r="I32" s="87"/>
      <c r="J32" s="87">
        <f t="shared" ca="1" si="12"/>
        <v>22298</v>
      </c>
      <c r="K32" s="87">
        <f t="shared" ca="1" si="13"/>
        <v>19782</v>
      </c>
      <c r="L32" s="87">
        <f t="shared" ca="1" si="13"/>
        <v>63</v>
      </c>
      <c r="M32" s="87">
        <f t="shared" ca="1" si="13"/>
        <v>2434</v>
      </c>
      <c r="N32" s="87">
        <f t="shared" ca="1" si="13"/>
        <v>19</v>
      </c>
      <c r="O32" s="87">
        <f t="shared" ca="1" si="13"/>
        <v>0</v>
      </c>
      <c r="P32" s="87">
        <f t="shared" ca="1" si="13"/>
        <v>0</v>
      </c>
      <c r="Q32" s="87"/>
    </row>
    <row r="33" spans="1:17" ht="15" customHeight="1" x14ac:dyDescent="0.3">
      <c r="A33" s="4" t="s">
        <v>20</v>
      </c>
      <c r="B33" s="87">
        <f t="shared" ca="1" si="10"/>
        <v>19030</v>
      </c>
      <c r="C33" s="87">
        <f t="shared" ca="1" si="11"/>
        <v>13667</v>
      </c>
      <c r="D33" s="87">
        <f t="shared" ca="1" si="11"/>
        <v>123</v>
      </c>
      <c r="E33" s="87">
        <f t="shared" ca="1" si="11"/>
        <v>5237</v>
      </c>
      <c r="F33" s="87">
        <f t="shared" ca="1" si="11"/>
        <v>0</v>
      </c>
      <c r="G33" s="87">
        <f t="shared" ca="1" si="11"/>
        <v>3</v>
      </c>
      <c r="H33" s="87">
        <f t="shared" ca="1" si="11"/>
        <v>0</v>
      </c>
      <c r="I33" s="87"/>
      <c r="J33" s="87">
        <f t="shared" ca="1" si="12"/>
        <v>19020</v>
      </c>
      <c r="K33" s="87">
        <f t="shared" ca="1" si="13"/>
        <v>13658</v>
      </c>
      <c r="L33" s="87">
        <f t="shared" ca="1" si="13"/>
        <v>123</v>
      </c>
      <c r="M33" s="87">
        <f t="shared" ca="1" si="13"/>
        <v>5236</v>
      </c>
      <c r="N33" s="87">
        <f t="shared" ca="1" si="13"/>
        <v>0</v>
      </c>
      <c r="O33" s="87">
        <f t="shared" ca="1" si="13"/>
        <v>3</v>
      </c>
      <c r="P33" s="87">
        <f t="shared" ca="1" si="13"/>
        <v>0</v>
      </c>
      <c r="Q33" s="87"/>
    </row>
    <row r="34" spans="1:17" ht="15" customHeight="1" x14ac:dyDescent="0.3">
      <c r="A34" s="4" t="s">
        <v>21</v>
      </c>
      <c r="B34" s="87">
        <f t="shared" ca="1" si="10"/>
        <v>4844</v>
      </c>
      <c r="C34" s="87">
        <f t="shared" ca="1" si="11"/>
        <v>4668</v>
      </c>
      <c r="D34" s="87">
        <f t="shared" ca="1" si="11"/>
        <v>0</v>
      </c>
      <c r="E34" s="87">
        <f t="shared" ca="1" si="11"/>
        <v>0</v>
      </c>
      <c r="F34" s="87">
        <f t="shared" ca="1" si="11"/>
        <v>176</v>
      </c>
      <c r="G34" s="87">
        <f t="shared" ca="1" si="11"/>
        <v>0</v>
      </c>
      <c r="H34" s="87">
        <f t="shared" ca="1" si="11"/>
        <v>0</v>
      </c>
      <c r="I34" s="87"/>
      <c r="J34" s="87">
        <f t="shared" ca="1" si="12"/>
        <v>1522</v>
      </c>
      <c r="K34" s="87">
        <f t="shared" ca="1" si="13"/>
        <v>374</v>
      </c>
      <c r="L34" s="87">
        <f t="shared" ca="1" si="13"/>
        <v>0</v>
      </c>
      <c r="M34" s="87">
        <f t="shared" ca="1" si="13"/>
        <v>0</v>
      </c>
      <c r="N34" s="87">
        <f t="shared" ca="1" si="13"/>
        <v>1148</v>
      </c>
      <c r="O34" s="87">
        <f t="shared" ca="1" si="13"/>
        <v>0</v>
      </c>
      <c r="P34" s="87">
        <f t="shared" ca="1" si="13"/>
        <v>0</v>
      </c>
      <c r="Q34" s="87"/>
    </row>
    <row r="35" spans="1:17" ht="15" customHeight="1" x14ac:dyDescent="0.3">
      <c r="A35" s="4" t="s">
        <v>22</v>
      </c>
      <c r="B35" s="87">
        <f t="shared" ca="1" si="10"/>
        <v>9392</v>
      </c>
      <c r="C35" s="87">
        <f t="shared" ca="1" si="11"/>
        <v>6749</v>
      </c>
      <c r="D35" s="87">
        <f t="shared" ca="1" si="11"/>
        <v>0</v>
      </c>
      <c r="E35" s="87">
        <f t="shared" ca="1" si="11"/>
        <v>0</v>
      </c>
      <c r="F35" s="87">
        <f t="shared" ca="1" si="11"/>
        <v>2643</v>
      </c>
      <c r="G35" s="87">
        <f t="shared" ca="1" si="11"/>
        <v>0</v>
      </c>
      <c r="H35" s="87">
        <f t="shared" ca="1" si="11"/>
        <v>0</v>
      </c>
      <c r="I35" s="87"/>
      <c r="J35" s="87">
        <f t="shared" ca="1" si="12"/>
        <v>9392</v>
      </c>
      <c r="K35" s="87">
        <f t="shared" ca="1" si="13"/>
        <v>6749</v>
      </c>
      <c r="L35" s="87">
        <f t="shared" ca="1" si="13"/>
        <v>0</v>
      </c>
      <c r="M35" s="87">
        <f t="shared" ca="1" si="13"/>
        <v>0</v>
      </c>
      <c r="N35" s="87">
        <f t="shared" ca="1" si="13"/>
        <v>2643</v>
      </c>
      <c r="O35" s="87">
        <f t="shared" ca="1" si="13"/>
        <v>0</v>
      </c>
      <c r="P35" s="87">
        <f t="shared" ca="1" si="13"/>
        <v>0</v>
      </c>
      <c r="Q35" s="87"/>
    </row>
    <row r="36" spans="1:17" ht="15" customHeight="1" x14ac:dyDescent="0.3">
      <c r="A36" s="5" t="s">
        <v>23</v>
      </c>
      <c r="B36" s="87">
        <f t="shared" ca="1" si="10"/>
        <v>7035</v>
      </c>
      <c r="C36" s="87">
        <f t="shared" ca="1" si="11"/>
        <v>4660</v>
      </c>
      <c r="D36" s="87">
        <f t="shared" ca="1" si="11"/>
        <v>238</v>
      </c>
      <c r="E36" s="87">
        <f t="shared" ca="1" si="11"/>
        <v>2137</v>
      </c>
      <c r="F36" s="87">
        <f t="shared" ca="1" si="11"/>
        <v>0</v>
      </c>
      <c r="G36" s="87">
        <f t="shared" ca="1" si="11"/>
        <v>0</v>
      </c>
      <c r="H36" s="87">
        <f t="shared" ca="1" si="11"/>
        <v>0</v>
      </c>
      <c r="I36" s="87"/>
      <c r="J36" s="87">
        <f t="shared" ca="1" si="12"/>
        <v>7035</v>
      </c>
      <c r="K36" s="87">
        <f t="shared" ca="1" si="13"/>
        <v>4660</v>
      </c>
      <c r="L36" s="87">
        <f t="shared" ca="1" si="13"/>
        <v>238</v>
      </c>
      <c r="M36" s="87">
        <f t="shared" ca="1" si="13"/>
        <v>2137</v>
      </c>
      <c r="N36" s="87">
        <f t="shared" ca="1" si="13"/>
        <v>0</v>
      </c>
      <c r="O36" s="87">
        <f t="shared" ca="1" si="13"/>
        <v>0</v>
      </c>
      <c r="P36" s="87">
        <f t="shared" ca="1" si="13"/>
        <v>0</v>
      </c>
      <c r="Q36" s="87"/>
    </row>
    <row r="37" spans="1:17" ht="15" customHeight="1" x14ac:dyDescent="0.3">
      <c r="A37" s="5" t="s">
        <v>48</v>
      </c>
      <c r="B37" s="87">
        <f t="shared" ca="1" si="10"/>
        <v>619</v>
      </c>
      <c r="C37" s="87">
        <f t="shared" ca="1" si="11"/>
        <v>137</v>
      </c>
      <c r="D37" s="87">
        <f t="shared" ca="1" si="11"/>
        <v>0</v>
      </c>
      <c r="E37" s="87">
        <f t="shared" ca="1" si="11"/>
        <v>212</v>
      </c>
      <c r="F37" s="87">
        <f t="shared" ca="1" si="11"/>
        <v>136</v>
      </c>
      <c r="G37" s="87">
        <f t="shared" ca="1" si="11"/>
        <v>113</v>
      </c>
      <c r="H37" s="87">
        <f t="shared" ca="1" si="11"/>
        <v>21</v>
      </c>
      <c r="I37" s="87"/>
      <c r="J37" s="87">
        <f t="shared" ca="1" si="12"/>
        <v>619</v>
      </c>
      <c r="K37" s="87">
        <f t="shared" ca="1" si="13"/>
        <v>137</v>
      </c>
      <c r="L37" s="87">
        <f t="shared" ca="1" si="13"/>
        <v>0</v>
      </c>
      <c r="M37" s="87">
        <f t="shared" ca="1" si="13"/>
        <v>212</v>
      </c>
      <c r="N37" s="87">
        <f t="shared" ca="1" si="13"/>
        <v>136</v>
      </c>
      <c r="O37" s="87">
        <f t="shared" ca="1" si="13"/>
        <v>113</v>
      </c>
      <c r="P37" s="87">
        <f t="shared" ca="1" si="13"/>
        <v>21</v>
      </c>
      <c r="Q37" s="87"/>
    </row>
    <row r="38" spans="1:17" ht="15" customHeight="1" x14ac:dyDescent="0.3">
      <c r="A38" s="4" t="s">
        <v>25</v>
      </c>
      <c r="B38" s="87">
        <f t="shared" ca="1" si="10"/>
        <v>82</v>
      </c>
      <c r="C38" s="87">
        <f t="shared" ca="1" si="11"/>
        <v>82</v>
      </c>
      <c r="D38" s="87">
        <f t="shared" ca="1" si="11"/>
        <v>0</v>
      </c>
      <c r="E38" s="87">
        <f t="shared" ca="1" si="11"/>
        <v>0</v>
      </c>
      <c r="F38" s="87">
        <f t="shared" ca="1" si="11"/>
        <v>0</v>
      </c>
      <c r="G38" s="87">
        <f t="shared" ca="1" si="11"/>
        <v>0</v>
      </c>
      <c r="H38" s="87">
        <f t="shared" ca="1" si="11"/>
        <v>0</v>
      </c>
      <c r="I38" s="87"/>
      <c r="J38" s="87">
        <f t="shared" ca="1" si="12"/>
        <v>0</v>
      </c>
      <c r="K38" s="87">
        <f t="shared" ca="1" si="13"/>
        <v>0</v>
      </c>
      <c r="L38" s="87">
        <f t="shared" ca="1" si="13"/>
        <v>0</v>
      </c>
      <c r="M38" s="87">
        <f t="shared" ca="1" si="13"/>
        <v>0</v>
      </c>
      <c r="N38" s="87">
        <f t="shared" ca="1" si="13"/>
        <v>0</v>
      </c>
      <c r="O38" s="87">
        <f t="shared" ca="1" si="13"/>
        <v>0</v>
      </c>
      <c r="P38" s="87">
        <f t="shared" ca="1" si="13"/>
        <v>0</v>
      </c>
      <c r="Q38" s="87"/>
    </row>
    <row r="39" spans="1:17" ht="15" customHeight="1" x14ac:dyDescent="0.3">
      <c r="A39" s="5" t="s">
        <v>26</v>
      </c>
      <c r="B39" s="87">
        <f t="shared" ca="1" si="10"/>
        <v>29488</v>
      </c>
      <c r="C39" s="87">
        <f t="shared" ca="1" si="11"/>
        <v>18130</v>
      </c>
      <c r="D39" s="87">
        <f t="shared" ca="1" si="11"/>
        <v>0</v>
      </c>
      <c r="E39" s="87">
        <f t="shared" ca="1" si="11"/>
        <v>11358</v>
      </c>
      <c r="F39" s="87">
        <f t="shared" ca="1" si="11"/>
        <v>0</v>
      </c>
      <c r="G39" s="87">
        <f t="shared" ca="1" si="11"/>
        <v>0</v>
      </c>
      <c r="H39" s="87">
        <f t="shared" ca="1" si="11"/>
        <v>0</v>
      </c>
      <c r="I39" s="87"/>
      <c r="J39" s="87">
        <f t="shared" ca="1" si="12"/>
        <v>29488</v>
      </c>
      <c r="K39" s="87">
        <f t="shared" ca="1" si="13"/>
        <v>18130</v>
      </c>
      <c r="L39" s="87">
        <f t="shared" ca="1" si="13"/>
        <v>0</v>
      </c>
      <c r="M39" s="87">
        <f t="shared" ca="1" si="13"/>
        <v>11358</v>
      </c>
      <c r="N39" s="87">
        <f t="shared" ca="1" si="13"/>
        <v>0</v>
      </c>
      <c r="O39" s="87">
        <f t="shared" ca="1" si="13"/>
        <v>0</v>
      </c>
      <c r="P39" s="87">
        <f t="shared" ca="1" si="13"/>
        <v>0</v>
      </c>
      <c r="Q39" s="87"/>
    </row>
    <row r="40" spans="1:17" ht="15" customHeight="1" x14ac:dyDescent="0.3">
      <c r="A40" s="5" t="s">
        <v>27</v>
      </c>
      <c r="B40" s="87">
        <f t="shared" ca="1" si="10"/>
        <v>40690</v>
      </c>
      <c r="C40" s="87">
        <f t="shared" ca="1" si="11"/>
        <v>29506</v>
      </c>
      <c r="D40" s="87">
        <f t="shared" ca="1" si="11"/>
        <v>0</v>
      </c>
      <c r="E40" s="87">
        <f t="shared" ca="1" si="11"/>
        <v>11184</v>
      </c>
      <c r="F40" s="87">
        <f t="shared" ca="1" si="11"/>
        <v>0</v>
      </c>
      <c r="G40" s="87">
        <f t="shared" ca="1" si="11"/>
        <v>0</v>
      </c>
      <c r="H40" s="87">
        <f t="shared" ca="1" si="11"/>
        <v>0</v>
      </c>
      <c r="I40" s="87"/>
      <c r="J40" s="87">
        <f t="shared" ca="1" si="12"/>
        <v>40690</v>
      </c>
      <c r="K40" s="87">
        <f t="shared" ca="1" si="13"/>
        <v>29506</v>
      </c>
      <c r="L40" s="87">
        <f t="shared" ca="1" si="13"/>
        <v>0</v>
      </c>
      <c r="M40" s="87">
        <f t="shared" ca="1" si="13"/>
        <v>11184</v>
      </c>
      <c r="N40" s="87">
        <f t="shared" ca="1" si="13"/>
        <v>0</v>
      </c>
      <c r="O40" s="87">
        <f t="shared" ca="1" si="13"/>
        <v>0</v>
      </c>
      <c r="P40" s="87">
        <f t="shared" ca="1" si="13"/>
        <v>0</v>
      </c>
      <c r="Q40" s="87"/>
    </row>
    <row r="41" spans="1:17" ht="15" customHeight="1" x14ac:dyDescent="0.3">
      <c r="A41" s="5" t="s">
        <v>28</v>
      </c>
      <c r="B41" s="87">
        <f t="shared" ca="1" si="10"/>
        <v>9632</v>
      </c>
      <c r="C41" s="87">
        <f t="shared" ca="1" si="11"/>
        <v>6180</v>
      </c>
      <c r="D41" s="87">
        <f t="shared" ca="1" si="11"/>
        <v>0</v>
      </c>
      <c r="E41" s="87">
        <f t="shared" ca="1" si="11"/>
        <v>3452</v>
      </c>
      <c r="F41" s="87">
        <f t="shared" ca="1" si="11"/>
        <v>0</v>
      </c>
      <c r="G41" s="87">
        <f t="shared" ca="1" si="11"/>
        <v>0</v>
      </c>
      <c r="H41" s="87">
        <f t="shared" ca="1" si="11"/>
        <v>0</v>
      </c>
      <c r="I41" s="87"/>
      <c r="J41" s="87">
        <f t="shared" ca="1" si="12"/>
        <v>9632</v>
      </c>
      <c r="K41" s="87">
        <f t="shared" ca="1" si="13"/>
        <v>6180</v>
      </c>
      <c r="L41" s="87">
        <f t="shared" ca="1" si="13"/>
        <v>0</v>
      </c>
      <c r="M41" s="87">
        <f t="shared" ca="1" si="13"/>
        <v>3452</v>
      </c>
      <c r="N41" s="87">
        <f t="shared" ca="1" si="13"/>
        <v>0</v>
      </c>
      <c r="O41" s="87">
        <f t="shared" ca="1" si="13"/>
        <v>0</v>
      </c>
      <c r="P41" s="87">
        <f t="shared" ca="1" si="13"/>
        <v>0</v>
      </c>
      <c r="Q41" s="87"/>
    </row>
    <row r="42" spans="1:17" ht="15" customHeight="1" x14ac:dyDescent="0.3">
      <c r="A42" s="5" t="s">
        <v>29</v>
      </c>
      <c r="B42" s="87">
        <f t="shared" ca="1" si="10"/>
        <v>3592</v>
      </c>
      <c r="C42" s="87">
        <f t="shared" ca="1" si="11"/>
        <v>0</v>
      </c>
      <c r="D42" s="87">
        <f t="shared" ca="1" si="11"/>
        <v>0</v>
      </c>
      <c r="E42" s="87">
        <f t="shared" ca="1" si="11"/>
        <v>0</v>
      </c>
      <c r="F42" s="87">
        <f t="shared" ca="1" si="11"/>
        <v>0</v>
      </c>
      <c r="G42" s="87">
        <f t="shared" ca="1" si="11"/>
        <v>0</v>
      </c>
      <c r="H42" s="87">
        <f t="shared" ca="1" si="11"/>
        <v>3592</v>
      </c>
      <c r="I42" s="87"/>
      <c r="J42" s="87">
        <f t="shared" ca="1" si="12"/>
        <v>2152</v>
      </c>
      <c r="K42" s="87">
        <f t="shared" ca="1" si="13"/>
        <v>0</v>
      </c>
      <c r="L42" s="87">
        <f t="shared" ca="1" si="13"/>
        <v>0</v>
      </c>
      <c r="M42" s="87">
        <f t="shared" ca="1" si="13"/>
        <v>0</v>
      </c>
      <c r="N42" s="87">
        <f t="shared" ca="1" si="13"/>
        <v>0</v>
      </c>
      <c r="O42" s="87">
        <f t="shared" ca="1" si="13"/>
        <v>0</v>
      </c>
      <c r="P42" s="87">
        <f t="shared" ca="1" si="13"/>
        <v>2152</v>
      </c>
      <c r="Q42" s="87"/>
    </row>
    <row r="43" spans="1:17" ht="15" customHeight="1" x14ac:dyDescent="0.3">
      <c r="A43" s="5" t="s">
        <v>30</v>
      </c>
      <c r="B43" s="87">
        <f t="shared" ca="1" si="10"/>
        <v>99877</v>
      </c>
      <c r="C43" s="87">
        <f t="shared" ca="1" si="11"/>
        <v>88296</v>
      </c>
      <c r="D43" s="87">
        <f t="shared" ca="1" si="11"/>
        <v>0</v>
      </c>
      <c r="E43" s="87">
        <f t="shared" ca="1" si="11"/>
        <v>11581</v>
      </c>
      <c r="F43" s="87">
        <f t="shared" ca="1" si="11"/>
        <v>0</v>
      </c>
      <c r="G43" s="87">
        <f t="shared" ca="1" si="11"/>
        <v>0</v>
      </c>
      <c r="H43" s="87">
        <f t="shared" ca="1" si="11"/>
        <v>0</v>
      </c>
      <c r="I43" s="87"/>
      <c r="J43" s="87">
        <f t="shared" ca="1" si="12"/>
        <v>10177</v>
      </c>
      <c r="K43" s="87">
        <f t="shared" ca="1" si="13"/>
        <v>0</v>
      </c>
      <c r="L43" s="87">
        <f t="shared" ca="1" si="13"/>
        <v>0</v>
      </c>
      <c r="M43" s="87">
        <f t="shared" ca="1" si="13"/>
        <v>10177</v>
      </c>
      <c r="N43" s="87">
        <f t="shared" ca="1" si="13"/>
        <v>0</v>
      </c>
      <c r="O43" s="87">
        <f t="shared" ca="1" si="13"/>
        <v>0</v>
      </c>
      <c r="P43" s="87">
        <f t="shared" ca="1" si="13"/>
        <v>0</v>
      </c>
      <c r="Q43" s="87"/>
    </row>
    <row r="44" spans="1:17" ht="15" customHeight="1" x14ac:dyDescent="0.3">
      <c r="A44" s="4" t="s">
        <v>31</v>
      </c>
      <c r="B44" s="87">
        <f t="shared" ca="1" si="10"/>
        <v>251</v>
      </c>
      <c r="C44" s="87">
        <f t="shared" ca="1" si="11"/>
        <v>239</v>
      </c>
      <c r="D44" s="87">
        <f t="shared" ca="1" si="11"/>
        <v>7</v>
      </c>
      <c r="E44" s="87">
        <f t="shared" ca="1" si="11"/>
        <v>5</v>
      </c>
      <c r="F44" s="87">
        <f t="shared" ca="1" si="11"/>
        <v>0</v>
      </c>
      <c r="G44" s="87">
        <f t="shared" ca="1" si="11"/>
        <v>0</v>
      </c>
      <c r="H44" s="87">
        <f t="shared" ca="1" si="11"/>
        <v>0</v>
      </c>
      <c r="I44" s="87"/>
      <c r="J44" s="87">
        <f t="shared" ca="1" si="12"/>
        <v>0</v>
      </c>
      <c r="K44" s="87">
        <f t="shared" ca="1" si="13"/>
        <v>0</v>
      </c>
      <c r="L44" s="87">
        <f t="shared" ca="1" si="13"/>
        <v>0</v>
      </c>
      <c r="M44" s="87">
        <f t="shared" ca="1" si="13"/>
        <v>0</v>
      </c>
      <c r="N44" s="87">
        <f t="shared" ca="1" si="13"/>
        <v>0</v>
      </c>
      <c r="O44" s="87">
        <f t="shared" ca="1" si="13"/>
        <v>0</v>
      </c>
      <c r="P44" s="87">
        <f t="shared" ca="1" si="13"/>
        <v>0</v>
      </c>
      <c r="Q44" s="87"/>
    </row>
    <row r="45" spans="1:17" ht="15" customHeight="1" x14ac:dyDescent="0.3">
      <c r="A45" s="4" t="s">
        <v>32</v>
      </c>
      <c r="B45" s="87">
        <f t="shared" ca="1" si="10"/>
        <v>4511</v>
      </c>
      <c r="C45" s="87">
        <f t="shared" ca="1" si="11"/>
        <v>4502</v>
      </c>
      <c r="D45" s="87">
        <f t="shared" ca="1" si="11"/>
        <v>0</v>
      </c>
      <c r="E45" s="87">
        <f t="shared" ca="1" si="11"/>
        <v>0</v>
      </c>
      <c r="F45" s="87">
        <f t="shared" ca="1" si="11"/>
        <v>9</v>
      </c>
      <c r="G45" s="87">
        <f t="shared" ca="1" si="11"/>
        <v>0</v>
      </c>
      <c r="H45" s="87">
        <f t="shared" ca="1" si="11"/>
        <v>0</v>
      </c>
      <c r="I45" s="87"/>
      <c r="J45" s="87">
        <f t="shared" ca="1" si="12"/>
        <v>3527</v>
      </c>
      <c r="K45" s="87">
        <f t="shared" ca="1" si="13"/>
        <v>3518</v>
      </c>
      <c r="L45" s="87">
        <f t="shared" ca="1" si="13"/>
        <v>0</v>
      </c>
      <c r="M45" s="87">
        <f t="shared" ca="1" si="13"/>
        <v>0</v>
      </c>
      <c r="N45" s="87">
        <f t="shared" ca="1" si="13"/>
        <v>9</v>
      </c>
      <c r="O45" s="87">
        <f t="shared" ca="1" si="13"/>
        <v>0</v>
      </c>
      <c r="P45" s="87">
        <f t="shared" ca="1" si="13"/>
        <v>0</v>
      </c>
      <c r="Q45" s="87"/>
    </row>
    <row r="46" spans="1:17" ht="15" customHeight="1" x14ac:dyDescent="0.3">
      <c r="A46" s="4" t="s">
        <v>33</v>
      </c>
      <c r="B46" s="87">
        <f t="shared" ca="1" si="10"/>
        <v>7164</v>
      </c>
      <c r="C46" s="87">
        <f t="shared" ca="1" si="11"/>
        <v>7164</v>
      </c>
      <c r="D46" s="87">
        <f t="shared" ca="1" si="11"/>
        <v>0</v>
      </c>
      <c r="E46" s="87">
        <f t="shared" ca="1" si="11"/>
        <v>0</v>
      </c>
      <c r="F46" s="87">
        <f t="shared" ca="1" si="11"/>
        <v>0</v>
      </c>
      <c r="G46" s="87">
        <f t="shared" ca="1" si="11"/>
        <v>0</v>
      </c>
      <c r="H46" s="87">
        <f t="shared" ca="1" si="11"/>
        <v>0</v>
      </c>
      <c r="I46" s="87"/>
      <c r="J46" s="87">
        <f t="shared" ca="1" si="12"/>
        <v>1601</v>
      </c>
      <c r="K46" s="87">
        <f t="shared" ca="1" si="13"/>
        <v>338</v>
      </c>
      <c r="L46" s="87">
        <f t="shared" ca="1" si="13"/>
        <v>0</v>
      </c>
      <c r="M46" s="87">
        <f t="shared" ca="1" si="13"/>
        <v>0</v>
      </c>
      <c r="N46" s="87">
        <f t="shared" ca="1" si="13"/>
        <v>1263</v>
      </c>
      <c r="O46" s="87">
        <f t="shared" ca="1" si="13"/>
        <v>0</v>
      </c>
      <c r="P46" s="87">
        <f t="shared" ca="1" si="13"/>
        <v>0</v>
      </c>
      <c r="Q46" s="87"/>
    </row>
    <row r="47" spans="1:17" ht="15" customHeight="1" x14ac:dyDescent="0.3">
      <c r="A47" s="4" t="s">
        <v>34</v>
      </c>
      <c r="B47" s="87">
        <f t="shared" ca="1" si="10"/>
        <v>21391</v>
      </c>
      <c r="C47" s="87">
        <f t="shared" ca="1" si="11"/>
        <v>18009</v>
      </c>
      <c r="D47" s="87">
        <f t="shared" ca="1" si="11"/>
        <v>0</v>
      </c>
      <c r="E47" s="87">
        <f t="shared" ca="1" si="11"/>
        <v>0</v>
      </c>
      <c r="F47" s="87">
        <f t="shared" ca="1" si="11"/>
        <v>3382</v>
      </c>
      <c r="G47" s="87">
        <f t="shared" ca="1" si="11"/>
        <v>0</v>
      </c>
      <c r="H47" s="87">
        <f t="shared" ca="1" si="11"/>
        <v>0</v>
      </c>
      <c r="I47" s="87"/>
      <c r="J47" s="87">
        <f t="shared" ca="1" si="12"/>
        <v>21391</v>
      </c>
      <c r="K47" s="87">
        <f t="shared" ca="1" si="13"/>
        <v>18009</v>
      </c>
      <c r="L47" s="87">
        <f t="shared" ca="1" si="13"/>
        <v>0</v>
      </c>
      <c r="M47" s="87">
        <f t="shared" ca="1" si="13"/>
        <v>0</v>
      </c>
      <c r="N47" s="87">
        <f t="shared" ca="1" si="13"/>
        <v>3382</v>
      </c>
      <c r="O47" s="87">
        <f t="shared" ca="1" si="13"/>
        <v>0</v>
      </c>
      <c r="P47" s="87">
        <f t="shared" ca="1" si="13"/>
        <v>0</v>
      </c>
      <c r="Q47" s="87"/>
    </row>
    <row r="48" spans="1:17" ht="15" customHeight="1" x14ac:dyDescent="0.3">
      <c r="A48" s="4" t="s">
        <v>35</v>
      </c>
      <c r="B48" s="87">
        <f t="shared" ca="1" si="10"/>
        <v>15092</v>
      </c>
      <c r="C48" s="87">
        <f t="shared" ca="1" si="11"/>
        <v>13256</v>
      </c>
      <c r="D48" s="87">
        <f t="shared" ca="1" si="11"/>
        <v>0</v>
      </c>
      <c r="E48" s="87">
        <f t="shared" ca="1" si="11"/>
        <v>49</v>
      </c>
      <c r="F48" s="87">
        <f t="shared" ca="1" si="11"/>
        <v>1265</v>
      </c>
      <c r="G48" s="87">
        <f t="shared" ca="1" si="11"/>
        <v>0</v>
      </c>
      <c r="H48" s="87">
        <f t="shared" ca="1" si="11"/>
        <v>522</v>
      </c>
      <c r="I48" s="87"/>
      <c r="J48" s="87">
        <f t="shared" ca="1" si="12"/>
        <v>10997</v>
      </c>
      <c r="K48" s="87">
        <f t="shared" ca="1" si="13"/>
        <v>9710</v>
      </c>
      <c r="L48" s="87">
        <f t="shared" ca="1" si="13"/>
        <v>0</v>
      </c>
      <c r="M48" s="87">
        <f t="shared" ca="1" si="13"/>
        <v>28</v>
      </c>
      <c r="N48" s="87">
        <f t="shared" ca="1" si="13"/>
        <v>1009</v>
      </c>
      <c r="O48" s="87">
        <f t="shared" ca="1" si="13"/>
        <v>0</v>
      </c>
      <c r="P48" s="87">
        <f t="shared" ca="1" si="13"/>
        <v>250</v>
      </c>
      <c r="Q48" s="87"/>
    </row>
    <row r="49" spans="1:17" ht="15" customHeight="1" x14ac:dyDescent="0.3">
      <c r="A49" s="4" t="s">
        <v>36</v>
      </c>
      <c r="B49" s="87">
        <f t="shared" ca="1" si="10"/>
        <v>8415</v>
      </c>
      <c r="C49" s="87">
        <f t="shared" ca="1" si="11"/>
        <v>7308</v>
      </c>
      <c r="D49" s="87">
        <f t="shared" ca="1" si="11"/>
        <v>0</v>
      </c>
      <c r="E49" s="87">
        <f t="shared" ca="1" si="11"/>
        <v>0</v>
      </c>
      <c r="F49" s="87">
        <f t="shared" ca="1" si="11"/>
        <v>1107</v>
      </c>
      <c r="G49" s="87">
        <f t="shared" ca="1" si="11"/>
        <v>0</v>
      </c>
      <c r="H49" s="87">
        <f t="shared" ca="1" si="11"/>
        <v>0</v>
      </c>
      <c r="I49" s="87"/>
      <c r="J49" s="87">
        <f t="shared" ca="1" si="12"/>
        <v>7220</v>
      </c>
      <c r="K49" s="87">
        <f t="shared" ca="1" si="13"/>
        <v>6240</v>
      </c>
      <c r="L49" s="87">
        <f t="shared" ca="1" si="13"/>
        <v>0</v>
      </c>
      <c r="M49" s="87">
        <f t="shared" ca="1" si="13"/>
        <v>0</v>
      </c>
      <c r="N49" s="87">
        <f t="shared" ca="1" si="13"/>
        <v>980</v>
      </c>
      <c r="O49" s="87">
        <f t="shared" ca="1" si="13"/>
        <v>0</v>
      </c>
      <c r="P49" s="87">
        <f t="shared" ca="1" si="13"/>
        <v>0</v>
      </c>
      <c r="Q49" s="87"/>
    </row>
    <row r="50" spans="1:17" ht="15" customHeight="1" x14ac:dyDescent="0.3">
      <c r="A50" s="4" t="s">
        <v>37</v>
      </c>
      <c r="B50" s="87">
        <f t="shared" ca="1" si="10"/>
        <v>5000</v>
      </c>
      <c r="C50" s="87">
        <f t="shared" ca="1" si="11"/>
        <v>2370</v>
      </c>
      <c r="D50" s="87">
        <f t="shared" ca="1" si="11"/>
        <v>0</v>
      </c>
      <c r="E50" s="87">
        <f t="shared" ca="1" si="11"/>
        <v>0</v>
      </c>
      <c r="F50" s="87">
        <f t="shared" ca="1" si="11"/>
        <v>736</v>
      </c>
      <c r="G50" s="87">
        <f t="shared" ca="1" si="11"/>
        <v>0</v>
      </c>
      <c r="H50" s="87">
        <f t="shared" ca="1" si="11"/>
        <v>1894</v>
      </c>
      <c r="I50" s="87"/>
      <c r="J50" s="87">
        <f t="shared" ca="1" si="12"/>
        <v>5000</v>
      </c>
      <c r="K50" s="87">
        <f t="shared" ca="1" si="13"/>
        <v>2370</v>
      </c>
      <c r="L50" s="87">
        <f t="shared" ca="1" si="13"/>
        <v>0</v>
      </c>
      <c r="M50" s="87">
        <f t="shared" ca="1" si="13"/>
        <v>0</v>
      </c>
      <c r="N50" s="87">
        <f t="shared" ca="1" si="13"/>
        <v>736</v>
      </c>
      <c r="O50" s="87">
        <f t="shared" ca="1" si="13"/>
        <v>0</v>
      </c>
      <c r="P50" s="87">
        <f t="shared" ca="1" si="13"/>
        <v>1894</v>
      </c>
      <c r="Q50" s="87"/>
    </row>
    <row r="51" spans="1:17" ht="15" customHeight="1" x14ac:dyDescent="0.3">
      <c r="A51" s="4" t="s">
        <v>38</v>
      </c>
      <c r="B51" s="87">
        <f t="shared" ca="1" si="10"/>
        <v>34898</v>
      </c>
      <c r="C51" s="87">
        <f t="shared" ca="1" si="11"/>
        <v>29056</v>
      </c>
      <c r="D51" s="87">
        <f t="shared" ca="1" si="11"/>
        <v>56</v>
      </c>
      <c r="E51" s="87">
        <f t="shared" ca="1" si="11"/>
        <v>5786</v>
      </c>
      <c r="F51" s="87">
        <f t="shared" ca="1" si="11"/>
        <v>0</v>
      </c>
      <c r="G51" s="87">
        <f t="shared" ca="1" si="11"/>
        <v>0</v>
      </c>
      <c r="H51" s="87">
        <f t="shared" ca="1" si="11"/>
        <v>0</v>
      </c>
      <c r="I51" s="87"/>
      <c r="J51" s="87">
        <f t="shared" ca="1" si="12"/>
        <v>2438</v>
      </c>
      <c r="K51" s="87">
        <f t="shared" ca="1" si="13"/>
        <v>1764</v>
      </c>
      <c r="L51" s="87">
        <f t="shared" ca="1" si="13"/>
        <v>0</v>
      </c>
      <c r="M51" s="87">
        <f t="shared" ca="1" si="13"/>
        <v>674</v>
      </c>
      <c r="N51" s="87">
        <f t="shared" ca="1" si="13"/>
        <v>0</v>
      </c>
      <c r="O51" s="87">
        <f t="shared" ca="1" si="13"/>
        <v>0</v>
      </c>
      <c r="P51" s="87">
        <f t="shared" ca="1" si="13"/>
        <v>0</v>
      </c>
      <c r="Q51" s="87"/>
    </row>
    <row r="52" spans="1:17" ht="15" customHeight="1" x14ac:dyDescent="0.3">
      <c r="A52" s="4" t="s">
        <v>39</v>
      </c>
      <c r="B52" s="87">
        <f t="shared" ca="1" si="10"/>
        <v>0</v>
      </c>
      <c r="C52" s="87">
        <f t="shared" ca="1" si="11"/>
        <v>0</v>
      </c>
      <c r="D52" s="87">
        <f t="shared" ca="1" si="11"/>
        <v>0</v>
      </c>
      <c r="E52" s="87">
        <f t="shared" ca="1" si="11"/>
        <v>0</v>
      </c>
      <c r="F52" s="87">
        <f t="shared" ca="1" si="11"/>
        <v>0</v>
      </c>
      <c r="G52" s="87">
        <f t="shared" ca="1" si="11"/>
        <v>0</v>
      </c>
      <c r="H52" s="87">
        <f t="shared" ca="1" si="11"/>
        <v>0</v>
      </c>
      <c r="I52" s="87"/>
      <c r="J52" s="87">
        <f t="shared" ca="1" si="12"/>
        <v>0</v>
      </c>
      <c r="K52" s="87">
        <f t="shared" ca="1" si="13"/>
        <v>0</v>
      </c>
      <c r="L52" s="87">
        <f t="shared" ca="1" si="13"/>
        <v>0</v>
      </c>
      <c r="M52" s="87">
        <f t="shared" ca="1" si="13"/>
        <v>0</v>
      </c>
      <c r="N52" s="87">
        <f t="shared" ca="1" si="13"/>
        <v>0</v>
      </c>
      <c r="O52" s="87">
        <f t="shared" ca="1" si="13"/>
        <v>0</v>
      </c>
      <c r="P52" s="87">
        <f t="shared" ca="1" si="13"/>
        <v>0</v>
      </c>
      <c r="Q52" s="87"/>
    </row>
    <row r="53" spans="1:17" ht="15" customHeight="1" x14ac:dyDescent="0.3">
      <c r="A53" s="95" t="s">
        <v>40</v>
      </c>
      <c r="B53" s="87">
        <f t="shared" ca="1" si="10"/>
        <v>3512</v>
      </c>
      <c r="C53" s="87">
        <f t="shared" ca="1" si="11"/>
        <v>2040</v>
      </c>
      <c r="D53" s="87">
        <f t="shared" ca="1" si="11"/>
        <v>282</v>
      </c>
      <c r="E53" s="87">
        <f t="shared" ca="1" si="11"/>
        <v>0</v>
      </c>
      <c r="F53" s="87">
        <f t="shared" ca="1" si="11"/>
        <v>1190</v>
      </c>
      <c r="G53" s="87">
        <f t="shared" ca="1" si="11"/>
        <v>0</v>
      </c>
      <c r="H53" s="87">
        <f t="shared" ca="1" si="11"/>
        <v>0</v>
      </c>
      <c r="I53" s="87"/>
      <c r="J53" s="87">
        <f t="shared" ca="1" si="12"/>
        <v>1190</v>
      </c>
      <c r="K53" s="87">
        <f t="shared" ca="1" si="13"/>
        <v>0</v>
      </c>
      <c r="L53" s="87">
        <f t="shared" ca="1" si="13"/>
        <v>0</v>
      </c>
      <c r="M53" s="87">
        <f t="shared" ca="1" si="13"/>
        <v>0</v>
      </c>
      <c r="N53" s="87">
        <f t="shared" ca="1" si="13"/>
        <v>1190</v>
      </c>
      <c r="O53" s="87">
        <f t="shared" ca="1" si="13"/>
        <v>0</v>
      </c>
      <c r="P53" s="87">
        <f t="shared" ca="1" si="13"/>
        <v>0</v>
      </c>
      <c r="Q53" s="87"/>
    </row>
    <row r="54" spans="1:17" ht="15" customHeight="1" x14ac:dyDescent="0.3">
      <c r="A54" s="31" t="s">
        <v>41</v>
      </c>
      <c r="B54" s="87">
        <f t="shared" ca="1" si="10"/>
        <v>9108</v>
      </c>
      <c r="C54" s="87">
        <f t="shared" ca="1" si="11"/>
        <v>7369</v>
      </c>
      <c r="D54" s="87">
        <f t="shared" ca="1" si="11"/>
        <v>1144</v>
      </c>
      <c r="E54" s="87">
        <f t="shared" ca="1" si="11"/>
        <v>0</v>
      </c>
      <c r="F54" s="87">
        <f t="shared" ca="1" si="11"/>
        <v>595</v>
      </c>
      <c r="G54" s="87">
        <f t="shared" ca="1" si="11"/>
        <v>0</v>
      </c>
      <c r="H54" s="87">
        <f t="shared" ca="1" si="11"/>
        <v>0</v>
      </c>
      <c r="I54" s="87"/>
      <c r="J54" s="87">
        <f t="shared" ca="1" si="12"/>
        <v>213</v>
      </c>
      <c r="K54" s="87">
        <f t="shared" ca="1" si="13"/>
        <v>87</v>
      </c>
      <c r="L54" s="87">
        <f t="shared" ca="1" si="13"/>
        <v>0</v>
      </c>
      <c r="M54" s="87">
        <f t="shared" ca="1" si="13"/>
        <v>0</v>
      </c>
      <c r="N54" s="87">
        <f t="shared" ca="1" si="13"/>
        <v>126</v>
      </c>
      <c r="O54" s="87">
        <f t="shared" ca="1" si="13"/>
        <v>0</v>
      </c>
      <c r="P54" s="87">
        <f t="shared" ca="1" si="13"/>
        <v>0</v>
      </c>
      <c r="Q54" s="87"/>
    </row>
    <row r="55" spans="1:17" ht="15" customHeight="1" x14ac:dyDescent="0.3">
      <c r="A55" s="31" t="s">
        <v>42</v>
      </c>
      <c r="B55" s="87">
        <f t="shared" ca="1" si="10"/>
        <v>0</v>
      </c>
      <c r="C55" s="87">
        <f t="shared" ca="1" si="11"/>
        <v>0</v>
      </c>
      <c r="D55" s="87">
        <f t="shared" ca="1" si="11"/>
        <v>0</v>
      </c>
      <c r="E55" s="87">
        <f t="shared" ca="1" si="11"/>
        <v>0</v>
      </c>
      <c r="F55" s="87">
        <f t="shared" ca="1" si="11"/>
        <v>0</v>
      </c>
      <c r="G55" s="87">
        <f t="shared" ca="1" si="11"/>
        <v>0</v>
      </c>
      <c r="H55" s="87">
        <f t="shared" ca="1" si="11"/>
        <v>0</v>
      </c>
      <c r="I55" s="87"/>
      <c r="J55" s="87">
        <f t="shared" ca="1" si="12"/>
        <v>0</v>
      </c>
      <c r="K55" s="87">
        <f t="shared" ca="1" si="13"/>
        <v>0</v>
      </c>
      <c r="L55" s="87">
        <f t="shared" ca="1" si="13"/>
        <v>0</v>
      </c>
      <c r="M55" s="87">
        <f t="shared" ca="1" si="13"/>
        <v>0</v>
      </c>
      <c r="N55" s="87">
        <f t="shared" ca="1" si="13"/>
        <v>0</v>
      </c>
      <c r="O55" s="87">
        <f t="shared" ca="1" si="13"/>
        <v>0</v>
      </c>
      <c r="P55" s="87">
        <f t="shared" ca="1" si="13"/>
        <v>0</v>
      </c>
      <c r="Q55" s="87"/>
    </row>
    <row r="56" spans="1:17" ht="15" customHeight="1" x14ac:dyDescent="0.3">
      <c r="A56" s="31" t="s">
        <v>43</v>
      </c>
      <c r="B56" s="87">
        <f t="shared" ca="1" si="10"/>
        <v>12416</v>
      </c>
      <c r="C56" s="87">
        <f t="shared" ca="1" si="11"/>
        <v>11522</v>
      </c>
      <c r="D56" s="87">
        <f t="shared" ca="1" si="11"/>
        <v>0</v>
      </c>
      <c r="E56" s="87">
        <f t="shared" ca="1" si="11"/>
        <v>0</v>
      </c>
      <c r="F56" s="87">
        <f t="shared" ca="1" si="11"/>
        <v>894</v>
      </c>
      <c r="G56" s="87">
        <f t="shared" ca="1" si="11"/>
        <v>0</v>
      </c>
      <c r="H56" s="87">
        <f t="shared" ca="1" si="11"/>
        <v>0</v>
      </c>
      <c r="I56" s="87"/>
      <c r="J56" s="87">
        <f t="shared" ca="1" si="12"/>
        <v>12416</v>
      </c>
      <c r="K56" s="87">
        <f t="shared" ca="1" si="13"/>
        <v>11522</v>
      </c>
      <c r="L56" s="87">
        <f t="shared" ca="1" si="13"/>
        <v>0</v>
      </c>
      <c r="M56" s="87">
        <f t="shared" ca="1" si="13"/>
        <v>0</v>
      </c>
      <c r="N56" s="87">
        <f t="shared" ca="1" si="13"/>
        <v>894</v>
      </c>
      <c r="O56" s="87">
        <f t="shared" ca="1" si="13"/>
        <v>0</v>
      </c>
      <c r="P56" s="87">
        <f t="shared" ca="1" si="13"/>
        <v>0</v>
      </c>
      <c r="Q56" s="87"/>
    </row>
    <row r="57" spans="1:17" ht="15" customHeight="1" x14ac:dyDescent="0.3">
      <c r="A57" s="31" t="s">
        <v>44</v>
      </c>
      <c r="B57" s="87">
        <f t="shared" ca="1" si="10"/>
        <v>154707</v>
      </c>
      <c r="C57" s="87">
        <f t="shared" ca="1" si="11"/>
        <v>154707</v>
      </c>
      <c r="D57" s="87">
        <f t="shared" ca="1" si="11"/>
        <v>0</v>
      </c>
      <c r="E57" s="87">
        <f t="shared" ca="1" si="11"/>
        <v>0</v>
      </c>
      <c r="F57" s="87">
        <f t="shared" ca="1" si="11"/>
        <v>0</v>
      </c>
      <c r="G57" s="87">
        <f t="shared" ca="1" si="11"/>
        <v>0</v>
      </c>
      <c r="H57" s="87">
        <f t="shared" ca="1" si="11"/>
        <v>0</v>
      </c>
      <c r="I57" s="87"/>
      <c r="J57" s="87">
        <f t="shared" ca="1" si="12"/>
        <v>154707</v>
      </c>
      <c r="K57" s="87">
        <f t="shared" ca="1" si="13"/>
        <v>154707</v>
      </c>
      <c r="L57" s="87">
        <f t="shared" ca="1" si="13"/>
        <v>0</v>
      </c>
      <c r="M57" s="87">
        <f t="shared" ca="1" si="13"/>
        <v>0</v>
      </c>
      <c r="N57" s="87">
        <f t="shared" ca="1" si="13"/>
        <v>0</v>
      </c>
      <c r="O57" s="87">
        <f t="shared" ca="1" si="13"/>
        <v>0</v>
      </c>
      <c r="P57" s="87">
        <f t="shared" ca="1" si="13"/>
        <v>0</v>
      </c>
      <c r="Q57" s="87"/>
    </row>
    <row r="58" spans="1:17" ht="15" customHeight="1" x14ac:dyDescent="0.3">
      <c r="A58" s="31" t="s">
        <v>45</v>
      </c>
      <c r="B58" s="87">
        <f t="shared" ca="1" si="10"/>
        <v>7261</v>
      </c>
      <c r="C58" s="87">
        <f t="shared" ca="1" si="11"/>
        <v>5124</v>
      </c>
      <c r="D58" s="87">
        <f t="shared" ca="1" si="11"/>
        <v>0</v>
      </c>
      <c r="E58" s="87">
        <f t="shared" ca="1" si="11"/>
        <v>2137</v>
      </c>
      <c r="F58" s="87">
        <f t="shared" ca="1" si="11"/>
        <v>0</v>
      </c>
      <c r="G58" s="87">
        <f t="shared" ca="1" si="11"/>
        <v>0</v>
      </c>
      <c r="H58" s="87">
        <f t="shared" ca="1" si="11"/>
        <v>0</v>
      </c>
      <c r="I58" s="87"/>
      <c r="J58" s="87">
        <f t="shared" ca="1" si="12"/>
        <v>7261</v>
      </c>
      <c r="K58" s="87">
        <f t="shared" ca="1" si="13"/>
        <v>5124</v>
      </c>
      <c r="L58" s="87">
        <f t="shared" ca="1" si="13"/>
        <v>0</v>
      </c>
      <c r="M58" s="87">
        <f t="shared" ca="1" si="13"/>
        <v>2137</v>
      </c>
      <c r="N58" s="87">
        <f t="shared" ca="1" si="13"/>
        <v>0</v>
      </c>
      <c r="O58" s="87">
        <f t="shared" ca="1" si="13"/>
        <v>0</v>
      </c>
      <c r="P58" s="87">
        <f t="shared" ca="1" si="13"/>
        <v>0</v>
      </c>
      <c r="Q58" s="87"/>
    </row>
    <row r="59" spans="1:17" ht="15" customHeight="1" x14ac:dyDescent="0.3">
      <c r="A59" s="31" t="s">
        <v>46</v>
      </c>
      <c r="B59" s="87">
        <f t="shared" ca="1" si="10"/>
        <v>872</v>
      </c>
      <c r="C59" s="87">
        <f t="shared" ca="1" si="11"/>
        <v>851</v>
      </c>
      <c r="D59" s="87">
        <f t="shared" ca="1" si="11"/>
        <v>0</v>
      </c>
      <c r="E59" s="87">
        <f t="shared" ca="1" si="11"/>
        <v>0</v>
      </c>
      <c r="F59" s="87">
        <f t="shared" ca="1" si="11"/>
        <v>21</v>
      </c>
      <c r="G59" s="87">
        <f t="shared" ca="1" si="11"/>
        <v>0</v>
      </c>
      <c r="H59" s="87">
        <f t="shared" ca="1" si="11"/>
        <v>0</v>
      </c>
      <c r="I59" s="87"/>
      <c r="J59" s="87">
        <f t="shared" ca="1" si="12"/>
        <v>872</v>
      </c>
      <c r="K59" s="87">
        <f t="shared" ca="1" si="13"/>
        <v>851</v>
      </c>
      <c r="L59" s="87">
        <f t="shared" ca="1" si="13"/>
        <v>0</v>
      </c>
      <c r="M59" s="87">
        <f t="shared" ca="1" si="13"/>
        <v>0</v>
      </c>
      <c r="N59" s="87">
        <f t="shared" ca="1" si="13"/>
        <v>21</v>
      </c>
      <c r="O59" s="87">
        <f t="shared" ca="1" si="13"/>
        <v>0</v>
      </c>
      <c r="P59" s="87">
        <f t="shared" ca="1" si="13"/>
        <v>0</v>
      </c>
      <c r="Q59" s="87"/>
    </row>
    <row r="60" spans="1:17" x14ac:dyDescent="0.3">
      <c r="A60" s="53"/>
      <c r="B60" s="53"/>
      <c r="C60" s="53"/>
      <c r="D60" s="53"/>
      <c r="E60" s="53"/>
      <c r="F60" s="53"/>
      <c r="G60" s="53"/>
      <c r="H60" s="53"/>
      <c r="I60" s="53"/>
      <c r="J60" s="53"/>
      <c r="K60" s="53"/>
      <c r="L60" s="53"/>
      <c r="M60" s="53"/>
      <c r="N60" s="53"/>
      <c r="O60" s="53"/>
      <c r="P60" s="53"/>
      <c r="Q60" s="53"/>
    </row>
  </sheetData>
  <mergeCells count="5">
    <mergeCell ref="B7:H7"/>
    <mergeCell ref="J7:P7"/>
    <mergeCell ref="A1:Q1"/>
    <mergeCell ref="A4:Q4"/>
    <mergeCell ref="B6:P6"/>
  </mergeCells>
  <conditionalFormatting sqref="B9:Q59">
    <cfRule type="cellIs" dxfId="1" priority="1" operator="lessThan">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1BD54-23DA-4ED7-BAFE-EF143E6A41F8}">
  <sheetPr codeName="Sheet22"/>
  <dimension ref="A1:AJ67"/>
  <sheetViews>
    <sheetView zoomScaleNormal="100" workbookViewId="0">
      <pane ySplit="6" topLeftCell="A7" activePane="bottomLeft" state="frozen"/>
      <selection pane="bottomLeft" activeCell="A3" sqref="A3"/>
    </sheetView>
  </sheetViews>
  <sheetFormatPr defaultColWidth="8.77734375" defaultRowHeight="14.4" x14ac:dyDescent="0.3"/>
  <cols>
    <col min="1" max="1" width="20.5546875" style="5" customWidth="1"/>
    <col min="2" max="8" width="12.77734375" style="5" customWidth="1"/>
    <col min="9" max="9" width="2.77734375" style="5" customWidth="1"/>
    <col min="10" max="17" width="12.77734375" style="5" customWidth="1"/>
    <col min="18" max="16384" width="8.77734375" style="5"/>
  </cols>
  <sheetData>
    <row r="1" spans="1:36" s="3" customFormat="1" ht="18.75" customHeight="1" x14ac:dyDescent="0.45">
      <c r="A1" s="160" t="s">
        <v>200</v>
      </c>
      <c r="B1" s="160"/>
      <c r="C1" s="160"/>
      <c r="D1" s="160"/>
      <c r="E1" s="160"/>
      <c r="F1" s="160"/>
      <c r="G1" s="160"/>
      <c r="H1" s="160"/>
      <c r="I1" s="160"/>
      <c r="J1" s="160"/>
      <c r="K1" s="160"/>
      <c r="L1" s="160"/>
      <c r="M1" s="160"/>
      <c r="N1" s="160"/>
      <c r="O1" s="160"/>
      <c r="P1" s="160"/>
      <c r="Q1" s="5"/>
      <c r="R1" s="5"/>
      <c r="S1" s="5"/>
      <c r="T1" s="5"/>
      <c r="U1" s="5"/>
      <c r="V1" s="5"/>
      <c r="W1" s="5"/>
      <c r="X1" s="5"/>
      <c r="Y1" s="5"/>
      <c r="Z1" s="5"/>
      <c r="AA1" s="5"/>
      <c r="AB1" s="5"/>
      <c r="AC1" s="5"/>
      <c r="AD1" s="5"/>
      <c r="AE1" s="5"/>
      <c r="AF1" s="5"/>
      <c r="AG1" s="5"/>
      <c r="AH1" s="5"/>
      <c r="AI1" s="5"/>
      <c r="AJ1" s="5"/>
    </row>
    <row r="2" spans="1:36" s="3" customFormat="1" ht="15" customHeight="1" x14ac:dyDescent="0.3">
      <c r="A2" s="166"/>
      <c r="B2" s="166"/>
      <c r="C2" s="166"/>
      <c r="D2" s="166"/>
      <c r="E2" s="166"/>
      <c r="F2" s="166"/>
      <c r="G2" s="166"/>
      <c r="H2" s="166"/>
      <c r="I2" s="166"/>
      <c r="J2" s="166"/>
      <c r="K2" s="166"/>
      <c r="L2" s="166"/>
      <c r="M2" s="166"/>
      <c r="N2" s="166"/>
      <c r="O2" s="166"/>
      <c r="P2" s="5"/>
      <c r="Q2" s="5"/>
      <c r="R2" s="5"/>
      <c r="S2" s="5"/>
      <c r="T2" s="5"/>
      <c r="U2" s="5"/>
      <c r="V2" s="5"/>
      <c r="W2" s="5"/>
      <c r="X2" s="5"/>
      <c r="Y2" s="5"/>
      <c r="Z2" s="5"/>
      <c r="AA2" s="5"/>
      <c r="AB2" s="5"/>
      <c r="AC2" s="5"/>
      <c r="AD2" s="5"/>
      <c r="AE2" s="5"/>
      <c r="AF2" s="5"/>
      <c r="AG2" s="5"/>
      <c r="AH2" s="5"/>
      <c r="AI2" s="5"/>
      <c r="AJ2" s="5"/>
    </row>
    <row r="3" spans="1:36" ht="15" thickBot="1" x14ac:dyDescent="0.35">
      <c r="A3" s="154" t="s">
        <v>147</v>
      </c>
      <c r="B3" s="150"/>
      <c r="C3" s="150"/>
      <c r="D3" s="150"/>
      <c r="E3" s="150"/>
      <c r="F3" s="150"/>
      <c r="G3" s="150"/>
      <c r="Q3" s="3"/>
    </row>
    <row r="4" spans="1:36" s="3" customFormat="1" ht="16.8" thickBot="1" x14ac:dyDescent="0.35">
      <c r="A4" s="2"/>
      <c r="C4" s="155"/>
      <c r="D4" s="155"/>
      <c r="E4" s="152" t="s">
        <v>158</v>
      </c>
      <c r="F4" s="155"/>
      <c r="G4" s="155"/>
      <c r="H4" s="155"/>
      <c r="I4" s="43"/>
      <c r="K4" s="155"/>
      <c r="L4" s="155"/>
      <c r="M4" s="152" t="s">
        <v>156</v>
      </c>
      <c r="N4" s="155"/>
      <c r="O4" s="155"/>
      <c r="P4" s="155"/>
      <c r="Q4" s="119"/>
    </row>
    <row r="5" spans="1:36" s="45" customFormat="1" ht="40.5" customHeight="1" thickBot="1" x14ac:dyDescent="0.35">
      <c r="A5" s="46"/>
      <c r="B5" s="169" t="s">
        <v>99</v>
      </c>
      <c r="C5" s="170" t="s">
        <v>106</v>
      </c>
      <c r="D5" s="170" t="s">
        <v>105</v>
      </c>
      <c r="E5" s="170" t="s">
        <v>157</v>
      </c>
      <c r="F5" s="170" t="s">
        <v>107</v>
      </c>
      <c r="G5" s="170" t="s">
        <v>108</v>
      </c>
      <c r="H5" s="170" t="s">
        <v>109</v>
      </c>
      <c r="I5" s="170"/>
      <c r="J5" s="169" t="s">
        <v>99</v>
      </c>
      <c r="K5" s="170" t="s">
        <v>106</v>
      </c>
      <c r="L5" s="170" t="s">
        <v>105</v>
      </c>
      <c r="M5" s="170" t="s">
        <v>157</v>
      </c>
      <c r="N5" s="170" t="s">
        <v>107</v>
      </c>
      <c r="O5" s="170" t="s">
        <v>108</v>
      </c>
      <c r="P5" s="170" t="s">
        <v>109</v>
      </c>
      <c r="Q5" s="171"/>
    </row>
    <row r="6" spans="1:36" s="3" customFormat="1" ht="15" customHeight="1" x14ac:dyDescent="0.3">
      <c r="A6" s="24" t="s">
        <v>0</v>
      </c>
      <c r="B6" s="52">
        <f ca="1">FIRE1201a_raw!B9</f>
        <v>1179258</v>
      </c>
      <c r="C6" s="52">
        <f ca="1">FIRE1201a_raw!C9</f>
        <v>1029916</v>
      </c>
      <c r="D6" s="52">
        <f ca="1">FIRE1201a_raw!D9</f>
        <v>5708</v>
      </c>
      <c r="E6" s="52">
        <f ca="1">FIRE1201a_raw!E9</f>
        <v>81030</v>
      </c>
      <c r="F6" s="52">
        <f ca="1">FIRE1201a_raw!F9</f>
        <v>51319</v>
      </c>
      <c r="G6" s="52">
        <f ca="1">FIRE1201a_raw!G9</f>
        <v>3594</v>
      </c>
      <c r="H6" s="52">
        <f ca="1">FIRE1201a_raw!H9</f>
        <v>7691</v>
      </c>
      <c r="I6" s="52"/>
      <c r="J6" s="52">
        <f ca="1">FIRE1201a_raw!J9</f>
        <v>561401</v>
      </c>
      <c r="K6" s="52">
        <f ca="1">FIRE1201a_raw!K9</f>
        <v>450708</v>
      </c>
      <c r="L6" s="52">
        <f ca="1">FIRE1201a_raw!L9</f>
        <v>696</v>
      </c>
      <c r="M6" s="52">
        <f ca="1">FIRE1201a_raw!M9</f>
        <v>71307</v>
      </c>
      <c r="N6" s="52">
        <f ca="1">FIRE1201a_raw!N9</f>
        <v>30230</v>
      </c>
      <c r="O6" s="52">
        <f ca="1">FIRE1201a_raw!O9</f>
        <v>3594</v>
      </c>
      <c r="P6" s="52">
        <f ca="1">FIRE1201a_raw!P9</f>
        <v>4866</v>
      </c>
      <c r="Q6" s="153"/>
      <c r="R6" s="153"/>
      <c r="S6" s="153"/>
      <c r="T6" s="153"/>
      <c r="U6" s="153"/>
    </row>
    <row r="7" spans="1:36" s="3" customFormat="1" ht="15" customHeight="1" x14ac:dyDescent="0.3">
      <c r="A7" s="25" t="s">
        <v>77</v>
      </c>
      <c r="B7" s="52">
        <f ca="1">FIRE1201a_raw!B10</f>
        <v>511577</v>
      </c>
      <c r="C7" s="52">
        <f ca="1">FIRE1201a_raw!C10</f>
        <v>382195</v>
      </c>
      <c r="D7" s="52">
        <f ca="1">FIRE1201a_raw!D10</f>
        <v>5589</v>
      </c>
      <c r="E7" s="52">
        <f ca="1">FIRE1201a_raw!E10</f>
        <v>61229</v>
      </c>
      <c r="F7" s="52">
        <f ca="1">FIRE1201a_raw!F10</f>
        <v>51279</v>
      </c>
      <c r="G7" s="52">
        <f ca="1">FIRE1201a_raw!G10</f>
        <v>3594</v>
      </c>
      <c r="H7" s="52">
        <f ca="1">FIRE1201a_raw!H10</f>
        <v>7691</v>
      </c>
      <c r="I7" s="52"/>
      <c r="J7" s="52">
        <f ca="1">FIRE1201a_raw!J10</f>
        <v>370427</v>
      </c>
      <c r="K7" s="52">
        <f ca="1">FIRE1201a_raw!K10</f>
        <v>273604</v>
      </c>
      <c r="L7" s="52">
        <f ca="1">FIRE1201a_raw!L10</f>
        <v>633</v>
      </c>
      <c r="M7" s="52">
        <f ca="1">FIRE1201a_raw!M10</f>
        <v>58022</v>
      </c>
      <c r="N7" s="52">
        <f ca="1">FIRE1201a_raw!N10</f>
        <v>29708</v>
      </c>
      <c r="O7" s="52">
        <f ca="1">FIRE1201a_raw!O10</f>
        <v>3594</v>
      </c>
      <c r="P7" s="52">
        <f ca="1">FIRE1201a_raw!P10</f>
        <v>4866</v>
      </c>
      <c r="Q7" s="52"/>
    </row>
    <row r="8" spans="1:36" s="3" customFormat="1" ht="15" customHeight="1" x14ac:dyDescent="0.3">
      <c r="A8" s="25" t="s">
        <v>49</v>
      </c>
      <c r="B8" s="52">
        <f ca="1">FIRE1201a_raw!B11</f>
        <v>667681</v>
      </c>
      <c r="C8" s="52">
        <f ca="1">FIRE1201a_raw!C11</f>
        <v>647721</v>
      </c>
      <c r="D8" s="52">
        <f ca="1">FIRE1201a_raw!D11</f>
        <v>119</v>
      </c>
      <c r="E8" s="52">
        <f ca="1">FIRE1201a_raw!E11</f>
        <v>19801</v>
      </c>
      <c r="F8" s="52">
        <f ca="1">FIRE1201a_raw!F11</f>
        <v>40</v>
      </c>
      <c r="G8" s="52">
        <f ca="1">FIRE1201a_raw!G11</f>
        <v>0</v>
      </c>
      <c r="H8" s="52">
        <f ca="1">FIRE1201a_raw!H11</f>
        <v>0</v>
      </c>
      <c r="I8" s="52"/>
      <c r="J8" s="52">
        <f ca="1">FIRE1201a_raw!J11</f>
        <v>190974</v>
      </c>
      <c r="K8" s="52">
        <f ca="1">FIRE1201a_raw!K11</f>
        <v>177104</v>
      </c>
      <c r="L8" s="52">
        <f ca="1">FIRE1201a_raw!L11</f>
        <v>63</v>
      </c>
      <c r="M8" s="52">
        <f ca="1">FIRE1201a_raw!M11</f>
        <v>13285</v>
      </c>
      <c r="N8" s="52">
        <f ca="1">FIRE1201a_raw!N11</f>
        <v>522</v>
      </c>
      <c r="O8" s="52">
        <f ca="1">FIRE1201a_raw!O11</f>
        <v>0</v>
      </c>
      <c r="P8" s="52">
        <f ca="1">FIRE1201a_raw!P11</f>
        <v>0</v>
      </c>
      <c r="Q8" s="52"/>
    </row>
    <row r="9" spans="1:36" s="3" customFormat="1" ht="15" customHeight="1" x14ac:dyDescent="0.3">
      <c r="A9" s="25" t="s">
        <v>114</v>
      </c>
      <c r="B9" s="52">
        <f ca="1">FIRE1201a_raw!B12</f>
        <v>844710</v>
      </c>
      <c r="C9" s="52">
        <f ca="1">FIRE1201a_raw!C12</f>
        <v>791781</v>
      </c>
      <c r="D9" s="52">
        <f ca="1">FIRE1201a_raw!D12</f>
        <v>3691</v>
      </c>
      <c r="E9" s="52">
        <f ca="1">FIRE1201a_raw!E12</f>
        <v>38537</v>
      </c>
      <c r="F9" s="52">
        <f ca="1">FIRE1201a_raw!F12</f>
        <v>10176</v>
      </c>
      <c r="G9" s="52">
        <f ca="1">FIRE1201a_raw!G12</f>
        <v>3</v>
      </c>
      <c r="H9" s="52">
        <f ca="1">FIRE1201a_raw!H12</f>
        <v>522</v>
      </c>
      <c r="I9" s="52"/>
      <c r="J9" s="52">
        <f ca="1">FIRE1201a_raw!J12</f>
        <v>304215</v>
      </c>
      <c r="K9" s="52">
        <f ca="1">FIRE1201a_raw!K12</f>
        <v>267581</v>
      </c>
      <c r="L9" s="52">
        <f ca="1">FIRE1201a_raw!L12</f>
        <v>455</v>
      </c>
      <c r="M9" s="52">
        <f ca="1">FIRE1201a_raw!M12</f>
        <v>30059</v>
      </c>
      <c r="N9" s="52">
        <f ca="1">FIRE1201a_raw!N12</f>
        <v>5867</v>
      </c>
      <c r="O9" s="52">
        <f ca="1">FIRE1201a_raw!O12</f>
        <v>3</v>
      </c>
      <c r="P9" s="52">
        <f ca="1">FIRE1201a_raw!P12</f>
        <v>250</v>
      </c>
      <c r="Q9" s="52"/>
    </row>
    <row r="10" spans="1:36" s="3" customFormat="1" ht="15" customHeight="1" x14ac:dyDescent="0.3">
      <c r="A10" s="25" t="s">
        <v>115</v>
      </c>
      <c r="B10" s="52">
        <f ca="1">FIRE1201a_raw!B13</f>
        <v>199475</v>
      </c>
      <c r="C10" s="52">
        <f ca="1">FIRE1201a_raw!C13</f>
        <v>139856</v>
      </c>
      <c r="D10" s="52">
        <f ca="1">FIRE1201a_raw!D13</f>
        <v>1721</v>
      </c>
      <c r="E10" s="52">
        <f ca="1">FIRE1201a_raw!E13</f>
        <v>39883</v>
      </c>
      <c r="F10" s="52">
        <f ca="1">FIRE1201a_raw!F13</f>
        <v>13880</v>
      </c>
      <c r="G10" s="52">
        <f ca="1">FIRE1201a_raw!G13</f>
        <v>3457</v>
      </c>
      <c r="H10" s="52">
        <f ca="1">FIRE1201a_raw!H13</f>
        <v>678</v>
      </c>
      <c r="I10" s="52"/>
      <c r="J10" s="52">
        <f ca="1">FIRE1201a_raw!J13</f>
        <v>155071</v>
      </c>
      <c r="K10" s="52">
        <f ca="1">FIRE1201a_raw!K13</f>
        <v>97562</v>
      </c>
      <c r="L10" s="52">
        <f ca="1">FIRE1201a_raw!L13</f>
        <v>241</v>
      </c>
      <c r="M10" s="52">
        <f ca="1">FIRE1201a_raw!M13</f>
        <v>38643</v>
      </c>
      <c r="N10" s="52">
        <f ca="1">FIRE1201a_raw!N13</f>
        <v>14619</v>
      </c>
      <c r="O10" s="52">
        <f ca="1">FIRE1201a_raw!O13</f>
        <v>3457</v>
      </c>
      <c r="P10" s="52">
        <f ca="1">FIRE1201a_raw!P13</f>
        <v>549</v>
      </c>
      <c r="Q10" s="52"/>
    </row>
    <row r="11" spans="1:36" s="3" customFormat="1" ht="15" customHeight="1" x14ac:dyDescent="0.3">
      <c r="A11" s="25" t="s">
        <v>116</v>
      </c>
      <c r="B11" s="52">
        <f ca="1">FIRE1201a_raw!B14</f>
        <v>135073</v>
      </c>
      <c r="C11" s="52">
        <f ca="1">FIRE1201a_raw!C14</f>
        <v>98279</v>
      </c>
      <c r="D11" s="52">
        <f ca="1">FIRE1201a_raw!D14</f>
        <v>296</v>
      </c>
      <c r="E11" s="52">
        <f ca="1">FIRE1201a_raw!E14</f>
        <v>2610</v>
      </c>
      <c r="F11" s="52">
        <f ca="1">FIRE1201a_raw!F14</f>
        <v>27263</v>
      </c>
      <c r="G11" s="52">
        <f ca="1">FIRE1201a_raw!G14</f>
        <v>134</v>
      </c>
      <c r="H11" s="52">
        <f ca="1">FIRE1201a_raw!H14</f>
        <v>6491</v>
      </c>
      <c r="I11" s="52"/>
      <c r="J11" s="52">
        <f ca="1">FIRE1201a_raw!J14</f>
        <v>102115</v>
      </c>
      <c r="K11" s="52">
        <f ca="1">FIRE1201a_raw!K14</f>
        <v>85565</v>
      </c>
      <c r="L11" s="52">
        <f ca="1">FIRE1201a_raw!L14</f>
        <v>0</v>
      </c>
      <c r="M11" s="52">
        <f ca="1">FIRE1201a_raw!M14</f>
        <v>2605</v>
      </c>
      <c r="N11" s="52">
        <f ca="1">FIRE1201a_raw!N14</f>
        <v>9744</v>
      </c>
      <c r="O11" s="52">
        <f ca="1">FIRE1201a_raw!O14</f>
        <v>134</v>
      </c>
      <c r="P11" s="52">
        <f ca="1">FIRE1201a_raw!P14</f>
        <v>4067</v>
      </c>
      <c r="Q11" s="52"/>
    </row>
    <row r="12" spans="1:36" s="3" customFormat="1" ht="15" customHeight="1" x14ac:dyDescent="0.3">
      <c r="A12" s="4" t="s">
        <v>3</v>
      </c>
      <c r="B12" s="87">
        <f ca="1">FIRE1201a_raw!B15</f>
        <v>3248</v>
      </c>
      <c r="C12" s="87">
        <f ca="1">FIRE1201a_raw!C15</f>
        <v>2522</v>
      </c>
      <c r="D12" s="87">
        <f ca="1">FIRE1201a_raw!D15</f>
        <v>0</v>
      </c>
      <c r="E12" s="87">
        <f ca="1">FIRE1201a_raw!E15</f>
        <v>0</v>
      </c>
      <c r="F12" s="87">
        <f ca="1">FIRE1201a_raw!F15</f>
        <v>726</v>
      </c>
      <c r="G12" s="87">
        <f ca="1">FIRE1201a_raw!G15</f>
        <v>0</v>
      </c>
      <c r="H12" s="87">
        <f ca="1">FIRE1201a_raw!H15</f>
        <v>0</v>
      </c>
      <c r="I12" s="52"/>
      <c r="J12" s="87">
        <f ca="1">FIRE1201a_raw!J15</f>
        <v>0</v>
      </c>
      <c r="K12" s="87">
        <f ca="1">FIRE1201a_raw!K15</f>
        <v>0</v>
      </c>
      <c r="L12" s="87">
        <f ca="1">FIRE1201a_raw!L15</f>
        <v>0</v>
      </c>
      <c r="M12" s="87">
        <f ca="1">FIRE1201a_raw!M15</f>
        <v>0</v>
      </c>
      <c r="N12" s="87">
        <f ca="1">FIRE1201a_raw!N15</f>
        <v>0</v>
      </c>
      <c r="O12" s="87">
        <f ca="1">FIRE1201a_raw!O15</f>
        <v>0</v>
      </c>
      <c r="P12" s="87">
        <f ca="1">FIRE1201a_raw!P15</f>
        <v>0</v>
      </c>
      <c r="Q12" s="87"/>
    </row>
    <row r="13" spans="1:36" s="3" customFormat="1" ht="15" customHeight="1" x14ac:dyDescent="0.3">
      <c r="A13" s="4" t="s">
        <v>4</v>
      </c>
      <c r="B13" s="87">
        <f ca="1">FIRE1201a_raw!B16</f>
        <v>12354</v>
      </c>
      <c r="C13" s="87">
        <f ca="1">FIRE1201a_raw!C16</f>
        <v>10723</v>
      </c>
      <c r="D13" s="87">
        <f ca="1">FIRE1201a_raw!D16</f>
        <v>0</v>
      </c>
      <c r="E13" s="87">
        <f ca="1">FIRE1201a_raw!E16</f>
        <v>0</v>
      </c>
      <c r="F13" s="87">
        <f ca="1">FIRE1201a_raw!F16</f>
        <v>1526</v>
      </c>
      <c r="G13" s="87">
        <f ca="1">FIRE1201a_raw!G16</f>
        <v>0</v>
      </c>
      <c r="H13" s="87">
        <f ca="1">FIRE1201a_raw!H16</f>
        <v>105</v>
      </c>
      <c r="I13" s="52"/>
      <c r="J13" s="87">
        <f ca="1">FIRE1201a_raw!J16</f>
        <v>5098</v>
      </c>
      <c r="K13" s="87">
        <f ca="1">FIRE1201a_raw!K16</f>
        <v>4436</v>
      </c>
      <c r="L13" s="87">
        <f ca="1">FIRE1201a_raw!L16</f>
        <v>0</v>
      </c>
      <c r="M13" s="87">
        <f ca="1">FIRE1201a_raw!M16</f>
        <v>0</v>
      </c>
      <c r="N13" s="87">
        <f ca="1">FIRE1201a_raw!N16</f>
        <v>661</v>
      </c>
      <c r="O13" s="87">
        <f ca="1">FIRE1201a_raw!O16</f>
        <v>0</v>
      </c>
      <c r="P13" s="87">
        <f ca="1">FIRE1201a_raw!P16</f>
        <v>1</v>
      </c>
      <c r="Q13" s="87"/>
    </row>
    <row r="14" spans="1:36" s="3" customFormat="1" ht="15" customHeight="1" x14ac:dyDescent="0.3">
      <c r="A14" s="4" t="s">
        <v>5</v>
      </c>
      <c r="B14" s="87">
        <f ca="1">FIRE1201a_raw!B17</f>
        <v>20087</v>
      </c>
      <c r="C14" s="87">
        <f ca="1">FIRE1201a_raw!C17</f>
        <v>18399</v>
      </c>
      <c r="D14" s="87">
        <f ca="1">FIRE1201a_raw!D17</f>
        <v>135</v>
      </c>
      <c r="E14" s="87">
        <f ca="1">FIRE1201a_raw!E17</f>
        <v>0</v>
      </c>
      <c r="F14" s="87">
        <f ca="1">FIRE1201a_raw!F17</f>
        <v>1553</v>
      </c>
      <c r="G14" s="87">
        <f ca="1">FIRE1201a_raw!G17</f>
        <v>0</v>
      </c>
      <c r="H14" s="87">
        <f ca="1">FIRE1201a_raw!H17</f>
        <v>0</v>
      </c>
      <c r="I14" s="52"/>
      <c r="J14" s="87">
        <f ca="1">FIRE1201a_raw!J17</f>
        <v>20087</v>
      </c>
      <c r="K14" s="87">
        <f ca="1">FIRE1201a_raw!K17</f>
        <v>18399</v>
      </c>
      <c r="L14" s="87">
        <f ca="1">FIRE1201a_raw!L17</f>
        <v>135</v>
      </c>
      <c r="M14" s="87">
        <f ca="1">FIRE1201a_raw!M17</f>
        <v>0</v>
      </c>
      <c r="N14" s="87">
        <f ca="1">FIRE1201a_raw!N17</f>
        <v>1553</v>
      </c>
      <c r="O14" s="87">
        <f ca="1">FIRE1201a_raw!O17</f>
        <v>0</v>
      </c>
      <c r="P14" s="87">
        <f ca="1">FIRE1201a_raw!P17</f>
        <v>0</v>
      </c>
      <c r="Q14" s="87"/>
    </row>
    <row r="15" spans="1:36" s="10" customFormat="1" ht="15" customHeight="1" x14ac:dyDescent="0.3">
      <c r="A15" s="4" t="s">
        <v>6</v>
      </c>
      <c r="B15" s="87">
        <f ca="1">FIRE1201a_raw!B18</f>
        <v>3625</v>
      </c>
      <c r="C15" s="87">
        <f ca="1">FIRE1201a_raw!C18</f>
        <v>3287</v>
      </c>
      <c r="D15" s="87">
        <f ca="1">FIRE1201a_raw!D18</f>
        <v>0</v>
      </c>
      <c r="E15" s="87">
        <f ca="1">FIRE1201a_raw!E18</f>
        <v>336</v>
      </c>
      <c r="F15" s="87">
        <f ca="1">FIRE1201a_raw!F18</f>
        <v>0</v>
      </c>
      <c r="G15" s="87">
        <f ca="1">FIRE1201a_raw!G18</f>
        <v>0</v>
      </c>
      <c r="H15" s="87">
        <f ca="1">FIRE1201a_raw!H18</f>
        <v>2</v>
      </c>
      <c r="I15" s="52"/>
      <c r="J15" s="87">
        <f ca="1">FIRE1201a_raw!J18</f>
        <v>2555</v>
      </c>
      <c r="K15" s="87">
        <f ca="1">FIRE1201a_raw!K18</f>
        <v>2398</v>
      </c>
      <c r="L15" s="87">
        <f ca="1">FIRE1201a_raw!L18</f>
        <v>0</v>
      </c>
      <c r="M15" s="87">
        <f ca="1">FIRE1201a_raw!M18</f>
        <v>156</v>
      </c>
      <c r="N15" s="87">
        <f ca="1">FIRE1201a_raw!N18</f>
        <v>0</v>
      </c>
      <c r="O15" s="87">
        <f ca="1">FIRE1201a_raw!O18</f>
        <v>0</v>
      </c>
      <c r="P15" s="87">
        <f ca="1">FIRE1201a_raw!P18</f>
        <v>1</v>
      </c>
      <c r="Q15" s="87"/>
    </row>
    <row r="16" spans="1:36" ht="15" customHeight="1" x14ac:dyDescent="0.3">
      <c r="A16" s="4" t="s">
        <v>7</v>
      </c>
      <c r="B16" s="87">
        <f ca="1">FIRE1201a_raw!B19</f>
        <v>6384</v>
      </c>
      <c r="C16" s="87">
        <f ca="1">FIRE1201a_raw!C19</f>
        <v>3165</v>
      </c>
      <c r="D16" s="87">
        <f ca="1">FIRE1201a_raw!D19</f>
        <v>0</v>
      </c>
      <c r="E16" s="87">
        <f ca="1">FIRE1201a_raw!E19</f>
        <v>0</v>
      </c>
      <c r="F16" s="87">
        <f ca="1">FIRE1201a_raw!F19</f>
        <v>2379</v>
      </c>
      <c r="G16" s="87">
        <f ca="1">FIRE1201a_raw!G19</f>
        <v>0</v>
      </c>
      <c r="H16" s="87">
        <f ca="1">FIRE1201a_raw!H19</f>
        <v>840</v>
      </c>
      <c r="I16" s="52"/>
      <c r="J16" s="87">
        <f ca="1">FIRE1201a_raw!J19</f>
        <v>5544</v>
      </c>
      <c r="K16" s="87">
        <f ca="1">FIRE1201a_raw!K19</f>
        <v>3165</v>
      </c>
      <c r="L16" s="87">
        <f ca="1">FIRE1201a_raw!L19</f>
        <v>0</v>
      </c>
      <c r="M16" s="87">
        <f ca="1">FIRE1201a_raw!M19</f>
        <v>0</v>
      </c>
      <c r="N16" s="87">
        <f ca="1">FIRE1201a_raw!N19</f>
        <v>2379</v>
      </c>
      <c r="O16" s="87">
        <f ca="1">FIRE1201a_raw!O19</f>
        <v>0</v>
      </c>
      <c r="P16" s="87">
        <f ca="1">FIRE1201a_raw!P19</f>
        <v>0</v>
      </c>
      <c r="Q16" s="87"/>
    </row>
    <row r="17" spans="1:17" ht="15" customHeight="1" x14ac:dyDescent="0.3">
      <c r="A17" s="4" t="s">
        <v>8</v>
      </c>
      <c r="B17" s="87">
        <f ca="1">FIRE1201a_raw!B20</f>
        <v>36678</v>
      </c>
      <c r="C17" s="87">
        <f ca="1">FIRE1201a_raw!C20</f>
        <v>19904</v>
      </c>
      <c r="D17" s="87">
        <f ca="1">FIRE1201a_raw!D20</f>
        <v>0</v>
      </c>
      <c r="E17" s="87">
        <f ca="1">FIRE1201a_raw!E20</f>
        <v>16774</v>
      </c>
      <c r="F17" s="87">
        <f ca="1">FIRE1201a_raw!F20</f>
        <v>0</v>
      </c>
      <c r="G17" s="87">
        <f ca="1">FIRE1201a_raw!G20</f>
        <v>0</v>
      </c>
      <c r="H17" s="87">
        <f ca="1">FIRE1201a_raw!H20</f>
        <v>0</v>
      </c>
      <c r="I17" s="52"/>
      <c r="J17" s="87">
        <f ca="1">FIRE1201a_raw!J20</f>
        <v>18878</v>
      </c>
      <c r="K17" s="87">
        <f ca="1">FIRE1201a_raw!K20</f>
        <v>10046</v>
      </c>
      <c r="L17" s="87">
        <f ca="1">FIRE1201a_raw!L20</f>
        <v>0</v>
      </c>
      <c r="M17" s="87">
        <f ca="1">FIRE1201a_raw!M20</f>
        <v>8832</v>
      </c>
      <c r="N17" s="87">
        <f ca="1">FIRE1201a_raw!N20</f>
        <v>0</v>
      </c>
      <c r="O17" s="87">
        <f ca="1">FIRE1201a_raw!O20</f>
        <v>0</v>
      </c>
      <c r="P17" s="87">
        <f ca="1">FIRE1201a_raw!P20</f>
        <v>0</v>
      </c>
      <c r="Q17" s="87"/>
    </row>
    <row r="18" spans="1:17" ht="15" customHeight="1" x14ac:dyDescent="0.3">
      <c r="A18" s="4" t="s">
        <v>9</v>
      </c>
      <c r="B18" s="87">
        <f ca="1">FIRE1201a_raw!B21</f>
        <v>60382</v>
      </c>
      <c r="C18" s="87">
        <f ca="1">FIRE1201a_raw!C21</f>
        <v>52592</v>
      </c>
      <c r="D18" s="87">
        <f ca="1">FIRE1201a_raw!D21</f>
        <v>2170</v>
      </c>
      <c r="E18" s="87">
        <f ca="1">FIRE1201a_raw!E21</f>
        <v>2266</v>
      </c>
      <c r="F18" s="87">
        <f ca="1">FIRE1201a_raw!F21</f>
        <v>3354</v>
      </c>
      <c r="G18" s="87">
        <f ca="1">FIRE1201a_raw!G21</f>
        <v>0</v>
      </c>
      <c r="H18" s="87">
        <f ca="1">FIRE1201a_raw!H21</f>
        <v>0</v>
      </c>
      <c r="I18" s="52"/>
      <c r="J18" s="87">
        <f ca="1">FIRE1201a_raw!J21</f>
        <v>12842</v>
      </c>
      <c r="K18" s="87">
        <f ca="1">FIRE1201a_raw!K21</f>
        <v>12368</v>
      </c>
      <c r="L18" s="87">
        <f ca="1">FIRE1201a_raw!L21</f>
        <v>134</v>
      </c>
      <c r="M18" s="87">
        <f ca="1">FIRE1201a_raw!M21</f>
        <v>326</v>
      </c>
      <c r="N18" s="87">
        <f ca="1">FIRE1201a_raw!N21</f>
        <v>14</v>
      </c>
      <c r="O18" s="87">
        <f ca="1">FIRE1201a_raw!O21</f>
        <v>0</v>
      </c>
      <c r="P18" s="87">
        <f ca="1">FIRE1201a_raw!P21</f>
        <v>0</v>
      </c>
      <c r="Q18" s="87"/>
    </row>
    <row r="19" spans="1:17" ht="15" customHeight="1" x14ac:dyDescent="0.3">
      <c r="A19" s="4" t="s">
        <v>10</v>
      </c>
      <c r="B19" s="87">
        <f ca="1">FIRE1201a_raw!B22</f>
        <v>9085</v>
      </c>
      <c r="C19" s="87">
        <f ca="1">FIRE1201a_raw!C22</f>
        <v>8642</v>
      </c>
      <c r="D19" s="87">
        <f ca="1">FIRE1201a_raw!D22</f>
        <v>7</v>
      </c>
      <c r="E19" s="87">
        <f ca="1">FIRE1201a_raw!E22</f>
        <v>0</v>
      </c>
      <c r="F19" s="87">
        <f ca="1">FIRE1201a_raw!F22</f>
        <v>292</v>
      </c>
      <c r="G19" s="87">
        <f ca="1">FIRE1201a_raw!G22</f>
        <v>0</v>
      </c>
      <c r="H19" s="87">
        <f ca="1">FIRE1201a_raw!H22</f>
        <v>144</v>
      </c>
      <c r="I19" s="52"/>
      <c r="J19" s="87">
        <f ca="1">FIRE1201a_raw!J22</f>
        <v>341</v>
      </c>
      <c r="K19" s="87">
        <f ca="1">FIRE1201a_raw!K22</f>
        <v>341</v>
      </c>
      <c r="L19" s="87">
        <f ca="1">FIRE1201a_raw!L22</f>
        <v>0</v>
      </c>
      <c r="M19" s="87">
        <f ca="1">FIRE1201a_raw!M22</f>
        <v>0</v>
      </c>
      <c r="N19" s="87">
        <f ca="1">FIRE1201a_raw!N22</f>
        <v>0</v>
      </c>
      <c r="O19" s="87">
        <f ca="1">FIRE1201a_raw!O22</f>
        <v>0</v>
      </c>
      <c r="P19" s="87">
        <f ca="1">FIRE1201a_raw!P22</f>
        <v>0</v>
      </c>
      <c r="Q19" s="87"/>
    </row>
    <row r="20" spans="1:17" ht="15" customHeight="1" x14ac:dyDescent="0.3">
      <c r="A20" s="4" t="s">
        <v>11</v>
      </c>
      <c r="B20" s="87">
        <f ca="1">FIRE1201a_raw!B23</f>
        <v>17106</v>
      </c>
      <c r="C20" s="87">
        <f ca="1">FIRE1201a_raw!C23</f>
        <v>14597</v>
      </c>
      <c r="D20" s="87">
        <f ca="1">FIRE1201a_raw!D23</f>
        <v>0</v>
      </c>
      <c r="E20" s="87">
        <f ca="1">FIRE1201a_raw!E23</f>
        <v>1556</v>
      </c>
      <c r="F20" s="87">
        <f ca="1">FIRE1201a_raw!F23</f>
        <v>932</v>
      </c>
      <c r="G20" s="87">
        <f ca="1">FIRE1201a_raw!G23</f>
        <v>21</v>
      </c>
      <c r="H20" s="87">
        <f ca="1">FIRE1201a_raw!H23</f>
        <v>0</v>
      </c>
      <c r="I20" s="52"/>
      <c r="J20" s="87">
        <f ca="1">FIRE1201a_raw!J23</f>
        <v>17106</v>
      </c>
      <c r="K20" s="87">
        <f ca="1">FIRE1201a_raw!K23</f>
        <v>14597</v>
      </c>
      <c r="L20" s="87">
        <f ca="1">FIRE1201a_raw!L23</f>
        <v>0</v>
      </c>
      <c r="M20" s="87">
        <f ca="1">FIRE1201a_raw!M23</f>
        <v>1556</v>
      </c>
      <c r="N20" s="87">
        <f ca="1">FIRE1201a_raw!N23</f>
        <v>932</v>
      </c>
      <c r="O20" s="87">
        <f ca="1">FIRE1201a_raw!O23</f>
        <v>21</v>
      </c>
      <c r="P20" s="87">
        <f ca="1">FIRE1201a_raw!P23</f>
        <v>0</v>
      </c>
      <c r="Q20" s="87"/>
    </row>
    <row r="21" spans="1:17" ht="15" customHeight="1" x14ac:dyDescent="0.3">
      <c r="A21" s="20" t="s">
        <v>12</v>
      </c>
      <c r="B21" s="87">
        <f ca="1">FIRE1201a_raw!B24</f>
        <v>18824</v>
      </c>
      <c r="C21" s="87">
        <f ca="1">FIRE1201a_raw!C24</f>
        <v>12243</v>
      </c>
      <c r="D21" s="87">
        <f ca="1">FIRE1201a_raw!D24</f>
        <v>0</v>
      </c>
      <c r="E21" s="87">
        <f ca="1">FIRE1201a_raw!E24</f>
        <v>3089</v>
      </c>
      <c r="F21" s="87">
        <f ca="1">FIRE1201a_raw!F24</f>
        <v>35</v>
      </c>
      <c r="G21" s="87">
        <f ca="1">FIRE1201a_raw!G24</f>
        <v>3457</v>
      </c>
      <c r="H21" s="87">
        <f ca="1">FIRE1201a_raw!H24</f>
        <v>0</v>
      </c>
      <c r="I21" s="52"/>
      <c r="J21" s="87">
        <f ca="1">FIRE1201a_raw!J24</f>
        <v>18824</v>
      </c>
      <c r="K21" s="87">
        <f ca="1">FIRE1201a_raw!K24</f>
        <v>12243</v>
      </c>
      <c r="L21" s="87">
        <f ca="1">FIRE1201a_raw!L24</f>
        <v>0</v>
      </c>
      <c r="M21" s="87">
        <f ca="1">FIRE1201a_raw!M24</f>
        <v>3089</v>
      </c>
      <c r="N21" s="87">
        <f ca="1">FIRE1201a_raw!N24</f>
        <v>35</v>
      </c>
      <c r="O21" s="87">
        <f ca="1">FIRE1201a_raw!O24</f>
        <v>3457</v>
      </c>
      <c r="P21" s="87">
        <f ca="1">FIRE1201a_raw!P24</f>
        <v>0</v>
      </c>
      <c r="Q21" s="87"/>
    </row>
    <row r="22" spans="1:17" ht="15" customHeight="1" x14ac:dyDescent="0.3">
      <c r="A22" s="20" t="s">
        <v>13</v>
      </c>
      <c r="B22" s="87">
        <f ca="1">FIRE1201a_raw!B25</f>
        <v>17100</v>
      </c>
      <c r="C22" s="87">
        <f ca="1">FIRE1201a_raw!C25</f>
        <v>0</v>
      </c>
      <c r="D22" s="87">
        <f ca="1">FIRE1201a_raw!D25</f>
        <v>0</v>
      </c>
      <c r="E22" s="87">
        <f ca="1">FIRE1201a_raw!E25</f>
        <v>0</v>
      </c>
      <c r="F22" s="87">
        <f ca="1">FIRE1201a_raw!F25</f>
        <v>17100</v>
      </c>
      <c r="G22" s="87">
        <f ca="1">FIRE1201a_raw!G25</f>
        <v>0</v>
      </c>
      <c r="H22" s="87">
        <f ca="1">FIRE1201a_raw!H25</f>
        <v>0</v>
      </c>
      <c r="I22" s="52"/>
      <c r="J22" s="87">
        <f ca="1">FIRE1201a_raw!J25</f>
        <v>0</v>
      </c>
      <c r="K22" s="87">
        <f ca="1">FIRE1201a_raw!K25</f>
        <v>0</v>
      </c>
      <c r="L22" s="87">
        <f ca="1">FIRE1201a_raw!L25</f>
        <v>0</v>
      </c>
      <c r="M22" s="87">
        <f ca="1">FIRE1201a_raw!M25</f>
        <v>0</v>
      </c>
      <c r="N22" s="87">
        <f ca="1">FIRE1201a_raw!N25</f>
        <v>0</v>
      </c>
      <c r="O22" s="87">
        <f ca="1">FIRE1201a_raw!O25</f>
        <v>0</v>
      </c>
      <c r="P22" s="87">
        <f ca="1">FIRE1201a_raw!P25</f>
        <v>0</v>
      </c>
      <c r="Q22" s="87"/>
    </row>
    <row r="23" spans="1:17" ht="15" customHeight="1" x14ac:dyDescent="0.3">
      <c r="A23" s="20" t="s">
        <v>74</v>
      </c>
      <c r="B23" s="87">
        <f ca="1">FIRE1201a_raw!B26</f>
        <v>20077</v>
      </c>
      <c r="C23" s="87">
        <f ca="1">FIRE1201a_raw!C26</f>
        <v>14286</v>
      </c>
      <c r="D23" s="87">
        <f ca="1">FIRE1201a_raw!D26</f>
        <v>3</v>
      </c>
      <c r="E23" s="87">
        <f ca="1">FIRE1201a_raw!E26</f>
        <v>0</v>
      </c>
      <c r="F23" s="87">
        <f ca="1">FIRE1201a_raw!F26</f>
        <v>5330</v>
      </c>
      <c r="G23" s="87">
        <f ca="1">FIRE1201a_raw!G26</f>
        <v>0</v>
      </c>
      <c r="H23" s="87">
        <f ca="1">FIRE1201a_raw!H26</f>
        <v>458</v>
      </c>
      <c r="I23" s="52"/>
      <c r="J23" s="87">
        <f ca="1">FIRE1201a_raw!J26</f>
        <v>20077</v>
      </c>
      <c r="K23" s="87">
        <f ca="1">FIRE1201a_raw!K26</f>
        <v>14286</v>
      </c>
      <c r="L23" s="87">
        <f ca="1">FIRE1201a_raw!L26</f>
        <v>3</v>
      </c>
      <c r="M23" s="87">
        <f ca="1">FIRE1201a_raw!M26</f>
        <v>0</v>
      </c>
      <c r="N23" s="87">
        <f ca="1">FIRE1201a_raw!N26</f>
        <v>5330</v>
      </c>
      <c r="O23" s="87">
        <f ca="1">FIRE1201a_raw!O26</f>
        <v>0</v>
      </c>
      <c r="P23" s="87">
        <f ca="1">FIRE1201a_raw!P26</f>
        <v>458</v>
      </c>
      <c r="Q23" s="87"/>
    </row>
    <row r="24" spans="1:17" ht="15" customHeight="1" x14ac:dyDescent="0.3">
      <c r="A24" s="4" t="s">
        <v>14</v>
      </c>
      <c r="B24" s="87">
        <f ca="1">FIRE1201a_raw!B27</f>
        <v>38025</v>
      </c>
      <c r="C24" s="87">
        <f ca="1">FIRE1201a_raw!C27</f>
        <v>37188</v>
      </c>
      <c r="D24" s="87">
        <f ca="1">FIRE1201a_raw!D27</f>
        <v>0</v>
      </c>
      <c r="E24" s="87">
        <f ca="1">FIRE1201a_raw!E27</f>
        <v>837</v>
      </c>
      <c r="F24" s="87">
        <f ca="1">FIRE1201a_raw!F27</f>
        <v>0</v>
      </c>
      <c r="G24" s="87">
        <f ca="1">FIRE1201a_raw!G27</f>
        <v>0</v>
      </c>
      <c r="H24" s="87">
        <f ca="1">FIRE1201a_raw!H27</f>
        <v>0</v>
      </c>
      <c r="I24" s="52"/>
      <c r="J24" s="87">
        <f ca="1">FIRE1201a_raw!J27</f>
        <v>38025</v>
      </c>
      <c r="K24" s="87">
        <f ca="1">FIRE1201a_raw!K27</f>
        <v>37188</v>
      </c>
      <c r="L24" s="87">
        <f ca="1">FIRE1201a_raw!L27</f>
        <v>0</v>
      </c>
      <c r="M24" s="87">
        <f ca="1">FIRE1201a_raw!M27</f>
        <v>837</v>
      </c>
      <c r="N24" s="87">
        <f ca="1">FIRE1201a_raw!N27</f>
        <v>0</v>
      </c>
      <c r="O24" s="87">
        <f ca="1">FIRE1201a_raw!O27</f>
        <v>0</v>
      </c>
      <c r="P24" s="87">
        <f ca="1">FIRE1201a_raw!P27</f>
        <v>0</v>
      </c>
      <c r="Q24" s="87"/>
    </row>
    <row r="25" spans="1:17" ht="15" customHeight="1" x14ac:dyDescent="0.3">
      <c r="A25" s="4" t="s">
        <v>15</v>
      </c>
      <c r="B25" s="87">
        <f ca="1">FIRE1201a_raw!B28</f>
        <v>13550</v>
      </c>
      <c r="C25" s="87">
        <f ca="1">FIRE1201a_raw!C28</f>
        <v>13550</v>
      </c>
      <c r="D25" s="87">
        <f ca="1">FIRE1201a_raw!D28</f>
        <v>0</v>
      </c>
      <c r="E25" s="87">
        <f ca="1">FIRE1201a_raw!E28</f>
        <v>0</v>
      </c>
      <c r="F25" s="87">
        <f ca="1">FIRE1201a_raw!F28</f>
        <v>0</v>
      </c>
      <c r="G25" s="87">
        <f ca="1">FIRE1201a_raw!G28</f>
        <v>0</v>
      </c>
      <c r="H25" s="87">
        <f ca="1">FIRE1201a_raw!H28</f>
        <v>0</v>
      </c>
      <c r="I25" s="52"/>
      <c r="J25" s="87">
        <f ca="1">FIRE1201a_raw!J28</f>
        <v>6882</v>
      </c>
      <c r="K25" s="87">
        <f ca="1">FIRE1201a_raw!K28</f>
        <v>0</v>
      </c>
      <c r="L25" s="87">
        <f ca="1">FIRE1201a_raw!L28</f>
        <v>0</v>
      </c>
      <c r="M25" s="87">
        <f ca="1">FIRE1201a_raw!M28</f>
        <v>6882</v>
      </c>
      <c r="N25" s="87">
        <f ca="1">FIRE1201a_raw!N28</f>
        <v>0</v>
      </c>
      <c r="O25" s="87">
        <f ca="1">FIRE1201a_raw!O28</f>
        <v>0</v>
      </c>
      <c r="P25" s="87">
        <f ca="1">FIRE1201a_raw!P28</f>
        <v>0</v>
      </c>
      <c r="Q25" s="87"/>
    </row>
    <row r="26" spans="1:17" ht="15" customHeight="1" x14ac:dyDescent="0.3">
      <c r="A26" s="4" t="s">
        <v>16</v>
      </c>
      <c r="B26" s="87">
        <f ca="1">FIRE1201a_raw!B29</f>
        <v>8013</v>
      </c>
      <c r="C26" s="87">
        <f ca="1">FIRE1201a_raw!C29</f>
        <v>590</v>
      </c>
      <c r="D26" s="87">
        <f ca="1">FIRE1201a_raw!D29</f>
        <v>1480</v>
      </c>
      <c r="E26" s="87">
        <f ca="1">FIRE1201a_raw!E29</f>
        <v>0</v>
      </c>
      <c r="F26" s="87">
        <f ca="1">FIRE1201a_raw!F29</f>
        <v>5919</v>
      </c>
      <c r="G26" s="87">
        <f ca="1">FIRE1201a_raw!G29</f>
        <v>0</v>
      </c>
      <c r="H26" s="87">
        <f ca="1">FIRE1201a_raw!H29</f>
        <v>24</v>
      </c>
      <c r="I26" s="52"/>
      <c r="J26" s="87">
        <f ca="1">FIRE1201a_raw!J29</f>
        <v>5288</v>
      </c>
      <c r="K26" s="87">
        <f ca="1">FIRE1201a_raw!K29</f>
        <v>0</v>
      </c>
      <c r="L26" s="87">
        <f ca="1">FIRE1201a_raw!L29</f>
        <v>0</v>
      </c>
      <c r="M26" s="87">
        <f ca="1">FIRE1201a_raw!M29</f>
        <v>0</v>
      </c>
      <c r="N26" s="87">
        <f ca="1">FIRE1201a_raw!N29</f>
        <v>5288</v>
      </c>
      <c r="O26" s="87">
        <f ca="1">FIRE1201a_raw!O29</f>
        <v>0</v>
      </c>
      <c r="P26" s="87">
        <f ca="1">FIRE1201a_raw!P29</f>
        <v>0</v>
      </c>
      <c r="Q26" s="87"/>
    </row>
    <row r="27" spans="1:17" ht="15" customHeight="1" x14ac:dyDescent="0.3">
      <c r="A27" s="4" t="s">
        <v>17</v>
      </c>
      <c r="B27" s="87">
        <f ca="1">FIRE1201a_raw!B30</f>
        <v>8514</v>
      </c>
      <c r="C27" s="87">
        <f ca="1">FIRE1201a_raw!C30</f>
        <v>7825</v>
      </c>
      <c r="D27" s="87">
        <f ca="1">FIRE1201a_raw!D30</f>
        <v>0</v>
      </c>
      <c r="E27" s="87">
        <f ca="1">FIRE1201a_raw!E30</f>
        <v>600</v>
      </c>
      <c r="F27" s="87">
        <f ca="1">FIRE1201a_raw!F30</f>
        <v>0</v>
      </c>
      <c r="G27" s="87">
        <f ca="1">FIRE1201a_raw!G30</f>
        <v>0</v>
      </c>
      <c r="H27" s="87">
        <f ca="1">FIRE1201a_raw!H30</f>
        <v>89</v>
      </c>
      <c r="I27" s="52"/>
      <c r="J27" s="87">
        <f ca="1">FIRE1201a_raw!J30</f>
        <v>8514</v>
      </c>
      <c r="K27" s="87">
        <f ca="1">FIRE1201a_raw!K30</f>
        <v>7825</v>
      </c>
      <c r="L27" s="87">
        <f ca="1">FIRE1201a_raw!L30</f>
        <v>0</v>
      </c>
      <c r="M27" s="87">
        <f ca="1">FIRE1201a_raw!M30</f>
        <v>600</v>
      </c>
      <c r="N27" s="87">
        <f ca="1">FIRE1201a_raw!N30</f>
        <v>0</v>
      </c>
      <c r="O27" s="87">
        <f ca="1">FIRE1201a_raw!O30</f>
        <v>0</v>
      </c>
      <c r="P27" s="87">
        <f ca="1">FIRE1201a_raw!P30</f>
        <v>89</v>
      </c>
      <c r="Q27" s="87"/>
    </row>
    <row r="28" spans="1:17" ht="15" customHeight="1" x14ac:dyDescent="0.3">
      <c r="A28" s="4" t="s">
        <v>18</v>
      </c>
      <c r="B28" s="87">
        <f ca="1">FIRE1201a_raw!B31</f>
        <v>355029</v>
      </c>
      <c r="C28" s="87">
        <f ca="1">FIRE1201a_raw!C31</f>
        <v>355029</v>
      </c>
      <c r="D28" s="87">
        <f ca="1">FIRE1201a_raw!D31</f>
        <v>0</v>
      </c>
      <c r="E28" s="87">
        <f ca="1">FIRE1201a_raw!E31</f>
        <v>0</v>
      </c>
      <c r="F28" s="87">
        <f ca="1">FIRE1201a_raw!F31</f>
        <v>0</v>
      </c>
      <c r="G28" s="87">
        <f ca="1">FIRE1201a_raw!G31</f>
        <v>0</v>
      </c>
      <c r="H28" s="87">
        <f ca="1">FIRE1201a_raw!H31</f>
        <v>0</v>
      </c>
      <c r="I28" s="52"/>
      <c r="J28" s="87">
        <f ca="1">FIRE1201a_raw!J31</f>
        <v>482</v>
      </c>
      <c r="K28" s="87">
        <f ca="1">FIRE1201a_raw!K31</f>
        <v>0</v>
      </c>
      <c r="L28" s="87">
        <f ca="1">FIRE1201a_raw!L31</f>
        <v>0</v>
      </c>
      <c r="M28" s="87">
        <f ca="1">FIRE1201a_raw!M31</f>
        <v>0</v>
      </c>
      <c r="N28" s="87">
        <f ca="1">FIRE1201a_raw!N31</f>
        <v>482</v>
      </c>
      <c r="O28" s="87">
        <f ca="1">FIRE1201a_raw!O31</f>
        <v>0</v>
      </c>
      <c r="P28" s="87">
        <f ca="1">FIRE1201a_raw!P31</f>
        <v>0</v>
      </c>
      <c r="Q28" s="87"/>
    </row>
    <row r="29" spans="1:17" ht="15" customHeight="1" x14ac:dyDescent="0.3">
      <c r="A29" s="4" t="s">
        <v>19</v>
      </c>
      <c r="B29" s="87">
        <f ca="1">FIRE1201a_raw!B32</f>
        <v>22298</v>
      </c>
      <c r="C29" s="87">
        <f ca="1">FIRE1201a_raw!C32</f>
        <v>19782</v>
      </c>
      <c r="D29" s="87">
        <f ca="1">FIRE1201a_raw!D32</f>
        <v>63</v>
      </c>
      <c r="E29" s="87">
        <f ca="1">FIRE1201a_raw!E32</f>
        <v>2434</v>
      </c>
      <c r="F29" s="87">
        <f ca="1">FIRE1201a_raw!F32</f>
        <v>19</v>
      </c>
      <c r="G29" s="87">
        <f ca="1">FIRE1201a_raw!G32</f>
        <v>0</v>
      </c>
      <c r="H29" s="87">
        <f ca="1">FIRE1201a_raw!H32</f>
        <v>0</v>
      </c>
      <c r="I29" s="52"/>
      <c r="J29" s="87">
        <f ca="1">FIRE1201a_raw!J32</f>
        <v>22298</v>
      </c>
      <c r="K29" s="87">
        <f ca="1">FIRE1201a_raw!K32</f>
        <v>19782</v>
      </c>
      <c r="L29" s="87">
        <f ca="1">FIRE1201a_raw!L32</f>
        <v>63</v>
      </c>
      <c r="M29" s="87">
        <f ca="1">FIRE1201a_raw!M32</f>
        <v>2434</v>
      </c>
      <c r="N29" s="87">
        <f ca="1">FIRE1201a_raw!N32</f>
        <v>19</v>
      </c>
      <c r="O29" s="87">
        <f ca="1">FIRE1201a_raw!O32</f>
        <v>0</v>
      </c>
      <c r="P29" s="87">
        <f ca="1">FIRE1201a_raw!P32</f>
        <v>0</v>
      </c>
      <c r="Q29" s="87"/>
    </row>
    <row r="30" spans="1:17" ht="15" customHeight="1" x14ac:dyDescent="0.3">
      <c r="A30" s="4" t="s">
        <v>20</v>
      </c>
      <c r="B30" s="87">
        <f ca="1">FIRE1201a_raw!B33</f>
        <v>19030</v>
      </c>
      <c r="C30" s="87">
        <f ca="1">FIRE1201a_raw!C33</f>
        <v>13667</v>
      </c>
      <c r="D30" s="87">
        <f ca="1">FIRE1201a_raw!D33</f>
        <v>123</v>
      </c>
      <c r="E30" s="87">
        <f ca="1">FIRE1201a_raw!E33</f>
        <v>5237</v>
      </c>
      <c r="F30" s="87">
        <f ca="1">FIRE1201a_raw!F33</f>
        <v>0</v>
      </c>
      <c r="G30" s="87">
        <f ca="1">FIRE1201a_raw!G33</f>
        <v>3</v>
      </c>
      <c r="H30" s="87">
        <f ca="1">FIRE1201a_raw!H33</f>
        <v>0</v>
      </c>
      <c r="I30" s="52"/>
      <c r="J30" s="87">
        <f ca="1">FIRE1201a_raw!J33</f>
        <v>19020</v>
      </c>
      <c r="K30" s="87">
        <f ca="1">FIRE1201a_raw!K33</f>
        <v>13658</v>
      </c>
      <c r="L30" s="87">
        <f ca="1">FIRE1201a_raw!L33</f>
        <v>123</v>
      </c>
      <c r="M30" s="87">
        <f ca="1">FIRE1201a_raw!M33</f>
        <v>5236</v>
      </c>
      <c r="N30" s="87">
        <f ca="1">FIRE1201a_raw!N33</f>
        <v>0</v>
      </c>
      <c r="O30" s="87">
        <f ca="1">FIRE1201a_raw!O33</f>
        <v>3</v>
      </c>
      <c r="P30" s="87">
        <f ca="1">FIRE1201a_raw!P33</f>
        <v>0</v>
      </c>
      <c r="Q30" s="87"/>
    </row>
    <row r="31" spans="1:17" ht="15" customHeight="1" x14ac:dyDescent="0.3">
      <c r="A31" s="4" t="s">
        <v>21</v>
      </c>
      <c r="B31" s="87">
        <f ca="1">FIRE1201a_raw!B34</f>
        <v>4844</v>
      </c>
      <c r="C31" s="87">
        <f ca="1">FIRE1201a_raw!C34</f>
        <v>4668</v>
      </c>
      <c r="D31" s="87">
        <f ca="1">FIRE1201a_raw!D34</f>
        <v>0</v>
      </c>
      <c r="E31" s="87">
        <f ca="1">FIRE1201a_raw!E34</f>
        <v>0</v>
      </c>
      <c r="F31" s="87">
        <f ca="1">FIRE1201a_raw!F34</f>
        <v>176</v>
      </c>
      <c r="G31" s="87">
        <f ca="1">FIRE1201a_raw!G34</f>
        <v>0</v>
      </c>
      <c r="H31" s="87">
        <f ca="1">FIRE1201a_raw!H34</f>
        <v>0</v>
      </c>
      <c r="I31" s="52"/>
      <c r="J31" s="87">
        <f ca="1">FIRE1201a_raw!J34</f>
        <v>1522</v>
      </c>
      <c r="K31" s="87">
        <f ca="1">FIRE1201a_raw!K34</f>
        <v>374</v>
      </c>
      <c r="L31" s="87">
        <f ca="1">FIRE1201a_raw!L34</f>
        <v>0</v>
      </c>
      <c r="M31" s="87">
        <f ca="1">FIRE1201a_raw!M34</f>
        <v>0</v>
      </c>
      <c r="N31" s="87">
        <f ca="1">FIRE1201a_raw!N34</f>
        <v>1148</v>
      </c>
      <c r="O31" s="87">
        <f ca="1">FIRE1201a_raw!O34</f>
        <v>0</v>
      </c>
      <c r="P31" s="87">
        <f ca="1">FIRE1201a_raw!P34</f>
        <v>0</v>
      </c>
      <c r="Q31" s="87"/>
    </row>
    <row r="32" spans="1:17" ht="15" customHeight="1" x14ac:dyDescent="0.3">
      <c r="A32" s="4" t="s">
        <v>22</v>
      </c>
      <c r="B32" s="87">
        <f ca="1">FIRE1201a_raw!B35</f>
        <v>9392</v>
      </c>
      <c r="C32" s="87">
        <f ca="1">FIRE1201a_raw!C35</f>
        <v>6749</v>
      </c>
      <c r="D32" s="87">
        <f ca="1">FIRE1201a_raw!D35</f>
        <v>0</v>
      </c>
      <c r="E32" s="87">
        <f ca="1">FIRE1201a_raw!E35</f>
        <v>0</v>
      </c>
      <c r="F32" s="87">
        <f ca="1">FIRE1201a_raw!F35</f>
        <v>2643</v>
      </c>
      <c r="G32" s="87">
        <f ca="1">FIRE1201a_raw!G35</f>
        <v>0</v>
      </c>
      <c r="H32" s="87">
        <f ca="1">FIRE1201a_raw!H35</f>
        <v>0</v>
      </c>
      <c r="I32" s="52"/>
      <c r="J32" s="87">
        <f ca="1">FIRE1201a_raw!J35</f>
        <v>9392</v>
      </c>
      <c r="K32" s="87">
        <f ca="1">FIRE1201a_raw!K35</f>
        <v>6749</v>
      </c>
      <c r="L32" s="87">
        <f ca="1">FIRE1201a_raw!L35</f>
        <v>0</v>
      </c>
      <c r="M32" s="87">
        <f ca="1">FIRE1201a_raw!M35</f>
        <v>0</v>
      </c>
      <c r="N32" s="87">
        <f ca="1">FIRE1201a_raw!N35</f>
        <v>2643</v>
      </c>
      <c r="O32" s="87">
        <f ca="1">FIRE1201a_raw!O35</f>
        <v>0</v>
      </c>
      <c r="P32" s="87">
        <f ca="1">FIRE1201a_raw!P35</f>
        <v>0</v>
      </c>
      <c r="Q32" s="87"/>
    </row>
    <row r="33" spans="1:17" ht="15" customHeight="1" x14ac:dyDescent="0.3">
      <c r="A33" s="5" t="s">
        <v>23</v>
      </c>
      <c r="B33" s="87">
        <f ca="1">FIRE1201a_raw!B36</f>
        <v>7035</v>
      </c>
      <c r="C33" s="87">
        <f ca="1">FIRE1201a_raw!C36</f>
        <v>4660</v>
      </c>
      <c r="D33" s="87">
        <f ca="1">FIRE1201a_raw!D36</f>
        <v>238</v>
      </c>
      <c r="E33" s="87">
        <f ca="1">FIRE1201a_raw!E36</f>
        <v>2137</v>
      </c>
      <c r="F33" s="87">
        <f ca="1">FIRE1201a_raw!F36</f>
        <v>0</v>
      </c>
      <c r="G33" s="87">
        <f ca="1">FIRE1201a_raw!G36</f>
        <v>0</v>
      </c>
      <c r="H33" s="87">
        <f ca="1">FIRE1201a_raw!H36</f>
        <v>0</v>
      </c>
      <c r="I33" s="52"/>
      <c r="J33" s="87">
        <f ca="1">FIRE1201a_raw!J36</f>
        <v>7035</v>
      </c>
      <c r="K33" s="87">
        <f ca="1">FIRE1201a_raw!K36</f>
        <v>4660</v>
      </c>
      <c r="L33" s="87">
        <f ca="1">FIRE1201a_raw!L36</f>
        <v>238</v>
      </c>
      <c r="M33" s="87">
        <f ca="1">FIRE1201a_raw!M36</f>
        <v>2137</v>
      </c>
      <c r="N33" s="87">
        <f ca="1">FIRE1201a_raw!N36</f>
        <v>0</v>
      </c>
      <c r="O33" s="87">
        <f ca="1">FIRE1201a_raw!O36</f>
        <v>0</v>
      </c>
      <c r="P33" s="87">
        <f ca="1">FIRE1201a_raw!P36</f>
        <v>0</v>
      </c>
      <c r="Q33" s="87"/>
    </row>
    <row r="34" spans="1:17" ht="15" customHeight="1" x14ac:dyDescent="0.3">
      <c r="A34" s="5" t="s">
        <v>48</v>
      </c>
      <c r="B34" s="87">
        <f ca="1">FIRE1201a_raw!B37</f>
        <v>619</v>
      </c>
      <c r="C34" s="87">
        <f ca="1">FIRE1201a_raw!C37</f>
        <v>137</v>
      </c>
      <c r="D34" s="87">
        <f ca="1">FIRE1201a_raw!D37</f>
        <v>0</v>
      </c>
      <c r="E34" s="87">
        <f ca="1">FIRE1201a_raw!E37</f>
        <v>212</v>
      </c>
      <c r="F34" s="87">
        <f ca="1">FIRE1201a_raw!F37</f>
        <v>136</v>
      </c>
      <c r="G34" s="87">
        <f ca="1">FIRE1201a_raw!G37</f>
        <v>113</v>
      </c>
      <c r="H34" s="87">
        <f ca="1">FIRE1201a_raw!H37</f>
        <v>21</v>
      </c>
      <c r="I34" s="52"/>
      <c r="J34" s="87">
        <f ca="1">FIRE1201a_raw!J37</f>
        <v>619</v>
      </c>
      <c r="K34" s="87">
        <f ca="1">FIRE1201a_raw!K37</f>
        <v>137</v>
      </c>
      <c r="L34" s="87">
        <f ca="1">FIRE1201a_raw!L37</f>
        <v>0</v>
      </c>
      <c r="M34" s="87">
        <f ca="1">FIRE1201a_raw!M37</f>
        <v>212</v>
      </c>
      <c r="N34" s="87">
        <f ca="1">FIRE1201a_raw!N37</f>
        <v>136</v>
      </c>
      <c r="O34" s="87">
        <f ca="1">FIRE1201a_raw!O37</f>
        <v>113</v>
      </c>
      <c r="P34" s="87">
        <f ca="1">FIRE1201a_raw!P37</f>
        <v>21</v>
      </c>
      <c r="Q34" s="87"/>
    </row>
    <row r="35" spans="1:17" ht="15" customHeight="1" x14ac:dyDescent="0.3">
      <c r="A35" s="4" t="s">
        <v>25</v>
      </c>
      <c r="B35" s="87">
        <f ca="1">FIRE1201a_raw!B38</f>
        <v>82</v>
      </c>
      <c r="C35" s="87">
        <f ca="1">FIRE1201a_raw!C38</f>
        <v>82</v>
      </c>
      <c r="D35" s="87">
        <f ca="1">FIRE1201a_raw!D38</f>
        <v>0</v>
      </c>
      <c r="E35" s="87">
        <f ca="1">FIRE1201a_raw!E38</f>
        <v>0</v>
      </c>
      <c r="F35" s="87">
        <f ca="1">FIRE1201a_raw!F38</f>
        <v>0</v>
      </c>
      <c r="G35" s="87">
        <f ca="1">FIRE1201a_raw!G38</f>
        <v>0</v>
      </c>
      <c r="H35" s="87">
        <f ca="1">FIRE1201a_raw!H38</f>
        <v>0</v>
      </c>
      <c r="I35" s="52"/>
      <c r="J35" s="87">
        <f ca="1">FIRE1201a_raw!J38</f>
        <v>0</v>
      </c>
      <c r="K35" s="87">
        <f ca="1">FIRE1201a_raw!K38</f>
        <v>0</v>
      </c>
      <c r="L35" s="87">
        <f ca="1">FIRE1201a_raw!L38</f>
        <v>0</v>
      </c>
      <c r="M35" s="87">
        <f ca="1">FIRE1201a_raw!M38</f>
        <v>0</v>
      </c>
      <c r="N35" s="87">
        <f ca="1">FIRE1201a_raw!N38</f>
        <v>0</v>
      </c>
      <c r="O35" s="87">
        <f ca="1">FIRE1201a_raw!O38</f>
        <v>0</v>
      </c>
      <c r="P35" s="87">
        <f ca="1">FIRE1201a_raw!P38</f>
        <v>0</v>
      </c>
      <c r="Q35" s="87"/>
    </row>
    <row r="36" spans="1:17" ht="15" customHeight="1" x14ac:dyDescent="0.3">
      <c r="A36" s="5" t="s">
        <v>26</v>
      </c>
      <c r="B36" s="87">
        <f ca="1">FIRE1201a_raw!B39</f>
        <v>29488</v>
      </c>
      <c r="C36" s="87">
        <f ca="1">FIRE1201a_raw!C39</f>
        <v>18130</v>
      </c>
      <c r="D36" s="87">
        <f ca="1">FIRE1201a_raw!D39</f>
        <v>0</v>
      </c>
      <c r="E36" s="87">
        <f ca="1">FIRE1201a_raw!E39</f>
        <v>11358</v>
      </c>
      <c r="F36" s="87">
        <f ca="1">FIRE1201a_raw!F39</f>
        <v>0</v>
      </c>
      <c r="G36" s="87">
        <f ca="1">FIRE1201a_raw!G39</f>
        <v>0</v>
      </c>
      <c r="H36" s="87">
        <f ca="1">FIRE1201a_raw!H39</f>
        <v>0</v>
      </c>
      <c r="I36" s="52"/>
      <c r="J36" s="87">
        <f ca="1">FIRE1201a_raw!J39</f>
        <v>29488</v>
      </c>
      <c r="K36" s="87">
        <f ca="1">FIRE1201a_raw!K39</f>
        <v>18130</v>
      </c>
      <c r="L36" s="87">
        <f ca="1">FIRE1201a_raw!L39</f>
        <v>0</v>
      </c>
      <c r="M36" s="87">
        <f ca="1">FIRE1201a_raw!M39</f>
        <v>11358</v>
      </c>
      <c r="N36" s="87">
        <f ca="1">FIRE1201a_raw!N39</f>
        <v>0</v>
      </c>
      <c r="O36" s="87">
        <f ca="1">FIRE1201a_raw!O39</f>
        <v>0</v>
      </c>
      <c r="P36" s="87">
        <f ca="1">FIRE1201a_raw!P39</f>
        <v>0</v>
      </c>
      <c r="Q36" s="87"/>
    </row>
    <row r="37" spans="1:17" ht="15" customHeight="1" x14ac:dyDescent="0.3">
      <c r="A37" s="5" t="s">
        <v>27</v>
      </c>
      <c r="B37" s="87">
        <f ca="1">FIRE1201a_raw!B40</f>
        <v>40690</v>
      </c>
      <c r="C37" s="87">
        <f ca="1">FIRE1201a_raw!C40</f>
        <v>29506</v>
      </c>
      <c r="D37" s="87">
        <f ca="1">FIRE1201a_raw!D40</f>
        <v>0</v>
      </c>
      <c r="E37" s="87">
        <f ca="1">FIRE1201a_raw!E40</f>
        <v>11184</v>
      </c>
      <c r="F37" s="87">
        <f ca="1">FIRE1201a_raw!F40</f>
        <v>0</v>
      </c>
      <c r="G37" s="87">
        <f ca="1">FIRE1201a_raw!G40</f>
        <v>0</v>
      </c>
      <c r="H37" s="87">
        <f ca="1">FIRE1201a_raw!H40</f>
        <v>0</v>
      </c>
      <c r="I37" s="52"/>
      <c r="J37" s="87">
        <f ca="1">FIRE1201a_raw!J40</f>
        <v>40690</v>
      </c>
      <c r="K37" s="87">
        <f ca="1">FIRE1201a_raw!K40</f>
        <v>29506</v>
      </c>
      <c r="L37" s="87">
        <f ca="1">FIRE1201a_raw!L40</f>
        <v>0</v>
      </c>
      <c r="M37" s="87">
        <f ca="1">FIRE1201a_raw!M40</f>
        <v>11184</v>
      </c>
      <c r="N37" s="87">
        <f ca="1">FIRE1201a_raw!N40</f>
        <v>0</v>
      </c>
      <c r="O37" s="87">
        <f ca="1">FIRE1201a_raw!O40</f>
        <v>0</v>
      </c>
      <c r="P37" s="87">
        <f ca="1">FIRE1201a_raw!P40</f>
        <v>0</v>
      </c>
      <c r="Q37" s="87"/>
    </row>
    <row r="38" spans="1:17" ht="15" customHeight="1" x14ac:dyDescent="0.3">
      <c r="A38" s="5" t="s">
        <v>28</v>
      </c>
      <c r="B38" s="87">
        <f ca="1">FIRE1201a_raw!B41</f>
        <v>9632</v>
      </c>
      <c r="C38" s="87">
        <f ca="1">FIRE1201a_raw!C41</f>
        <v>6180</v>
      </c>
      <c r="D38" s="87">
        <f ca="1">FIRE1201a_raw!D41</f>
        <v>0</v>
      </c>
      <c r="E38" s="87">
        <f ca="1">FIRE1201a_raw!E41</f>
        <v>3452</v>
      </c>
      <c r="F38" s="87">
        <f ca="1">FIRE1201a_raw!F41</f>
        <v>0</v>
      </c>
      <c r="G38" s="87">
        <f ca="1">FIRE1201a_raw!G41</f>
        <v>0</v>
      </c>
      <c r="H38" s="87">
        <f ca="1">FIRE1201a_raw!H41</f>
        <v>0</v>
      </c>
      <c r="I38" s="52"/>
      <c r="J38" s="87">
        <f ca="1">FIRE1201a_raw!J41</f>
        <v>9632</v>
      </c>
      <c r="K38" s="87">
        <f ca="1">FIRE1201a_raw!K41</f>
        <v>6180</v>
      </c>
      <c r="L38" s="87">
        <f ca="1">FIRE1201a_raw!L41</f>
        <v>0</v>
      </c>
      <c r="M38" s="87">
        <f ca="1">FIRE1201a_raw!M41</f>
        <v>3452</v>
      </c>
      <c r="N38" s="87">
        <f ca="1">FIRE1201a_raw!N41</f>
        <v>0</v>
      </c>
      <c r="O38" s="87">
        <f ca="1">FIRE1201a_raw!O41</f>
        <v>0</v>
      </c>
      <c r="P38" s="87">
        <f ca="1">FIRE1201a_raw!P41</f>
        <v>0</v>
      </c>
      <c r="Q38" s="87"/>
    </row>
    <row r="39" spans="1:17" ht="15" customHeight="1" x14ac:dyDescent="0.3">
      <c r="A39" s="5" t="s">
        <v>29</v>
      </c>
      <c r="B39" s="87">
        <f ca="1">FIRE1201a_raw!B42</f>
        <v>3592</v>
      </c>
      <c r="C39" s="87">
        <f ca="1">FIRE1201a_raw!C42</f>
        <v>0</v>
      </c>
      <c r="D39" s="87">
        <f ca="1">FIRE1201a_raw!D42</f>
        <v>0</v>
      </c>
      <c r="E39" s="87">
        <f ca="1">FIRE1201a_raw!E42</f>
        <v>0</v>
      </c>
      <c r="F39" s="87">
        <f ca="1">FIRE1201a_raw!F42</f>
        <v>0</v>
      </c>
      <c r="G39" s="87">
        <f ca="1">FIRE1201a_raw!G42</f>
        <v>0</v>
      </c>
      <c r="H39" s="87">
        <f ca="1">FIRE1201a_raw!H42</f>
        <v>3592</v>
      </c>
      <c r="I39" s="52"/>
      <c r="J39" s="87">
        <f ca="1">FIRE1201a_raw!J42</f>
        <v>2152</v>
      </c>
      <c r="K39" s="87">
        <f ca="1">FIRE1201a_raw!K42</f>
        <v>0</v>
      </c>
      <c r="L39" s="87">
        <f ca="1">FIRE1201a_raw!L42</f>
        <v>0</v>
      </c>
      <c r="M39" s="87">
        <f ca="1">FIRE1201a_raw!M42</f>
        <v>0</v>
      </c>
      <c r="N39" s="87">
        <f ca="1">FIRE1201a_raw!N42</f>
        <v>0</v>
      </c>
      <c r="O39" s="87">
        <f ca="1">FIRE1201a_raw!O42</f>
        <v>0</v>
      </c>
      <c r="P39" s="87">
        <f ca="1">FIRE1201a_raw!P42</f>
        <v>2152</v>
      </c>
      <c r="Q39" s="87"/>
    </row>
    <row r="40" spans="1:17" ht="15" customHeight="1" x14ac:dyDescent="0.3">
      <c r="A40" s="5" t="s">
        <v>30</v>
      </c>
      <c r="B40" s="87">
        <f ca="1">FIRE1201a_raw!B43</f>
        <v>99877</v>
      </c>
      <c r="C40" s="87">
        <f ca="1">FIRE1201a_raw!C43</f>
        <v>88296</v>
      </c>
      <c r="D40" s="87">
        <f ca="1">FIRE1201a_raw!D43</f>
        <v>0</v>
      </c>
      <c r="E40" s="87">
        <f ca="1">FIRE1201a_raw!E43</f>
        <v>11581</v>
      </c>
      <c r="F40" s="87">
        <f ca="1">FIRE1201a_raw!F43</f>
        <v>0</v>
      </c>
      <c r="G40" s="87">
        <f ca="1">FIRE1201a_raw!G43</f>
        <v>0</v>
      </c>
      <c r="H40" s="87">
        <f ca="1">FIRE1201a_raw!H43</f>
        <v>0</v>
      </c>
      <c r="I40" s="52"/>
      <c r="J40" s="87">
        <f ca="1">FIRE1201a_raw!J43</f>
        <v>10177</v>
      </c>
      <c r="K40" s="87">
        <f ca="1">FIRE1201a_raw!K43</f>
        <v>0</v>
      </c>
      <c r="L40" s="87">
        <f ca="1">FIRE1201a_raw!L43</f>
        <v>0</v>
      </c>
      <c r="M40" s="87">
        <f ca="1">FIRE1201a_raw!M43</f>
        <v>10177</v>
      </c>
      <c r="N40" s="87">
        <f ca="1">FIRE1201a_raw!N43</f>
        <v>0</v>
      </c>
      <c r="O40" s="87">
        <f ca="1">FIRE1201a_raw!O43</f>
        <v>0</v>
      </c>
      <c r="P40" s="87">
        <f ca="1">FIRE1201a_raw!P43</f>
        <v>0</v>
      </c>
      <c r="Q40" s="87"/>
    </row>
    <row r="41" spans="1:17" ht="15" customHeight="1" x14ac:dyDescent="0.3">
      <c r="A41" s="4" t="s">
        <v>31</v>
      </c>
      <c r="B41" s="87">
        <f ca="1">FIRE1201a_raw!B44</f>
        <v>251</v>
      </c>
      <c r="C41" s="87">
        <f ca="1">FIRE1201a_raw!C44</f>
        <v>239</v>
      </c>
      <c r="D41" s="87">
        <f ca="1">FIRE1201a_raw!D44</f>
        <v>7</v>
      </c>
      <c r="E41" s="87">
        <f ca="1">FIRE1201a_raw!E44</f>
        <v>5</v>
      </c>
      <c r="F41" s="87">
        <f ca="1">FIRE1201a_raw!F44</f>
        <v>0</v>
      </c>
      <c r="G41" s="87">
        <f ca="1">FIRE1201a_raw!G44</f>
        <v>0</v>
      </c>
      <c r="H41" s="87">
        <f ca="1">FIRE1201a_raw!H44</f>
        <v>0</v>
      </c>
      <c r="I41" s="52"/>
      <c r="J41" s="87">
        <f ca="1">FIRE1201a_raw!J44</f>
        <v>0</v>
      </c>
      <c r="K41" s="87">
        <f ca="1">FIRE1201a_raw!K44</f>
        <v>0</v>
      </c>
      <c r="L41" s="87">
        <f ca="1">FIRE1201a_raw!L44</f>
        <v>0</v>
      </c>
      <c r="M41" s="87">
        <f ca="1">FIRE1201a_raw!M44</f>
        <v>0</v>
      </c>
      <c r="N41" s="87">
        <f ca="1">FIRE1201a_raw!N44</f>
        <v>0</v>
      </c>
      <c r="O41" s="87">
        <f ca="1">FIRE1201a_raw!O44</f>
        <v>0</v>
      </c>
      <c r="P41" s="87">
        <f ca="1">FIRE1201a_raw!P44</f>
        <v>0</v>
      </c>
      <c r="Q41" s="87"/>
    </row>
    <row r="42" spans="1:17" ht="15" customHeight="1" x14ac:dyDescent="0.3">
      <c r="A42" s="4" t="s">
        <v>32</v>
      </c>
      <c r="B42" s="87">
        <f ca="1">FIRE1201a_raw!B45</f>
        <v>4511</v>
      </c>
      <c r="C42" s="87">
        <f ca="1">FIRE1201a_raw!C45</f>
        <v>4502</v>
      </c>
      <c r="D42" s="87">
        <f ca="1">FIRE1201a_raw!D45</f>
        <v>0</v>
      </c>
      <c r="E42" s="87">
        <f ca="1">FIRE1201a_raw!E45</f>
        <v>0</v>
      </c>
      <c r="F42" s="87">
        <f ca="1">FIRE1201a_raw!F45</f>
        <v>9</v>
      </c>
      <c r="G42" s="87">
        <f ca="1">FIRE1201a_raw!G45</f>
        <v>0</v>
      </c>
      <c r="H42" s="87">
        <f ca="1">FIRE1201a_raw!H45</f>
        <v>0</v>
      </c>
      <c r="I42" s="52"/>
      <c r="J42" s="87">
        <f ca="1">FIRE1201a_raw!J45</f>
        <v>3527</v>
      </c>
      <c r="K42" s="87">
        <f ca="1">FIRE1201a_raw!K45</f>
        <v>3518</v>
      </c>
      <c r="L42" s="87">
        <f ca="1">FIRE1201a_raw!L45</f>
        <v>0</v>
      </c>
      <c r="M42" s="87">
        <f ca="1">FIRE1201a_raw!M45</f>
        <v>0</v>
      </c>
      <c r="N42" s="87">
        <f ca="1">FIRE1201a_raw!N45</f>
        <v>9</v>
      </c>
      <c r="O42" s="87">
        <f ca="1">FIRE1201a_raw!O45</f>
        <v>0</v>
      </c>
      <c r="P42" s="87">
        <f ca="1">FIRE1201a_raw!P45</f>
        <v>0</v>
      </c>
      <c r="Q42" s="87"/>
    </row>
    <row r="43" spans="1:17" ht="15" customHeight="1" x14ac:dyDescent="0.3">
      <c r="A43" s="4" t="s">
        <v>33</v>
      </c>
      <c r="B43" s="87">
        <f ca="1">FIRE1201a_raw!B46</f>
        <v>7164</v>
      </c>
      <c r="C43" s="87">
        <f ca="1">FIRE1201a_raw!C46</f>
        <v>7164</v>
      </c>
      <c r="D43" s="87">
        <f ca="1">FIRE1201a_raw!D46</f>
        <v>0</v>
      </c>
      <c r="E43" s="87">
        <f ca="1">FIRE1201a_raw!E46</f>
        <v>0</v>
      </c>
      <c r="F43" s="87">
        <f ca="1">FIRE1201a_raw!F46</f>
        <v>0</v>
      </c>
      <c r="G43" s="87">
        <f ca="1">FIRE1201a_raw!G46</f>
        <v>0</v>
      </c>
      <c r="H43" s="87">
        <f ca="1">FIRE1201a_raw!H46</f>
        <v>0</v>
      </c>
      <c r="I43" s="52"/>
      <c r="J43" s="87">
        <f ca="1">FIRE1201a_raw!J46</f>
        <v>1601</v>
      </c>
      <c r="K43" s="87">
        <f ca="1">FIRE1201a_raw!K46</f>
        <v>338</v>
      </c>
      <c r="L43" s="87">
        <f ca="1">FIRE1201a_raw!L46</f>
        <v>0</v>
      </c>
      <c r="M43" s="87">
        <f ca="1">FIRE1201a_raw!M46</f>
        <v>0</v>
      </c>
      <c r="N43" s="87">
        <f ca="1">FIRE1201a_raw!N46</f>
        <v>1263</v>
      </c>
      <c r="O43" s="87">
        <f ca="1">FIRE1201a_raw!O46</f>
        <v>0</v>
      </c>
      <c r="P43" s="87">
        <f ca="1">FIRE1201a_raw!P46</f>
        <v>0</v>
      </c>
      <c r="Q43" s="87"/>
    </row>
    <row r="44" spans="1:17" ht="15" customHeight="1" x14ac:dyDescent="0.3">
      <c r="A44" s="4" t="s">
        <v>34</v>
      </c>
      <c r="B44" s="87">
        <f ca="1">FIRE1201a_raw!B47</f>
        <v>21391</v>
      </c>
      <c r="C44" s="87">
        <f ca="1">FIRE1201a_raw!C47</f>
        <v>18009</v>
      </c>
      <c r="D44" s="87">
        <f ca="1">FIRE1201a_raw!D47</f>
        <v>0</v>
      </c>
      <c r="E44" s="87">
        <f ca="1">FIRE1201a_raw!E47</f>
        <v>0</v>
      </c>
      <c r="F44" s="87">
        <f ca="1">FIRE1201a_raw!F47</f>
        <v>3382</v>
      </c>
      <c r="G44" s="87">
        <f ca="1">FIRE1201a_raw!G47</f>
        <v>0</v>
      </c>
      <c r="H44" s="87">
        <f ca="1">FIRE1201a_raw!H47</f>
        <v>0</v>
      </c>
      <c r="I44" s="52"/>
      <c r="J44" s="87">
        <f ca="1">FIRE1201a_raw!J47</f>
        <v>21391</v>
      </c>
      <c r="K44" s="87">
        <f ca="1">FIRE1201a_raw!K47</f>
        <v>18009</v>
      </c>
      <c r="L44" s="87">
        <f ca="1">FIRE1201a_raw!L47</f>
        <v>0</v>
      </c>
      <c r="M44" s="87">
        <f ca="1">FIRE1201a_raw!M47</f>
        <v>0</v>
      </c>
      <c r="N44" s="87">
        <f ca="1">FIRE1201a_raw!N47</f>
        <v>3382</v>
      </c>
      <c r="O44" s="87">
        <f ca="1">FIRE1201a_raw!O47</f>
        <v>0</v>
      </c>
      <c r="P44" s="87">
        <f ca="1">FIRE1201a_raw!P47</f>
        <v>0</v>
      </c>
      <c r="Q44" s="87"/>
    </row>
    <row r="45" spans="1:17" ht="15" customHeight="1" x14ac:dyDescent="0.3">
      <c r="A45" s="4" t="s">
        <v>35</v>
      </c>
      <c r="B45" s="87">
        <f ca="1">FIRE1201a_raw!B48</f>
        <v>15092</v>
      </c>
      <c r="C45" s="87">
        <f ca="1">FIRE1201a_raw!C48</f>
        <v>13256</v>
      </c>
      <c r="D45" s="87">
        <f ca="1">FIRE1201a_raw!D48</f>
        <v>0</v>
      </c>
      <c r="E45" s="87">
        <f ca="1">FIRE1201a_raw!E48</f>
        <v>49</v>
      </c>
      <c r="F45" s="87">
        <f ca="1">FIRE1201a_raw!F48</f>
        <v>1265</v>
      </c>
      <c r="G45" s="87">
        <f ca="1">FIRE1201a_raw!G48</f>
        <v>0</v>
      </c>
      <c r="H45" s="87">
        <f ca="1">FIRE1201a_raw!H48</f>
        <v>522</v>
      </c>
      <c r="I45" s="52"/>
      <c r="J45" s="87">
        <f ca="1">FIRE1201a_raw!J48</f>
        <v>10997</v>
      </c>
      <c r="K45" s="87">
        <f ca="1">FIRE1201a_raw!K48</f>
        <v>9710</v>
      </c>
      <c r="L45" s="87">
        <f ca="1">FIRE1201a_raw!L48</f>
        <v>0</v>
      </c>
      <c r="M45" s="87">
        <f ca="1">FIRE1201a_raw!M48</f>
        <v>28</v>
      </c>
      <c r="N45" s="87">
        <f ca="1">FIRE1201a_raw!N48</f>
        <v>1009</v>
      </c>
      <c r="O45" s="87">
        <f ca="1">FIRE1201a_raw!O48</f>
        <v>0</v>
      </c>
      <c r="P45" s="87">
        <f ca="1">FIRE1201a_raw!P48</f>
        <v>250</v>
      </c>
      <c r="Q45" s="87"/>
    </row>
    <row r="46" spans="1:17" ht="15" customHeight="1" x14ac:dyDescent="0.3">
      <c r="A46" s="4" t="s">
        <v>36</v>
      </c>
      <c r="B46" s="87">
        <f ca="1">FIRE1201a_raw!B49</f>
        <v>8415</v>
      </c>
      <c r="C46" s="87">
        <f ca="1">FIRE1201a_raw!C49</f>
        <v>7308</v>
      </c>
      <c r="D46" s="87">
        <f ca="1">FIRE1201a_raw!D49</f>
        <v>0</v>
      </c>
      <c r="E46" s="87">
        <f ca="1">FIRE1201a_raw!E49</f>
        <v>0</v>
      </c>
      <c r="F46" s="87">
        <f ca="1">FIRE1201a_raw!F49</f>
        <v>1107</v>
      </c>
      <c r="G46" s="87">
        <f ca="1">FIRE1201a_raw!G49</f>
        <v>0</v>
      </c>
      <c r="H46" s="87">
        <f ca="1">FIRE1201a_raw!H49</f>
        <v>0</v>
      </c>
      <c r="I46" s="52"/>
      <c r="J46" s="87">
        <f ca="1">FIRE1201a_raw!J49</f>
        <v>7220</v>
      </c>
      <c r="K46" s="87">
        <f ca="1">FIRE1201a_raw!K49</f>
        <v>6240</v>
      </c>
      <c r="L46" s="87">
        <f ca="1">FIRE1201a_raw!L49</f>
        <v>0</v>
      </c>
      <c r="M46" s="87">
        <f ca="1">FIRE1201a_raw!M49</f>
        <v>0</v>
      </c>
      <c r="N46" s="87">
        <f ca="1">FIRE1201a_raw!N49</f>
        <v>980</v>
      </c>
      <c r="O46" s="87">
        <f ca="1">FIRE1201a_raw!O49</f>
        <v>0</v>
      </c>
      <c r="P46" s="87">
        <f ca="1">FIRE1201a_raw!P49</f>
        <v>0</v>
      </c>
      <c r="Q46" s="87"/>
    </row>
    <row r="47" spans="1:17" ht="15" customHeight="1" x14ac:dyDescent="0.3">
      <c r="A47" s="4" t="s">
        <v>37</v>
      </c>
      <c r="B47" s="87">
        <f ca="1">FIRE1201a_raw!B50</f>
        <v>5000</v>
      </c>
      <c r="C47" s="87">
        <f ca="1">FIRE1201a_raw!C50</f>
        <v>2370</v>
      </c>
      <c r="D47" s="87">
        <f ca="1">FIRE1201a_raw!D50</f>
        <v>0</v>
      </c>
      <c r="E47" s="87">
        <f ca="1">FIRE1201a_raw!E50</f>
        <v>0</v>
      </c>
      <c r="F47" s="87">
        <f ca="1">FIRE1201a_raw!F50</f>
        <v>736</v>
      </c>
      <c r="G47" s="87">
        <f ca="1">FIRE1201a_raw!G50</f>
        <v>0</v>
      </c>
      <c r="H47" s="87">
        <f ca="1">FIRE1201a_raw!H50</f>
        <v>1894</v>
      </c>
      <c r="I47" s="52"/>
      <c r="J47" s="87">
        <f ca="1">FIRE1201a_raw!J50</f>
        <v>5000</v>
      </c>
      <c r="K47" s="87">
        <f ca="1">FIRE1201a_raw!K50</f>
        <v>2370</v>
      </c>
      <c r="L47" s="87">
        <f ca="1">FIRE1201a_raw!L50</f>
        <v>0</v>
      </c>
      <c r="M47" s="87">
        <f ca="1">FIRE1201a_raw!M50</f>
        <v>0</v>
      </c>
      <c r="N47" s="87">
        <f ca="1">FIRE1201a_raw!N50</f>
        <v>736</v>
      </c>
      <c r="O47" s="87">
        <f ca="1">FIRE1201a_raw!O50</f>
        <v>0</v>
      </c>
      <c r="P47" s="87">
        <f ca="1">FIRE1201a_raw!P50</f>
        <v>1894</v>
      </c>
      <c r="Q47" s="87"/>
    </row>
    <row r="48" spans="1:17" ht="15" customHeight="1" x14ac:dyDescent="0.3">
      <c r="A48" s="4" t="s">
        <v>38</v>
      </c>
      <c r="B48" s="87">
        <f ca="1">FIRE1201a_raw!B51</f>
        <v>34898</v>
      </c>
      <c r="C48" s="87">
        <f ca="1">FIRE1201a_raw!C51</f>
        <v>29056</v>
      </c>
      <c r="D48" s="87">
        <f ca="1">FIRE1201a_raw!D51</f>
        <v>56</v>
      </c>
      <c r="E48" s="87">
        <f ca="1">FIRE1201a_raw!E51</f>
        <v>5786</v>
      </c>
      <c r="F48" s="87">
        <f ca="1">FIRE1201a_raw!F51</f>
        <v>0</v>
      </c>
      <c r="G48" s="87">
        <f ca="1">FIRE1201a_raw!G51</f>
        <v>0</v>
      </c>
      <c r="H48" s="87">
        <f ca="1">FIRE1201a_raw!H51</f>
        <v>0</v>
      </c>
      <c r="I48" s="52"/>
      <c r="J48" s="87">
        <f ca="1">FIRE1201a_raw!J51</f>
        <v>2438</v>
      </c>
      <c r="K48" s="87">
        <f ca="1">FIRE1201a_raw!K51</f>
        <v>1764</v>
      </c>
      <c r="L48" s="87">
        <f ca="1">FIRE1201a_raw!L51</f>
        <v>0</v>
      </c>
      <c r="M48" s="87">
        <f ca="1">FIRE1201a_raw!M51</f>
        <v>674</v>
      </c>
      <c r="N48" s="87">
        <f ca="1">FIRE1201a_raw!N51</f>
        <v>0</v>
      </c>
      <c r="O48" s="87">
        <f ca="1">FIRE1201a_raw!O51</f>
        <v>0</v>
      </c>
      <c r="P48" s="87">
        <f ca="1">FIRE1201a_raw!P51</f>
        <v>0</v>
      </c>
      <c r="Q48" s="87"/>
    </row>
    <row r="49" spans="1:17" ht="15" customHeight="1" x14ac:dyDescent="0.3">
      <c r="A49" s="4" t="s">
        <v>39</v>
      </c>
      <c r="B49" s="87">
        <f ca="1">FIRE1201a_raw!B52</f>
        <v>0</v>
      </c>
      <c r="C49" s="87">
        <f ca="1">FIRE1201a_raw!C52</f>
        <v>0</v>
      </c>
      <c r="D49" s="87">
        <f ca="1">FIRE1201a_raw!D52</f>
        <v>0</v>
      </c>
      <c r="E49" s="87">
        <f ca="1">FIRE1201a_raw!E52</f>
        <v>0</v>
      </c>
      <c r="F49" s="87">
        <f ca="1">FIRE1201a_raw!F52</f>
        <v>0</v>
      </c>
      <c r="G49" s="87">
        <f ca="1">FIRE1201a_raw!G52</f>
        <v>0</v>
      </c>
      <c r="H49" s="87">
        <f ca="1">FIRE1201a_raw!H52</f>
        <v>0</v>
      </c>
      <c r="I49" s="52"/>
      <c r="J49" s="87">
        <f ca="1">FIRE1201a_raw!J52</f>
        <v>0</v>
      </c>
      <c r="K49" s="87">
        <f ca="1">FIRE1201a_raw!K52</f>
        <v>0</v>
      </c>
      <c r="L49" s="87">
        <f ca="1">FIRE1201a_raw!L52</f>
        <v>0</v>
      </c>
      <c r="M49" s="87">
        <f ca="1">FIRE1201a_raw!M52</f>
        <v>0</v>
      </c>
      <c r="N49" s="87">
        <f ca="1">FIRE1201a_raw!N52</f>
        <v>0</v>
      </c>
      <c r="O49" s="87">
        <f ca="1">FIRE1201a_raw!O52</f>
        <v>0</v>
      </c>
      <c r="P49" s="87">
        <f ca="1">FIRE1201a_raw!P52</f>
        <v>0</v>
      </c>
      <c r="Q49" s="87"/>
    </row>
    <row r="50" spans="1:17" ht="15" customHeight="1" x14ac:dyDescent="0.3">
      <c r="A50" s="95" t="s">
        <v>40</v>
      </c>
      <c r="B50" s="87">
        <f ca="1">FIRE1201a_raw!B53</f>
        <v>3512</v>
      </c>
      <c r="C50" s="87">
        <f ca="1">FIRE1201a_raw!C53</f>
        <v>2040</v>
      </c>
      <c r="D50" s="87">
        <f ca="1">FIRE1201a_raw!D53</f>
        <v>282</v>
      </c>
      <c r="E50" s="87">
        <f ca="1">FIRE1201a_raw!E53</f>
        <v>0</v>
      </c>
      <c r="F50" s="87">
        <f ca="1">FIRE1201a_raw!F53</f>
        <v>1190</v>
      </c>
      <c r="G50" s="87">
        <f ca="1">FIRE1201a_raw!G53</f>
        <v>0</v>
      </c>
      <c r="H50" s="87">
        <f ca="1">FIRE1201a_raw!H53</f>
        <v>0</v>
      </c>
      <c r="I50" s="52"/>
      <c r="J50" s="87">
        <f ca="1">FIRE1201a_raw!J53</f>
        <v>1190</v>
      </c>
      <c r="K50" s="87">
        <f ca="1">FIRE1201a_raw!K53</f>
        <v>0</v>
      </c>
      <c r="L50" s="87">
        <f ca="1">FIRE1201a_raw!L53</f>
        <v>0</v>
      </c>
      <c r="M50" s="87">
        <f ca="1">FIRE1201a_raw!M53</f>
        <v>0</v>
      </c>
      <c r="N50" s="87">
        <f ca="1">FIRE1201a_raw!N53</f>
        <v>1190</v>
      </c>
      <c r="O50" s="87">
        <f ca="1">FIRE1201a_raw!O53</f>
        <v>0</v>
      </c>
      <c r="P50" s="87">
        <f ca="1">FIRE1201a_raw!P53</f>
        <v>0</v>
      </c>
      <c r="Q50" s="87"/>
    </row>
    <row r="51" spans="1:17" ht="15" customHeight="1" x14ac:dyDescent="0.3">
      <c r="A51" s="31" t="s">
        <v>41</v>
      </c>
      <c r="B51" s="87">
        <f ca="1">FIRE1201a_raw!B54</f>
        <v>9108</v>
      </c>
      <c r="C51" s="87">
        <f ca="1">FIRE1201a_raw!C54</f>
        <v>7369</v>
      </c>
      <c r="D51" s="87">
        <f ca="1">FIRE1201a_raw!D54</f>
        <v>1144</v>
      </c>
      <c r="E51" s="87">
        <f ca="1">FIRE1201a_raw!E54</f>
        <v>0</v>
      </c>
      <c r="F51" s="87">
        <f ca="1">FIRE1201a_raw!F54</f>
        <v>595</v>
      </c>
      <c r="G51" s="87">
        <f ca="1">FIRE1201a_raw!G54</f>
        <v>0</v>
      </c>
      <c r="H51" s="87">
        <f ca="1">FIRE1201a_raw!H54</f>
        <v>0</v>
      </c>
      <c r="I51" s="52"/>
      <c r="J51" s="87">
        <f ca="1">FIRE1201a_raw!J54</f>
        <v>213</v>
      </c>
      <c r="K51" s="87">
        <f ca="1">FIRE1201a_raw!K54</f>
        <v>87</v>
      </c>
      <c r="L51" s="87">
        <f ca="1">FIRE1201a_raw!L54</f>
        <v>0</v>
      </c>
      <c r="M51" s="87">
        <f ca="1">FIRE1201a_raw!M54</f>
        <v>0</v>
      </c>
      <c r="N51" s="87">
        <f ca="1">FIRE1201a_raw!N54</f>
        <v>126</v>
      </c>
      <c r="O51" s="87">
        <f ca="1">FIRE1201a_raw!O54</f>
        <v>0</v>
      </c>
      <c r="P51" s="87">
        <f ca="1">FIRE1201a_raw!P54</f>
        <v>0</v>
      </c>
      <c r="Q51" s="87"/>
    </row>
    <row r="52" spans="1:17" ht="15" customHeight="1" x14ac:dyDescent="0.3">
      <c r="A52" s="31" t="s">
        <v>42</v>
      </c>
      <c r="B52" s="87">
        <f ca="1">FIRE1201a_raw!B55</f>
        <v>0</v>
      </c>
      <c r="C52" s="87">
        <f ca="1">FIRE1201a_raw!C55</f>
        <v>0</v>
      </c>
      <c r="D52" s="87">
        <f ca="1">FIRE1201a_raw!D55</f>
        <v>0</v>
      </c>
      <c r="E52" s="87">
        <f ca="1">FIRE1201a_raw!E55</f>
        <v>0</v>
      </c>
      <c r="F52" s="87">
        <f ca="1">FIRE1201a_raw!F55</f>
        <v>0</v>
      </c>
      <c r="G52" s="87">
        <f ca="1">FIRE1201a_raw!G55</f>
        <v>0</v>
      </c>
      <c r="H52" s="87">
        <f ca="1">FIRE1201a_raw!H55</f>
        <v>0</v>
      </c>
      <c r="I52" s="52"/>
      <c r="J52" s="87">
        <f ca="1">FIRE1201a_raw!J55</f>
        <v>0</v>
      </c>
      <c r="K52" s="87">
        <f ca="1">FIRE1201a_raw!K55</f>
        <v>0</v>
      </c>
      <c r="L52" s="87">
        <f ca="1">FIRE1201a_raw!L55</f>
        <v>0</v>
      </c>
      <c r="M52" s="87">
        <f ca="1">FIRE1201a_raw!M55</f>
        <v>0</v>
      </c>
      <c r="N52" s="87">
        <f ca="1">FIRE1201a_raw!N55</f>
        <v>0</v>
      </c>
      <c r="O52" s="87">
        <f ca="1">FIRE1201a_raw!O55</f>
        <v>0</v>
      </c>
      <c r="P52" s="87">
        <f ca="1">FIRE1201a_raw!P55</f>
        <v>0</v>
      </c>
      <c r="Q52" s="87"/>
    </row>
    <row r="53" spans="1:17" ht="15" customHeight="1" x14ac:dyDescent="0.3">
      <c r="A53" s="31" t="s">
        <v>43</v>
      </c>
      <c r="B53" s="87">
        <f ca="1">FIRE1201a_raw!B56</f>
        <v>12416</v>
      </c>
      <c r="C53" s="87">
        <f ca="1">FIRE1201a_raw!C56</f>
        <v>11522</v>
      </c>
      <c r="D53" s="87">
        <f ca="1">FIRE1201a_raw!D56</f>
        <v>0</v>
      </c>
      <c r="E53" s="87">
        <f ca="1">FIRE1201a_raw!E56</f>
        <v>0</v>
      </c>
      <c r="F53" s="87">
        <f ca="1">FIRE1201a_raw!F56</f>
        <v>894</v>
      </c>
      <c r="G53" s="87">
        <f ca="1">FIRE1201a_raw!G56</f>
        <v>0</v>
      </c>
      <c r="H53" s="87">
        <f ca="1">FIRE1201a_raw!H56</f>
        <v>0</v>
      </c>
      <c r="I53" s="52"/>
      <c r="J53" s="87">
        <f ca="1">FIRE1201a_raw!J56</f>
        <v>12416</v>
      </c>
      <c r="K53" s="87">
        <f ca="1">FIRE1201a_raw!K56</f>
        <v>11522</v>
      </c>
      <c r="L53" s="87">
        <f ca="1">FIRE1201a_raw!L56</f>
        <v>0</v>
      </c>
      <c r="M53" s="87">
        <f ca="1">FIRE1201a_raw!M56</f>
        <v>0</v>
      </c>
      <c r="N53" s="87">
        <f ca="1">FIRE1201a_raw!N56</f>
        <v>894</v>
      </c>
      <c r="O53" s="87">
        <f ca="1">FIRE1201a_raw!O56</f>
        <v>0</v>
      </c>
      <c r="P53" s="87">
        <f ca="1">FIRE1201a_raw!P56</f>
        <v>0</v>
      </c>
      <c r="Q53" s="87"/>
    </row>
    <row r="54" spans="1:17" ht="15" customHeight="1" x14ac:dyDescent="0.3">
      <c r="A54" s="31" t="s">
        <v>44</v>
      </c>
      <c r="B54" s="87">
        <f ca="1">FIRE1201a_raw!B57</f>
        <v>154707</v>
      </c>
      <c r="C54" s="87">
        <f ca="1">FIRE1201a_raw!C57</f>
        <v>154707</v>
      </c>
      <c r="D54" s="87">
        <f ca="1">FIRE1201a_raw!D57</f>
        <v>0</v>
      </c>
      <c r="E54" s="87">
        <f ca="1">FIRE1201a_raw!E57</f>
        <v>0</v>
      </c>
      <c r="F54" s="87">
        <f ca="1">FIRE1201a_raw!F57</f>
        <v>0</v>
      </c>
      <c r="G54" s="87">
        <f ca="1">FIRE1201a_raw!G57</f>
        <v>0</v>
      </c>
      <c r="H54" s="87">
        <f ca="1">FIRE1201a_raw!H57</f>
        <v>0</v>
      </c>
      <c r="I54" s="52"/>
      <c r="J54" s="87">
        <f ca="1">FIRE1201a_raw!J57</f>
        <v>154707</v>
      </c>
      <c r="K54" s="87">
        <f ca="1">FIRE1201a_raw!K57</f>
        <v>154707</v>
      </c>
      <c r="L54" s="87">
        <f ca="1">FIRE1201a_raw!L57</f>
        <v>0</v>
      </c>
      <c r="M54" s="87">
        <f ca="1">FIRE1201a_raw!M57</f>
        <v>0</v>
      </c>
      <c r="N54" s="87">
        <f ca="1">FIRE1201a_raw!N57</f>
        <v>0</v>
      </c>
      <c r="O54" s="87">
        <f ca="1">FIRE1201a_raw!O57</f>
        <v>0</v>
      </c>
      <c r="P54" s="87">
        <f ca="1">FIRE1201a_raw!P57</f>
        <v>0</v>
      </c>
      <c r="Q54" s="87"/>
    </row>
    <row r="55" spans="1:17" ht="15" customHeight="1" x14ac:dyDescent="0.3">
      <c r="A55" s="31" t="s">
        <v>45</v>
      </c>
      <c r="B55" s="87">
        <f ca="1">FIRE1201a_raw!B58</f>
        <v>7261</v>
      </c>
      <c r="C55" s="87">
        <f ca="1">FIRE1201a_raw!C58</f>
        <v>5124</v>
      </c>
      <c r="D55" s="87">
        <f ca="1">FIRE1201a_raw!D58</f>
        <v>0</v>
      </c>
      <c r="E55" s="87">
        <f ca="1">FIRE1201a_raw!E58</f>
        <v>2137</v>
      </c>
      <c r="F55" s="87">
        <f ca="1">FIRE1201a_raw!F58</f>
        <v>0</v>
      </c>
      <c r="G55" s="87">
        <f ca="1">FIRE1201a_raw!G58</f>
        <v>0</v>
      </c>
      <c r="H55" s="87">
        <f ca="1">FIRE1201a_raw!H58</f>
        <v>0</v>
      </c>
      <c r="I55" s="52"/>
      <c r="J55" s="87">
        <f ca="1">FIRE1201a_raw!J58</f>
        <v>7261</v>
      </c>
      <c r="K55" s="87">
        <f ca="1">FIRE1201a_raw!K58</f>
        <v>5124</v>
      </c>
      <c r="L55" s="87">
        <f ca="1">FIRE1201a_raw!L58</f>
        <v>0</v>
      </c>
      <c r="M55" s="87">
        <f ca="1">FIRE1201a_raw!M58</f>
        <v>2137</v>
      </c>
      <c r="N55" s="87">
        <f ca="1">FIRE1201a_raw!N58</f>
        <v>0</v>
      </c>
      <c r="O55" s="87">
        <f ca="1">FIRE1201a_raw!O58</f>
        <v>0</v>
      </c>
      <c r="P55" s="87">
        <f ca="1">FIRE1201a_raw!P58</f>
        <v>0</v>
      </c>
      <c r="Q55" s="87"/>
    </row>
    <row r="56" spans="1:17" ht="15" customHeight="1" thickBot="1" x14ac:dyDescent="0.35">
      <c r="A56" s="16" t="s">
        <v>46</v>
      </c>
      <c r="B56" s="101">
        <f ca="1">FIRE1201a_raw!B59</f>
        <v>872</v>
      </c>
      <c r="C56" s="101">
        <f ca="1">FIRE1201a_raw!C59</f>
        <v>851</v>
      </c>
      <c r="D56" s="101">
        <f ca="1">FIRE1201a_raw!D59</f>
        <v>0</v>
      </c>
      <c r="E56" s="101">
        <f ca="1">FIRE1201a_raw!E59</f>
        <v>0</v>
      </c>
      <c r="F56" s="101">
        <f ca="1">FIRE1201a_raw!F59</f>
        <v>21</v>
      </c>
      <c r="G56" s="101">
        <f ca="1">FIRE1201a_raw!G59</f>
        <v>0</v>
      </c>
      <c r="H56" s="101">
        <f ca="1">FIRE1201a_raw!H59</f>
        <v>0</v>
      </c>
      <c r="I56" s="120"/>
      <c r="J56" s="101">
        <f ca="1">FIRE1201a_raw!J59</f>
        <v>872</v>
      </c>
      <c r="K56" s="101">
        <f ca="1">FIRE1201a_raw!K59</f>
        <v>851</v>
      </c>
      <c r="L56" s="101">
        <f ca="1">FIRE1201a_raw!L59</f>
        <v>0</v>
      </c>
      <c r="M56" s="101">
        <f ca="1">FIRE1201a_raw!M59</f>
        <v>0</v>
      </c>
      <c r="N56" s="101">
        <f ca="1">FIRE1201a_raw!N59</f>
        <v>21</v>
      </c>
      <c r="O56" s="101">
        <f ca="1">FIRE1201a_raw!O59</f>
        <v>0</v>
      </c>
      <c r="P56" s="101">
        <f ca="1">FIRE1201a_raw!P59</f>
        <v>0</v>
      </c>
      <c r="Q56" s="87"/>
    </row>
    <row r="57" spans="1:17" ht="26.25" customHeight="1" x14ac:dyDescent="0.3">
      <c r="A57" s="53" t="s">
        <v>190</v>
      </c>
    </row>
    <row r="58" spans="1:17" ht="14.55" customHeight="1" x14ac:dyDescent="0.3">
      <c r="A58" s="103" t="s">
        <v>199</v>
      </c>
    </row>
    <row r="59" spans="1:17" ht="27.75" customHeight="1" x14ac:dyDescent="0.3">
      <c r="A59" s="23" t="s">
        <v>160</v>
      </c>
    </row>
    <row r="60" spans="1:17" s="7" customFormat="1" x14ac:dyDescent="0.3">
      <c r="A60" s="156" t="s">
        <v>201</v>
      </c>
      <c r="B60" s="156"/>
      <c r="C60" s="156"/>
      <c r="D60" s="156"/>
      <c r="E60" s="156"/>
      <c r="F60" s="156"/>
      <c r="G60" s="156"/>
      <c r="H60" s="156"/>
      <c r="I60" s="156"/>
      <c r="J60" s="156"/>
      <c r="K60" s="156"/>
      <c r="L60" s="156"/>
      <c r="M60" s="156"/>
      <c r="N60" s="156"/>
      <c r="O60" s="156"/>
      <c r="P60" s="156"/>
    </row>
    <row r="61" spans="1:17" s="7" customFormat="1" x14ac:dyDescent="0.3">
      <c r="A61" s="156" t="s">
        <v>202</v>
      </c>
      <c r="B61" s="156"/>
      <c r="C61" s="156"/>
      <c r="D61" s="156"/>
      <c r="E61" s="156"/>
      <c r="F61" s="156"/>
      <c r="G61" s="156"/>
      <c r="H61" s="156"/>
      <c r="I61" s="156"/>
      <c r="J61" s="156"/>
      <c r="K61" s="156"/>
      <c r="L61" s="156"/>
      <c r="M61" s="156"/>
      <c r="N61" s="156"/>
      <c r="O61" s="156"/>
      <c r="P61" s="156"/>
    </row>
    <row r="62" spans="1:17" ht="27.75" customHeight="1" x14ac:dyDescent="0.3">
      <c r="A62" s="4" t="s">
        <v>85</v>
      </c>
      <c r="B62" s="2"/>
      <c r="C62" s="2"/>
      <c r="D62" s="2"/>
      <c r="E62" s="2"/>
      <c r="F62" s="2"/>
      <c r="G62" s="2"/>
      <c r="H62" s="2"/>
      <c r="I62" s="2"/>
      <c r="J62" s="2"/>
      <c r="K62" s="2"/>
      <c r="L62" s="2"/>
    </row>
    <row r="63" spans="1:17" x14ac:dyDescent="0.3">
      <c r="A63" s="158" t="s">
        <v>1</v>
      </c>
      <c r="B63" s="158"/>
      <c r="C63" s="158"/>
      <c r="D63" s="158"/>
      <c r="E63" s="2"/>
      <c r="F63" s="2"/>
      <c r="G63" s="2"/>
      <c r="H63" s="2"/>
      <c r="I63" s="2"/>
      <c r="J63" s="2"/>
      <c r="K63" s="2"/>
      <c r="L63" s="2"/>
    </row>
    <row r="64" spans="1:17" ht="23.25" customHeight="1" x14ac:dyDescent="0.3">
      <c r="A64" s="156" t="s">
        <v>57</v>
      </c>
      <c r="B64" s="156"/>
      <c r="C64" s="156"/>
      <c r="D64" s="156"/>
      <c r="E64" s="156"/>
      <c r="F64" s="156"/>
      <c r="G64" s="156"/>
      <c r="H64" s="156"/>
      <c r="I64" s="156"/>
      <c r="J64" s="156"/>
      <c r="K64" s="156"/>
      <c r="L64" s="156"/>
    </row>
    <row r="65" spans="1:16" ht="27.75" customHeight="1" x14ac:dyDescent="0.3">
      <c r="A65" s="4" t="s">
        <v>2</v>
      </c>
      <c r="B65" s="4"/>
      <c r="C65" s="4"/>
      <c r="D65" s="4"/>
      <c r="E65" s="4"/>
      <c r="F65" s="4"/>
      <c r="G65" s="4"/>
      <c r="H65" s="19"/>
      <c r="I65" s="19"/>
      <c r="O65" s="157"/>
      <c r="P65" s="149" t="s">
        <v>161</v>
      </c>
    </row>
    <row r="66" spans="1:16" x14ac:dyDescent="0.3">
      <c r="A66" s="42" t="s">
        <v>91</v>
      </c>
      <c r="B66" s="4"/>
      <c r="C66" s="4"/>
      <c r="D66" s="4"/>
      <c r="E66" s="4"/>
      <c r="F66" s="4"/>
      <c r="G66" s="4"/>
      <c r="H66" s="19"/>
      <c r="I66" s="19"/>
      <c r="P66" s="163" t="s">
        <v>148</v>
      </c>
    </row>
    <row r="67" spans="1:16" x14ac:dyDescent="0.3">
      <c r="A67" s="148" t="s">
        <v>196</v>
      </c>
    </row>
  </sheetData>
  <conditionalFormatting sqref="B6:Q56 R6:U6">
    <cfRule type="cellIs" dxfId="0" priority="1" operator="lessThan">
      <formula>0</formula>
    </cfRule>
  </conditionalFormatting>
  <hyperlinks>
    <hyperlink ref="A63" r:id="rId1" xr:uid="{F11ABCC2-6B02-4EC8-8AB5-8AF20278DC83}"/>
    <hyperlink ref="A66" r:id="rId2" xr:uid="{59E6F7FA-E8E8-4F80-929F-C79F60ACC267}"/>
    <hyperlink ref="A58" location="'FRS geographical categories'!A1" display="3. For a list of FRAs and whether they are considered &quot;Metropolitan&quot;, &quot;Non Metropolitan&quot;, &quot;Predominately Rural&quot;, &quot;Significantly Rural&quot; or &quot;Predominantely Urban&quot; please see the FRS geographical categories sheet." xr:uid="{B248D9C2-18D2-4B63-AB1D-B5A9EB544983}"/>
    <hyperlink ref="P66" r:id="rId3" display="Autumn 2020" xr:uid="{462E97CD-EDCD-4979-A64A-0F04B006AACC}"/>
    <hyperlink ref="P65" r:id="rId4" display="Last Updated: 18 October 2018" xr:uid="{C5D19A61-1855-456B-930A-DBBF93857468}"/>
  </hyperlinks>
  <pageMargins left="0.7" right="0.7" top="0.75" bottom="0.75" header="0.3" footer="0.3"/>
  <pageSetup paperSize="9" orientation="portrait"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9A151-DEC9-4747-BA6E-922245A88565}">
  <sheetPr codeName="Sheet17"/>
  <dimension ref="A1:R52"/>
  <sheetViews>
    <sheetView workbookViewId="0">
      <pane ySplit="7" topLeftCell="A41" activePane="bottomLeft" state="frozen"/>
      <selection activeCell="A42" sqref="A42:XFD42"/>
      <selection pane="bottomLeft" activeCell="A42" sqref="A42:XFD42"/>
    </sheetView>
  </sheetViews>
  <sheetFormatPr defaultRowHeight="14.4" x14ac:dyDescent="0.3"/>
  <cols>
    <col min="1" max="1" width="38.21875" bestFit="1" customWidth="1"/>
    <col min="15" max="15" width="11" bestFit="1" customWidth="1"/>
    <col min="18" max="18" width="8.77734375" style="114"/>
  </cols>
  <sheetData>
    <row r="1" spans="1:18" x14ac:dyDescent="0.3">
      <c r="B1" t="s">
        <v>113</v>
      </c>
      <c r="C1" t="s">
        <v>149</v>
      </c>
      <c r="D1" t="s">
        <v>129</v>
      </c>
      <c r="F1" t="s">
        <v>113</v>
      </c>
      <c r="G1" t="s">
        <v>149</v>
      </c>
      <c r="H1" t="s">
        <v>130</v>
      </c>
      <c r="J1" t="s">
        <v>129</v>
      </c>
      <c r="K1" t="s">
        <v>130</v>
      </c>
      <c r="N1" t="s">
        <v>141</v>
      </c>
      <c r="O1" t="s">
        <v>142</v>
      </c>
      <c r="P1" t="s">
        <v>143</v>
      </c>
      <c r="Q1" t="s">
        <v>144</v>
      </c>
    </row>
    <row r="2" spans="1:18" x14ac:dyDescent="0.3">
      <c r="A2" t="s">
        <v>0</v>
      </c>
      <c r="B2" s="51">
        <f>SUM('2018-19'!B9,'2018-19'!J9)</f>
        <v>597656</v>
      </c>
      <c r="C2" s="51">
        <f>SUM('2019-20'!B9,'2019-20'!J9)</f>
        <v>581917</v>
      </c>
      <c r="D2" s="55">
        <f>(C2/B2)-1</f>
        <v>-2.6334546963470595E-2</v>
      </c>
      <c r="F2" s="51">
        <f>SUM('2018-19'!F9,'2018-19'!N9)</f>
        <v>347004</v>
      </c>
      <c r="G2" s="51">
        <f>SUM('2019-20'!F9,'2019-20'!N9)</f>
        <v>344815</v>
      </c>
      <c r="H2" s="55">
        <f>(G2/F2)-1</f>
        <v>-6.3082846307247475E-3</v>
      </c>
      <c r="J2" s="51">
        <f>VLOOKUP(A2,'2019-20'!$A$9:$B$59,2,FALSE)</f>
        <v>572310</v>
      </c>
      <c r="K2" s="51">
        <f>VLOOKUP(A2,'2019-20'!$A$9:$F$59,6,FALSE)</f>
        <v>333708</v>
      </c>
      <c r="L2" s="86" t="str">
        <f>IF(K2&gt;J2,"Error","-")</f>
        <v>-</v>
      </c>
      <c r="N2" s="51">
        <f ca="1">FIRE1201_raw!N9</f>
        <v>572310</v>
      </c>
      <c r="O2" s="51">
        <f ca="1">FIRE1201_raw!T9</f>
        <v>333708</v>
      </c>
      <c r="P2" s="51">
        <f ca="1">FIRE1201_raw!Z9</f>
        <v>9607</v>
      </c>
      <c r="Q2" s="51">
        <f ca="1">FIRE1201_raw!AF9</f>
        <v>11107</v>
      </c>
      <c r="R2" s="114" t="str">
        <f ca="1">IF(OR(N2&lt;0,O2&lt;0,P2&lt;0,Q2&lt;0),"Error","-")</f>
        <v>-</v>
      </c>
    </row>
    <row r="3" spans="1:18" x14ac:dyDescent="0.3">
      <c r="A3" t="s">
        <v>77</v>
      </c>
      <c r="B3" s="51">
        <f>SUM('2018-19'!B10,'2018-19'!J10)</f>
        <v>336929</v>
      </c>
      <c r="C3" s="51">
        <f>SUM('2019-20'!B10,'2019-20'!J10)</f>
        <v>331469</v>
      </c>
      <c r="D3" s="55">
        <f t="shared" ref="D3:D49" si="0">(C3/B3)-1</f>
        <v>-1.6205194566214276E-2</v>
      </c>
      <c r="F3" s="51">
        <f>SUM('2018-19'!F10,'2018-19'!N10)</f>
        <v>242527</v>
      </c>
      <c r="G3" s="51">
        <f>SUM('2019-20'!F10,'2019-20'!N10)</f>
        <v>240839</v>
      </c>
      <c r="H3" s="55">
        <f t="shared" ref="H3:H52" si="1">(G3/F3)-1</f>
        <v>-6.9600498088872031E-3</v>
      </c>
      <c r="J3" s="51">
        <f>VLOOKUP(A3,'2019-20'!$A$9:$B$59,2,FALSE)</f>
        <v>322553</v>
      </c>
      <c r="K3" s="51">
        <f>VLOOKUP(A3,'2019-20'!$A$9:$F$59,6,FALSE)</f>
        <v>236481</v>
      </c>
      <c r="L3" s="86" t="str">
        <f t="shared" ref="L3:L52" si="2">IF(K3&gt;J3,"Error","-")</f>
        <v>-</v>
      </c>
      <c r="N3" s="51">
        <f ca="1">FIRE1201_raw!N10</f>
        <v>322553</v>
      </c>
      <c r="O3" s="51">
        <f ca="1">FIRE1201_raw!T10</f>
        <v>236481</v>
      </c>
      <c r="P3" s="51">
        <f ca="1">FIRE1201_raw!Z10</f>
        <v>8916</v>
      </c>
      <c r="Q3" s="51">
        <f ca="1">FIRE1201_raw!AF10</f>
        <v>4358</v>
      </c>
      <c r="R3" s="114" t="str">
        <f t="shared" ref="R3:R52" ca="1" si="3">IF(OR(N3&lt;0,O3&lt;0,P3&lt;0,Q3&lt;0),"Error","-")</f>
        <v>-</v>
      </c>
    </row>
    <row r="4" spans="1:18" x14ac:dyDescent="0.3">
      <c r="A4" t="s">
        <v>49</v>
      </c>
      <c r="B4" s="51">
        <f>SUM('2018-19'!B11,'2018-19'!J11)</f>
        <v>260727</v>
      </c>
      <c r="C4" s="51">
        <f>SUM('2019-20'!B11,'2019-20'!J11)</f>
        <v>250448</v>
      </c>
      <c r="D4" s="55">
        <f t="shared" si="0"/>
        <v>-3.9424378756323653E-2</v>
      </c>
      <c r="F4" s="51">
        <f>SUM('2018-19'!F11,'2018-19'!N11)</f>
        <v>104477</v>
      </c>
      <c r="G4" s="51">
        <f>SUM('2019-20'!F11,'2019-20'!N11)</f>
        <v>103976</v>
      </c>
      <c r="H4" s="55">
        <f t="shared" si="1"/>
        <v>-4.7953138011237462E-3</v>
      </c>
      <c r="J4" s="51">
        <f>VLOOKUP(A4,'2019-20'!$A$9:$B$59,2,FALSE)</f>
        <v>249757</v>
      </c>
      <c r="K4" s="51">
        <f>VLOOKUP(A4,'2019-20'!$A$9:$F$59,6,FALSE)</f>
        <v>97227</v>
      </c>
      <c r="L4" s="86" t="str">
        <f t="shared" si="2"/>
        <v>-</v>
      </c>
      <c r="N4" s="51">
        <f ca="1">FIRE1201_raw!N11</f>
        <v>249757</v>
      </c>
      <c r="O4" s="51">
        <f ca="1">FIRE1201_raw!T11</f>
        <v>97227</v>
      </c>
      <c r="P4" s="51">
        <f ca="1">FIRE1201_raw!Z11</f>
        <v>691</v>
      </c>
      <c r="Q4" s="51">
        <f ca="1">FIRE1201_raw!AF11</f>
        <v>6749</v>
      </c>
      <c r="R4" s="114" t="str">
        <f t="shared" ca="1" si="3"/>
        <v>-</v>
      </c>
    </row>
    <row r="5" spans="1:18" x14ac:dyDescent="0.3">
      <c r="A5" t="s">
        <v>114</v>
      </c>
      <c r="B5" s="51">
        <f>SUM('2018-19'!B12,'2018-19'!J12)</f>
        <v>335195</v>
      </c>
      <c r="C5" s="51">
        <f>SUM('2019-20'!B12,'2019-20'!J12)</f>
        <v>332540</v>
      </c>
      <c r="D5" s="55">
        <f t="shared" si="0"/>
        <v>-7.9207625412073268E-3</v>
      </c>
      <c r="F5" s="51">
        <f>SUM('2018-19'!F12,'2018-19'!N12)</f>
        <v>149258</v>
      </c>
      <c r="G5" s="51">
        <f>SUM('2019-20'!F12,'2019-20'!N12)</f>
        <v>158289</v>
      </c>
      <c r="H5" s="55">
        <f t="shared" si="1"/>
        <v>6.0505969529271564E-2</v>
      </c>
      <c r="J5" s="51">
        <f>VLOOKUP(A5,'2019-20'!$A$9:$B$59,2,FALSE)</f>
        <v>330148</v>
      </c>
      <c r="K5" s="51">
        <f>VLOOKUP(A5,'2019-20'!$A$9:$F$59,6,FALSE)</f>
        <v>151280</v>
      </c>
      <c r="L5" s="86" t="str">
        <f t="shared" si="2"/>
        <v>-</v>
      </c>
      <c r="N5" s="51">
        <f ca="1">FIRE1201_raw!N12</f>
        <v>330148</v>
      </c>
      <c r="O5" s="51">
        <f ca="1">FIRE1201_raw!T12</f>
        <v>151280</v>
      </c>
      <c r="P5" s="51">
        <f ca="1">FIRE1201_raw!Z12</f>
        <v>2392</v>
      </c>
      <c r="Q5" s="51">
        <f ca="1">FIRE1201_raw!AF12</f>
        <v>7009</v>
      </c>
      <c r="R5" s="114" t="str">
        <f t="shared" ca="1" si="3"/>
        <v>-</v>
      </c>
    </row>
    <row r="6" spans="1:18" x14ac:dyDescent="0.3">
      <c r="A6" t="s">
        <v>115</v>
      </c>
      <c r="B6" s="51">
        <f>SUM('2018-19'!B13,'2018-19'!J13)</f>
        <v>181283</v>
      </c>
      <c r="C6" s="51">
        <f>SUM('2019-20'!B13,'2019-20'!J13)</f>
        <v>163830</v>
      </c>
      <c r="D6" s="55">
        <f t="shared" si="0"/>
        <v>-9.6274885124363552E-2</v>
      </c>
      <c r="F6" s="51">
        <f>SUM('2018-19'!F13,'2018-19'!N13)</f>
        <v>141520</v>
      </c>
      <c r="G6" s="51">
        <f>SUM('2019-20'!F13,'2019-20'!N13)</f>
        <v>132771</v>
      </c>
      <c r="H6" s="55">
        <f t="shared" si="1"/>
        <v>-6.1821650650084825E-2</v>
      </c>
      <c r="J6" s="51">
        <f>VLOOKUP(A6,'2019-20'!$A$9:$B$59,2,FALSE)</f>
        <v>159350</v>
      </c>
      <c r="K6" s="51">
        <f>VLOOKUP(A6,'2019-20'!$A$9:$F$59,6,FALSE)</f>
        <v>128786</v>
      </c>
      <c r="L6" s="86" t="str">
        <f t="shared" si="2"/>
        <v>-</v>
      </c>
      <c r="N6" s="51">
        <f ca="1">FIRE1201_raw!N13</f>
        <v>159350</v>
      </c>
      <c r="O6" s="51">
        <f ca="1">FIRE1201_raw!T13</f>
        <v>128786</v>
      </c>
      <c r="P6" s="51">
        <f ca="1">FIRE1201_raw!Z13</f>
        <v>4480</v>
      </c>
      <c r="Q6" s="51">
        <f ca="1">FIRE1201_raw!AF13</f>
        <v>3985</v>
      </c>
      <c r="R6" s="114" t="str">
        <f t="shared" ca="1" si="3"/>
        <v>-</v>
      </c>
    </row>
    <row r="7" spans="1:18" x14ac:dyDescent="0.3">
      <c r="A7" t="s">
        <v>116</v>
      </c>
      <c r="B7" s="51">
        <f>SUM('2018-19'!B14,'2018-19'!J14)</f>
        <v>81178</v>
      </c>
      <c r="C7" s="51">
        <f>SUM('2019-20'!B14,'2019-20'!J14)</f>
        <v>85547</v>
      </c>
      <c r="D7" s="55">
        <f t="shared" si="0"/>
        <v>5.3820000492744269E-2</v>
      </c>
      <c r="F7" s="51">
        <f>SUM('2018-19'!F14,'2018-19'!N14)</f>
        <v>56226</v>
      </c>
      <c r="G7" s="51">
        <f>SUM('2019-20'!F14,'2019-20'!N14)</f>
        <v>53755</v>
      </c>
      <c r="H7" s="55">
        <f t="shared" si="1"/>
        <v>-4.3947639881905198E-2</v>
      </c>
      <c r="J7" s="51">
        <f>VLOOKUP(A7,'2019-20'!$A$9:$B$59,2,FALSE)</f>
        <v>82812</v>
      </c>
      <c r="K7" s="51">
        <f>VLOOKUP(A7,'2019-20'!$A$9:$F$59,6,FALSE)</f>
        <v>53642</v>
      </c>
      <c r="L7" s="86" t="str">
        <f t="shared" si="2"/>
        <v>-</v>
      </c>
      <c r="N7" s="51">
        <f ca="1">FIRE1201_raw!N14</f>
        <v>82812</v>
      </c>
      <c r="O7" s="51">
        <f ca="1">FIRE1201_raw!T14</f>
        <v>53642</v>
      </c>
      <c r="P7" s="51">
        <f ca="1">FIRE1201_raw!Z14</f>
        <v>2735</v>
      </c>
      <c r="Q7" s="51">
        <f ca="1">FIRE1201_raw!AF14</f>
        <v>113</v>
      </c>
      <c r="R7" s="114" t="str">
        <f t="shared" ca="1" si="3"/>
        <v>-</v>
      </c>
    </row>
    <row r="8" spans="1:18" x14ac:dyDescent="0.3">
      <c r="A8" t="s">
        <v>3</v>
      </c>
      <c r="B8" s="51">
        <f>SUM('2018-19'!B15,'2018-19'!J15)</f>
        <v>7980</v>
      </c>
      <c r="C8" s="51">
        <f>SUM('2019-20'!B15,'2019-20'!J15)</f>
        <v>6458</v>
      </c>
      <c r="D8" s="55">
        <f t="shared" si="0"/>
        <v>-0.19072681704260652</v>
      </c>
      <c r="F8" s="51">
        <f>SUM('2018-19'!F15,'2018-19'!N15)</f>
        <v>0</v>
      </c>
      <c r="G8" s="51">
        <f>SUM('2019-20'!F15,'2019-20'!N15)</f>
        <v>0</v>
      </c>
      <c r="H8" s="55" t="e">
        <f t="shared" si="1"/>
        <v>#DIV/0!</v>
      </c>
      <c r="J8" s="51">
        <f>VLOOKUP(A8,'2019-20'!$A$9:$B$59,2,FALSE)</f>
        <v>6413</v>
      </c>
      <c r="K8" s="51">
        <f>VLOOKUP(A8,'2019-20'!$A$9:$F$59,6,FALSE)</f>
        <v>0</v>
      </c>
      <c r="L8" s="86" t="str">
        <f t="shared" si="2"/>
        <v>-</v>
      </c>
      <c r="N8" s="51">
        <f ca="1">FIRE1201_raw!N15</f>
        <v>6413</v>
      </c>
      <c r="O8" s="51">
        <f ca="1">FIRE1201_raw!T15</f>
        <v>0</v>
      </c>
      <c r="P8" s="51">
        <f ca="1">FIRE1201_raw!Z15</f>
        <v>45</v>
      </c>
      <c r="Q8" s="51">
        <f ca="1">FIRE1201_raw!AF15</f>
        <v>0</v>
      </c>
      <c r="R8" s="114" t="str">
        <f t="shared" ca="1" si="3"/>
        <v>-</v>
      </c>
    </row>
    <row r="9" spans="1:18" x14ac:dyDescent="0.3">
      <c r="A9" t="s">
        <v>4</v>
      </c>
      <c r="B9" s="51">
        <f>SUM('2018-19'!B16,'2018-19'!J16)</f>
        <v>5591</v>
      </c>
      <c r="C9" s="51">
        <f>SUM('2019-20'!B16,'2019-20'!J16)</f>
        <v>5806</v>
      </c>
      <c r="D9" s="55">
        <f t="shared" si="0"/>
        <v>3.8454659273832847E-2</v>
      </c>
      <c r="F9" s="51">
        <f>SUM('2018-19'!F16,'2018-19'!N16)</f>
        <v>1576</v>
      </c>
      <c r="G9" s="51">
        <f>SUM('2019-20'!F16,'2019-20'!N16)</f>
        <v>2560</v>
      </c>
      <c r="H9" s="55">
        <f t="shared" si="1"/>
        <v>0.62436548223350252</v>
      </c>
      <c r="J9" s="51">
        <f>VLOOKUP(A9,'2019-20'!$A$9:$B$59,2,FALSE)</f>
        <v>5701</v>
      </c>
      <c r="K9" s="51">
        <f>VLOOKUP(A9,'2019-20'!$A$9:$F$59,6,FALSE)</f>
        <v>2559</v>
      </c>
      <c r="L9" s="86" t="str">
        <f t="shared" si="2"/>
        <v>-</v>
      </c>
      <c r="N9" s="51">
        <f ca="1">FIRE1201_raw!N16</f>
        <v>5701</v>
      </c>
      <c r="O9" s="51">
        <f ca="1">FIRE1201_raw!T16</f>
        <v>2559</v>
      </c>
      <c r="P9" s="51">
        <f ca="1">FIRE1201_raw!Z16</f>
        <v>105</v>
      </c>
      <c r="Q9" s="51">
        <f ca="1">FIRE1201_raw!AF16</f>
        <v>1</v>
      </c>
      <c r="R9" s="114" t="str">
        <f t="shared" ca="1" si="3"/>
        <v>-</v>
      </c>
    </row>
    <row r="10" spans="1:18" x14ac:dyDescent="0.3">
      <c r="A10" t="s">
        <v>5</v>
      </c>
      <c r="B10" s="51">
        <f>SUM('2018-19'!B17,'2018-19'!J17)</f>
        <v>11243</v>
      </c>
      <c r="C10" s="51">
        <f>SUM('2019-20'!B17,'2019-20'!J17)</f>
        <v>10019</v>
      </c>
      <c r="D10" s="55">
        <f t="shared" si="0"/>
        <v>-0.10886773992706578</v>
      </c>
      <c r="F10" s="51">
        <f>SUM('2018-19'!F17,'2018-19'!N17)</f>
        <v>11243</v>
      </c>
      <c r="G10" s="51">
        <f>SUM('2019-20'!F17,'2019-20'!N17)</f>
        <v>10019</v>
      </c>
      <c r="H10" s="55">
        <f t="shared" si="1"/>
        <v>-0.10886773992706578</v>
      </c>
      <c r="J10" s="51">
        <f>VLOOKUP(A10,'2019-20'!$A$9:$B$59,2,FALSE)</f>
        <v>10019</v>
      </c>
      <c r="K10" s="51">
        <f>VLOOKUP(A10,'2019-20'!$A$9:$F$59,6,FALSE)</f>
        <v>10019</v>
      </c>
      <c r="L10" s="86" t="str">
        <f t="shared" si="2"/>
        <v>-</v>
      </c>
      <c r="N10" s="51">
        <f ca="1">FIRE1201_raw!N17</f>
        <v>10019</v>
      </c>
      <c r="O10" s="51">
        <f ca="1">FIRE1201_raw!T17</f>
        <v>10019</v>
      </c>
      <c r="P10" s="51">
        <f ca="1">FIRE1201_raw!Z17</f>
        <v>0</v>
      </c>
      <c r="Q10" s="51">
        <f ca="1">FIRE1201_raw!AF17</f>
        <v>0</v>
      </c>
      <c r="R10" s="114" t="str">
        <f t="shared" ca="1" si="3"/>
        <v>-</v>
      </c>
    </row>
    <row r="11" spans="1:18" x14ac:dyDescent="0.3">
      <c r="A11" t="s">
        <v>6</v>
      </c>
      <c r="B11" s="51">
        <f>SUM('2018-19'!B18,'2018-19'!J18)</f>
        <v>1892</v>
      </c>
      <c r="C11" s="51">
        <f>SUM('2019-20'!B18,'2019-20'!J18)</f>
        <v>1644</v>
      </c>
      <c r="D11" s="55">
        <f t="shared" si="0"/>
        <v>-0.13107822410147996</v>
      </c>
      <c r="F11" s="51">
        <f>SUM('2018-19'!F18,'2018-19'!N18)</f>
        <v>245</v>
      </c>
      <c r="G11" s="51">
        <f>SUM('2019-20'!F18,'2019-20'!N18)</f>
        <v>1041</v>
      </c>
      <c r="H11" s="55">
        <f t="shared" si="1"/>
        <v>3.2489795918367346</v>
      </c>
      <c r="J11" s="51">
        <f>VLOOKUP(A11,'2019-20'!$A$9:$B$59,2,FALSE)</f>
        <v>1642</v>
      </c>
      <c r="K11" s="51">
        <f>VLOOKUP(A11,'2019-20'!$A$9:$F$59,6,FALSE)</f>
        <v>1040</v>
      </c>
      <c r="L11" s="86" t="str">
        <f t="shared" si="2"/>
        <v>-</v>
      </c>
      <c r="N11" s="51">
        <f ca="1">FIRE1201_raw!N18</f>
        <v>1642</v>
      </c>
      <c r="O11" s="51">
        <f ca="1">FIRE1201_raw!T18</f>
        <v>1040</v>
      </c>
      <c r="P11" s="51">
        <f ca="1">FIRE1201_raw!Z18</f>
        <v>2</v>
      </c>
      <c r="Q11" s="51">
        <f ca="1">FIRE1201_raw!AF18</f>
        <v>1</v>
      </c>
      <c r="R11" s="115" t="str">
        <f t="shared" ca="1" si="3"/>
        <v>-</v>
      </c>
    </row>
    <row r="12" spans="1:18" x14ac:dyDescent="0.3">
      <c r="A12" t="s">
        <v>7</v>
      </c>
      <c r="B12" s="51">
        <f>SUM('2018-19'!B19,'2018-19'!J19)</f>
        <v>5456</v>
      </c>
      <c r="C12" s="51">
        <f>SUM('2019-20'!B19,'2019-20'!J19)</f>
        <v>5248</v>
      </c>
      <c r="D12" s="55">
        <f t="shared" si="0"/>
        <v>-3.8123167155425186E-2</v>
      </c>
      <c r="F12" s="51">
        <f>SUM('2018-19'!F19,'2018-19'!N19)</f>
        <v>4821</v>
      </c>
      <c r="G12" s="51">
        <f>SUM('2019-20'!F19,'2019-20'!N19)</f>
        <v>4408</v>
      </c>
      <c r="H12" s="55">
        <f t="shared" si="1"/>
        <v>-8.5666874092511947E-2</v>
      </c>
      <c r="J12" s="51">
        <f>VLOOKUP(A12,'2019-20'!$A$9:$B$59,2,FALSE)</f>
        <v>4408</v>
      </c>
      <c r="K12" s="51">
        <f>VLOOKUP(A12,'2019-20'!$A$9:$F$59,6,FALSE)</f>
        <v>4408</v>
      </c>
      <c r="L12" s="86" t="str">
        <f t="shared" si="2"/>
        <v>-</v>
      </c>
      <c r="N12" s="51">
        <f ca="1">FIRE1201_raw!N19</f>
        <v>4408</v>
      </c>
      <c r="O12" s="51">
        <f ca="1">FIRE1201_raw!T19</f>
        <v>4408</v>
      </c>
      <c r="P12" s="51">
        <f ca="1">FIRE1201_raw!Z19</f>
        <v>840</v>
      </c>
      <c r="Q12" s="51">
        <f ca="1">FIRE1201_raw!AF19</f>
        <v>0</v>
      </c>
      <c r="R12" s="114" t="str">
        <f t="shared" ca="1" si="3"/>
        <v>-</v>
      </c>
    </row>
    <row r="13" spans="1:18" x14ac:dyDescent="0.3">
      <c r="A13" t="s">
        <v>8</v>
      </c>
      <c r="B13" s="51">
        <f>SUM('2018-19'!B20,'2018-19'!J20)</f>
        <v>42482</v>
      </c>
      <c r="C13" s="51">
        <f>SUM('2019-20'!B20,'2019-20'!J20)</f>
        <v>32539</v>
      </c>
      <c r="D13" s="55">
        <f t="shared" si="0"/>
        <v>-0.2340520691116238</v>
      </c>
      <c r="F13" s="51">
        <f>SUM('2018-19'!F20,'2018-19'!N20)</f>
        <v>29575</v>
      </c>
      <c r="G13" s="51">
        <f>SUM('2019-20'!F20,'2019-20'!N20)</f>
        <v>15391</v>
      </c>
      <c r="H13" s="55">
        <f t="shared" si="1"/>
        <v>-0.47959425190194416</v>
      </c>
      <c r="J13" s="51">
        <f>VLOOKUP(A13,'2019-20'!$A$9:$B$59,2,FALSE)</f>
        <v>32539</v>
      </c>
      <c r="K13" s="51">
        <f>VLOOKUP(A13,'2019-20'!$A$9:$F$59,6,FALSE)</f>
        <v>15391</v>
      </c>
      <c r="L13" s="86" t="str">
        <f t="shared" si="2"/>
        <v>-</v>
      </c>
      <c r="N13" s="51">
        <f ca="1">FIRE1201_raw!N20</f>
        <v>32539</v>
      </c>
      <c r="O13" s="51">
        <f ca="1">FIRE1201_raw!T20</f>
        <v>15391</v>
      </c>
      <c r="P13" s="51">
        <f ca="1">FIRE1201_raw!Z20</f>
        <v>0</v>
      </c>
      <c r="Q13" s="51">
        <f ca="1">FIRE1201_raw!AF20</f>
        <v>0</v>
      </c>
      <c r="R13" s="114" t="str">
        <f t="shared" ca="1" si="3"/>
        <v>-</v>
      </c>
    </row>
    <row r="14" spans="1:18" x14ac:dyDescent="0.3">
      <c r="A14" t="s">
        <v>9</v>
      </c>
      <c r="B14" s="51">
        <f>SUM('2018-19'!B21,'2018-19'!J21)</f>
        <v>18163</v>
      </c>
      <c r="C14" s="51">
        <f>SUM('2019-20'!B21,'2019-20'!J21)</f>
        <v>17293</v>
      </c>
      <c r="D14" s="55">
        <f t="shared" si="0"/>
        <v>-4.7899576061223414E-2</v>
      </c>
      <c r="F14" s="51">
        <f>SUM('2018-19'!F21,'2018-19'!N21)</f>
        <v>2932</v>
      </c>
      <c r="G14" s="51">
        <f>SUM('2019-20'!F21,'2019-20'!N21)</f>
        <v>3078</v>
      </c>
      <c r="H14" s="55">
        <f t="shared" si="1"/>
        <v>4.9795361527967152E-2</v>
      </c>
      <c r="J14" s="51">
        <f>VLOOKUP(A14,'2019-20'!$A$9:$B$59,2,FALSE)</f>
        <v>16160</v>
      </c>
      <c r="K14" s="51">
        <f>VLOOKUP(A14,'2019-20'!$A$9:$F$59,6,FALSE)</f>
        <v>3071</v>
      </c>
      <c r="L14" s="86" t="str">
        <f t="shared" si="2"/>
        <v>-</v>
      </c>
      <c r="N14" s="51">
        <f ca="1">FIRE1201_raw!N21</f>
        <v>16160</v>
      </c>
      <c r="O14" s="51">
        <f ca="1">FIRE1201_raw!T21</f>
        <v>3071</v>
      </c>
      <c r="P14" s="51">
        <f ca="1">FIRE1201_raw!Z21</f>
        <v>1133</v>
      </c>
      <c r="Q14" s="51">
        <f ca="1">FIRE1201_raw!AF21</f>
        <v>7</v>
      </c>
      <c r="R14" s="114" t="str">
        <f t="shared" ca="1" si="3"/>
        <v>-</v>
      </c>
    </row>
    <row r="15" spans="1:18" x14ac:dyDescent="0.3">
      <c r="A15" t="s">
        <v>10</v>
      </c>
      <c r="B15" s="51">
        <f>SUM('2018-19'!B22,'2018-19'!J22)</f>
        <v>6295</v>
      </c>
      <c r="C15" s="51">
        <f>SUM('2019-20'!B22,'2019-20'!J22)</f>
        <v>5630</v>
      </c>
      <c r="D15" s="55">
        <f t="shared" si="0"/>
        <v>-0.10563939634630659</v>
      </c>
      <c r="F15" s="51">
        <f>SUM('2018-19'!F22,'2018-19'!N22)</f>
        <v>0</v>
      </c>
      <c r="G15" s="51">
        <f>SUM('2019-20'!F22,'2019-20'!N22)</f>
        <v>341</v>
      </c>
      <c r="H15" s="55" t="e">
        <f t="shared" si="1"/>
        <v>#DIV/0!</v>
      </c>
      <c r="J15" s="51">
        <f>VLOOKUP(A15,'2019-20'!$A$9:$B$59,2,FALSE)</f>
        <v>4764</v>
      </c>
      <c r="K15" s="51">
        <f>VLOOKUP(A15,'2019-20'!$A$9:$F$59,6,FALSE)</f>
        <v>341</v>
      </c>
      <c r="L15" s="86" t="str">
        <f t="shared" si="2"/>
        <v>-</v>
      </c>
      <c r="N15" s="51">
        <f ca="1">FIRE1201_raw!N22</f>
        <v>4764</v>
      </c>
      <c r="O15" s="51">
        <f ca="1">FIRE1201_raw!T22</f>
        <v>341</v>
      </c>
      <c r="P15" s="51">
        <f ca="1">FIRE1201_raw!Z22</f>
        <v>866</v>
      </c>
      <c r="Q15" s="51">
        <f ca="1">FIRE1201_raw!AF22</f>
        <v>0</v>
      </c>
      <c r="R15" s="114" t="str">
        <f t="shared" ca="1" si="3"/>
        <v>-</v>
      </c>
    </row>
    <row r="16" spans="1:18" x14ac:dyDescent="0.3">
      <c r="A16" t="s">
        <v>11</v>
      </c>
      <c r="B16" s="51">
        <f>SUM('2018-19'!B23,'2018-19'!J23)</f>
        <v>10035</v>
      </c>
      <c r="C16" s="51">
        <f>SUM('2019-20'!B23,'2019-20'!J23)</f>
        <v>9915</v>
      </c>
      <c r="D16" s="55">
        <f t="shared" si="0"/>
        <v>-1.195814648729443E-2</v>
      </c>
      <c r="F16" s="51">
        <f>SUM('2018-19'!F23,'2018-19'!N23)</f>
        <v>10035</v>
      </c>
      <c r="G16" s="51">
        <f>SUM('2019-20'!F23,'2019-20'!N23)</f>
        <v>9915</v>
      </c>
      <c r="H16" s="55">
        <f t="shared" si="1"/>
        <v>-1.195814648729443E-2</v>
      </c>
      <c r="J16" s="51">
        <f>VLOOKUP(A16,'2019-20'!$A$9:$B$59,2,FALSE)</f>
        <v>9915</v>
      </c>
      <c r="K16" s="51">
        <f>VLOOKUP(A16,'2019-20'!$A$9:$F$59,6,FALSE)</f>
        <v>9915</v>
      </c>
      <c r="L16" s="86" t="str">
        <f t="shared" si="2"/>
        <v>-</v>
      </c>
      <c r="N16" s="51">
        <f ca="1">FIRE1201_raw!N23</f>
        <v>9915</v>
      </c>
      <c r="O16" s="51">
        <f ca="1">FIRE1201_raw!T23</f>
        <v>9915</v>
      </c>
      <c r="P16" s="51">
        <f ca="1">FIRE1201_raw!Z23</f>
        <v>0</v>
      </c>
      <c r="Q16" s="51">
        <f ca="1">FIRE1201_raw!AF23</f>
        <v>0</v>
      </c>
      <c r="R16" s="114" t="str">
        <f t="shared" ca="1" si="3"/>
        <v>-</v>
      </c>
    </row>
    <row r="17" spans="1:18" x14ac:dyDescent="0.3">
      <c r="A17" t="s">
        <v>12</v>
      </c>
      <c r="B17" s="51">
        <f>SUM('2018-19'!B24,'2018-19'!J24)</f>
        <v>14143</v>
      </c>
      <c r="C17" s="51">
        <f>SUM('2019-20'!B24,'2019-20'!J24)</f>
        <v>13973</v>
      </c>
      <c r="D17" s="55">
        <f t="shared" si="0"/>
        <v>-1.2020080605246397E-2</v>
      </c>
      <c r="F17" s="51">
        <f>SUM('2018-19'!F24,'2018-19'!N24)</f>
        <v>14143</v>
      </c>
      <c r="G17" s="51">
        <f>SUM('2019-20'!F24,'2019-20'!N24)</f>
        <v>13973</v>
      </c>
      <c r="H17" s="55">
        <f t="shared" si="1"/>
        <v>-1.2020080605246397E-2</v>
      </c>
      <c r="J17" s="51">
        <f>VLOOKUP(A17,'2019-20'!$A$9:$B$59,2,FALSE)</f>
        <v>10562</v>
      </c>
      <c r="K17" s="51">
        <f>VLOOKUP(A17,'2019-20'!$A$9:$F$59,6,FALSE)</f>
        <v>10562</v>
      </c>
      <c r="L17" s="86" t="str">
        <f t="shared" si="2"/>
        <v>-</v>
      </c>
      <c r="N17" s="51">
        <f ca="1">FIRE1201_raw!N24</f>
        <v>10562</v>
      </c>
      <c r="O17" s="51">
        <f ca="1">FIRE1201_raw!T24</f>
        <v>10562</v>
      </c>
      <c r="P17" s="51">
        <f ca="1">FIRE1201_raw!Z24</f>
        <v>3411</v>
      </c>
      <c r="Q17" s="51">
        <f ca="1">FIRE1201_raw!AF24</f>
        <v>3411</v>
      </c>
      <c r="R17" s="114" t="str">
        <f t="shared" ca="1" si="3"/>
        <v>-</v>
      </c>
    </row>
    <row r="18" spans="1:18" x14ac:dyDescent="0.3">
      <c r="A18" t="s">
        <v>13</v>
      </c>
      <c r="B18" s="51">
        <f>SUM('2018-19'!B25,'2018-19'!J25)</f>
        <v>9827</v>
      </c>
      <c r="C18" s="51">
        <f>SUM('2019-20'!B25,'2019-20'!J25)</f>
        <v>16697</v>
      </c>
      <c r="D18" s="55">
        <f t="shared" si="0"/>
        <v>0.69909433194260706</v>
      </c>
      <c r="E18" s="50"/>
      <c r="F18" s="51">
        <f>SUM('2018-19'!F25,'2018-19'!N25)</f>
        <v>0</v>
      </c>
      <c r="G18" s="51">
        <f>SUM('2019-20'!F25,'2019-20'!N25)</f>
        <v>0</v>
      </c>
      <c r="H18" s="55" t="e">
        <f t="shared" si="1"/>
        <v>#DIV/0!</v>
      </c>
      <c r="I18" s="50"/>
      <c r="J18" s="51">
        <f>VLOOKUP(A18,'2019-20'!$A$9:$B$59,2,FALSE)</f>
        <v>16697</v>
      </c>
      <c r="K18" s="51">
        <f>VLOOKUP(A18,'2019-20'!$A$9:$F$59,6,FALSE)</f>
        <v>0</v>
      </c>
      <c r="L18" s="86" t="str">
        <f t="shared" si="2"/>
        <v>-</v>
      </c>
      <c r="N18" s="51">
        <f ca="1">FIRE1201_raw!N25</f>
        <v>16697</v>
      </c>
      <c r="O18" s="51">
        <f ca="1">FIRE1201_raw!T25</f>
        <v>0</v>
      </c>
      <c r="P18" s="51">
        <f ca="1">FIRE1201_raw!Z25</f>
        <v>0</v>
      </c>
      <c r="Q18" s="51">
        <f ca="1">FIRE1201_raw!AF25</f>
        <v>0</v>
      </c>
      <c r="R18" s="114" t="str">
        <f t="shared" ca="1" si="3"/>
        <v>-</v>
      </c>
    </row>
    <row r="19" spans="1:18" x14ac:dyDescent="0.3">
      <c r="A19" t="s">
        <v>74</v>
      </c>
      <c r="B19" s="51">
        <f>SUM('2018-19'!B26,'2018-19'!J26)</f>
        <v>11654</v>
      </c>
      <c r="C19" s="51">
        <f>SUM('2019-20'!B26,'2019-20'!J26)</f>
        <v>12934</v>
      </c>
      <c r="D19" s="55">
        <f t="shared" si="0"/>
        <v>0.10983353355071213</v>
      </c>
      <c r="F19" s="51">
        <f>SUM('2018-19'!F26,'2018-19'!N26)</f>
        <v>11654</v>
      </c>
      <c r="G19" s="51">
        <f>SUM('2019-20'!F26,'2019-20'!N26)</f>
        <v>12934</v>
      </c>
      <c r="H19" s="55">
        <f t="shared" si="1"/>
        <v>0.10983353355071213</v>
      </c>
      <c r="J19" s="51">
        <f>VLOOKUP(A19,'2019-20'!$A$9:$B$59,2,FALSE)</f>
        <v>12473</v>
      </c>
      <c r="K19" s="51">
        <f>VLOOKUP(A19,'2019-20'!$A$9:$F$59,6,FALSE)</f>
        <v>12473</v>
      </c>
      <c r="L19" s="86" t="str">
        <f t="shared" si="2"/>
        <v>-</v>
      </c>
      <c r="N19" s="51">
        <f ca="1">FIRE1201_raw!N26</f>
        <v>12473</v>
      </c>
      <c r="O19" s="51">
        <f ca="1">FIRE1201_raw!T26</f>
        <v>12473</v>
      </c>
      <c r="P19" s="51">
        <f ca="1">FIRE1201_raw!Z26</f>
        <v>461</v>
      </c>
      <c r="Q19" s="51">
        <f ca="1">FIRE1201_raw!AF26</f>
        <v>461</v>
      </c>
      <c r="R19" s="114" t="str">
        <f t="shared" ca="1" si="3"/>
        <v>-</v>
      </c>
    </row>
    <row r="20" spans="1:18" x14ac:dyDescent="0.3">
      <c r="A20" t="s">
        <v>14</v>
      </c>
      <c r="B20" s="51">
        <f>SUM('2018-19'!B27,'2018-19'!J27)</f>
        <v>20143</v>
      </c>
      <c r="C20" s="51">
        <f>SUM('2019-20'!B27,'2019-20'!J27)</f>
        <v>19349</v>
      </c>
      <c r="D20" s="55">
        <f t="shared" si="0"/>
        <v>-3.9418160154892523E-2</v>
      </c>
      <c r="F20" s="51">
        <f>SUM('2018-19'!F27,'2018-19'!N27)</f>
        <v>20143</v>
      </c>
      <c r="G20" s="51">
        <f>SUM('2019-20'!F27,'2019-20'!N27)</f>
        <v>19349</v>
      </c>
      <c r="H20" s="55">
        <f t="shared" si="1"/>
        <v>-3.9418160154892523E-2</v>
      </c>
      <c r="J20" s="51">
        <f>VLOOKUP(A20,'2019-20'!$A$9:$B$59,2,FALSE)</f>
        <v>19349</v>
      </c>
      <c r="K20" s="51">
        <f>VLOOKUP(A20,'2019-20'!$A$9:$F$59,6,FALSE)</f>
        <v>19349</v>
      </c>
      <c r="L20" s="86" t="str">
        <f t="shared" si="2"/>
        <v>-</v>
      </c>
      <c r="N20" s="51">
        <f ca="1">FIRE1201_raw!N27</f>
        <v>19349</v>
      </c>
      <c r="O20" s="51">
        <f ca="1">FIRE1201_raw!T27</f>
        <v>19349</v>
      </c>
      <c r="P20" s="51">
        <f ca="1">FIRE1201_raw!Z27</f>
        <v>0</v>
      </c>
      <c r="Q20" s="51">
        <f ca="1">FIRE1201_raw!AF27</f>
        <v>0</v>
      </c>
      <c r="R20" s="114" t="str">
        <f t="shared" ca="1" si="3"/>
        <v>-</v>
      </c>
    </row>
    <row r="21" spans="1:18" x14ac:dyDescent="0.3">
      <c r="A21" t="s">
        <v>15</v>
      </c>
      <c r="B21" s="51">
        <f>SUM('2018-19'!B28,'2018-19'!J28)</f>
        <v>11051</v>
      </c>
      <c r="C21" s="51">
        <f>SUM('2019-20'!B28,'2019-20'!J28)</f>
        <v>6775</v>
      </c>
      <c r="D21" s="55">
        <f t="shared" si="0"/>
        <v>-0.38693330920278712</v>
      </c>
      <c r="F21" s="51">
        <f>SUM('2018-19'!F28,'2018-19'!N28)</f>
        <v>4120</v>
      </c>
      <c r="G21" s="51">
        <f>SUM('2019-20'!F28,'2019-20'!N28)</f>
        <v>3441</v>
      </c>
      <c r="H21" s="55">
        <f t="shared" si="1"/>
        <v>-0.16480582524271847</v>
      </c>
      <c r="J21" s="51">
        <f>VLOOKUP(A21,'2019-20'!$A$9:$B$59,2,FALSE)</f>
        <v>6775</v>
      </c>
      <c r="K21" s="51">
        <f>VLOOKUP(A21,'2019-20'!$A$9:$F$59,6,FALSE)</f>
        <v>3441</v>
      </c>
      <c r="L21" s="86" t="str">
        <f t="shared" si="2"/>
        <v>-</v>
      </c>
      <c r="N21" s="51">
        <f ca="1">FIRE1201_raw!N28</f>
        <v>6775</v>
      </c>
      <c r="O21" s="51">
        <f ca="1">FIRE1201_raw!T28</f>
        <v>3441</v>
      </c>
      <c r="P21" s="51">
        <f ca="1">FIRE1201_raw!Z28</f>
        <v>0</v>
      </c>
      <c r="Q21" s="51">
        <f ca="1">FIRE1201_raw!AF28</f>
        <v>0</v>
      </c>
      <c r="R21" s="114" t="str">
        <f t="shared" ca="1" si="3"/>
        <v>-</v>
      </c>
    </row>
    <row r="22" spans="1:18" x14ac:dyDescent="0.3">
      <c r="A22" t="s">
        <v>16</v>
      </c>
      <c r="B22" s="51">
        <f>SUM('2018-19'!B29,'2018-19'!J29)</f>
        <v>8412</v>
      </c>
      <c r="C22" s="51">
        <f>SUM('2019-20'!B29,'2019-20'!J29)</f>
        <v>7718</v>
      </c>
      <c r="D22" s="55">
        <f t="shared" si="0"/>
        <v>-8.250118877793633E-2</v>
      </c>
      <c r="F22" s="51">
        <f>SUM('2018-19'!F29,'2018-19'!N29)</f>
        <v>3825</v>
      </c>
      <c r="G22" s="51">
        <f>SUM('2019-20'!F29,'2019-20'!N29)</f>
        <v>5288</v>
      </c>
      <c r="H22" s="55">
        <f t="shared" si="1"/>
        <v>0.38248366013071888</v>
      </c>
      <c r="J22" s="51">
        <f>VLOOKUP(A22,'2019-20'!$A$9:$B$59,2,FALSE)</f>
        <v>7694</v>
      </c>
      <c r="K22" s="51">
        <f>VLOOKUP(A22,'2019-20'!$A$9:$F$59,6,FALSE)</f>
        <v>5288</v>
      </c>
      <c r="L22" s="86" t="str">
        <f t="shared" si="2"/>
        <v>-</v>
      </c>
      <c r="N22" s="51">
        <f ca="1">FIRE1201_raw!N29</f>
        <v>7694</v>
      </c>
      <c r="O22" s="51">
        <f ca="1">FIRE1201_raw!T29</f>
        <v>5288</v>
      </c>
      <c r="P22" s="51">
        <f ca="1">FIRE1201_raw!Z29</f>
        <v>24</v>
      </c>
      <c r="Q22" s="51">
        <f ca="1">FIRE1201_raw!AF29</f>
        <v>0</v>
      </c>
      <c r="R22" s="115" t="str">
        <f t="shared" ca="1" si="3"/>
        <v>-</v>
      </c>
    </row>
    <row r="23" spans="1:18" x14ac:dyDescent="0.3">
      <c r="A23" t="s">
        <v>17</v>
      </c>
      <c r="B23" s="51">
        <f>SUM('2018-19'!B30,'2018-19'!J30)</f>
        <v>8058</v>
      </c>
      <c r="C23" s="51">
        <f>SUM('2019-20'!B30,'2019-20'!J30)</f>
        <v>5668</v>
      </c>
      <c r="D23" s="55">
        <f t="shared" si="0"/>
        <v>-0.29659965251923559</v>
      </c>
      <c r="F23" s="51">
        <f>SUM('2018-19'!F30,'2018-19'!N30)</f>
        <v>8058</v>
      </c>
      <c r="G23" s="51">
        <f>SUM('2019-20'!F30,'2019-20'!N30)</f>
        <v>5668</v>
      </c>
      <c r="H23" s="55">
        <f t="shared" si="1"/>
        <v>-0.29659965251923559</v>
      </c>
      <c r="J23" s="51">
        <f>VLOOKUP(A23,'2019-20'!$A$9:$B$59,2,FALSE)</f>
        <v>5558</v>
      </c>
      <c r="K23" s="51">
        <f>VLOOKUP(A23,'2019-20'!$A$9:$F$59,6,FALSE)</f>
        <v>5558</v>
      </c>
      <c r="L23" s="86" t="str">
        <f t="shared" si="2"/>
        <v>-</v>
      </c>
      <c r="N23" s="51">
        <f ca="1">FIRE1201_raw!N30</f>
        <v>5558</v>
      </c>
      <c r="O23" s="51">
        <f ca="1">FIRE1201_raw!T30</f>
        <v>5558</v>
      </c>
      <c r="P23" s="51">
        <f ca="1">FIRE1201_raw!Z30</f>
        <v>110</v>
      </c>
      <c r="Q23" s="51">
        <f ca="1">FIRE1201_raw!AF30</f>
        <v>110</v>
      </c>
      <c r="R23" s="114" t="str">
        <f t="shared" ca="1" si="3"/>
        <v>-</v>
      </c>
    </row>
    <row r="24" spans="1:18" x14ac:dyDescent="0.3">
      <c r="A24" t="s">
        <v>18</v>
      </c>
      <c r="B24" s="51">
        <f>SUM('2018-19'!B31,'2018-19'!J31)</f>
        <v>84300</v>
      </c>
      <c r="C24" s="51">
        <f>SUM('2019-20'!B31,'2019-20'!J31)</f>
        <v>77371</v>
      </c>
      <c r="D24" s="55">
        <f t="shared" si="0"/>
        <v>-8.2194543297746114E-2</v>
      </c>
      <c r="F24" s="51">
        <f>SUM('2018-19'!F31,'2018-19'!N31)</f>
        <v>808</v>
      </c>
      <c r="G24" s="51">
        <f>SUM('2019-20'!F31,'2019-20'!N31)</f>
        <v>241</v>
      </c>
      <c r="H24" s="55">
        <f t="shared" si="1"/>
        <v>-0.7017326732673268</v>
      </c>
      <c r="J24" s="51">
        <f>VLOOKUP(A24,'2019-20'!$A$9:$B$59,2,FALSE)</f>
        <v>76846</v>
      </c>
      <c r="K24" s="51">
        <f>VLOOKUP(A24,'2019-20'!$A$9:$F$59,6,FALSE)</f>
        <v>241</v>
      </c>
      <c r="L24" s="86" t="str">
        <f t="shared" si="2"/>
        <v>-</v>
      </c>
      <c r="N24" s="51">
        <f ca="1">FIRE1201_raw!N31</f>
        <v>76846</v>
      </c>
      <c r="O24" s="51">
        <f ca="1">FIRE1201_raw!T31</f>
        <v>241</v>
      </c>
      <c r="P24" s="51">
        <f ca="1">FIRE1201_raw!Z31</f>
        <v>525</v>
      </c>
      <c r="Q24" s="51">
        <f ca="1">FIRE1201_raw!AF31</f>
        <v>0</v>
      </c>
      <c r="R24" s="114" t="str">
        <f t="shared" ca="1" si="3"/>
        <v>-</v>
      </c>
    </row>
    <row r="25" spans="1:18" x14ac:dyDescent="0.3">
      <c r="A25" t="s">
        <v>19</v>
      </c>
      <c r="B25" s="51">
        <f>SUM('2018-19'!B32,'2018-19'!J32)</f>
        <v>27190</v>
      </c>
      <c r="C25" s="51">
        <f>SUM('2019-20'!B32,'2019-20'!J32)</f>
        <v>22298</v>
      </c>
      <c r="D25" s="55">
        <f t="shared" si="0"/>
        <v>-0.17991908789996325</v>
      </c>
      <c r="F25" s="51">
        <f>SUM('2018-19'!F32,'2018-19'!N32)</f>
        <v>27190</v>
      </c>
      <c r="G25" s="51">
        <f>SUM('2019-20'!F32,'2019-20'!N32)</f>
        <v>22298</v>
      </c>
      <c r="H25" s="55">
        <f t="shared" si="1"/>
        <v>-0.17991908789996325</v>
      </c>
      <c r="J25" s="51">
        <f>VLOOKUP(A25,'2019-20'!$A$9:$B$59,2,FALSE)</f>
        <v>22298</v>
      </c>
      <c r="K25" s="51">
        <f>VLOOKUP(A25,'2019-20'!$A$9:$F$59,6,FALSE)</f>
        <v>22298</v>
      </c>
      <c r="L25" s="86" t="str">
        <f t="shared" si="2"/>
        <v>-</v>
      </c>
      <c r="N25" s="51">
        <f ca="1">FIRE1201_raw!N32</f>
        <v>22298</v>
      </c>
      <c r="O25" s="51">
        <f ca="1">FIRE1201_raw!T32</f>
        <v>22298</v>
      </c>
      <c r="P25" s="51">
        <f ca="1">FIRE1201_raw!Z32</f>
        <v>0</v>
      </c>
      <c r="Q25" s="51">
        <f ca="1">FIRE1201_raw!AF32</f>
        <v>0</v>
      </c>
      <c r="R25" s="114" t="str">
        <f t="shared" ca="1" si="3"/>
        <v>-</v>
      </c>
    </row>
    <row r="26" spans="1:18" x14ac:dyDescent="0.3">
      <c r="A26" t="s">
        <v>20</v>
      </c>
      <c r="B26" s="51">
        <f>SUM('2018-19'!B33,'2018-19'!J33)</f>
        <v>6085</v>
      </c>
      <c r="C26" s="51">
        <f>SUM('2019-20'!B33,'2019-20'!J33)</f>
        <v>8693</v>
      </c>
      <c r="D26" s="55">
        <f t="shared" si="0"/>
        <v>0.42859490550534107</v>
      </c>
      <c r="F26" s="51">
        <f>SUM('2018-19'!F33,'2018-19'!N33)</f>
        <v>6051</v>
      </c>
      <c r="G26" s="51">
        <f>SUM('2019-20'!F33,'2019-20'!N33)</f>
        <v>8689</v>
      </c>
      <c r="H26" s="55">
        <f t="shared" si="1"/>
        <v>0.43596099818211864</v>
      </c>
      <c r="J26" s="51">
        <f>VLOOKUP(A26,'2019-20'!$A$9:$B$59,2,FALSE)</f>
        <v>8690</v>
      </c>
      <c r="K26" s="51">
        <f>VLOOKUP(A26,'2019-20'!$A$9:$F$59,6,FALSE)</f>
        <v>8686</v>
      </c>
      <c r="L26" s="86" t="str">
        <f t="shared" si="2"/>
        <v>-</v>
      </c>
      <c r="N26" s="51">
        <f ca="1">FIRE1201_raw!N33</f>
        <v>8690</v>
      </c>
      <c r="O26" s="51">
        <f ca="1">FIRE1201_raw!T33</f>
        <v>8686</v>
      </c>
      <c r="P26" s="51">
        <f ca="1">FIRE1201_raw!Z33</f>
        <v>3</v>
      </c>
      <c r="Q26" s="51">
        <f ca="1">FIRE1201_raw!AF33</f>
        <v>3</v>
      </c>
      <c r="R26" s="114" t="str">
        <f t="shared" ca="1" si="3"/>
        <v>-</v>
      </c>
    </row>
    <row r="27" spans="1:18" x14ac:dyDescent="0.3">
      <c r="A27" t="s">
        <v>21</v>
      </c>
      <c r="B27" s="51">
        <f>SUM('2018-19'!B34,'2018-19'!J34)</f>
        <v>2786</v>
      </c>
      <c r="C27" s="51">
        <f>SUM('2019-20'!B34,'2019-20'!J34)</f>
        <v>2510</v>
      </c>
      <c r="D27" s="55">
        <f t="shared" si="0"/>
        <v>-9.906676238334533E-2</v>
      </c>
      <c r="F27" s="51">
        <f>SUM('2018-19'!F34,'2018-19'!N34)</f>
        <v>1205</v>
      </c>
      <c r="G27" s="51">
        <f>SUM('2019-20'!F34,'2019-20'!N34)</f>
        <v>1335</v>
      </c>
      <c r="H27" s="55">
        <f t="shared" si="1"/>
        <v>0.10788381742738595</v>
      </c>
      <c r="J27" s="51">
        <f>VLOOKUP(A27,'2019-20'!$A$9:$B$59,2,FALSE)</f>
        <v>2510</v>
      </c>
      <c r="K27" s="51">
        <f>VLOOKUP(A27,'2019-20'!$A$9:$F$59,6,FALSE)</f>
        <v>1335</v>
      </c>
      <c r="L27" s="86" t="str">
        <f t="shared" si="2"/>
        <v>-</v>
      </c>
      <c r="N27" s="51">
        <f ca="1">FIRE1201_raw!N34</f>
        <v>2510</v>
      </c>
      <c r="O27" s="51">
        <f ca="1">FIRE1201_raw!T34</f>
        <v>1335</v>
      </c>
      <c r="P27" s="51">
        <f ca="1">FIRE1201_raw!Z34</f>
        <v>0</v>
      </c>
      <c r="Q27" s="51">
        <f ca="1">FIRE1201_raw!AF34</f>
        <v>0</v>
      </c>
      <c r="R27" s="114" t="str">
        <f t="shared" ca="1" si="3"/>
        <v>-</v>
      </c>
    </row>
    <row r="28" spans="1:18" x14ac:dyDescent="0.3">
      <c r="A28" t="s">
        <v>22</v>
      </c>
      <c r="B28" s="51">
        <f>SUM('2018-19'!B35,'2018-19'!J35)</f>
        <v>6812</v>
      </c>
      <c r="C28" s="51">
        <f>SUM('2019-20'!B35,'2019-20'!J35)</f>
        <v>6851</v>
      </c>
      <c r="D28" s="55">
        <f t="shared" si="0"/>
        <v>5.7251908396946938E-3</v>
      </c>
      <c r="F28" s="51">
        <f>SUM('2018-19'!F35,'2018-19'!N35)</f>
        <v>6812</v>
      </c>
      <c r="G28" s="51">
        <f>SUM('2019-20'!F35,'2019-20'!N35)</f>
        <v>6851</v>
      </c>
      <c r="H28" s="55">
        <f t="shared" si="1"/>
        <v>5.7251908396946938E-3</v>
      </c>
      <c r="J28" s="51">
        <f>VLOOKUP(A28,'2019-20'!$A$9:$B$59,2,FALSE)</f>
        <v>6851</v>
      </c>
      <c r="K28" s="51">
        <f>VLOOKUP(A28,'2019-20'!$A$9:$F$59,6,FALSE)</f>
        <v>6851</v>
      </c>
      <c r="L28" s="86" t="str">
        <f t="shared" si="2"/>
        <v>-</v>
      </c>
      <c r="N28" s="51">
        <f ca="1">FIRE1201_raw!N35</f>
        <v>6851</v>
      </c>
      <c r="O28" s="51">
        <f ca="1">FIRE1201_raw!T35</f>
        <v>6851</v>
      </c>
      <c r="P28" s="51">
        <f ca="1">FIRE1201_raw!Z35</f>
        <v>0</v>
      </c>
      <c r="Q28" s="51">
        <f ca="1">FIRE1201_raw!AF35</f>
        <v>0</v>
      </c>
      <c r="R28" s="114" t="str">
        <f t="shared" ca="1" si="3"/>
        <v>-</v>
      </c>
    </row>
    <row r="29" spans="1:18" x14ac:dyDescent="0.3">
      <c r="A29" t="s">
        <v>23</v>
      </c>
      <c r="B29" s="51">
        <f>SUM('2018-19'!B36,'2018-19'!J36)</f>
        <v>5965</v>
      </c>
      <c r="C29" s="51">
        <f>SUM('2019-20'!B36,'2019-20'!J36)</f>
        <v>5654</v>
      </c>
      <c r="D29" s="55">
        <f t="shared" si="0"/>
        <v>-5.2137468566638701E-2</v>
      </c>
      <c r="F29" s="51">
        <f>SUM('2018-19'!F36,'2018-19'!N36)</f>
        <v>5965</v>
      </c>
      <c r="G29" s="51">
        <f>SUM('2019-20'!F36,'2019-20'!N36)</f>
        <v>5654</v>
      </c>
      <c r="H29" s="55">
        <f t="shared" si="1"/>
        <v>-5.2137468566638701E-2</v>
      </c>
      <c r="J29" s="51">
        <f>VLOOKUP(A29,'2019-20'!$A$9:$B$59,2,FALSE)</f>
        <v>5654</v>
      </c>
      <c r="K29" s="51">
        <f>VLOOKUP(A29,'2019-20'!$A$9:$F$59,6,FALSE)</f>
        <v>5654</v>
      </c>
      <c r="L29" s="86" t="str">
        <f t="shared" si="2"/>
        <v>-</v>
      </c>
      <c r="N29" s="51">
        <f ca="1">FIRE1201_raw!N36</f>
        <v>5654</v>
      </c>
      <c r="O29" s="51">
        <f ca="1">FIRE1201_raw!T36</f>
        <v>5654</v>
      </c>
      <c r="P29" s="51">
        <f ca="1">FIRE1201_raw!Z36</f>
        <v>0</v>
      </c>
      <c r="Q29" s="51">
        <f ca="1">FIRE1201_raw!AF36</f>
        <v>0</v>
      </c>
      <c r="R29" s="114" t="str">
        <f t="shared" ca="1" si="3"/>
        <v>-</v>
      </c>
    </row>
    <row r="30" spans="1:18" x14ac:dyDescent="0.3">
      <c r="A30" t="s">
        <v>48</v>
      </c>
      <c r="B30" s="51">
        <f>SUM('2018-19'!B37,'2018-19'!J37)</f>
        <v>510</v>
      </c>
      <c r="C30" s="51">
        <f>SUM('2019-20'!B37,'2019-20'!J37)</f>
        <v>619</v>
      </c>
      <c r="D30" s="55">
        <f t="shared" si="0"/>
        <v>0.21372549019607834</v>
      </c>
      <c r="F30" s="51">
        <f>SUM('2018-19'!F37,'2018-19'!N37)</f>
        <v>510</v>
      </c>
      <c r="G30" s="51">
        <f>SUM('2019-20'!F37,'2019-20'!N37)</f>
        <v>619</v>
      </c>
      <c r="H30" s="55">
        <f t="shared" si="1"/>
        <v>0.21372549019607834</v>
      </c>
      <c r="J30" s="51">
        <f>VLOOKUP(A30,'2019-20'!$A$9:$B$59,2,FALSE)</f>
        <v>506</v>
      </c>
      <c r="K30" s="51">
        <f>VLOOKUP(A30,'2019-20'!$A$9:$F$59,6,FALSE)</f>
        <v>506</v>
      </c>
      <c r="L30" s="86" t="str">
        <f t="shared" si="2"/>
        <v>-</v>
      </c>
      <c r="N30" s="51">
        <f ca="1">FIRE1201_raw!N37</f>
        <v>506</v>
      </c>
      <c r="O30" s="51">
        <f ca="1">FIRE1201_raw!T37</f>
        <v>506</v>
      </c>
      <c r="P30" s="51">
        <f ca="1">FIRE1201_raw!Z37</f>
        <v>113</v>
      </c>
      <c r="Q30" s="51">
        <f ca="1">FIRE1201_raw!AF37</f>
        <v>113</v>
      </c>
      <c r="R30" s="114" t="str">
        <f t="shared" ca="1" si="3"/>
        <v>-</v>
      </c>
    </row>
    <row r="31" spans="1:18" x14ac:dyDescent="0.3">
      <c r="A31" t="s">
        <v>25</v>
      </c>
      <c r="B31" s="51">
        <f>SUM('2018-19'!B38,'2018-19'!J38)</f>
        <v>42</v>
      </c>
      <c r="C31" s="51">
        <f>SUM('2019-20'!B38,'2019-20'!J38)</f>
        <v>82</v>
      </c>
      <c r="D31" s="55">
        <f t="shared" si="0"/>
        <v>0.95238095238095233</v>
      </c>
      <c r="F31" s="51">
        <f>SUM('2018-19'!F38,'2018-19'!N38)</f>
        <v>0</v>
      </c>
      <c r="G31" s="51">
        <f>SUM('2019-20'!F38,'2019-20'!N38)</f>
        <v>0</v>
      </c>
      <c r="H31" s="55" t="e">
        <f t="shared" si="1"/>
        <v>#DIV/0!</v>
      </c>
      <c r="J31" s="51">
        <f>VLOOKUP(A31,'2019-20'!$A$9:$B$59,2,FALSE)</f>
        <v>82</v>
      </c>
      <c r="K31" s="51">
        <f>VLOOKUP(A31,'2019-20'!$A$9:$F$59,6,FALSE)</f>
        <v>0</v>
      </c>
      <c r="L31" s="86" t="str">
        <f t="shared" si="2"/>
        <v>-</v>
      </c>
      <c r="N31" s="51">
        <f ca="1">FIRE1201_raw!N38</f>
        <v>82</v>
      </c>
      <c r="O31" s="51">
        <f ca="1">FIRE1201_raw!T38</f>
        <v>0</v>
      </c>
      <c r="P31" s="51">
        <f ca="1">FIRE1201_raw!Z38</f>
        <v>0</v>
      </c>
      <c r="Q31" s="51">
        <f ca="1">FIRE1201_raw!AF38</f>
        <v>0</v>
      </c>
      <c r="R31" s="114" t="str">
        <f t="shared" ca="1" si="3"/>
        <v>-</v>
      </c>
    </row>
    <row r="32" spans="1:18" x14ac:dyDescent="0.3">
      <c r="A32" t="s">
        <v>26</v>
      </c>
      <c r="B32" s="51">
        <f>SUM('2018-19'!B39,'2018-19'!J39)</f>
        <v>23635</v>
      </c>
      <c r="C32" s="51">
        <f>SUM('2019-20'!B39,'2019-20'!J39)</f>
        <v>20303</v>
      </c>
      <c r="D32" s="55">
        <f t="shared" si="0"/>
        <v>-0.14097736407869688</v>
      </c>
      <c r="F32" s="51">
        <f>SUM('2018-19'!F39,'2018-19'!N39)</f>
        <v>23635</v>
      </c>
      <c r="G32" s="51">
        <f>SUM('2019-20'!F39,'2019-20'!N39)</f>
        <v>20303</v>
      </c>
      <c r="H32" s="55">
        <f t="shared" si="1"/>
        <v>-0.14097736407869688</v>
      </c>
      <c r="J32" s="51">
        <f>VLOOKUP(A32,'2019-20'!$A$9:$B$59,2,FALSE)</f>
        <v>20303</v>
      </c>
      <c r="K32" s="51">
        <f>VLOOKUP(A32,'2019-20'!$A$9:$F$59,6,FALSE)</f>
        <v>20303</v>
      </c>
      <c r="L32" s="86" t="str">
        <f t="shared" si="2"/>
        <v>-</v>
      </c>
      <c r="N32" s="51">
        <f ca="1">FIRE1201_raw!N39</f>
        <v>20303</v>
      </c>
      <c r="O32" s="51">
        <f ca="1">FIRE1201_raw!T39</f>
        <v>20303</v>
      </c>
      <c r="P32" s="51">
        <f ca="1">FIRE1201_raw!Z39</f>
        <v>0</v>
      </c>
      <c r="Q32" s="51">
        <f ca="1">FIRE1201_raw!AF39</f>
        <v>0</v>
      </c>
      <c r="R32" s="114" t="str">
        <f t="shared" ca="1" si="3"/>
        <v>-</v>
      </c>
    </row>
    <row r="33" spans="1:18" x14ac:dyDescent="0.3">
      <c r="A33" t="s">
        <v>27</v>
      </c>
      <c r="B33" s="51">
        <f>SUM('2018-19'!B40,'2018-19'!J40)</f>
        <v>14747</v>
      </c>
      <c r="C33" s="51">
        <f>SUM('2019-20'!B40,'2019-20'!J40)</f>
        <v>19461</v>
      </c>
      <c r="D33" s="55">
        <f t="shared" si="0"/>
        <v>0.31965823557333706</v>
      </c>
      <c r="F33" s="51">
        <f>SUM('2018-19'!F40,'2018-19'!N40)</f>
        <v>14747</v>
      </c>
      <c r="G33" s="51">
        <f>SUM('2019-20'!F40,'2019-20'!N40)</f>
        <v>19461</v>
      </c>
      <c r="H33" s="55">
        <f t="shared" si="1"/>
        <v>0.31965823557333706</v>
      </c>
      <c r="J33" s="51">
        <f>VLOOKUP(A33,'2019-20'!$A$9:$B$59,2,FALSE)</f>
        <v>19461</v>
      </c>
      <c r="K33" s="51">
        <f>VLOOKUP(A33,'2019-20'!$A$9:$F$59,6,FALSE)</f>
        <v>19461</v>
      </c>
      <c r="L33" s="86" t="str">
        <f t="shared" si="2"/>
        <v>-</v>
      </c>
      <c r="N33" s="51">
        <f ca="1">FIRE1201_raw!N40</f>
        <v>19461</v>
      </c>
      <c r="O33" s="51">
        <f ca="1">FIRE1201_raw!T40</f>
        <v>19461</v>
      </c>
      <c r="P33" s="51">
        <f ca="1">FIRE1201_raw!Z40</f>
        <v>0</v>
      </c>
      <c r="Q33" s="51">
        <f ca="1">FIRE1201_raw!AF40</f>
        <v>0</v>
      </c>
      <c r="R33" s="114" t="str">
        <f t="shared" ca="1" si="3"/>
        <v>-</v>
      </c>
    </row>
    <row r="34" spans="1:18" x14ac:dyDescent="0.3">
      <c r="A34" t="s">
        <v>28</v>
      </c>
      <c r="B34" s="51">
        <f>SUM('2018-19'!B41,'2018-19'!J41)</f>
        <v>7163</v>
      </c>
      <c r="C34" s="51">
        <f>SUM('2019-20'!B41,'2019-20'!J41)</f>
        <v>6908</v>
      </c>
      <c r="D34" s="55">
        <f t="shared" si="0"/>
        <v>-3.5599609102331398E-2</v>
      </c>
      <c r="F34" s="51">
        <f>SUM('2018-19'!F41,'2018-19'!N41)</f>
        <v>0</v>
      </c>
      <c r="G34" s="51">
        <f>SUM('2019-20'!F41,'2019-20'!N41)</f>
        <v>5935</v>
      </c>
      <c r="H34" s="55" t="e">
        <f t="shared" si="1"/>
        <v>#DIV/0!</v>
      </c>
      <c r="J34" s="51">
        <f>VLOOKUP(A34,'2019-20'!$A$9:$B$59,2,FALSE)</f>
        <v>6542</v>
      </c>
      <c r="K34" s="51">
        <f>VLOOKUP(A34,'2019-20'!$A$9:$F$59,6,FALSE)</f>
        <v>5935</v>
      </c>
      <c r="L34" s="86" t="str">
        <f t="shared" si="2"/>
        <v>-</v>
      </c>
      <c r="N34" s="51">
        <f ca="1">FIRE1201_raw!N41</f>
        <v>6542</v>
      </c>
      <c r="O34" s="51">
        <f ca="1">FIRE1201_raw!T41</f>
        <v>5935</v>
      </c>
      <c r="P34" s="51">
        <f ca="1">FIRE1201_raw!Z41</f>
        <v>366</v>
      </c>
      <c r="Q34" s="51">
        <f ca="1">FIRE1201_raw!AF41</f>
        <v>0</v>
      </c>
      <c r="R34" s="114" t="str">
        <f t="shared" ca="1" si="3"/>
        <v>-</v>
      </c>
    </row>
    <row r="35" spans="1:18" x14ac:dyDescent="0.3">
      <c r="A35" t="s">
        <v>29</v>
      </c>
      <c r="B35" s="51">
        <f>SUM('2018-19'!B42,'2018-19'!J42)</f>
        <v>4991</v>
      </c>
      <c r="C35" s="51">
        <f>SUM('2019-20'!B42,'2019-20'!J42)</f>
        <v>3592</v>
      </c>
      <c r="D35" s="55">
        <f t="shared" si="0"/>
        <v>-0.28030454818673611</v>
      </c>
      <c r="F35" s="51">
        <f>SUM('2018-19'!F42,'2018-19'!N42)</f>
        <v>3222</v>
      </c>
      <c r="G35" s="51">
        <f>SUM('2019-20'!F42,'2019-20'!N42)</f>
        <v>2152</v>
      </c>
      <c r="H35" s="55">
        <f t="shared" si="1"/>
        <v>-0.33209186840471761</v>
      </c>
      <c r="J35" s="51">
        <f>VLOOKUP(A35,'2019-20'!$A$9:$B$59,2,FALSE)</f>
        <v>3592</v>
      </c>
      <c r="K35" s="51">
        <f>VLOOKUP(A35,'2019-20'!$A$9:$F$59,6,FALSE)</f>
        <v>2152</v>
      </c>
      <c r="L35" s="86" t="str">
        <f t="shared" si="2"/>
        <v>-</v>
      </c>
      <c r="N35" s="51">
        <f ca="1">FIRE1201_raw!N42</f>
        <v>3592</v>
      </c>
      <c r="O35" s="51">
        <f ca="1">FIRE1201_raw!T42</f>
        <v>2152</v>
      </c>
      <c r="P35" s="51">
        <f ca="1">FIRE1201_raw!Z42</f>
        <v>0</v>
      </c>
      <c r="Q35" s="51">
        <f ca="1">FIRE1201_raw!AF42</f>
        <v>0</v>
      </c>
      <c r="R35" s="114" t="str">
        <f t="shared" ca="1" si="3"/>
        <v>-</v>
      </c>
    </row>
    <row r="36" spans="1:18" x14ac:dyDescent="0.3">
      <c r="A36" t="s">
        <v>30</v>
      </c>
      <c r="B36" s="51">
        <f>SUM('2018-19'!B43,'2018-19'!J43)</f>
        <v>49324</v>
      </c>
      <c r="C36" s="51">
        <f>SUM('2019-20'!B43,'2019-20'!J43)</f>
        <v>55590</v>
      </c>
      <c r="D36" s="55">
        <f t="shared" si="0"/>
        <v>0.12703754764414898</v>
      </c>
      <c r="F36" s="51">
        <f>SUM('2018-19'!F43,'2018-19'!N43)</f>
        <v>9217</v>
      </c>
      <c r="G36" s="51">
        <f>SUM('2019-20'!F43,'2019-20'!N43)</f>
        <v>10177</v>
      </c>
      <c r="H36" s="55">
        <f t="shared" si="1"/>
        <v>0.10415536508625367</v>
      </c>
      <c r="J36" s="51">
        <f>VLOOKUP(A36,'2019-20'!$A$9:$B$59,2,FALSE)</f>
        <v>55590</v>
      </c>
      <c r="K36" s="51">
        <f>VLOOKUP(A36,'2019-20'!$A$9:$F$59,6,FALSE)</f>
        <v>10177</v>
      </c>
      <c r="L36" s="86" t="str">
        <f t="shared" si="2"/>
        <v>-</v>
      </c>
      <c r="N36" s="51">
        <f ca="1">FIRE1201_raw!N43</f>
        <v>55590</v>
      </c>
      <c r="O36" s="51">
        <f ca="1">FIRE1201_raw!T43</f>
        <v>10177</v>
      </c>
      <c r="P36" s="51">
        <f ca="1">FIRE1201_raw!Z43</f>
        <v>0</v>
      </c>
      <c r="Q36" s="51">
        <f ca="1">FIRE1201_raw!AF43</f>
        <v>0</v>
      </c>
      <c r="R36" s="115" t="str">
        <f t="shared" ca="1" si="3"/>
        <v>-</v>
      </c>
    </row>
    <row r="37" spans="1:18" x14ac:dyDescent="0.3">
      <c r="A37" t="s">
        <v>31</v>
      </c>
      <c r="B37" s="51">
        <f>SUM('2018-19'!B44,'2018-19'!J44)</f>
        <v>4048</v>
      </c>
      <c r="C37" s="51">
        <f>SUM('2019-20'!B44,'2019-20'!J44)</f>
        <v>3929</v>
      </c>
      <c r="D37" s="55">
        <f t="shared" si="0"/>
        <v>-2.9397233201581052E-2</v>
      </c>
      <c r="F37" s="51">
        <f>SUM('2018-19'!F44,'2018-19'!N44)</f>
        <v>127</v>
      </c>
      <c r="G37" s="51">
        <f>SUM('2019-20'!F44,'2019-20'!N44)</f>
        <v>0</v>
      </c>
      <c r="H37" s="55">
        <f t="shared" si="1"/>
        <v>-1</v>
      </c>
      <c r="J37" s="51">
        <f>VLOOKUP(A37,'2019-20'!$A$9:$B$59,2,FALSE)</f>
        <v>3929</v>
      </c>
      <c r="K37" s="51">
        <f>VLOOKUP(A37,'2019-20'!$A$9:$F$59,6,FALSE)</f>
        <v>0</v>
      </c>
      <c r="L37" s="86" t="str">
        <f t="shared" si="2"/>
        <v>-</v>
      </c>
      <c r="N37" s="51">
        <f ca="1">FIRE1201_raw!N44</f>
        <v>3929</v>
      </c>
      <c r="O37" s="51">
        <f ca="1">FIRE1201_raw!T44</f>
        <v>0</v>
      </c>
      <c r="P37" s="51">
        <f ca="1">FIRE1201_raw!Z44</f>
        <v>0</v>
      </c>
      <c r="Q37" s="51">
        <f ca="1">FIRE1201_raw!AF44</f>
        <v>0</v>
      </c>
      <c r="R37" s="114" t="str">
        <f t="shared" ca="1" si="3"/>
        <v>-</v>
      </c>
    </row>
    <row r="38" spans="1:18" x14ac:dyDescent="0.3">
      <c r="A38" t="s">
        <v>32</v>
      </c>
      <c r="B38" s="51">
        <f>SUM('2018-19'!B45,'2018-19'!J45)</f>
        <v>2090</v>
      </c>
      <c r="C38" s="51">
        <f>SUM('2019-20'!B45,'2019-20'!J45)</f>
        <v>2305</v>
      </c>
      <c r="D38" s="55">
        <f t="shared" si="0"/>
        <v>0.10287081339712922</v>
      </c>
      <c r="F38" s="51">
        <f>SUM('2018-19'!F45,'2018-19'!N45)</f>
        <v>1183</v>
      </c>
      <c r="G38" s="51">
        <f>SUM('2019-20'!F45,'2019-20'!N45)</f>
        <v>1759</v>
      </c>
      <c r="H38" s="55">
        <f t="shared" si="1"/>
        <v>0.48689771766694845</v>
      </c>
      <c r="J38" s="51">
        <f>VLOOKUP(A38,'2019-20'!$A$9:$B$59,2,FALSE)</f>
        <v>2251</v>
      </c>
      <c r="K38" s="51">
        <f>VLOOKUP(A38,'2019-20'!$A$9:$F$59,6,FALSE)</f>
        <v>1759</v>
      </c>
      <c r="L38" s="86" t="str">
        <f t="shared" si="2"/>
        <v>-</v>
      </c>
      <c r="N38" s="51">
        <f ca="1">FIRE1201_raw!N45</f>
        <v>2251</v>
      </c>
      <c r="O38" s="51">
        <f ca="1">FIRE1201_raw!T45</f>
        <v>1759</v>
      </c>
      <c r="P38" s="51">
        <f ca="1">FIRE1201_raw!Z45</f>
        <v>54</v>
      </c>
      <c r="Q38" s="51">
        <f ca="1">FIRE1201_raw!AF45</f>
        <v>0</v>
      </c>
      <c r="R38" s="114" t="str">
        <f t="shared" ca="1" si="3"/>
        <v>-</v>
      </c>
    </row>
    <row r="39" spans="1:18" x14ac:dyDescent="0.3">
      <c r="A39" t="s">
        <v>33</v>
      </c>
      <c r="B39" s="51">
        <f>SUM('2018-19'!B46,'2018-19'!J46)</f>
        <v>2527</v>
      </c>
      <c r="C39" s="51">
        <f>SUM('2019-20'!B46,'2019-20'!J46)</f>
        <v>3582</v>
      </c>
      <c r="D39" s="55">
        <f t="shared" si="0"/>
        <v>0.41749109616145619</v>
      </c>
      <c r="F39" s="51">
        <f>SUM('2018-19'!F46,'2018-19'!N46)</f>
        <v>1595</v>
      </c>
      <c r="G39" s="51">
        <f>SUM('2019-20'!F46,'2019-20'!N46)</f>
        <v>1432</v>
      </c>
      <c r="H39" s="55">
        <f t="shared" si="1"/>
        <v>-0.10219435736677118</v>
      </c>
      <c r="J39" s="51">
        <f>VLOOKUP(A39,'2019-20'!$A$9:$B$59,2,FALSE)</f>
        <v>3582</v>
      </c>
      <c r="K39" s="51">
        <f>VLOOKUP(A39,'2019-20'!$A$9:$F$59,6,FALSE)</f>
        <v>1432</v>
      </c>
      <c r="L39" s="86" t="str">
        <f t="shared" si="2"/>
        <v>-</v>
      </c>
      <c r="N39" s="51">
        <f ca="1">FIRE1201_raw!N46</f>
        <v>3582</v>
      </c>
      <c r="O39" s="51">
        <f ca="1">FIRE1201_raw!T46</f>
        <v>1432</v>
      </c>
      <c r="P39" s="51">
        <f ca="1">FIRE1201_raw!Z46</f>
        <v>0</v>
      </c>
      <c r="Q39" s="51">
        <f ca="1">FIRE1201_raw!AF46</f>
        <v>0</v>
      </c>
      <c r="R39" s="114" t="str">
        <f t="shared" ca="1" si="3"/>
        <v>-</v>
      </c>
    </row>
    <row r="40" spans="1:18" x14ac:dyDescent="0.3">
      <c r="A40" t="s">
        <v>34</v>
      </c>
      <c r="B40" s="51">
        <f>SUM('2018-19'!B47,'2018-19'!J47)</f>
        <v>8239</v>
      </c>
      <c r="C40" s="51">
        <f>SUM('2019-20'!B47,'2019-20'!J47)</f>
        <v>7694</v>
      </c>
      <c r="D40" s="55">
        <f t="shared" si="0"/>
        <v>-6.6148804466561462E-2</v>
      </c>
      <c r="F40" s="51">
        <f>SUM('2018-19'!F47,'2018-19'!N47)</f>
        <v>8239</v>
      </c>
      <c r="G40" s="51">
        <f>SUM('2019-20'!F47,'2019-20'!N47)</f>
        <v>7694</v>
      </c>
      <c r="H40" s="55">
        <f t="shared" si="1"/>
        <v>-6.6148804466561462E-2</v>
      </c>
      <c r="J40" s="51">
        <f>VLOOKUP(A40,'2019-20'!$A$9:$B$59,2,FALSE)</f>
        <v>7694</v>
      </c>
      <c r="K40" s="51">
        <f>VLOOKUP(A40,'2019-20'!$A$9:$F$59,6,FALSE)</f>
        <v>7694</v>
      </c>
      <c r="L40" s="86" t="str">
        <f t="shared" si="2"/>
        <v>-</v>
      </c>
      <c r="N40" s="51">
        <f ca="1">FIRE1201_raw!N47</f>
        <v>7694</v>
      </c>
      <c r="O40" s="51">
        <f ca="1">FIRE1201_raw!T47</f>
        <v>7694</v>
      </c>
      <c r="P40" s="51">
        <f ca="1">FIRE1201_raw!Z47</f>
        <v>0</v>
      </c>
      <c r="Q40" s="51">
        <f ca="1">FIRE1201_raw!AF47</f>
        <v>0</v>
      </c>
      <c r="R40" s="114" t="str">
        <f t="shared" ca="1" si="3"/>
        <v>-</v>
      </c>
    </row>
    <row r="41" spans="1:18" x14ac:dyDescent="0.3">
      <c r="A41" t="s">
        <v>35</v>
      </c>
      <c r="B41" s="51">
        <f>SUM('2018-19'!B48,'2018-19'!J48)</f>
        <v>4738</v>
      </c>
      <c r="C41" s="51">
        <f>SUM('2019-20'!B48,'2019-20'!J48)</f>
        <v>8272</v>
      </c>
      <c r="D41" s="55">
        <f t="shared" si="0"/>
        <v>0.74588433938370624</v>
      </c>
      <c r="F41" s="51">
        <f>SUM('2018-19'!F48,'2018-19'!N48)</f>
        <v>2752</v>
      </c>
      <c r="G41" s="51">
        <f>SUM('2019-20'!F48,'2019-20'!N48)</f>
        <v>6002</v>
      </c>
      <c r="H41" s="55">
        <f t="shared" si="1"/>
        <v>1.1809593023255816</v>
      </c>
      <c r="J41" s="51">
        <f>VLOOKUP(A41,'2019-20'!$A$9:$B$59,2,FALSE)</f>
        <v>7752</v>
      </c>
      <c r="K41" s="51">
        <f>VLOOKUP(A41,'2019-20'!$A$9:$F$59,6,FALSE)</f>
        <v>5752</v>
      </c>
      <c r="L41" s="86" t="str">
        <f t="shared" si="2"/>
        <v>-</v>
      </c>
      <c r="N41" s="51">
        <f ca="1">FIRE1201_raw!N48</f>
        <v>7752</v>
      </c>
      <c r="O41" s="51">
        <f ca="1">FIRE1201_raw!T48</f>
        <v>5752</v>
      </c>
      <c r="P41" s="51">
        <f ca="1">FIRE1201_raw!Z48</f>
        <v>520</v>
      </c>
      <c r="Q41" s="51">
        <f ca="1">FIRE1201_raw!AF48</f>
        <v>250</v>
      </c>
      <c r="R41" s="114" t="str">
        <f t="shared" ca="1" si="3"/>
        <v>-</v>
      </c>
    </row>
    <row r="42" spans="1:18" x14ac:dyDescent="0.3">
      <c r="A42" t="s">
        <v>36</v>
      </c>
      <c r="B42" s="51">
        <f>SUM('2018-19'!B49,'2018-19'!J49)</f>
        <v>3098</v>
      </c>
      <c r="C42" s="51">
        <f>SUM('2019-20'!B49,'2019-20'!J49)</f>
        <v>2934</v>
      </c>
      <c r="D42" s="55">
        <f t="shared" si="0"/>
        <v>-5.2937378954163949E-2</v>
      </c>
      <c r="F42" s="51">
        <f>SUM('2018-19'!F49,'2018-19'!N49)</f>
        <v>2881</v>
      </c>
      <c r="G42" s="51">
        <f>SUM('2019-20'!F49,'2019-20'!N49)</f>
        <v>2513</v>
      </c>
      <c r="H42" s="55">
        <f t="shared" si="1"/>
        <v>-0.12773342589378689</v>
      </c>
      <c r="J42" s="51">
        <f>VLOOKUP(A42,'2019-20'!$A$9:$B$59,2,FALSE)</f>
        <v>2934</v>
      </c>
      <c r="K42" s="51">
        <f>VLOOKUP(A42,'2019-20'!$A$9:$F$59,6,FALSE)</f>
        <v>2513</v>
      </c>
      <c r="L42" s="86" t="str">
        <f t="shared" si="2"/>
        <v>-</v>
      </c>
      <c r="N42" s="51">
        <f ca="1">FIRE1201_raw!N49</f>
        <v>2934</v>
      </c>
      <c r="O42" s="51">
        <f ca="1">FIRE1201_raw!T49</f>
        <v>2513</v>
      </c>
      <c r="P42" s="51">
        <f ca="1">FIRE1201_raw!Z49</f>
        <v>0</v>
      </c>
      <c r="Q42" s="51">
        <f ca="1">FIRE1201_raw!AF49</f>
        <v>0</v>
      </c>
      <c r="R42" s="114" t="str">
        <f t="shared" ca="1" si="3"/>
        <v>-</v>
      </c>
    </row>
    <row r="43" spans="1:18" x14ac:dyDescent="0.3">
      <c r="A43" t="s">
        <v>37</v>
      </c>
      <c r="B43" s="51">
        <f>SUM('2018-19'!B50,'2018-19'!J50)</f>
        <v>4856</v>
      </c>
      <c r="C43" s="51">
        <f>SUM('2019-20'!B50,'2019-20'!J50)</f>
        <v>4583</v>
      </c>
      <c r="D43" s="55">
        <f t="shared" si="0"/>
        <v>-5.6219110378912696E-2</v>
      </c>
      <c r="F43" s="51">
        <f>SUM('2018-19'!F50,'2018-19'!N50)</f>
        <v>4195</v>
      </c>
      <c r="G43" s="51">
        <f>SUM('2019-20'!F50,'2019-20'!N50)</f>
        <v>3815</v>
      </c>
      <c r="H43" s="55">
        <f t="shared" si="1"/>
        <v>-9.0584028605482758E-2</v>
      </c>
      <c r="J43" s="51">
        <f>VLOOKUP(A43,'2019-20'!$A$9:$B$59,2,FALSE)</f>
        <v>3815</v>
      </c>
      <c r="K43" s="51">
        <f>VLOOKUP(A43,'2019-20'!$A$9:$F$59,6,FALSE)</f>
        <v>3815</v>
      </c>
      <c r="L43" s="86" t="str">
        <f t="shared" si="2"/>
        <v>-</v>
      </c>
      <c r="N43" s="51">
        <f ca="1">FIRE1201_raw!N50</f>
        <v>3815</v>
      </c>
      <c r="O43" s="51">
        <f ca="1">FIRE1201_raw!T50</f>
        <v>3815</v>
      </c>
      <c r="P43" s="51">
        <f ca="1">FIRE1201_raw!Z50</f>
        <v>768</v>
      </c>
      <c r="Q43" s="51">
        <f ca="1">FIRE1201_raw!AF50</f>
        <v>0</v>
      </c>
      <c r="R43" s="114" t="str">
        <f t="shared" ca="1" si="3"/>
        <v>-</v>
      </c>
    </row>
    <row r="44" spans="1:18" x14ac:dyDescent="0.3">
      <c r="A44" t="s">
        <v>38</v>
      </c>
      <c r="B44" s="51">
        <f>SUM('2018-19'!B51,'2018-19'!J51)</f>
        <v>14771</v>
      </c>
      <c r="C44" s="51">
        <f>SUM('2019-20'!B51,'2019-20'!J51)</f>
        <v>17508</v>
      </c>
      <c r="D44" s="55">
        <f t="shared" si="0"/>
        <v>0.18529551147518797</v>
      </c>
      <c r="F44" s="51">
        <f>SUM('2018-19'!F51,'2018-19'!N51)</f>
        <v>214</v>
      </c>
      <c r="G44" s="51">
        <f>SUM('2019-20'!F51,'2019-20'!N51)</f>
        <v>1227</v>
      </c>
      <c r="H44" s="55">
        <f t="shared" si="1"/>
        <v>4.7336448598130838</v>
      </c>
      <c r="J44" s="51">
        <f>VLOOKUP(A44,'2019-20'!$A$9:$B$59,2,FALSE)</f>
        <v>17480</v>
      </c>
      <c r="K44" s="51">
        <f>VLOOKUP(A44,'2019-20'!$A$9:$F$59,6,FALSE)</f>
        <v>1227</v>
      </c>
      <c r="L44" s="86" t="str">
        <f t="shared" si="2"/>
        <v>-</v>
      </c>
      <c r="N44" s="51">
        <f ca="1">FIRE1201_raw!N51</f>
        <v>17480</v>
      </c>
      <c r="O44" s="51">
        <f ca="1">FIRE1201_raw!T51</f>
        <v>1227</v>
      </c>
      <c r="P44" s="51">
        <f ca="1">FIRE1201_raw!Z51</f>
        <v>28</v>
      </c>
      <c r="Q44" s="51">
        <f ca="1">FIRE1201_raw!AF51</f>
        <v>0</v>
      </c>
      <c r="R44" s="114" t="str">
        <f t="shared" ca="1" si="3"/>
        <v>-</v>
      </c>
    </row>
    <row r="45" spans="1:18" x14ac:dyDescent="0.3">
      <c r="A45" t="s">
        <v>39</v>
      </c>
      <c r="B45" s="51">
        <f>SUM('2018-19'!B52,'2018-19'!J52)</f>
        <v>24703</v>
      </c>
      <c r="C45" s="51">
        <f>SUM('2019-20'!B52,'2019-20'!J52)</f>
        <v>26909</v>
      </c>
      <c r="D45" s="55">
        <f t="shared" si="0"/>
        <v>8.9300894628182803E-2</v>
      </c>
      <c r="F45" s="51">
        <f>SUM('2018-19'!F52,'2018-19'!N52)</f>
        <v>24703</v>
      </c>
      <c r="G45" s="51">
        <f>SUM('2019-20'!F52,'2019-20'!N52)</f>
        <v>26909</v>
      </c>
      <c r="H45" s="55">
        <f t="shared" si="1"/>
        <v>8.9300894628182803E-2</v>
      </c>
      <c r="J45" s="51">
        <f>VLOOKUP(A45,'2019-20'!$A$9:$B$59,2,FALSE)</f>
        <v>26908</v>
      </c>
      <c r="K45" s="51">
        <f>VLOOKUP(A45,'2019-20'!$A$9:$F$59,6,FALSE)</f>
        <v>26908</v>
      </c>
      <c r="L45" s="86" t="str">
        <f t="shared" si="2"/>
        <v>-</v>
      </c>
      <c r="N45" s="51">
        <f ca="1">FIRE1201_raw!N52</f>
        <v>26908</v>
      </c>
      <c r="O45" s="51">
        <f ca="1">FIRE1201_raw!T52</f>
        <v>26908</v>
      </c>
      <c r="P45" s="51">
        <f ca="1">FIRE1201_raw!Z52</f>
        <v>1</v>
      </c>
      <c r="Q45" s="51">
        <f ca="1">FIRE1201_raw!AF52</f>
        <v>1</v>
      </c>
      <c r="R45" s="114" t="str">
        <f t="shared" ca="1" si="3"/>
        <v>-</v>
      </c>
    </row>
    <row r="46" spans="1:18" x14ac:dyDescent="0.3">
      <c r="A46" t="s">
        <v>40</v>
      </c>
      <c r="B46" s="51">
        <f>SUM('2018-19'!B53,'2018-19'!J53)</f>
        <v>1548</v>
      </c>
      <c r="C46" s="51">
        <f>SUM('2019-20'!B53,'2019-20'!J53)</f>
        <v>2970</v>
      </c>
      <c r="D46" s="55">
        <f t="shared" si="0"/>
        <v>0.91860465116279078</v>
      </c>
      <c r="F46" s="51">
        <f>SUM('2018-19'!F53,'2018-19'!N53)</f>
        <v>870</v>
      </c>
      <c r="G46" s="51">
        <f>SUM('2019-20'!F53,'2019-20'!N53)</f>
        <v>1190</v>
      </c>
      <c r="H46" s="55">
        <f t="shared" si="1"/>
        <v>0.36781609195402298</v>
      </c>
      <c r="J46" s="51">
        <f>VLOOKUP(A46,'2019-20'!$A$9:$B$59,2,FALSE)</f>
        <v>2876</v>
      </c>
      <c r="K46" s="51">
        <f>VLOOKUP(A46,'2019-20'!$A$9:$F$59,6,FALSE)</f>
        <v>1190</v>
      </c>
      <c r="L46" s="86" t="str">
        <f t="shared" si="2"/>
        <v>-</v>
      </c>
      <c r="N46" s="51">
        <f ca="1">FIRE1201_raw!N53</f>
        <v>2876</v>
      </c>
      <c r="O46" s="51">
        <f ca="1">FIRE1201_raw!T53</f>
        <v>1190</v>
      </c>
      <c r="P46" s="51">
        <f ca="1">FIRE1201_raw!Z53</f>
        <v>94</v>
      </c>
      <c r="Q46" s="51">
        <f ca="1">FIRE1201_raw!AF53</f>
        <v>0</v>
      </c>
      <c r="R46" s="114" t="str">
        <f t="shared" ca="1" si="3"/>
        <v>-</v>
      </c>
    </row>
    <row r="47" spans="1:18" x14ac:dyDescent="0.3">
      <c r="A47" t="s">
        <v>41</v>
      </c>
      <c r="B47" s="51">
        <f>SUM('2018-19'!B54,'2018-19'!J54)</f>
        <v>4700</v>
      </c>
      <c r="C47" s="51">
        <f>SUM('2019-20'!B54,'2019-20'!J54)</f>
        <v>5045</v>
      </c>
      <c r="D47" s="55">
        <f t="shared" si="0"/>
        <v>7.3404255319148959E-2</v>
      </c>
      <c r="F47" s="51">
        <f>SUM('2018-19'!F54,'2018-19'!N54)</f>
        <v>244</v>
      </c>
      <c r="G47" s="51">
        <f>SUM('2019-20'!F54,'2019-20'!N54)</f>
        <v>213</v>
      </c>
      <c r="H47" s="55">
        <f t="shared" si="1"/>
        <v>-0.12704918032786883</v>
      </c>
      <c r="J47" s="51">
        <f>VLOOKUP(A47,'2019-20'!$A$9:$B$59,2,FALSE)</f>
        <v>5045</v>
      </c>
      <c r="K47" s="51">
        <f>VLOOKUP(A47,'2019-20'!$A$9:$F$59,6,FALSE)</f>
        <v>213</v>
      </c>
      <c r="L47" s="86" t="str">
        <f t="shared" si="2"/>
        <v>-</v>
      </c>
      <c r="N47" s="51">
        <f ca="1">FIRE1201_raw!N54</f>
        <v>5045</v>
      </c>
      <c r="O47" s="51">
        <f ca="1">FIRE1201_raw!T54</f>
        <v>213</v>
      </c>
      <c r="P47" s="51">
        <f ca="1">FIRE1201_raw!Z54</f>
        <v>0</v>
      </c>
      <c r="Q47" s="51">
        <f ca="1">FIRE1201_raw!AF54</f>
        <v>0</v>
      </c>
      <c r="R47" s="114" t="str">
        <f t="shared" ca="1" si="3"/>
        <v>-</v>
      </c>
    </row>
    <row r="48" spans="1:18" x14ac:dyDescent="0.3">
      <c r="A48" t="s">
        <v>42</v>
      </c>
      <c r="B48" s="51">
        <f>SUM('2018-19'!B55,'2018-19'!J55)</f>
        <v>28255</v>
      </c>
      <c r="C48" s="51">
        <f>SUM('2019-20'!B55,'2019-20'!J55)</f>
        <v>26724</v>
      </c>
      <c r="D48" s="55">
        <f t="shared" si="0"/>
        <v>-5.418509998230403E-2</v>
      </c>
      <c r="F48" s="51">
        <f>SUM('2018-19'!F55,'2018-19'!N55)</f>
        <v>10161</v>
      </c>
      <c r="G48" s="51">
        <f>SUM('2019-20'!F55,'2019-20'!N55)</f>
        <v>19076</v>
      </c>
      <c r="H48" s="55">
        <f t="shared" si="1"/>
        <v>0.87737427418561165</v>
      </c>
      <c r="J48" s="51">
        <f>VLOOKUP(A48,'2019-20'!$A$9:$B$59,2,FALSE)</f>
        <v>26586</v>
      </c>
      <c r="K48" s="51">
        <f>VLOOKUP(A48,'2019-20'!$A$9:$F$59,6,FALSE)</f>
        <v>12327</v>
      </c>
      <c r="L48" s="86" t="str">
        <f t="shared" si="2"/>
        <v>-</v>
      </c>
      <c r="N48" s="51">
        <f ca="1">FIRE1201_raw!N55</f>
        <v>26586</v>
      </c>
      <c r="O48" s="51">
        <f ca="1">FIRE1201_raw!T55</f>
        <v>12327</v>
      </c>
      <c r="P48" s="51">
        <f ca="1">FIRE1201_raw!Z55</f>
        <v>138</v>
      </c>
      <c r="Q48" s="51">
        <f ca="1">FIRE1201_raw!AF55</f>
        <v>6749</v>
      </c>
      <c r="R48" s="114" t="str">
        <f t="shared" ca="1" si="3"/>
        <v>-</v>
      </c>
    </row>
    <row r="49" spans="1:18" x14ac:dyDescent="0.3">
      <c r="A49" t="s">
        <v>43</v>
      </c>
      <c r="B49" s="51">
        <f>SUM('2018-19'!B56,'2018-19'!J56)</f>
        <v>5913</v>
      </c>
      <c r="C49" s="51">
        <f>SUM('2019-20'!B56,'2019-20'!J56)</f>
        <v>6208</v>
      </c>
      <c r="D49" s="55">
        <f t="shared" si="0"/>
        <v>4.9890072721122891E-2</v>
      </c>
      <c r="F49" s="51">
        <f>SUM('2018-19'!F56,'2018-19'!N56)</f>
        <v>5913</v>
      </c>
      <c r="G49" s="51">
        <f>SUM('2019-20'!F56,'2019-20'!N56)</f>
        <v>6208</v>
      </c>
      <c r="H49" s="55">
        <f t="shared" si="1"/>
        <v>4.9890072721122891E-2</v>
      </c>
      <c r="J49" s="51">
        <f>VLOOKUP(A49,'2019-20'!$A$9:$B$59,2,FALSE)</f>
        <v>6208</v>
      </c>
      <c r="K49" s="51">
        <f>VLOOKUP(A49,'2019-20'!$A$9:$F$59,6,FALSE)</f>
        <v>6208</v>
      </c>
      <c r="L49" s="86" t="str">
        <f t="shared" si="2"/>
        <v>-</v>
      </c>
      <c r="N49" s="51">
        <f ca="1">FIRE1201_raw!N56</f>
        <v>6208</v>
      </c>
      <c r="O49" s="51">
        <f ca="1">FIRE1201_raw!T56</f>
        <v>6208</v>
      </c>
      <c r="P49" s="51">
        <f ca="1">FIRE1201_raw!Z56</f>
        <v>0</v>
      </c>
      <c r="Q49" s="51">
        <f ca="1">FIRE1201_raw!AF56</f>
        <v>0</v>
      </c>
      <c r="R49" s="114" t="str">
        <f t="shared" ca="1" si="3"/>
        <v>-</v>
      </c>
    </row>
    <row r="50" spans="1:18" x14ac:dyDescent="0.3">
      <c r="A50" t="s">
        <v>44</v>
      </c>
      <c r="B50" s="51">
        <f>SUM('2018-19'!B57,'2018-19'!J57)</f>
        <v>40537</v>
      </c>
      <c r="C50" s="51">
        <f>SUM('2019-20'!B57,'2019-20'!J57)</f>
        <v>35429</v>
      </c>
      <c r="D50" s="55">
        <f t="shared" ref="D50:D52" si="4">(C50/B50)-1</f>
        <v>-0.12600833806152401</v>
      </c>
      <c r="F50" s="51">
        <f>SUM('2018-19'!F57,'2018-19'!N57)</f>
        <v>40537</v>
      </c>
      <c r="G50" s="51">
        <f>SUM('2019-20'!F57,'2019-20'!N57)</f>
        <v>35429</v>
      </c>
      <c r="H50" s="55">
        <f t="shared" si="1"/>
        <v>-0.12600833806152401</v>
      </c>
      <c r="J50" s="51">
        <f>VLOOKUP(A50,'2019-20'!$A$9:$B$59,2,FALSE)</f>
        <v>35429</v>
      </c>
      <c r="K50" s="51">
        <f>VLOOKUP(A50,'2019-20'!$A$9:$F$59,6,FALSE)</f>
        <v>35429</v>
      </c>
      <c r="L50" s="86" t="str">
        <f t="shared" si="2"/>
        <v>-</v>
      </c>
      <c r="N50" s="51">
        <f ca="1">FIRE1201_raw!N57</f>
        <v>35429</v>
      </c>
      <c r="O50" s="51">
        <f ca="1">FIRE1201_raw!T57</f>
        <v>35429</v>
      </c>
      <c r="P50" s="51">
        <f ca="1">FIRE1201_raw!Z57</f>
        <v>0</v>
      </c>
      <c r="Q50" s="51">
        <f ca="1">FIRE1201_raw!AF57</f>
        <v>0</v>
      </c>
      <c r="R50" s="114" t="str">
        <f t="shared" ca="1" si="3"/>
        <v>-</v>
      </c>
    </row>
    <row r="51" spans="1:18" x14ac:dyDescent="0.3">
      <c r="A51" t="s">
        <v>45</v>
      </c>
      <c r="B51" s="51">
        <f>SUM('2018-19'!B58,'2018-19'!J58)</f>
        <v>5308</v>
      </c>
      <c r="C51" s="51">
        <f>SUM('2019-20'!B58,'2019-20'!J58)</f>
        <v>4699</v>
      </c>
      <c r="D51" s="55">
        <f t="shared" si="4"/>
        <v>-0.11473247927656371</v>
      </c>
      <c r="F51" s="51">
        <f>SUM('2018-19'!F58,'2018-19'!N58)</f>
        <v>5308</v>
      </c>
      <c r="G51" s="51">
        <f>SUM('2019-20'!F58,'2019-20'!N58)</f>
        <v>4699</v>
      </c>
      <c r="H51" s="55">
        <f t="shared" si="1"/>
        <v>-0.11473247927656371</v>
      </c>
      <c r="J51" s="51">
        <f>VLOOKUP(A51,'2019-20'!$A$9:$B$59,2,FALSE)</f>
        <v>4699</v>
      </c>
      <c r="K51" s="51">
        <f>VLOOKUP(A51,'2019-20'!$A$9:$F$59,6,FALSE)</f>
        <v>4699</v>
      </c>
      <c r="L51" s="86" t="str">
        <f t="shared" si="2"/>
        <v>-</v>
      </c>
      <c r="N51" s="51">
        <f ca="1">FIRE1201_raw!N58</f>
        <v>4699</v>
      </c>
      <c r="O51" s="51">
        <f ca="1">FIRE1201_raw!T58</f>
        <v>4699</v>
      </c>
      <c r="P51" s="51">
        <f ca="1">FIRE1201_raw!Z58</f>
        <v>0</v>
      </c>
      <c r="Q51" s="51">
        <f ca="1">FIRE1201_raw!AF58</f>
        <v>0</v>
      </c>
      <c r="R51" s="114" t="str">
        <f t="shared" ca="1" si="3"/>
        <v>-</v>
      </c>
    </row>
    <row r="52" spans="1:18" x14ac:dyDescent="0.3">
      <c r="A52" t="s">
        <v>46</v>
      </c>
      <c r="B52" s="51">
        <f>SUM('2018-19'!B59,'2018-19'!J59)</f>
        <v>16350</v>
      </c>
      <c r="C52" s="51">
        <f>SUM('2019-20'!B59,'2019-20'!J59)</f>
        <v>15528</v>
      </c>
      <c r="D52" s="55">
        <f t="shared" si="4"/>
        <v>-5.0275229357798157E-2</v>
      </c>
      <c r="F52" s="51">
        <f>SUM('2018-19'!F59,'2018-19'!N59)</f>
        <v>16350</v>
      </c>
      <c r="G52" s="51">
        <f>SUM('2019-20'!F59,'2019-20'!N59)</f>
        <v>15528</v>
      </c>
      <c r="H52" s="55">
        <f t="shared" si="1"/>
        <v>-5.0275229357798157E-2</v>
      </c>
      <c r="J52" s="51">
        <f>VLOOKUP(A52,'2019-20'!$A$9:$B$59,2,FALSE)</f>
        <v>15528</v>
      </c>
      <c r="K52" s="51">
        <f>VLOOKUP(A52,'2019-20'!$A$9:$F$59,6,FALSE)</f>
        <v>15528</v>
      </c>
      <c r="L52" s="86" t="str">
        <f t="shared" si="2"/>
        <v>-</v>
      </c>
      <c r="N52" s="51">
        <f ca="1">FIRE1201_raw!N59</f>
        <v>15528</v>
      </c>
      <c r="O52" s="51">
        <f ca="1">FIRE1201_raw!T59</f>
        <v>15528</v>
      </c>
      <c r="P52" s="51">
        <f ca="1">FIRE1201_raw!Z59</f>
        <v>0</v>
      </c>
      <c r="Q52" s="51">
        <f ca="1">FIRE1201_raw!AF59</f>
        <v>0</v>
      </c>
      <c r="R52" s="114" t="str">
        <f t="shared" ca="1" si="3"/>
        <v>-</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BF486-DFC9-4344-804A-4541A2A39C54}">
  <sheetPr codeName="Sheet2"/>
  <dimension ref="A1:L56"/>
  <sheetViews>
    <sheetView workbookViewId="0">
      <selection sqref="A1:J1"/>
    </sheetView>
  </sheetViews>
  <sheetFormatPr defaultColWidth="8.77734375" defaultRowHeight="10.199999999999999" x14ac:dyDescent="0.2"/>
  <cols>
    <col min="1" max="1" width="21" style="104" bestFit="1" customWidth="1"/>
    <col min="2" max="2" width="4.44140625" style="104" customWidth="1"/>
    <col min="3" max="10" width="8.77734375" style="104"/>
    <col min="11" max="11" width="18.44140625" style="104" bestFit="1" customWidth="1"/>
    <col min="12" max="12" width="15.77734375" style="104" bestFit="1" customWidth="1"/>
    <col min="13" max="16384" width="8.77734375" style="104"/>
  </cols>
  <sheetData>
    <row r="1" spans="1:12" ht="41.55" customHeight="1" x14ac:dyDescent="0.2">
      <c r="A1" s="178"/>
      <c r="B1" s="178"/>
      <c r="C1" s="178"/>
      <c r="D1" s="178"/>
      <c r="E1" s="178"/>
      <c r="F1" s="178"/>
      <c r="G1" s="178"/>
      <c r="H1" s="178"/>
      <c r="I1" s="178"/>
      <c r="J1" s="178"/>
    </row>
    <row r="2" spans="1:12" ht="36.6" customHeight="1" x14ac:dyDescent="0.2">
      <c r="A2" s="179"/>
      <c r="B2" s="112"/>
      <c r="C2" s="181" t="s">
        <v>58</v>
      </c>
      <c r="D2" s="182"/>
      <c r="E2" s="183" t="s">
        <v>63</v>
      </c>
      <c r="F2" s="183"/>
      <c r="G2" s="183" t="s">
        <v>64</v>
      </c>
      <c r="H2" s="183"/>
      <c r="I2" s="181" t="s">
        <v>59</v>
      </c>
      <c r="J2" s="182"/>
    </row>
    <row r="3" spans="1:12" ht="27.6" customHeight="1" x14ac:dyDescent="0.2">
      <c r="A3" s="180"/>
      <c r="B3" s="113"/>
      <c r="C3" s="105" t="s">
        <v>60</v>
      </c>
      <c r="D3" s="106" t="s">
        <v>61</v>
      </c>
      <c r="E3" s="105" t="s">
        <v>60</v>
      </c>
      <c r="F3" s="106" t="s">
        <v>61</v>
      </c>
      <c r="G3" s="105" t="s">
        <v>60</v>
      </c>
      <c r="H3" s="106" t="s">
        <v>61</v>
      </c>
      <c r="I3" s="105" t="s">
        <v>60</v>
      </c>
      <c r="J3" s="106" t="s">
        <v>61</v>
      </c>
    </row>
    <row r="6" spans="1:12" x14ac:dyDescent="0.2">
      <c r="A6" s="107" t="s">
        <v>0</v>
      </c>
      <c r="B6" s="107"/>
      <c r="C6" s="109">
        <f>SUM(C12:C56)</f>
        <v>713796</v>
      </c>
      <c r="D6" s="109">
        <f t="shared" ref="D6:J6" si="0">SUM(D12:D56)</f>
        <v>951690.58333333349</v>
      </c>
      <c r="E6" s="109">
        <f t="shared" si="0"/>
        <v>272454</v>
      </c>
      <c r="F6" s="109">
        <f t="shared" si="0"/>
        <v>346644.66000000003</v>
      </c>
      <c r="G6" s="109">
        <f t="shared" si="0"/>
        <v>118201</v>
      </c>
      <c r="H6" s="109">
        <f t="shared" si="0"/>
        <v>145411</v>
      </c>
      <c r="I6" s="109">
        <f t="shared" si="0"/>
        <v>56113</v>
      </c>
      <c r="J6" s="109">
        <f t="shared" si="0"/>
        <v>44367.889999999992</v>
      </c>
    </row>
    <row r="7" spans="1:12" x14ac:dyDescent="0.2">
      <c r="A7" s="107" t="s">
        <v>77</v>
      </c>
      <c r="B7" s="107"/>
      <c r="C7" s="109">
        <f t="shared" ref="C7:J8" si="1">SUMIF($L$12:$L$56,$A7,C$12:C$56)</f>
        <v>343110</v>
      </c>
      <c r="D7" s="109">
        <f t="shared" si="1"/>
        <v>425790.90333333344</v>
      </c>
      <c r="E7" s="109">
        <f t="shared" si="1"/>
        <v>139732</v>
      </c>
      <c r="F7" s="109">
        <f t="shared" si="1"/>
        <v>156991.97000000003</v>
      </c>
      <c r="G7" s="109">
        <f t="shared" si="1"/>
        <v>75726</v>
      </c>
      <c r="H7" s="109">
        <f t="shared" si="1"/>
        <v>82837</v>
      </c>
      <c r="I7" s="109">
        <f t="shared" si="1"/>
        <v>16511</v>
      </c>
      <c r="J7" s="109">
        <f t="shared" si="1"/>
        <v>15001.889999999992</v>
      </c>
    </row>
    <row r="8" spans="1:12" x14ac:dyDescent="0.2">
      <c r="A8" s="107" t="s">
        <v>49</v>
      </c>
      <c r="B8" s="107"/>
      <c r="C8" s="109">
        <f t="shared" si="1"/>
        <v>370686</v>
      </c>
      <c r="D8" s="109">
        <f t="shared" si="1"/>
        <v>525899.67999999993</v>
      </c>
      <c r="E8" s="109">
        <f t="shared" si="1"/>
        <v>132722</v>
      </c>
      <c r="F8" s="109">
        <f t="shared" si="1"/>
        <v>189652.69</v>
      </c>
      <c r="G8" s="109">
        <f t="shared" si="1"/>
        <v>42475</v>
      </c>
      <c r="H8" s="109">
        <f t="shared" si="1"/>
        <v>62574</v>
      </c>
      <c r="I8" s="109">
        <f t="shared" si="1"/>
        <v>39602</v>
      </c>
      <c r="J8" s="109">
        <f t="shared" si="1"/>
        <v>29366</v>
      </c>
    </row>
    <row r="9" spans="1:12" x14ac:dyDescent="0.2">
      <c r="A9" s="107" t="s">
        <v>114</v>
      </c>
      <c r="B9" s="107"/>
      <c r="C9" s="109">
        <f t="shared" ref="C9:J11" si="2">SUMIF($K$12:$K$56,$A9,C$12:C$56)</f>
        <v>477890</v>
      </c>
      <c r="D9" s="109">
        <f t="shared" si="2"/>
        <v>663024.90333333344</v>
      </c>
      <c r="E9" s="109">
        <f t="shared" si="2"/>
        <v>174654</v>
      </c>
      <c r="F9" s="109">
        <f t="shared" si="2"/>
        <v>237035.19</v>
      </c>
      <c r="G9" s="109">
        <f t="shared" si="2"/>
        <v>71976</v>
      </c>
      <c r="H9" s="109">
        <f t="shared" si="2"/>
        <v>94550</v>
      </c>
      <c r="I9" s="109">
        <f t="shared" si="2"/>
        <v>42961</v>
      </c>
      <c r="J9" s="109">
        <f t="shared" si="2"/>
        <v>32065.889999999992</v>
      </c>
    </row>
    <row r="10" spans="1:12" x14ac:dyDescent="0.2">
      <c r="A10" s="107" t="s">
        <v>115</v>
      </c>
      <c r="B10" s="107"/>
      <c r="C10" s="109">
        <f t="shared" si="2"/>
        <v>168320</v>
      </c>
      <c r="D10" s="109">
        <f t="shared" si="2"/>
        <v>203231.2</v>
      </c>
      <c r="E10" s="109">
        <f t="shared" si="2"/>
        <v>79313</v>
      </c>
      <c r="F10" s="109">
        <f t="shared" si="2"/>
        <v>88589.76999999999</v>
      </c>
      <c r="G10" s="109">
        <f t="shared" si="2"/>
        <v>37287</v>
      </c>
      <c r="H10" s="109">
        <f t="shared" si="2"/>
        <v>41114</v>
      </c>
      <c r="I10" s="109">
        <f t="shared" si="2"/>
        <v>10787</v>
      </c>
      <c r="J10" s="109">
        <f t="shared" si="2"/>
        <v>11458.25</v>
      </c>
    </row>
    <row r="11" spans="1:12" x14ac:dyDescent="0.2">
      <c r="A11" s="107" t="s">
        <v>116</v>
      </c>
      <c r="B11" s="107"/>
      <c r="C11" s="109">
        <f t="shared" si="2"/>
        <v>67586</v>
      </c>
      <c r="D11" s="109">
        <f t="shared" si="2"/>
        <v>85434.48</v>
      </c>
      <c r="E11" s="109">
        <f t="shared" si="2"/>
        <v>18487</v>
      </c>
      <c r="F11" s="109">
        <f t="shared" si="2"/>
        <v>21019.7</v>
      </c>
      <c r="G11" s="109">
        <f t="shared" si="2"/>
        <v>8938</v>
      </c>
      <c r="H11" s="109">
        <f t="shared" si="2"/>
        <v>9747</v>
      </c>
      <c r="I11" s="109">
        <f t="shared" si="2"/>
        <v>2365</v>
      </c>
      <c r="J11" s="109">
        <f t="shared" si="2"/>
        <v>843.75</v>
      </c>
    </row>
    <row r="12" spans="1:12" x14ac:dyDescent="0.2">
      <c r="A12" s="104" t="s">
        <v>3</v>
      </c>
      <c r="C12" s="110">
        <v>10044</v>
      </c>
      <c r="D12" s="110">
        <v>6541</v>
      </c>
      <c r="E12" s="110">
        <v>3676</v>
      </c>
      <c r="F12" s="110">
        <v>2999</v>
      </c>
      <c r="G12" s="110">
        <v>2122</v>
      </c>
      <c r="H12" s="110">
        <v>1931</v>
      </c>
      <c r="I12" s="110">
        <v>163</v>
      </c>
      <c r="J12" s="110" t="s">
        <v>65</v>
      </c>
      <c r="K12" s="108" t="str">
        <f>VLOOKUP(A12,'FRS geographical categories'!A:C,2,FALSE)</f>
        <v>Predominantly Urban</v>
      </c>
      <c r="L12" s="108" t="str">
        <f>VLOOKUP(A12,'FRS geographical categories'!A:C,3,FALSE)</f>
        <v>Non-metropolitan</v>
      </c>
    </row>
    <row r="13" spans="1:12" x14ac:dyDescent="0.2">
      <c r="A13" s="104" t="s">
        <v>4</v>
      </c>
      <c r="C13" s="110">
        <v>4631</v>
      </c>
      <c r="D13" s="110">
        <v>3548</v>
      </c>
      <c r="E13" s="110">
        <v>597</v>
      </c>
      <c r="F13" s="110">
        <v>438</v>
      </c>
      <c r="G13" s="110" t="s">
        <v>65</v>
      </c>
      <c r="H13" s="110" t="s">
        <v>65</v>
      </c>
      <c r="I13" s="110">
        <v>324</v>
      </c>
      <c r="J13" s="110" t="s">
        <v>65</v>
      </c>
      <c r="K13" s="108" t="str">
        <f>VLOOKUP(A13,'FRS geographical categories'!A:C,2,FALSE)</f>
        <v>Significantly Rural</v>
      </c>
      <c r="L13" s="108" t="str">
        <f>VLOOKUP(A13,'FRS geographical categories'!A:C,3,FALSE)</f>
        <v>Non-metropolitan</v>
      </c>
    </row>
    <row r="14" spans="1:12" x14ac:dyDescent="0.2">
      <c r="A14" s="104" t="s">
        <v>5</v>
      </c>
      <c r="C14" s="110">
        <v>6452</v>
      </c>
      <c r="D14" s="110">
        <v>12908</v>
      </c>
      <c r="E14" s="110">
        <v>1616</v>
      </c>
      <c r="F14" s="110">
        <v>2502</v>
      </c>
      <c r="G14" s="110">
        <v>1236</v>
      </c>
      <c r="H14" s="110">
        <v>3774</v>
      </c>
      <c r="I14" s="110">
        <v>0</v>
      </c>
      <c r="J14" s="110">
        <v>0</v>
      </c>
      <c r="K14" s="108" t="str">
        <f>VLOOKUP(A14,'FRS geographical categories'!A:C,2,FALSE)</f>
        <v>Predominantly Urban</v>
      </c>
      <c r="L14" s="108" t="str">
        <f>VLOOKUP(A14,'FRS geographical categories'!A:C,3,FALSE)</f>
        <v>Non-metropolitan</v>
      </c>
    </row>
    <row r="15" spans="1:12" x14ac:dyDescent="0.2">
      <c r="A15" s="104" t="s">
        <v>6</v>
      </c>
      <c r="C15" s="110">
        <v>9977</v>
      </c>
      <c r="D15" s="110">
        <v>34754</v>
      </c>
      <c r="E15" s="110">
        <v>5012</v>
      </c>
      <c r="F15" s="110">
        <v>4177</v>
      </c>
      <c r="G15" s="110">
        <v>1378</v>
      </c>
      <c r="H15" s="110">
        <v>1148</v>
      </c>
      <c r="I15" s="110" t="s">
        <v>65</v>
      </c>
      <c r="J15" s="110" t="s">
        <v>65</v>
      </c>
      <c r="K15" s="108" t="str">
        <f>VLOOKUP(A15,'FRS geographical categories'!A:C,2,FALSE)</f>
        <v>Significantly Rural</v>
      </c>
      <c r="L15" s="108" t="str">
        <f>VLOOKUP(A15,'FRS geographical categories'!A:C,3,FALSE)</f>
        <v>Non-metropolitan</v>
      </c>
    </row>
    <row r="16" spans="1:12" x14ac:dyDescent="0.2">
      <c r="A16" s="104" t="s">
        <v>7</v>
      </c>
      <c r="C16" s="110">
        <v>9813</v>
      </c>
      <c r="D16" s="110">
        <v>6232</v>
      </c>
      <c r="E16" s="110">
        <v>1938</v>
      </c>
      <c r="F16" s="110">
        <v>1677</v>
      </c>
      <c r="G16" s="110">
        <v>890</v>
      </c>
      <c r="H16" s="110">
        <v>905.75</v>
      </c>
      <c r="I16" s="110">
        <v>127</v>
      </c>
      <c r="J16" s="110">
        <v>34.75</v>
      </c>
      <c r="K16" s="108" t="str">
        <f>VLOOKUP(A16,'FRS geographical categories'!A:C,2,FALSE)</f>
        <v>Predominantly Rural</v>
      </c>
      <c r="L16" s="108" t="str">
        <f>VLOOKUP(A16,'FRS geographical categories'!A:C,3,FALSE)</f>
        <v>Non-metropolitan</v>
      </c>
    </row>
    <row r="17" spans="1:12" x14ac:dyDescent="0.2">
      <c r="A17" s="104" t="s">
        <v>8</v>
      </c>
      <c r="C17" s="110">
        <v>27017</v>
      </c>
      <c r="D17" s="110">
        <v>14531</v>
      </c>
      <c r="E17" s="110">
        <v>21607</v>
      </c>
      <c r="F17" s="110">
        <v>9775</v>
      </c>
      <c r="G17" s="110">
        <v>7119</v>
      </c>
      <c r="H17" s="110">
        <v>4756</v>
      </c>
      <c r="I17" s="110">
        <v>8</v>
      </c>
      <c r="J17" s="110">
        <v>4</v>
      </c>
      <c r="K17" s="108" t="str">
        <f>VLOOKUP(A17,'FRS geographical categories'!A:C,2,FALSE)</f>
        <v>Significantly Rural</v>
      </c>
      <c r="L17" s="108" t="str">
        <f>VLOOKUP(A17,'FRS geographical categories'!A:C,3,FALSE)</f>
        <v>Non-metropolitan</v>
      </c>
    </row>
    <row r="18" spans="1:12" x14ac:dyDescent="0.2">
      <c r="A18" s="104" t="s">
        <v>9</v>
      </c>
      <c r="C18" s="110">
        <v>19025</v>
      </c>
      <c r="D18" s="110">
        <v>9513</v>
      </c>
      <c r="E18" s="110">
        <v>5007</v>
      </c>
      <c r="F18" s="110">
        <v>2504</v>
      </c>
      <c r="G18" s="110">
        <v>1895</v>
      </c>
      <c r="H18" s="110">
        <v>948</v>
      </c>
      <c r="I18" s="110">
        <v>824</v>
      </c>
      <c r="J18" s="110">
        <v>412</v>
      </c>
      <c r="K18" s="108" t="str">
        <f>VLOOKUP(A18,'FRS geographical categories'!A:C,2,FALSE)</f>
        <v>Predominantly Urban</v>
      </c>
      <c r="L18" s="108" t="str">
        <f>VLOOKUP(A18,'FRS geographical categories'!A:C,3,FALSE)</f>
        <v>Non-metropolitan</v>
      </c>
    </row>
    <row r="19" spans="1:12" x14ac:dyDescent="0.2">
      <c r="A19" s="104" t="s">
        <v>10</v>
      </c>
      <c r="C19" s="110">
        <v>3506</v>
      </c>
      <c r="D19" s="110">
        <v>2235</v>
      </c>
      <c r="E19" s="110" t="s">
        <v>65</v>
      </c>
      <c r="F19" s="110" t="s">
        <v>65</v>
      </c>
      <c r="G19" s="110" t="s">
        <v>65</v>
      </c>
      <c r="H19" s="110" t="s">
        <v>65</v>
      </c>
      <c r="I19" s="110">
        <v>587</v>
      </c>
      <c r="J19" s="110">
        <v>310</v>
      </c>
      <c r="K19" s="108" t="str">
        <f>VLOOKUP(A19,'FRS geographical categories'!A:C,2,FALSE)</f>
        <v>Predominantly Rural</v>
      </c>
      <c r="L19" s="108" t="str">
        <f>VLOOKUP(A19,'FRS geographical categories'!A:C,3,FALSE)</f>
        <v>Non-metropolitan</v>
      </c>
    </row>
    <row r="20" spans="1:12" x14ac:dyDescent="0.2">
      <c r="A20" s="104" t="s">
        <v>11</v>
      </c>
      <c r="C20" s="110">
        <v>10041</v>
      </c>
      <c r="D20" s="110">
        <v>16844</v>
      </c>
      <c r="E20" s="110">
        <v>2600</v>
      </c>
      <c r="F20" s="110">
        <v>2255</v>
      </c>
      <c r="G20" s="110">
        <v>1341</v>
      </c>
      <c r="H20" s="110">
        <v>1291</v>
      </c>
      <c r="I20" s="110">
        <v>598</v>
      </c>
      <c r="J20" s="110">
        <v>244</v>
      </c>
      <c r="K20" s="108" t="str">
        <f>VLOOKUP(A20,'FRS geographical categories'!A:C,2,FALSE)</f>
        <v>Predominantly Rural</v>
      </c>
      <c r="L20" s="108" t="str">
        <f>VLOOKUP(A20,'FRS geographical categories'!A:C,3,FALSE)</f>
        <v>Non-metropolitan</v>
      </c>
    </row>
    <row r="21" spans="1:12" x14ac:dyDescent="0.2">
      <c r="A21" s="81" t="s">
        <v>12</v>
      </c>
      <c r="B21" s="81"/>
      <c r="C21" s="110">
        <v>5929</v>
      </c>
      <c r="D21" s="110">
        <v>10296</v>
      </c>
      <c r="E21" s="110">
        <v>2820</v>
      </c>
      <c r="F21" s="110">
        <v>4595</v>
      </c>
      <c r="G21" s="110">
        <v>944</v>
      </c>
      <c r="H21" s="110">
        <v>1707</v>
      </c>
      <c r="I21" s="110">
        <v>6204</v>
      </c>
      <c r="J21" s="110">
        <v>7911</v>
      </c>
      <c r="K21" s="108" t="str">
        <f>VLOOKUP(A21,'FRS geographical categories'!A:C,2,FALSE)</f>
        <v>Significantly Rural</v>
      </c>
      <c r="L21" s="108" t="str">
        <f>VLOOKUP(A21,'FRS geographical categories'!A:C,3,FALSE)</f>
        <v>Non-metropolitan</v>
      </c>
    </row>
    <row r="22" spans="1:12" x14ac:dyDescent="0.2">
      <c r="A22" s="81" t="s">
        <v>13</v>
      </c>
      <c r="B22" s="81"/>
      <c r="C22" s="110">
        <v>2923</v>
      </c>
      <c r="D22" s="110">
        <v>4325</v>
      </c>
      <c r="E22" s="110">
        <v>1495</v>
      </c>
      <c r="F22" s="110">
        <v>737</v>
      </c>
      <c r="G22" s="110">
        <v>1425</v>
      </c>
      <c r="H22" s="110">
        <v>861</v>
      </c>
      <c r="I22" s="110">
        <v>0</v>
      </c>
      <c r="J22" s="110">
        <v>0</v>
      </c>
      <c r="K22" s="108" t="str">
        <f>VLOOKUP(A22,'FRS geographical categories'!A:C,2,FALSE)</f>
        <v>Predominantly Rural</v>
      </c>
      <c r="L22" s="108" t="str">
        <f>VLOOKUP(A22,'FRS geographical categories'!A:C,3,FALSE)</f>
        <v>Non-metropolitan</v>
      </c>
    </row>
    <row r="23" spans="1:12" x14ac:dyDescent="0.2">
      <c r="A23" s="81" t="s">
        <v>74</v>
      </c>
      <c r="B23" s="81"/>
      <c r="C23" s="110">
        <v>13408</v>
      </c>
      <c r="D23" s="110">
        <v>18546</v>
      </c>
      <c r="E23" s="110">
        <v>8343</v>
      </c>
      <c r="F23" s="110">
        <v>11688</v>
      </c>
      <c r="G23" s="110">
        <v>2890</v>
      </c>
      <c r="H23" s="110">
        <v>4217</v>
      </c>
      <c r="I23" s="110">
        <v>902</v>
      </c>
      <c r="J23" s="110">
        <v>457</v>
      </c>
      <c r="K23" s="108" t="str">
        <f>VLOOKUP(A23,'FRS geographical categories'!A:C,2,FALSE)</f>
        <v>Significantly Rural</v>
      </c>
      <c r="L23" s="108" t="str">
        <f>VLOOKUP(A23,'FRS geographical categories'!A:C,3,FALSE)</f>
        <v>Non-metropolitan</v>
      </c>
    </row>
    <row r="24" spans="1:12" x14ac:dyDescent="0.2">
      <c r="A24" s="104" t="s">
        <v>14</v>
      </c>
      <c r="C24" s="110">
        <v>9842</v>
      </c>
      <c r="D24" s="110">
        <v>7848</v>
      </c>
      <c r="E24" s="110">
        <v>3072</v>
      </c>
      <c r="F24" s="110">
        <v>2304</v>
      </c>
      <c r="G24" s="110">
        <v>201</v>
      </c>
      <c r="H24" s="110">
        <v>151</v>
      </c>
      <c r="I24" s="110">
        <v>0</v>
      </c>
      <c r="J24" s="110">
        <v>0</v>
      </c>
      <c r="K24" s="108" t="str">
        <f>VLOOKUP(A24,'FRS geographical categories'!A:C,2,FALSE)</f>
        <v>Predominantly Rural</v>
      </c>
      <c r="L24" s="108" t="str">
        <f>VLOOKUP(A24,'FRS geographical categories'!A:C,3,FALSE)</f>
        <v>Non-metropolitan</v>
      </c>
    </row>
    <row r="25" spans="1:12" x14ac:dyDescent="0.2">
      <c r="A25" s="104" t="s">
        <v>15</v>
      </c>
      <c r="C25" s="110">
        <v>9644</v>
      </c>
      <c r="D25" s="110">
        <v>18556.75</v>
      </c>
      <c r="E25" s="110">
        <v>5312</v>
      </c>
      <c r="F25" s="110">
        <v>9479.25</v>
      </c>
      <c r="G25" s="110">
        <v>636</v>
      </c>
      <c r="H25" s="110">
        <v>1186.5</v>
      </c>
      <c r="I25" s="110" t="s">
        <v>65</v>
      </c>
      <c r="J25" s="110" t="s">
        <v>65</v>
      </c>
      <c r="K25" s="108" t="str">
        <f>VLOOKUP(A25,'FRS geographical categories'!A:C,2,FALSE)</f>
        <v>Significantly Rural</v>
      </c>
      <c r="L25" s="108" t="str">
        <f>VLOOKUP(A25,'FRS geographical categories'!A:C,3,FALSE)</f>
        <v>Non-metropolitan</v>
      </c>
    </row>
    <row r="26" spans="1:12" x14ac:dyDescent="0.2">
      <c r="A26" s="104" t="s">
        <v>16</v>
      </c>
      <c r="C26" s="110">
        <v>4993</v>
      </c>
      <c r="D26" s="110">
        <v>7331</v>
      </c>
      <c r="E26" s="110">
        <v>2784</v>
      </c>
      <c r="F26" s="110">
        <v>4070</v>
      </c>
      <c r="G26" s="110">
        <v>821</v>
      </c>
      <c r="H26" s="110">
        <v>1193</v>
      </c>
      <c r="I26" s="110">
        <v>524</v>
      </c>
      <c r="J26" s="110">
        <v>129</v>
      </c>
      <c r="K26" s="108" t="str">
        <f>VLOOKUP(A26,'FRS geographical categories'!A:C,2,FALSE)</f>
        <v>Significantly Rural</v>
      </c>
      <c r="L26" s="108" t="str">
        <f>VLOOKUP(A26,'FRS geographical categories'!A:C,3,FALSE)</f>
        <v>Non-metropolitan</v>
      </c>
    </row>
    <row r="27" spans="1:12" x14ac:dyDescent="0.2">
      <c r="A27" s="104" t="s">
        <v>17</v>
      </c>
      <c r="C27" s="110">
        <v>2912</v>
      </c>
      <c r="D27" s="110">
        <v>3430.95</v>
      </c>
      <c r="E27" s="110">
        <v>1566</v>
      </c>
      <c r="F27" s="110">
        <v>2056</v>
      </c>
      <c r="G27" s="110">
        <v>779</v>
      </c>
      <c r="H27" s="110">
        <v>1104.75</v>
      </c>
      <c r="I27" s="110">
        <v>0</v>
      </c>
      <c r="J27" s="110">
        <v>0</v>
      </c>
      <c r="K27" s="108" t="str">
        <f>VLOOKUP(A27,'FRS geographical categories'!A:C,2,FALSE)</f>
        <v>Significantly Rural</v>
      </c>
      <c r="L27" s="108" t="str">
        <f>VLOOKUP(A27,'FRS geographical categories'!A:C,3,FALSE)</f>
        <v>Non-metropolitan</v>
      </c>
    </row>
    <row r="28" spans="1:12" x14ac:dyDescent="0.2">
      <c r="A28" s="104" t="s">
        <v>18</v>
      </c>
      <c r="C28" s="110">
        <v>77378</v>
      </c>
      <c r="D28" s="110">
        <v>76611</v>
      </c>
      <c r="E28" s="110">
        <v>30242</v>
      </c>
      <c r="F28" s="110">
        <v>29936</v>
      </c>
      <c r="G28" s="110">
        <v>14904</v>
      </c>
      <c r="H28" s="110">
        <v>14703</v>
      </c>
      <c r="I28" s="110">
        <v>1581</v>
      </c>
      <c r="J28" s="110" t="s">
        <v>65</v>
      </c>
      <c r="K28" s="108" t="str">
        <f>VLOOKUP(A28,'FRS geographical categories'!A:C,2,FALSE)</f>
        <v>Predominantly Urban</v>
      </c>
      <c r="L28" s="108" t="str">
        <f>VLOOKUP(A28,'FRS geographical categories'!A:C,3,FALSE)</f>
        <v>Metropolitan</v>
      </c>
    </row>
    <row r="29" spans="1:12" x14ac:dyDescent="0.2">
      <c r="A29" s="104" t="s">
        <v>19</v>
      </c>
      <c r="C29" s="110">
        <v>67091</v>
      </c>
      <c r="D29" s="110">
        <v>104627.68</v>
      </c>
      <c r="E29" s="110">
        <v>18052</v>
      </c>
      <c r="F29" s="110">
        <v>28230.69</v>
      </c>
      <c r="G29" s="110" t="s">
        <v>65</v>
      </c>
      <c r="H29" s="110" t="s">
        <v>65</v>
      </c>
      <c r="I29" s="110">
        <v>2468</v>
      </c>
      <c r="J29" s="110">
        <v>2376</v>
      </c>
      <c r="K29" s="108" t="str">
        <f>VLOOKUP(A29,'FRS geographical categories'!A:C,2,FALSE)</f>
        <v>Predominantly Urban</v>
      </c>
      <c r="L29" s="108" t="str">
        <f>VLOOKUP(A29,'FRS geographical categories'!A:C,3,FALSE)</f>
        <v>Metropolitan</v>
      </c>
    </row>
    <row r="30" spans="1:12" x14ac:dyDescent="0.2">
      <c r="A30" s="104" t="s">
        <v>20</v>
      </c>
      <c r="C30" s="110">
        <v>10342</v>
      </c>
      <c r="D30" s="110">
        <v>21068</v>
      </c>
      <c r="E30" s="110">
        <v>6054</v>
      </c>
      <c r="F30" s="110">
        <v>11644.5</v>
      </c>
      <c r="G30" s="110" t="s">
        <v>65</v>
      </c>
      <c r="H30" s="110" t="s">
        <v>65</v>
      </c>
      <c r="I30" s="110">
        <v>617</v>
      </c>
      <c r="J30" s="110">
        <v>709</v>
      </c>
      <c r="K30" s="108" t="str">
        <f>VLOOKUP(A30,'FRS geographical categories'!A:C,2,FALSE)</f>
        <v>Predominantly Urban</v>
      </c>
      <c r="L30" s="108" t="str">
        <f>VLOOKUP(A30,'FRS geographical categories'!A:C,3,FALSE)</f>
        <v>Non-metropolitan</v>
      </c>
    </row>
    <row r="31" spans="1:12" x14ac:dyDescent="0.2">
      <c r="A31" s="104" t="s">
        <v>21</v>
      </c>
      <c r="C31" s="110">
        <v>5363</v>
      </c>
      <c r="D31" s="110">
        <v>5875</v>
      </c>
      <c r="E31" s="110">
        <v>788</v>
      </c>
      <c r="F31" s="110">
        <v>2319</v>
      </c>
      <c r="G31" s="110" t="s">
        <v>65</v>
      </c>
      <c r="H31" s="110" t="s">
        <v>65</v>
      </c>
      <c r="I31" s="110">
        <v>0</v>
      </c>
      <c r="J31" s="110">
        <v>0</v>
      </c>
      <c r="K31" s="108" t="str">
        <f>VLOOKUP(A31,'FRS geographical categories'!A:C,2,FALSE)</f>
        <v>Significantly Rural</v>
      </c>
      <c r="L31" s="108" t="str">
        <f>VLOOKUP(A31,'FRS geographical categories'!A:C,3,FALSE)</f>
        <v>Non-metropolitan</v>
      </c>
    </row>
    <row r="32" spans="1:12" x14ac:dyDescent="0.2">
      <c r="A32" s="104" t="s">
        <v>22</v>
      </c>
      <c r="C32" s="110">
        <v>6417</v>
      </c>
      <c r="D32" s="110">
        <v>25428.22333333343</v>
      </c>
      <c r="E32" s="110">
        <v>1411</v>
      </c>
      <c r="F32" s="110">
        <v>589</v>
      </c>
      <c r="G32" s="110">
        <v>521</v>
      </c>
      <c r="H32" s="110">
        <v>280</v>
      </c>
      <c r="I32" s="110">
        <v>1000</v>
      </c>
      <c r="J32" s="110">
        <v>1017.8899999999928</v>
      </c>
      <c r="K32" s="108" t="str">
        <f>VLOOKUP(A32,'FRS geographical categories'!A:C,2,FALSE)</f>
        <v>Predominantly Urban</v>
      </c>
      <c r="L32" s="108" t="str">
        <f>VLOOKUP(A32,'FRS geographical categories'!A:C,3,FALSE)</f>
        <v>Non-metropolitan</v>
      </c>
    </row>
    <row r="33" spans="1:12" x14ac:dyDescent="0.2">
      <c r="A33" s="104" t="s">
        <v>23</v>
      </c>
      <c r="C33" s="110">
        <v>14524</v>
      </c>
      <c r="D33" s="110">
        <v>24289</v>
      </c>
      <c r="E33" s="110">
        <v>3989</v>
      </c>
      <c r="F33" s="110">
        <v>6662</v>
      </c>
      <c r="G33" s="110">
        <v>2727</v>
      </c>
      <c r="H33" s="110">
        <v>4554</v>
      </c>
      <c r="I33" s="110">
        <v>1186</v>
      </c>
      <c r="J33" s="110">
        <v>952</v>
      </c>
      <c r="K33" s="108" t="str">
        <f>VLOOKUP(A33,'FRS geographical categories'!A:C,2,FALSE)</f>
        <v>Significantly Rural</v>
      </c>
      <c r="L33" s="108" t="str">
        <f>VLOOKUP(A33,'FRS geographical categories'!A:C,3,FALSE)</f>
        <v>Non-metropolitan</v>
      </c>
    </row>
    <row r="34" spans="1:12" x14ac:dyDescent="0.2">
      <c r="A34" s="104" t="s">
        <v>48</v>
      </c>
      <c r="C34" s="110">
        <v>337</v>
      </c>
      <c r="D34" s="110">
        <v>135.25</v>
      </c>
      <c r="E34" s="110">
        <v>137</v>
      </c>
      <c r="F34" s="110">
        <v>56.5</v>
      </c>
      <c r="G34" s="110">
        <v>15</v>
      </c>
      <c r="H34" s="110">
        <v>6.75</v>
      </c>
      <c r="I34" s="110">
        <v>39</v>
      </c>
      <c r="J34" s="110">
        <v>22</v>
      </c>
      <c r="K34" s="108" t="str">
        <f>VLOOKUP(A34,'FRS geographical categories'!A:C,2,FALSE)</f>
        <v>Predominantly Rural</v>
      </c>
      <c r="L34" s="108" t="str">
        <f>VLOOKUP(A34,'FRS geographical categories'!A:C,3,FALSE)</f>
        <v>Non-metropolitan</v>
      </c>
    </row>
    <row r="35" spans="1:12" x14ac:dyDescent="0.2">
      <c r="A35" s="104" t="s">
        <v>25</v>
      </c>
      <c r="C35" s="110">
        <v>75</v>
      </c>
      <c r="D35" s="110">
        <v>48</v>
      </c>
      <c r="E35" s="110">
        <v>0</v>
      </c>
      <c r="F35" s="110">
        <v>0</v>
      </c>
      <c r="G35" s="110">
        <v>0</v>
      </c>
      <c r="H35" s="110">
        <v>0</v>
      </c>
      <c r="I35" s="110">
        <v>0</v>
      </c>
      <c r="J35" s="110">
        <v>0</v>
      </c>
      <c r="K35" s="108" t="str">
        <f>VLOOKUP(A35,'FRS geographical categories'!A:C,2,FALSE)</f>
        <v>Predominantly Rural</v>
      </c>
      <c r="L35" s="108" t="str">
        <f>VLOOKUP(A35,'FRS geographical categories'!A:C,3,FALSE)</f>
        <v>Non-metropolitan</v>
      </c>
    </row>
    <row r="36" spans="1:12" x14ac:dyDescent="0.2">
      <c r="A36" s="104" t="s">
        <v>26</v>
      </c>
      <c r="C36" s="110">
        <v>10038</v>
      </c>
      <c r="D36" s="110">
        <v>8966</v>
      </c>
      <c r="E36" s="110">
        <v>1627</v>
      </c>
      <c r="F36" s="110">
        <v>1469</v>
      </c>
      <c r="G36" s="110">
        <v>3511</v>
      </c>
      <c r="H36" s="110">
        <v>3244</v>
      </c>
      <c r="I36" s="110">
        <v>78</v>
      </c>
      <c r="J36" s="110" t="s">
        <v>65</v>
      </c>
      <c r="K36" s="108" t="str">
        <f>VLOOKUP(A36,'FRS geographical categories'!A:C,2,FALSE)</f>
        <v>Significantly Rural</v>
      </c>
      <c r="L36" s="108" t="str">
        <f>VLOOKUP(A36,'FRS geographical categories'!A:C,3,FALSE)</f>
        <v>Non-metropolitan</v>
      </c>
    </row>
    <row r="37" spans="1:12" x14ac:dyDescent="0.2">
      <c r="A37" s="104" t="s">
        <v>27</v>
      </c>
      <c r="C37" s="110">
        <v>46284</v>
      </c>
      <c r="D37" s="110">
        <v>48192</v>
      </c>
      <c r="E37" s="110">
        <v>19944</v>
      </c>
      <c r="F37" s="110">
        <v>20766</v>
      </c>
      <c r="G37" s="110">
        <v>22891</v>
      </c>
      <c r="H37" s="110">
        <v>23835</v>
      </c>
      <c r="I37" s="110">
        <v>400</v>
      </c>
      <c r="J37" s="110">
        <v>201</v>
      </c>
      <c r="K37" s="108" t="str">
        <f>VLOOKUP(A37,'FRS geographical categories'!A:C,2,FALSE)</f>
        <v>Predominantly Urban</v>
      </c>
      <c r="L37" s="108" t="str">
        <f>VLOOKUP(A37,'FRS geographical categories'!A:C,3,FALSE)</f>
        <v>Non-metropolitan</v>
      </c>
    </row>
    <row r="38" spans="1:12" x14ac:dyDescent="0.2">
      <c r="A38" s="104" t="s">
        <v>28</v>
      </c>
      <c r="C38" s="110">
        <v>3842</v>
      </c>
      <c r="D38" s="110">
        <v>6723.5</v>
      </c>
      <c r="E38" s="110">
        <v>1362</v>
      </c>
      <c r="F38" s="110">
        <v>2383.52</v>
      </c>
      <c r="G38" s="110">
        <v>685</v>
      </c>
      <c r="H38" s="110">
        <v>1198.75</v>
      </c>
      <c r="I38" s="110">
        <v>791</v>
      </c>
      <c r="J38" s="110">
        <v>1384.25</v>
      </c>
      <c r="K38" s="108" t="str">
        <f>VLOOKUP(A38,'FRS geographical categories'!A:C,2,FALSE)</f>
        <v>Significantly Rural</v>
      </c>
      <c r="L38" s="108" t="str">
        <f>VLOOKUP(A38,'FRS geographical categories'!A:C,3,FALSE)</f>
        <v>Non-metropolitan</v>
      </c>
    </row>
    <row r="39" spans="1:12" x14ac:dyDescent="0.2">
      <c r="A39" s="104" t="s">
        <v>29</v>
      </c>
      <c r="C39" s="110">
        <v>8837</v>
      </c>
      <c r="D39" s="110">
        <v>13255</v>
      </c>
      <c r="E39" s="110" t="s">
        <v>65</v>
      </c>
      <c r="F39" s="110" t="s">
        <v>65</v>
      </c>
      <c r="G39" s="110">
        <v>1500</v>
      </c>
      <c r="H39" s="110">
        <v>2250</v>
      </c>
      <c r="I39" s="110">
        <v>0</v>
      </c>
      <c r="J39" s="110">
        <v>0</v>
      </c>
      <c r="K39" s="108" t="str">
        <f>VLOOKUP(A39,'FRS geographical categories'!A:C,2,FALSE)</f>
        <v>Predominantly Rural</v>
      </c>
      <c r="L39" s="108" t="str">
        <f>VLOOKUP(A39,'FRS geographical categories'!A:C,3,FALSE)</f>
        <v>Non-metropolitan</v>
      </c>
    </row>
    <row r="40" spans="1:12" x14ac:dyDescent="0.2">
      <c r="A40" s="104" t="s">
        <v>30</v>
      </c>
      <c r="C40" s="110">
        <v>71972</v>
      </c>
      <c r="D40" s="110">
        <v>112276</v>
      </c>
      <c r="E40" s="110">
        <v>25862</v>
      </c>
      <c r="F40" s="110">
        <v>38793</v>
      </c>
      <c r="G40" s="110">
        <v>8224</v>
      </c>
      <c r="H40" s="110">
        <v>12336</v>
      </c>
      <c r="I40" s="110">
        <v>14976</v>
      </c>
      <c r="J40" s="110">
        <v>22456</v>
      </c>
      <c r="K40" s="108" t="str">
        <f>VLOOKUP(A40,'FRS geographical categories'!A:C,2,FALSE)</f>
        <v>Predominantly Urban</v>
      </c>
      <c r="L40" s="108" t="str">
        <f>VLOOKUP(A40,'FRS geographical categories'!A:C,3,FALSE)</f>
        <v>Metropolitan</v>
      </c>
    </row>
    <row r="41" spans="1:12" x14ac:dyDescent="0.2">
      <c r="A41" s="104" t="s">
        <v>31</v>
      </c>
      <c r="C41" s="110">
        <v>2430</v>
      </c>
      <c r="D41" s="110">
        <v>2566</v>
      </c>
      <c r="E41" s="110">
        <v>1797</v>
      </c>
      <c r="F41" s="110">
        <v>1951.5</v>
      </c>
      <c r="G41" s="110" t="s">
        <v>65</v>
      </c>
      <c r="H41" s="110" t="s">
        <v>65</v>
      </c>
      <c r="I41" s="110">
        <v>149</v>
      </c>
      <c r="J41" s="110">
        <v>156</v>
      </c>
      <c r="K41" s="108" t="str">
        <f>VLOOKUP(A41,'FRS geographical categories'!A:C,2,FALSE)</f>
        <v>Predominantly Rural</v>
      </c>
      <c r="L41" s="108" t="str">
        <f>VLOOKUP(A41,'FRS geographical categories'!A:C,3,FALSE)</f>
        <v>Non-metropolitan</v>
      </c>
    </row>
    <row r="42" spans="1:12" x14ac:dyDescent="0.2">
      <c r="A42" s="104" t="s">
        <v>32</v>
      </c>
      <c r="C42" s="110">
        <v>3314</v>
      </c>
      <c r="D42" s="110">
        <v>4811</v>
      </c>
      <c r="E42" s="110">
        <v>1704</v>
      </c>
      <c r="F42" s="110">
        <v>2492</v>
      </c>
      <c r="G42" s="110" t="s">
        <v>65</v>
      </c>
      <c r="H42" s="110" t="s">
        <v>65</v>
      </c>
      <c r="I42" s="110">
        <v>99</v>
      </c>
      <c r="J42" s="110">
        <v>51</v>
      </c>
      <c r="K42" s="108" t="str">
        <f>VLOOKUP(A42,'FRS geographical categories'!A:C,2,FALSE)</f>
        <v>Predominantly Rural</v>
      </c>
      <c r="L42" s="108" t="str">
        <f>VLOOKUP(A42,'FRS geographical categories'!A:C,3,FALSE)</f>
        <v>Non-metropolitan</v>
      </c>
    </row>
    <row r="43" spans="1:12" x14ac:dyDescent="0.2">
      <c r="A43" s="104" t="s">
        <v>33</v>
      </c>
      <c r="C43" s="110">
        <v>9677</v>
      </c>
      <c r="D43" s="110">
        <v>4024</v>
      </c>
      <c r="E43" s="110">
        <v>2936</v>
      </c>
      <c r="F43" s="110">
        <v>1164</v>
      </c>
      <c r="G43" s="110">
        <v>570</v>
      </c>
      <c r="H43" s="110">
        <v>154</v>
      </c>
      <c r="I43" s="110">
        <v>484</v>
      </c>
      <c r="J43" s="110">
        <v>453</v>
      </c>
      <c r="K43" s="108" t="str">
        <f>VLOOKUP(A43,'FRS geographical categories'!A:C,2,FALSE)</f>
        <v>Significantly Rural</v>
      </c>
      <c r="L43" s="108" t="str">
        <f>VLOOKUP(A43,'FRS geographical categories'!A:C,3,FALSE)</f>
        <v>Non-metropolitan</v>
      </c>
    </row>
    <row r="44" spans="1:12" x14ac:dyDescent="0.2">
      <c r="A44" s="104" t="s">
        <v>34</v>
      </c>
      <c r="C44" s="110">
        <v>9064</v>
      </c>
      <c r="D44" s="110">
        <v>8443.25</v>
      </c>
      <c r="E44" s="110">
        <v>4237</v>
      </c>
      <c r="F44" s="110">
        <v>4032.5</v>
      </c>
      <c r="G44" s="110">
        <v>3116</v>
      </c>
      <c r="H44" s="110">
        <v>2911.25</v>
      </c>
      <c r="I44" s="110">
        <v>0</v>
      </c>
      <c r="J44" s="110">
        <v>0</v>
      </c>
      <c r="K44" s="108" t="str">
        <f>VLOOKUP(A44,'FRS geographical categories'!A:C,2,FALSE)</f>
        <v>Predominantly Rural</v>
      </c>
      <c r="L44" s="108" t="str">
        <f>VLOOKUP(A44,'FRS geographical categories'!A:C,3,FALSE)</f>
        <v>Non-metropolitan</v>
      </c>
    </row>
    <row r="45" spans="1:12" x14ac:dyDescent="0.2">
      <c r="A45" s="104" t="s">
        <v>35</v>
      </c>
      <c r="C45" s="110">
        <v>3770</v>
      </c>
      <c r="D45" s="110">
        <v>6622</v>
      </c>
      <c r="E45" s="110">
        <v>1683</v>
      </c>
      <c r="F45" s="110">
        <v>2814</v>
      </c>
      <c r="G45" s="110" t="s">
        <v>65</v>
      </c>
      <c r="H45" s="110" t="s">
        <v>65</v>
      </c>
      <c r="I45" s="110">
        <v>350</v>
      </c>
      <c r="J45" s="110">
        <v>360</v>
      </c>
      <c r="K45" s="108" t="str">
        <f>VLOOKUP(A45,'FRS geographical categories'!A:C,2,FALSE)</f>
        <v>Predominantly Urban</v>
      </c>
      <c r="L45" s="108" t="str">
        <f>VLOOKUP(A45,'FRS geographical categories'!A:C,3,FALSE)</f>
        <v>Non-metropolitan</v>
      </c>
    </row>
    <row r="46" spans="1:12" x14ac:dyDescent="0.2">
      <c r="A46" s="104" t="s">
        <v>36</v>
      </c>
      <c r="C46" s="110">
        <v>2165</v>
      </c>
      <c r="D46" s="110">
        <v>7169</v>
      </c>
      <c r="E46" s="110">
        <v>986</v>
      </c>
      <c r="F46" s="110">
        <v>3905</v>
      </c>
      <c r="G46" s="110" t="s">
        <v>65</v>
      </c>
      <c r="H46" s="110" t="s">
        <v>65</v>
      </c>
      <c r="I46" s="110">
        <v>9</v>
      </c>
      <c r="J46" s="110">
        <v>26</v>
      </c>
      <c r="K46" s="108" t="str">
        <f>VLOOKUP(A46,'FRS geographical categories'!A:C,2,FALSE)</f>
        <v>Predominantly Rural</v>
      </c>
      <c r="L46" s="108" t="str">
        <f>VLOOKUP(A46,'FRS geographical categories'!A:C,3,FALSE)</f>
        <v>Non-metropolitan</v>
      </c>
    </row>
    <row r="47" spans="1:12" x14ac:dyDescent="0.2">
      <c r="A47" s="104" t="s">
        <v>37</v>
      </c>
      <c r="C47" s="110">
        <v>4388</v>
      </c>
      <c r="D47" s="110">
        <v>8776</v>
      </c>
      <c r="E47" s="110" t="s">
        <v>65</v>
      </c>
      <c r="F47" s="110" t="s">
        <v>65</v>
      </c>
      <c r="G47" s="110" t="s">
        <v>65</v>
      </c>
      <c r="H47" s="110" t="s">
        <v>65</v>
      </c>
      <c r="I47" s="110">
        <v>757</v>
      </c>
      <c r="J47" s="110" t="s">
        <v>65</v>
      </c>
      <c r="K47" s="108" t="str">
        <f>VLOOKUP(A47,'FRS geographical categories'!A:C,2,FALSE)</f>
        <v>Predominantly Rural</v>
      </c>
      <c r="L47" s="108" t="str">
        <f>VLOOKUP(A47,'FRS geographical categories'!A:C,3,FALSE)</f>
        <v>Non-metropolitan</v>
      </c>
    </row>
    <row r="48" spans="1:12" x14ac:dyDescent="0.2">
      <c r="A48" s="104" t="s">
        <v>38</v>
      </c>
      <c r="C48" s="110">
        <v>24985</v>
      </c>
      <c r="D48" s="110">
        <v>20404</v>
      </c>
      <c r="E48" s="110">
        <v>8510</v>
      </c>
      <c r="F48" s="110">
        <v>6950</v>
      </c>
      <c r="G48" s="110">
        <v>4837</v>
      </c>
      <c r="H48" s="110">
        <v>3918</v>
      </c>
      <c r="I48" s="110">
        <v>57</v>
      </c>
      <c r="J48" s="110">
        <v>57</v>
      </c>
      <c r="K48" s="108" t="str">
        <f>VLOOKUP(A48,'FRS geographical categories'!A:C,2,FALSE)</f>
        <v>Predominantly Urban</v>
      </c>
      <c r="L48" s="108" t="str">
        <f>VLOOKUP(A48,'FRS geographical categories'!A:C,3,FALSE)</f>
        <v>Metropolitan</v>
      </c>
    </row>
    <row r="49" spans="1:12" x14ac:dyDescent="0.2">
      <c r="A49" s="104" t="s">
        <v>39</v>
      </c>
      <c r="C49" s="110">
        <v>32084</v>
      </c>
      <c r="D49" s="110">
        <v>21146</v>
      </c>
      <c r="E49" s="110">
        <v>13582</v>
      </c>
      <c r="F49" s="110">
        <v>17427</v>
      </c>
      <c r="G49" s="110">
        <v>12959</v>
      </c>
      <c r="H49" s="110">
        <v>13103</v>
      </c>
      <c r="I49" s="110" t="s">
        <v>65</v>
      </c>
      <c r="J49" s="110" t="s">
        <v>65</v>
      </c>
      <c r="K49" s="108" t="str">
        <f>VLOOKUP(A49,'FRS geographical categories'!A:C,2,FALSE)</f>
        <v>Significantly Rural</v>
      </c>
      <c r="L49" s="108" t="str">
        <f>VLOOKUP(A49,'FRS geographical categories'!A:C,3,FALSE)</f>
        <v>Non-metropolitan</v>
      </c>
    </row>
    <row r="50" spans="1:12" x14ac:dyDescent="0.2">
      <c r="A50" s="104" t="s">
        <v>40</v>
      </c>
      <c r="C50" s="110">
        <v>851</v>
      </c>
      <c r="D50" s="110">
        <v>2746.98</v>
      </c>
      <c r="E50" s="110">
        <v>521</v>
      </c>
      <c r="F50" s="110">
        <v>1609.2</v>
      </c>
      <c r="G50" s="110">
        <v>450</v>
      </c>
      <c r="H50" s="110">
        <v>1370.25</v>
      </c>
      <c r="I50" s="110">
        <v>0</v>
      </c>
      <c r="J50" s="110">
        <v>0</v>
      </c>
      <c r="K50" s="108" t="str">
        <f>VLOOKUP(A50,'FRS geographical categories'!A:C,2,FALSE)</f>
        <v>Predominantly Rural</v>
      </c>
      <c r="L50" s="108" t="str">
        <f>VLOOKUP(A50,'FRS geographical categories'!A:C,3,FALSE)</f>
        <v>Non-metropolitan</v>
      </c>
    </row>
    <row r="51" spans="1:12" x14ac:dyDescent="0.2">
      <c r="A51" s="104" t="s">
        <v>41</v>
      </c>
      <c r="C51" s="110">
        <v>4870</v>
      </c>
      <c r="D51" s="110">
        <v>6853</v>
      </c>
      <c r="E51" s="110">
        <v>2541</v>
      </c>
      <c r="F51" s="110">
        <v>3564</v>
      </c>
      <c r="G51" s="110">
        <v>836</v>
      </c>
      <c r="H51" s="110">
        <v>1208</v>
      </c>
      <c r="I51" s="110">
        <v>5</v>
      </c>
      <c r="J51" s="110" t="s">
        <v>65</v>
      </c>
      <c r="K51" s="108" t="str">
        <f>VLOOKUP(A51,'FRS geographical categories'!A:C,2,FALSE)</f>
        <v>Predominantly Urban</v>
      </c>
      <c r="L51" s="108" t="str">
        <f>VLOOKUP(A51,'FRS geographical categories'!A:C,3,FALSE)</f>
        <v>Non-metropolitan</v>
      </c>
    </row>
    <row r="52" spans="1:12" x14ac:dyDescent="0.2">
      <c r="A52" s="104" t="s">
        <v>42</v>
      </c>
      <c r="C52" s="110">
        <v>30004</v>
      </c>
      <c r="D52" s="110">
        <v>12888</v>
      </c>
      <c r="E52" s="110">
        <v>10723</v>
      </c>
      <c r="F52" s="110">
        <v>4924</v>
      </c>
      <c r="G52" s="110">
        <v>3800</v>
      </c>
      <c r="H52" s="110">
        <v>2250</v>
      </c>
      <c r="I52" s="110">
        <v>20048</v>
      </c>
      <c r="J52" s="110">
        <v>4023</v>
      </c>
      <c r="K52" s="108" t="str">
        <f>VLOOKUP(A52,'FRS geographical categories'!A:C,2,FALSE)</f>
        <v>Predominantly Urban</v>
      </c>
      <c r="L52" s="108" t="str">
        <f>VLOOKUP(A52,'FRS geographical categories'!A:C,3,FALSE)</f>
        <v>Metropolitan</v>
      </c>
    </row>
    <row r="53" spans="1:12" x14ac:dyDescent="0.2">
      <c r="A53" s="104" t="s">
        <v>43</v>
      </c>
      <c r="C53" s="110">
        <v>8488</v>
      </c>
      <c r="D53" s="110">
        <v>11844</v>
      </c>
      <c r="E53" s="110">
        <v>2810</v>
      </c>
      <c r="F53" s="110">
        <v>4232</v>
      </c>
      <c r="G53" s="110">
        <v>723</v>
      </c>
      <c r="H53" s="110">
        <v>1086</v>
      </c>
      <c r="I53" s="110">
        <v>286</v>
      </c>
      <c r="J53" s="110">
        <v>168</v>
      </c>
      <c r="K53" s="108" t="str">
        <f>VLOOKUP(A53,'FRS geographical categories'!A:C,2,FALSE)</f>
        <v>Significantly Rural</v>
      </c>
      <c r="L53" s="108" t="str">
        <f>VLOOKUP(A53,'FRS geographical categories'!A:C,3,FALSE)</f>
        <v>Non-metropolitan</v>
      </c>
    </row>
    <row r="54" spans="1:12" x14ac:dyDescent="0.2">
      <c r="A54" s="104" t="s">
        <v>44</v>
      </c>
      <c r="C54" s="110">
        <v>33592</v>
      </c>
      <c r="D54" s="110">
        <v>134368</v>
      </c>
      <c r="E54" s="110">
        <v>13272</v>
      </c>
      <c r="F54" s="110">
        <v>53088</v>
      </c>
      <c r="G54" s="110">
        <v>5580</v>
      </c>
      <c r="H54" s="110">
        <v>22320</v>
      </c>
      <c r="I54" s="110" t="s">
        <v>65</v>
      </c>
      <c r="J54" s="110" t="s">
        <v>65</v>
      </c>
      <c r="K54" s="108" t="str">
        <f>VLOOKUP(A54,'FRS geographical categories'!A:C,2,FALSE)</f>
        <v>Predominantly Urban</v>
      </c>
      <c r="L54" s="108" t="str">
        <f>VLOOKUP(A54,'FRS geographical categories'!A:C,3,FALSE)</f>
        <v>Metropolitan</v>
      </c>
    </row>
    <row r="55" spans="1:12" x14ac:dyDescent="0.2">
      <c r="A55" s="104" t="s">
        <v>45</v>
      </c>
      <c r="C55" s="110">
        <v>5793</v>
      </c>
      <c r="D55" s="110">
        <v>9370</v>
      </c>
      <c r="E55" s="110">
        <v>4178</v>
      </c>
      <c r="F55" s="110">
        <v>6655</v>
      </c>
      <c r="G55" s="110">
        <v>1545</v>
      </c>
      <c r="H55" s="110">
        <v>2462</v>
      </c>
      <c r="I55" s="110" t="s">
        <v>65</v>
      </c>
      <c r="J55" s="110" t="s">
        <v>65</v>
      </c>
      <c r="K55" s="108" t="str">
        <f>VLOOKUP(A55,'FRS geographical categories'!A:C,2,FALSE)</f>
        <v>Significantly Rural</v>
      </c>
      <c r="L55" s="108" t="str">
        <f>VLOOKUP(A55,'FRS geographical categories'!A:C,3,FALSE)</f>
        <v>Non-metropolitan</v>
      </c>
    </row>
    <row r="56" spans="1:12" x14ac:dyDescent="0.2">
      <c r="A56" s="104" t="s">
        <v>46</v>
      </c>
      <c r="C56" s="110">
        <v>65664</v>
      </c>
      <c r="D56" s="110">
        <v>64725</v>
      </c>
      <c r="E56" s="110">
        <v>26061</v>
      </c>
      <c r="F56" s="110">
        <v>27731</v>
      </c>
      <c r="G56" s="110">
        <v>5130</v>
      </c>
      <c r="H56" s="110">
        <v>7047</v>
      </c>
      <c r="I56" s="110">
        <v>472</v>
      </c>
      <c r="J56" s="110">
        <v>454</v>
      </c>
      <c r="K56" s="108" t="str">
        <f>VLOOKUP(A56,'FRS geographical categories'!A:C,2,FALSE)</f>
        <v>Predominantly Urban</v>
      </c>
      <c r="L56" s="108" t="str">
        <f>VLOOKUP(A56,'FRS geographical categories'!A:C,3,FALSE)</f>
        <v>Metropolitan</v>
      </c>
    </row>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BF488-C7BC-4A99-B732-20AB407D8137}">
  <sheetPr codeName="Sheet18"/>
  <dimension ref="A2:A5"/>
  <sheetViews>
    <sheetView workbookViewId="0">
      <selection activeCell="A42" sqref="A42:XFD42"/>
    </sheetView>
  </sheetViews>
  <sheetFormatPr defaultRowHeight="14.4" x14ac:dyDescent="0.3"/>
  <sheetData>
    <row r="2" spans="1:1" x14ac:dyDescent="0.3">
      <c r="A2" t="s">
        <v>117</v>
      </c>
    </row>
    <row r="3" spans="1:1" x14ac:dyDescent="0.3">
      <c r="A3" t="s">
        <v>118</v>
      </c>
    </row>
    <row r="4" spans="1:1" x14ac:dyDescent="0.3">
      <c r="A4" t="s">
        <v>131</v>
      </c>
    </row>
    <row r="5" spans="1:1" x14ac:dyDescent="0.3">
      <c r="A5" t="s">
        <v>132</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43485-6D44-4DFD-B8F9-9BF76E072B86}">
  <sheetPr codeName="Sheet19"/>
  <dimension ref="A1:J51"/>
  <sheetViews>
    <sheetView workbookViewId="0">
      <pane ySplit="1" topLeftCell="A2" activePane="bottomLeft" state="frozen"/>
      <selection pane="bottomLeft"/>
    </sheetView>
  </sheetViews>
  <sheetFormatPr defaultColWidth="8.5546875" defaultRowHeight="14.4" x14ac:dyDescent="0.3"/>
  <cols>
    <col min="1" max="1" width="21.5546875" style="5" customWidth="1"/>
    <col min="2" max="2" width="19.5546875" style="5" bestFit="1" customWidth="1"/>
    <col min="3" max="3" width="20.44140625" style="5" bestFit="1" customWidth="1"/>
    <col min="4" max="16384" width="8.5546875" style="5"/>
  </cols>
  <sheetData>
    <row r="1" spans="1:3" ht="16.8" thickBot="1" x14ac:dyDescent="0.35">
      <c r="A1" s="65" t="s">
        <v>121</v>
      </c>
      <c r="B1" s="65" t="s">
        <v>122</v>
      </c>
      <c r="C1" s="65" t="s">
        <v>123</v>
      </c>
    </row>
    <row r="2" spans="1:3" x14ac:dyDescent="0.3">
      <c r="A2" s="5" t="s">
        <v>3</v>
      </c>
      <c r="B2" s="5" t="s">
        <v>114</v>
      </c>
      <c r="C2" s="5" t="s">
        <v>77</v>
      </c>
    </row>
    <row r="3" spans="1:3" x14ac:dyDescent="0.3">
      <c r="A3" s="5" t="s">
        <v>4</v>
      </c>
      <c r="B3" s="5" t="s">
        <v>115</v>
      </c>
      <c r="C3" s="5" t="s">
        <v>77</v>
      </c>
    </row>
    <row r="4" spans="1:3" x14ac:dyDescent="0.3">
      <c r="A4" s="5" t="s">
        <v>5</v>
      </c>
      <c r="B4" s="5" t="s">
        <v>114</v>
      </c>
      <c r="C4" s="5" t="s">
        <v>77</v>
      </c>
    </row>
    <row r="5" spans="1:3" x14ac:dyDescent="0.3">
      <c r="A5" s="5" t="s">
        <v>6</v>
      </c>
      <c r="B5" s="5" t="s">
        <v>115</v>
      </c>
      <c r="C5" s="5" t="s">
        <v>77</v>
      </c>
    </row>
    <row r="6" spans="1:3" x14ac:dyDescent="0.3">
      <c r="A6" s="5" t="s">
        <v>7</v>
      </c>
      <c r="B6" s="5" t="s">
        <v>116</v>
      </c>
      <c r="C6" s="5" t="s">
        <v>77</v>
      </c>
    </row>
    <row r="7" spans="1:3" x14ac:dyDescent="0.3">
      <c r="A7" s="5" t="s">
        <v>8</v>
      </c>
      <c r="B7" s="5" t="s">
        <v>115</v>
      </c>
      <c r="C7" s="5" t="s">
        <v>77</v>
      </c>
    </row>
    <row r="8" spans="1:3" x14ac:dyDescent="0.3">
      <c r="A8" s="5" t="s">
        <v>9</v>
      </c>
      <c r="B8" s="5" t="s">
        <v>114</v>
      </c>
      <c r="C8" s="5" t="s">
        <v>77</v>
      </c>
    </row>
    <row r="9" spans="1:3" x14ac:dyDescent="0.3">
      <c r="A9" s="5" t="s">
        <v>10</v>
      </c>
      <c r="B9" s="5" t="s">
        <v>116</v>
      </c>
      <c r="C9" s="5" t="s">
        <v>77</v>
      </c>
    </row>
    <row r="10" spans="1:3" x14ac:dyDescent="0.3">
      <c r="A10" s="5" t="s">
        <v>11</v>
      </c>
      <c r="B10" s="5" t="s">
        <v>116</v>
      </c>
      <c r="C10" s="5" t="s">
        <v>77</v>
      </c>
    </row>
    <row r="11" spans="1:3" x14ac:dyDescent="0.3">
      <c r="A11" s="5" t="s">
        <v>12</v>
      </c>
      <c r="B11" s="5" t="s">
        <v>115</v>
      </c>
      <c r="C11" s="5" t="s">
        <v>77</v>
      </c>
    </row>
    <row r="12" spans="1:3" x14ac:dyDescent="0.3">
      <c r="A12" s="5" t="s">
        <v>13</v>
      </c>
      <c r="B12" s="5" t="s">
        <v>116</v>
      </c>
      <c r="C12" s="5" t="s">
        <v>77</v>
      </c>
    </row>
    <row r="13" spans="1:3" x14ac:dyDescent="0.3">
      <c r="A13" s="5" t="s">
        <v>74</v>
      </c>
      <c r="B13" s="5" t="s">
        <v>115</v>
      </c>
      <c r="C13" s="5" t="s">
        <v>77</v>
      </c>
    </row>
    <row r="14" spans="1:3" x14ac:dyDescent="0.3">
      <c r="A14" s="5" t="s">
        <v>14</v>
      </c>
      <c r="B14" s="5" t="s">
        <v>116</v>
      </c>
      <c r="C14" s="5" t="s">
        <v>77</v>
      </c>
    </row>
    <row r="15" spans="1:3" x14ac:dyDescent="0.3">
      <c r="A15" s="5" t="s">
        <v>15</v>
      </c>
      <c r="B15" s="5" t="s">
        <v>115</v>
      </c>
      <c r="C15" s="5" t="s">
        <v>77</v>
      </c>
    </row>
    <row r="16" spans="1:3" x14ac:dyDescent="0.3">
      <c r="A16" s="5" t="s">
        <v>16</v>
      </c>
      <c r="B16" s="5" t="s">
        <v>115</v>
      </c>
      <c r="C16" s="5" t="s">
        <v>77</v>
      </c>
    </row>
    <row r="17" spans="1:3" x14ac:dyDescent="0.3">
      <c r="A17" s="5" t="s">
        <v>17</v>
      </c>
      <c r="B17" s="5" t="s">
        <v>115</v>
      </c>
      <c r="C17" s="5" t="s">
        <v>77</v>
      </c>
    </row>
    <row r="18" spans="1:3" x14ac:dyDescent="0.3">
      <c r="A18" s="5" t="s">
        <v>18</v>
      </c>
      <c r="B18" s="5" t="s">
        <v>114</v>
      </c>
      <c r="C18" s="5" t="s">
        <v>49</v>
      </c>
    </row>
    <row r="19" spans="1:3" x14ac:dyDescent="0.3">
      <c r="A19" s="5" t="s">
        <v>19</v>
      </c>
      <c r="B19" s="5" t="s">
        <v>114</v>
      </c>
      <c r="C19" s="5" t="s">
        <v>49</v>
      </c>
    </row>
    <row r="20" spans="1:3" x14ac:dyDescent="0.3">
      <c r="A20" s="5" t="s">
        <v>20</v>
      </c>
      <c r="B20" s="5" t="s">
        <v>114</v>
      </c>
      <c r="C20" s="5" t="s">
        <v>77</v>
      </c>
    </row>
    <row r="21" spans="1:3" x14ac:dyDescent="0.3">
      <c r="A21" s="5" t="s">
        <v>21</v>
      </c>
      <c r="B21" s="5" t="s">
        <v>115</v>
      </c>
      <c r="C21" s="5" t="s">
        <v>77</v>
      </c>
    </row>
    <row r="22" spans="1:3" x14ac:dyDescent="0.3">
      <c r="A22" s="5" t="s">
        <v>22</v>
      </c>
      <c r="B22" s="5" t="s">
        <v>114</v>
      </c>
      <c r="C22" s="5" t="s">
        <v>77</v>
      </c>
    </row>
    <row r="23" spans="1:3" x14ac:dyDescent="0.3">
      <c r="A23" s="5" t="s">
        <v>23</v>
      </c>
      <c r="B23" s="5" t="s">
        <v>115</v>
      </c>
      <c r="C23" s="5" t="s">
        <v>77</v>
      </c>
    </row>
    <row r="24" spans="1:3" x14ac:dyDescent="0.3">
      <c r="A24" s="5" t="s">
        <v>24</v>
      </c>
      <c r="B24" s="5" t="s">
        <v>116</v>
      </c>
      <c r="C24" s="5" t="s">
        <v>77</v>
      </c>
    </row>
    <row r="25" spans="1:3" x14ac:dyDescent="0.3">
      <c r="A25" s="5" t="s">
        <v>124</v>
      </c>
      <c r="B25" s="5" t="s">
        <v>116</v>
      </c>
      <c r="C25" s="5" t="s">
        <v>77</v>
      </c>
    </row>
    <row r="26" spans="1:3" x14ac:dyDescent="0.3">
      <c r="A26" s="5" t="s">
        <v>26</v>
      </c>
      <c r="B26" s="5" t="s">
        <v>115</v>
      </c>
      <c r="C26" s="5" t="s">
        <v>77</v>
      </c>
    </row>
    <row r="27" spans="1:3" x14ac:dyDescent="0.3">
      <c r="A27" s="5" t="s">
        <v>27</v>
      </c>
      <c r="B27" s="5" t="s">
        <v>114</v>
      </c>
      <c r="C27" s="5" t="s">
        <v>77</v>
      </c>
    </row>
    <row r="28" spans="1:3" x14ac:dyDescent="0.3">
      <c r="A28" s="5" t="s">
        <v>28</v>
      </c>
      <c r="B28" s="5" t="s">
        <v>115</v>
      </c>
      <c r="C28" s="5" t="s">
        <v>77</v>
      </c>
    </row>
    <row r="29" spans="1:3" x14ac:dyDescent="0.3">
      <c r="A29" s="5" t="s">
        <v>29</v>
      </c>
      <c r="B29" s="5" t="s">
        <v>116</v>
      </c>
      <c r="C29" s="5" t="s">
        <v>77</v>
      </c>
    </row>
    <row r="30" spans="1:3" x14ac:dyDescent="0.3">
      <c r="A30" s="5" t="s">
        <v>30</v>
      </c>
      <c r="B30" s="5" t="s">
        <v>114</v>
      </c>
      <c r="C30" s="5" t="s">
        <v>49</v>
      </c>
    </row>
    <row r="31" spans="1:3" x14ac:dyDescent="0.3">
      <c r="A31" s="5" t="s">
        <v>31</v>
      </c>
      <c r="B31" s="5" t="s">
        <v>116</v>
      </c>
      <c r="C31" s="5" t="s">
        <v>77</v>
      </c>
    </row>
    <row r="32" spans="1:3" x14ac:dyDescent="0.3">
      <c r="A32" s="5" t="s">
        <v>32</v>
      </c>
      <c r="B32" s="5" t="s">
        <v>116</v>
      </c>
      <c r="C32" s="5" t="s">
        <v>77</v>
      </c>
    </row>
    <row r="33" spans="1:10" x14ac:dyDescent="0.3">
      <c r="A33" s="5" t="s">
        <v>33</v>
      </c>
      <c r="B33" s="5" t="s">
        <v>115</v>
      </c>
      <c r="C33" s="5" t="s">
        <v>77</v>
      </c>
    </row>
    <row r="34" spans="1:10" x14ac:dyDescent="0.3">
      <c r="A34" s="5" t="s">
        <v>34</v>
      </c>
      <c r="B34" s="5" t="s">
        <v>116</v>
      </c>
      <c r="C34" s="5" t="s">
        <v>77</v>
      </c>
    </row>
    <row r="35" spans="1:10" x14ac:dyDescent="0.3">
      <c r="A35" s="5" t="s">
        <v>35</v>
      </c>
      <c r="B35" s="5" t="s">
        <v>114</v>
      </c>
      <c r="C35" s="5" t="s">
        <v>77</v>
      </c>
    </row>
    <row r="36" spans="1:10" x14ac:dyDescent="0.3">
      <c r="A36" s="5" t="s">
        <v>36</v>
      </c>
      <c r="B36" s="5" t="s">
        <v>116</v>
      </c>
      <c r="C36" s="5" t="s">
        <v>77</v>
      </c>
    </row>
    <row r="37" spans="1:10" x14ac:dyDescent="0.3">
      <c r="A37" s="5" t="s">
        <v>37</v>
      </c>
      <c r="B37" s="5" t="s">
        <v>116</v>
      </c>
      <c r="C37" s="5" t="s">
        <v>77</v>
      </c>
    </row>
    <row r="38" spans="1:10" x14ac:dyDescent="0.3">
      <c r="A38" s="5" t="s">
        <v>38</v>
      </c>
      <c r="B38" s="5" t="s">
        <v>114</v>
      </c>
      <c r="C38" s="5" t="s">
        <v>49</v>
      </c>
    </row>
    <row r="39" spans="1:10" x14ac:dyDescent="0.3">
      <c r="A39" s="5" t="s">
        <v>39</v>
      </c>
      <c r="B39" s="5" t="s">
        <v>115</v>
      </c>
      <c r="C39" s="5" t="s">
        <v>77</v>
      </c>
    </row>
    <row r="40" spans="1:10" x14ac:dyDescent="0.3">
      <c r="A40" s="5" t="s">
        <v>40</v>
      </c>
      <c r="B40" s="5" t="s">
        <v>116</v>
      </c>
      <c r="C40" s="5" t="s">
        <v>77</v>
      </c>
    </row>
    <row r="41" spans="1:10" x14ac:dyDescent="0.3">
      <c r="A41" s="5" t="s">
        <v>41</v>
      </c>
      <c r="B41" s="5" t="s">
        <v>114</v>
      </c>
      <c r="C41" s="5" t="s">
        <v>77</v>
      </c>
    </row>
    <row r="42" spans="1:10" x14ac:dyDescent="0.3">
      <c r="A42" s="5" t="s">
        <v>42</v>
      </c>
      <c r="B42" s="5" t="s">
        <v>114</v>
      </c>
      <c r="C42" s="5" t="s">
        <v>49</v>
      </c>
    </row>
    <row r="43" spans="1:10" x14ac:dyDescent="0.3">
      <c r="A43" s="5" t="s">
        <v>43</v>
      </c>
      <c r="B43" s="5" t="s">
        <v>115</v>
      </c>
      <c r="C43" s="5" t="s">
        <v>77</v>
      </c>
    </row>
    <row r="44" spans="1:10" x14ac:dyDescent="0.3">
      <c r="A44" s="5" t="s">
        <v>44</v>
      </c>
      <c r="B44" s="5" t="s">
        <v>114</v>
      </c>
      <c r="C44" s="5" t="s">
        <v>49</v>
      </c>
    </row>
    <row r="45" spans="1:10" x14ac:dyDescent="0.3">
      <c r="A45" s="5" t="s">
        <v>45</v>
      </c>
      <c r="B45" s="5" t="s">
        <v>115</v>
      </c>
      <c r="C45" s="5" t="s">
        <v>77</v>
      </c>
    </row>
    <row r="46" spans="1:10" ht="15" thickBot="1" x14ac:dyDescent="0.35">
      <c r="A46" s="66" t="s">
        <v>46</v>
      </c>
      <c r="B46" s="66" t="s">
        <v>114</v>
      </c>
      <c r="C46" s="66" t="s">
        <v>49</v>
      </c>
    </row>
    <row r="48" spans="1:10" x14ac:dyDescent="0.3">
      <c r="A48" s="162" t="s">
        <v>125</v>
      </c>
      <c r="B48" s="162"/>
      <c r="C48" s="162"/>
      <c r="D48" s="162"/>
      <c r="E48" s="162"/>
      <c r="F48" s="162"/>
      <c r="G48" s="162"/>
      <c r="H48" s="162"/>
      <c r="I48" s="162"/>
      <c r="J48" s="162"/>
    </row>
    <row r="49" spans="1:1" x14ac:dyDescent="0.3">
      <c r="A49" s="67" t="s">
        <v>126</v>
      </c>
    </row>
    <row r="50" spans="1:1" x14ac:dyDescent="0.3">
      <c r="A50" s="67" t="s">
        <v>127</v>
      </c>
    </row>
    <row r="51" spans="1:1" x14ac:dyDescent="0.3">
      <c r="A51" s="67" t="s">
        <v>128</v>
      </c>
    </row>
  </sheetData>
  <hyperlinks>
    <hyperlink ref="A48" r:id="rId1" display="1  Rural Urban classifications of Fire and Rescue Service as defined by Department for Environment, Food and Rural Affairs (DEFRA).. LINK" xr:uid="{D2A15076-CA10-4789-B742-C9B10EFFA8D2}"/>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E99B0-0DEB-46F2-99AD-1822E6EADC7B}">
  <sheetPr codeName="Sheet3"/>
  <dimension ref="A1:L69"/>
  <sheetViews>
    <sheetView topLeftCell="A37" workbookViewId="0">
      <selection sqref="A1:J1"/>
    </sheetView>
  </sheetViews>
  <sheetFormatPr defaultColWidth="8.77734375" defaultRowHeight="10.199999999999999" x14ac:dyDescent="0.2"/>
  <cols>
    <col min="1" max="1" width="21" style="104" bestFit="1" customWidth="1"/>
    <col min="2" max="2" width="4.44140625" style="104" customWidth="1"/>
    <col min="3" max="10" width="8.77734375" style="104"/>
    <col min="11" max="11" width="18.44140625" style="104" bestFit="1" customWidth="1"/>
    <col min="12" max="12" width="15.77734375" style="104" bestFit="1" customWidth="1"/>
    <col min="13" max="16384" width="8.77734375" style="104"/>
  </cols>
  <sheetData>
    <row r="1" spans="1:12" ht="41.55" customHeight="1" x14ac:dyDescent="0.2">
      <c r="A1" s="178"/>
      <c r="B1" s="178"/>
      <c r="C1" s="178"/>
      <c r="D1" s="178"/>
      <c r="E1" s="178"/>
      <c r="F1" s="178"/>
      <c r="G1" s="178"/>
      <c r="H1" s="178"/>
      <c r="I1" s="178"/>
      <c r="J1" s="178"/>
    </row>
    <row r="2" spans="1:12" ht="36.6" customHeight="1" x14ac:dyDescent="0.2">
      <c r="A2" s="179"/>
      <c r="B2" s="112"/>
      <c r="C2" s="181" t="s">
        <v>58</v>
      </c>
      <c r="D2" s="182"/>
      <c r="E2" s="183" t="s">
        <v>63</v>
      </c>
      <c r="F2" s="183"/>
      <c r="G2" s="183" t="s">
        <v>64</v>
      </c>
      <c r="H2" s="183"/>
      <c r="I2" s="181" t="s">
        <v>59</v>
      </c>
      <c r="J2" s="182"/>
    </row>
    <row r="3" spans="1:12" ht="27.6" customHeight="1" x14ac:dyDescent="0.2">
      <c r="A3" s="180"/>
      <c r="B3" s="113"/>
      <c r="C3" s="105" t="s">
        <v>60</v>
      </c>
      <c r="D3" s="106" t="s">
        <v>61</v>
      </c>
      <c r="E3" s="105" t="s">
        <v>60</v>
      </c>
      <c r="F3" s="106" t="s">
        <v>61</v>
      </c>
      <c r="G3" s="105" t="s">
        <v>60</v>
      </c>
      <c r="H3" s="106" t="s">
        <v>61</v>
      </c>
      <c r="I3" s="105" t="s">
        <v>60</v>
      </c>
      <c r="J3" s="106" t="s">
        <v>61</v>
      </c>
    </row>
    <row r="6" spans="1:12" x14ac:dyDescent="0.2">
      <c r="A6" s="107" t="s">
        <v>0</v>
      </c>
      <c r="B6" s="107"/>
      <c r="C6" s="109">
        <f t="shared" ref="C6:J6" si="0">SUM(C12:C61)</f>
        <v>701621</v>
      </c>
      <c r="D6" s="109">
        <f t="shared" si="0"/>
        <v>805201.71251626767</v>
      </c>
      <c r="E6" s="109">
        <f t="shared" si="0"/>
        <v>274457</v>
      </c>
      <c r="F6" s="109">
        <f t="shared" si="0"/>
        <v>307048.36622429464</v>
      </c>
      <c r="G6" s="109">
        <f t="shared" si="0"/>
        <v>113997</v>
      </c>
      <c r="H6" s="109">
        <f t="shared" si="0"/>
        <v>140662.72550215208</v>
      </c>
      <c r="I6" s="109">
        <f t="shared" si="0"/>
        <v>46369</v>
      </c>
      <c r="J6" s="109">
        <f t="shared" si="0"/>
        <v>34470.583333333328</v>
      </c>
    </row>
    <row r="7" spans="1:12" x14ac:dyDescent="0.2">
      <c r="A7" s="107" t="s">
        <v>77</v>
      </c>
      <c r="B7" s="107"/>
      <c r="C7" s="109">
        <f t="shared" ref="C7:J8" si="1">SUMIF($L$12:$L$61,$A7,C$12:C$61)</f>
        <v>339645</v>
      </c>
      <c r="D7" s="109">
        <f t="shared" si="1"/>
        <v>396795.88251626777</v>
      </c>
      <c r="E7" s="109">
        <f t="shared" si="1"/>
        <v>151205</v>
      </c>
      <c r="F7" s="109">
        <f t="shared" si="1"/>
        <v>157675.20622429461</v>
      </c>
      <c r="G7" s="109">
        <f t="shared" si="1"/>
        <v>59293</v>
      </c>
      <c r="H7" s="109">
        <f t="shared" si="1"/>
        <v>66303.645502152067</v>
      </c>
      <c r="I7" s="109">
        <f t="shared" si="1"/>
        <v>16133</v>
      </c>
      <c r="J7" s="109">
        <f t="shared" si="1"/>
        <v>14660.583333333334</v>
      </c>
    </row>
    <row r="8" spans="1:12" x14ac:dyDescent="0.2">
      <c r="A8" s="107" t="s">
        <v>49</v>
      </c>
      <c r="B8" s="107"/>
      <c r="C8" s="109">
        <f t="shared" si="1"/>
        <v>361976</v>
      </c>
      <c r="D8" s="109">
        <f t="shared" si="1"/>
        <v>408405.83</v>
      </c>
      <c r="E8" s="109">
        <f t="shared" si="1"/>
        <v>123252</v>
      </c>
      <c r="F8" s="109">
        <f t="shared" si="1"/>
        <v>149373.16</v>
      </c>
      <c r="G8" s="109">
        <f t="shared" si="1"/>
        <v>54704</v>
      </c>
      <c r="H8" s="109">
        <f t="shared" si="1"/>
        <v>74359.08</v>
      </c>
      <c r="I8" s="109">
        <f t="shared" si="1"/>
        <v>30236</v>
      </c>
      <c r="J8" s="109">
        <f t="shared" si="1"/>
        <v>19810</v>
      </c>
    </row>
    <row r="9" spans="1:12" x14ac:dyDescent="0.2">
      <c r="A9" s="107" t="s">
        <v>114</v>
      </c>
      <c r="B9" s="107"/>
      <c r="C9" s="109">
        <f t="shared" ref="C9:J11" si="2">SUMIF($K$12:$K$61,$A9,C$12:C$61)</f>
        <v>465852</v>
      </c>
      <c r="D9" s="109">
        <f t="shared" si="2"/>
        <v>524729.51090867317</v>
      </c>
      <c r="E9" s="109">
        <f t="shared" si="2"/>
        <v>168167</v>
      </c>
      <c r="F9" s="109">
        <f t="shared" si="2"/>
        <v>197859.41</v>
      </c>
      <c r="G9" s="109">
        <f t="shared" si="2"/>
        <v>73020</v>
      </c>
      <c r="H9" s="109">
        <f t="shared" si="2"/>
        <v>97386.496666666673</v>
      </c>
      <c r="I9" s="109">
        <f t="shared" si="2"/>
        <v>33375</v>
      </c>
      <c r="J9" s="109">
        <f t="shared" si="2"/>
        <v>22172.083333333332</v>
      </c>
    </row>
    <row r="10" spans="1:12" x14ac:dyDescent="0.2">
      <c r="A10" s="107" t="s">
        <v>115</v>
      </c>
      <c r="B10" s="107"/>
      <c r="C10" s="109">
        <f t="shared" si="2"/>
        <v>157499</v>
      </c>
      <c r="D10" s="109">
        <f t="shared" si="2"/>
        <v>190224.65494092793</v>
      </c>
      <c r="E10" s="109">
        <f t="shared" si="2"/>
        <v>79478</v>
      </c>
      <c r="F10" s="109">
        <f t="shared" si="2"/>
        <v>74888.286224294599</v>
      </c>
      <c r="G10" s="109">
        <f t="shared" si="2"/>
        <v>35451</v>
      </c>
      <c r="H10" s="109">
        <f t="shared" si="2"/>
        <v>35457.198835485411</v>
      </c>
      <c r="I10" s="109">
        <f t="shared" si="2"/>
        <v>9499</v>
      </c>
      <c r="J10" s="109">
        <f t="shared" si="2"/>
        <v>10969.75</v>
      </c>
    </row>
    <row r="11" spans="1:12" x14ac:dyDescent="0.2">
      <c r="A11" s="107" t="s">
        <v>116</v>
      </c>
      <c r="B11" s="107"/>
      <c r="C11" s="109">
        <f t="shared" si="2"/>
        <v>78270</v>
      </c>
      <c r="D11" s="109">
        <f t="shared" si="2"/>
        <v>90247.546666666676</v>
      </c>
      <c r="E11" s="109">
        <f t="shared" si="2"/>
        <v>26812</v>
      </c>
      <c r="F11" s="109">
        <f t="shared" si="2"/>
        <v>34300.67</v>
      </c>
      <c r="G11" s="109">
        <f t="shared" si="2"/>
        <v>5526</v>
      </c>
      <c r="H11" s="109">
        <f t="shared" si="2"/>
        <v>7819.03</v>
      </c>
      <c r="I11" s="109">
        <f t="shared" si="2"/>
        <v>3495</v>
      </c>
      <c r="J11" s="109">
        <f t="shared" si="2"/>
        <v>1328.75</v>
      </c>
    </row>
    <row r="12" spans="1:12" x14ac:dyDescent="0.2">
      <c r="A12" s="104" t="s">
        <v>3</v>
      </c>
      <c r="C12" s="110">
        <v>6685</v>
      </c>
      <c r="D12" s="110">
        <v>4421.25</v>
      </c>
      <c r="E12" s="110">
        <v>3452</v>
      </c>
      <c r="F12" s="110">
        <v>2445.25</v>
      </c>
      <c r="G12" s="110">
        <v>2236</v>
      </c>
      <c r="H12" s="110">
        <v>1696.25</v>
      </c>
      <c r="I12" s="110">
        <v>405</v>
      </c>
      <c r="J12" s="110">
        <v>198.5</v>
      </c>
      <c r="K12" s="108" t="str">
        <f>VLOOKUP(A12,'FRS geographical categories'!A:C,2,FALSE)</f>
        <v>Predominantly Urban</v>
      </c>
      <c r="L12" s="108" t="str">
        <f>VLOOKUP(A12,'FRS geographical categories'!A:C,3,FALSE)</f>
        <v>Non-metropolitan</v>
      </c>
    </row>
    <row r="13" spans="1:12" x14ac:dyDescent="0.2">
      <c r="A13" s="104" t="s">
        <v>4</v>
      </c>
      <c r="C13" s="110">
        <v>3806</v>
      </c>
      <c r="D13" s="110">
        <v>3263</v>
      </c>
      <c r="E13" s="110">
        <v>616</v>
      </c>
      <c r="F13" s="110">
        <v>391</v>
      </c>
      <c r="G13" s="110">
        <v>0</v>
      </c>
      <c r="H13" s="110">
        <v>0</v>
      </c>
      <c r="I13" s="110">
        <v>0</v>
      </c>
      <c r="J13" s="110">
        <v>218</v>
      </c>
      <c r="K13" s="108" t="str">
        <f>VLOOKUP(A13,'FRS geographical categories'!A:C,2,FALSE)</f>
        <v>Significantly Rural</v>
      </c>
      <c r="L13" s="108" t="str">
        <f>VLOOKUP(A13,'FRS geographical categories'!A:C,3,FALSE)</f>
        <v>Non-metropolitan</v>
      </c>
    </row>
    <row r="14" spans="1:12" x14ac:dyDescent="0.2">
      <c r="A14" s="104" t="s">
        <v>5</v>
      </c>
      <c r="C14" s="110">
        <v>6248</v>
      </c>
      <c r="D14" s="110">
        <v>13636</v>
      </c>
      <c r="E14" s="110">
        <v>3224</v>
      </c>
      <c r="F14" s="110">
        <v>4836</v>
      </c>
      <c r="G14" s="110">
        <v>1523</v>
      </c>
      <c r="H14" s="110">
        <v>2284</v>
      </c>
      <c r="I14" s="110">
        <v>0</v>
      </c>
      <c r="J14" s="110">
        <v>0</v>
      </c>
      <c r="K14" s="108" t="str">
        <f>VLOOKUP(A14,'FRS geographical categories'!A:C,2,FALSE)</f>
        <v>Predominantly Urban</v>
      </c>
      <c r="L14" s="108" t="str">
        <f>VLOOKUP(A14,'FRS geographical categories'!A:C,3,FALSE)</f>
        <v>Non-metropolitan</v>
      </c>
    </row>
    <row r="15" spans="1:12" x14ac:dyDescent="0.2">
      <c r="A15" s="104" t="s">
        <v>6</v>
      </c>
      <c r="C15" s="110">
        <v>8400</v>
      </c>
      <c r="D15" s="110">
        <v>35000</v>
      </c>
      <c r="E15" s="110">
        <v>2342</v>
      </c>
      <c r="F15" s="110">
        <v>9766</v>
      </c>
      <c r="G15" s="110">
        <v>810</v>
      </c>
      <c r="H15" s="110">
        <v>3378</v>
      </c>
      <c r="I15" s="110">
        <v>0</v>
      </c>
      <c r="J15" s="110">
        <v>0</v>
      </c>
      <c r="K15" s="108" t="str">
        <f>VLOOKUP(A15,'FRS geographical categories'!A:C,2,FALSE)</f>
        <v>Significantly Rural</v>
      </c>
      <c r="L15" s="108" t="str">
        <f>VLOOKUP(A15,'FRS geographical categories'!A:C,3,FALSE)</f>
        <v>Non-metropolitan</v>
      </c>
    </row>
    <row r="16" spans="1:12" x14ac:dyDescent="0.2">
      <c r="A16" s="104" t="s">
        <v>7</v>
      </c>
      <c r="C16" s="110">
        <v>2927</v>
      </c>
      <c r="D16" s="110">
        <v>3688</v>
      </c>
      <c r="E16" s="110">
        <v>1656</v>
      </c>
      <c r="F16" s="110">
        <v>2205.5</v>
      </c>
      <c r="G16" s="110">
        <v>1389</v>
      </c>
      <c r="H16" s="110">
        <v>1909.25</v>
      </c>
      <c r="I16" s="110">
        <v>0</v>
      </c>
      <c r="J16" s="110">
        <v>0</v>
      </c>
      <c r="K16" s="108" t="str">
        <f>VLOOKUP(A16,'FRS geographical categories'!A:C,2,FALSE)</f>
        <v>Predominantly Rural</v>
      </c>
      <c r="L16" s="108" t="str">
        <f>VLOOKUP(A16,'FRS geographical categories'!A:C,3,FALSE)</f>
        <v>Non-metropolitan</v>
      </c>
    </row>
    <row r="17" spans="1:12" x14ac:dyDescent="0.2">
      <c r="A17" s="104" t="s">
        <v>8</v>
      </c>
      <c r="C17" s="110">
        <v>27181</v>
      </c>
      <c r="D17" s="110">
        <v>14860</v>
      </c>
      <c r="E17" s="110">
        <v>22412</v>
      </c>
      <c r="F17" s="110">
        <v>9771</v>
      </c>
      <c r="G17" s="110">
        <v>8076</v>
      </c>
      <c r="H17" s="110">
        <v>5593</v>
      </c>
      <c r="I17" s="110">
        <v>0</v>
      </c>
      <c r="J17" s="110">
        <v>0</v>
      </c>
      <c r="K17" s="108" t="str">
        <f>VLOOKUP(A17,'FRS geographical categories'!A:C,2,FALSE)</f>
        <v>Significantly Rural</v>
      </c>
      <c r="L17" s="108" t="str">
        <f>VLOOKUP(A17,'FRS geographical categories'!A:C,3,FALSE)</f>
        <v>Non-metropolitan</v>
      </c>
    </row>
    <row r="18" spans="1:12" x14ac:dyDescent="0.2">
      <c r="A18" s="104" t="s">
        <v>9</v>
      </c>
      <c r="C18" s="110">
        <v>23590</v>
      </c>
      <c r="D18" s="110">
        <v>11795.619973718793</v>
      </c>
      <c r="E18" s="110">
        <v>5871</v>
      </c>
      <c r="F18" s="110">
        <v>0</v>
      </c>
      <c r="G18" s="110">
        <v>1049</v>
      </c>
      <c r="H18" s="110">
        <v>0</v>
      </c>
      <c r="I18" s="110">
        <v>967</v>
      </c>
      <c r="J18" s="110">
        <v>0</v>
      </c>
      <c r="K18" s="108" t="str">
        <f>VLOOKUP(A18,'FRS geographical categories'!A:C,2,FALSE)</f>
        <v>Predominantly Urban</v>
      </c>
      <c r="L18" s="108" t="str">
        <f>VLOOKUP(A18,'FRS geographical categories'!A:C,3,FALSE)</f>
        <v>Non-metropolitan</v>
      </c>
    </row>
    <row r="19" spans="1:12" x14ac:dyDescent="0.2">
      <c r="A19" s="104" t="s">
        <v>10</v>
      </c>
      <c r="C19" s="110">
        <v>3661</v>
      </c>
      <c r="D19" s="110">
        <v>2335</v>
      </c>
      <c r="E19" s="110">
        <v>0</v>
      </c>
      <c r="F19" s="110">
        <v>0</v>
      </c>
      <c r="G19" s="110">
        <v>0</v>
      </c>
      <c r="H19" s="110">
        <v>0</v>
      </c>
      <c r="I19" s="110">
        <v>1542</v>
      </c>
      <c r="J19" s="110">
        <v>335</v>
      </c>
      <c r="K19" s="108" t="str">
        <f>VLOOKUP(A19,'FRS geographical categories'!A:C,2,FALSE)</f>
        <v>Predominantly Rural</v>
      </c>
      <c r="L19" s="108" t="str">
        <f>VLOOKUP(A19,'FRS geographical categories'!A:C,3,FALSE)</f>
        <v>Non-metropolitan</v>
      </c>
    </row>
    <row r="20" spans="1:12" x14ac:dyDescent="0.2">
      <c r="A20" s="104" t="s">
        <v>11</v>
      </c>
      <c r="C20" s="110">
        <v>16628</v>
      </c>
      <c r="D20" s="110">
        <v>14027.966666666667</v>
      </c>
      <c r="E20" s="110">
        <v>3912</v>
      </c>
      <c r="F20" s="110">
        <v>3443.3</v>
      </c>
      <c r="G20" s="110">
        <v>0</v>
      </c>
      <c r="H20" s="110">
        <v>0</v>
      </c>
      <c r="I20" s="110">
        <v>997</v>
      </c>
      <c r="J20" s="110">
        <v>821.75</v>
      </c>
      <c r="K20" s="108" t="str">
        <f>VLOOKUP(A20,'FRS geographical categories'!A:C,2,FALSE)</f>
        <v>Predominantly Rural</v>
      </c>
      <c r="L20" s="108" t="str">
        <f>VLOOKUP(A20,'FRS geographical categories'!A:C,3,FALSE)</f>
        <v>Non-metropolitan</v>
      </c>
    </row>
    <row r="21" spans="1:12" x14ac:dyDescent="0.2">
      <c r="A21" s="81" t="s">
        <v>12</v>
      </c>
      <c r="B21" s="81"/>
      <c r="C21" s="110">
        <v>9639</v>
      </c>
      <c r="D21" s="110">
        <v>15092</v>
      </c>
      <c r="E21" s="110">
        <v>5295</v>
      </c>
      <c r="F21" s="110">
        <v>8046</v>
      </c>
      <c r="G21" s="110">
        <v>1567</v>
      </c>
      <c r="H21" s="110">
        <v>2725</v>
      </c>
      <c r="I21" s="110">
        <v>6917</v>
      </c>
      <c r="J21" s="110">
        <v>8646</v>
      </c>
      <c r="K21" s="108" t="str">
        <f>VLOOKUP(A21,'FRS geographical categories'!A:C,2,FALSE)</f>
        <v>Significantly Rural</v>
      </c>
      <c r="L21" s="108" t="str">
        <f>VLOOKUP(A21,'FRS geographical categories'!A:C,3,FALSE)</f>
        <v>Non-metropolitan</v>
      </c>
    </row>
    <row r="22" spans="1:12" x14ac:dyDescent="0.2">
      <c r="A22" s="81" t="s">
        <v>13</v>
      </c>
      <c r="B22" s="81"/>
      <c r="C22" s="110">
        <v>3278</v>
      </c>
      <c r="D22" s="110">
        <v>5017</v>
      </c>
      <c r="E22" s="110">
        <v>1752</v>
      </c>
      <c r="F22" s="110">
        <v>2870</v>
      </c>
      <c r="G22" s="110">
        <v>1801</v>
      </c>
      <c r="H22" s="110">
        <v>2798</v>
      </c>
      <c r="I22" s="110">
        <v>0</v>
      </c>
      <c r="J22" s="110">
        <v>0</v>
      </c>
      <c r="K22" s="108" t="str">
        <f>VLOOKUP(A22,'FRS geographical categories'!A:C,2,FALSE)</f>
        <v>Predominantly Rural</v>
      </c>
      <c r="L22" s="108" t="str">
        <f>VLOOKUP(A22,'FRS geographical categories'!A:C,3,FALSE)</f>
        <v>Non-metropolitan</v>
      </c>
    </row>
    <row r="23" spans="1:12" x14ac:dyDescent="0.2">
      <c r="A23" s="81" t="s">
        <v>74</v>
      </c>
      <c r="B23" s="81"/>
      <c r="C23" s="110">
        <v>15401</v>
      </c>
      <c r="D23" s="110">
        <v>19973.25</v>
      </c>
      <c r="E23" s="110">
        <v>9130</v>
      </c>
      <c r="F23" s="110">
        <v>11704.716224294596</v>
      </c>
      <c r="G23" s="110">
        <v>559</v>
      </c>
      <c r="H23" s="110">
        <v>535.90883548541365</v>
      </c>
      <c r="I23" s="110">
        <v>670</v>
      </c>
      <c r="J23" s="110">
        <v>320</v>
      </c>
      <c r="K23" s="108" t="str">
        <f>VLOOKUP(A23,'FRS geographical categories'!A:C,2,FALSE)</f>
        <v>Significantly Rural</v>
      </c>
      <c r="L23" s="108" t="str">
        <f>VLOOKUP(A23,'FRS geographical categories'!A:C,3,FALSE)</f>
        <v>Non-metropolitan</v>
      </c>
    </row>
    <row r="24" spans="1:12" x14ac:dyDescent="0.2">
      <c r="A24" s="104" t="s">
        <v>14</v>
      </c>
      <c r="C24" s="110">
        <v>13311</v>
      </c>
      <c r="D24" s="110">
        <v>9927</v>
      </c>
      <c r="E24" s="110">
        <v>4029</v>
      </c>
      <c r="F24" s="110">
        <v>3022</v>
      </c>
      <c r="G24" s="110">
        <v>247</v>
      </c>
      <c r="H24" s="110">
        <v>185</v>
      </c>
      <c r="I24" s="110">
        <v>0</v>
      </c>
      <c r="J24" s="110">
        <v>0</v>
      </c>
      <c r="K24" s="108" t="str">
        <f>VLOOKUP(A24,'FRS geographical categories'!A:C,2,FALSE)</f>
        <v>Predominantly Rural</v>
      </c>
      <c r="L24" s="108" t="str">
        <f>VLOOKUP(A24,'FRS geographical categories'!A:C,3,FALSE)</f>
        <v>Non-metropolitan</v>
      </c>
    </row>
    <row r="25" spans="1:12" x14ac:dyDescent="0.2">
      <c r="A25" s="104" t="s">
        <v>15</v>
      </c>
      <c r="C25" s="110">
        <v>10221</v>
      </c>
      <c r="D25" s="110">
        <v>20958</v>
      </c>
      <c r="E25" s="110">
        <v>6021</v>
      </c>
      <c r="F25" s="110">
        <v>11685.75</v>
      </c>
      <c r="G25" s="110">
        <v>4385</v>
      </c>
      <c r="H25" s="110">
        <v>8386.5</v>
      </c>
      <c r="I25" s="110">
        <v>0</v>
      </c>
      <c r="J25" s="110">
        <v>0</v>
      </c>
      <c r="K25" s="108" t="str">
        <f>VLOOKUP(A25,'FRS geographical categories'!A:C,2,FALSE)</f>
        <v>Significantly Rural</v>
      </c>
      <c r="L25" s="108" t="str">
        <f>VLOOKUP(A25,'FRS geographical categories'!A:C,3,FALSE)</f>
        <v>Non-metropolitan</v>
      </c>
    </row>
    <row r="26" spans="1:12" x14ac:dyDescent="0.2">
      <c r="A26" s="104" t="s">
        <v>16</v>
      </c>
      <c r="C26" s="110">
        <v>1963</v>
      </c>
      <c r="D26" s="110">
        <v>2759.75</v>
      </c>
      <c r="E26" s="110">
        <v>862</v>
      </c>
      <c r="F26" s="110">
        <v>1221.07</v>
      </c>
      <c r="G26" s="110">
        <v>492</v>
      </c>
      <c r="H26" s="110">
        <v>705.79</v>
      </c>
      <c r="I26" s="110">
        <v>290</v>
      </c>
      <c r="J26" s="110">
        <v>482</v>
      </c>
      <c r="K26" s="108" t="str">
        <f>VLOOKUP(A26,'FRS geographical categories'!A:C,2,FALSE)</f>
        <v>Significantly Rural</v>
      </c>
      <c r="L26" s="108" t="str">
        <f>VLOOKUP(A26,'FRS geographical categories'!A:C,3,FALSE)</f>
        <v>Non-metropolitan</v>
      </c>
    </row>
    <row r="27" spans="1:12" x14ac:dyDescent="0.2">
      <c r="A27" s="104" t="s">
        <v>17</v>
      </c>
      <c r="C27" s="110">
        <v>2975</v>
      </c>
      <c r="D27" s="110">
        <v>3090</v>
      </c>
      <c r="E27" s="110">
        <v>1625</v>
      </c>
      <c r="F27" s="110">
        <v>1928</v>
      </c>
      <c r="G27" s="110">
        <v>851</v>
      </c>
      <c r="H27" s="110">
        <v>1265</v>
      </c>
      <c r="I27" s="110">
        <v>0</v>
      </c>
      <c r="J27" s="110">
        <v>0</v>
      </c>
      <c r="K27" s="108" t="str">
        <f>VLOOKUP(A27,'FRS geographical categories'!A:C,2,FALSE)</f>
        <v>Significantly Rural</v>
      </c>
      <c r="L27" s="108" t="str">
        <f>VLOOKUP(A27,'FRS geographical categories'!A:C,3,FALSE)</f>
        <v>Non-metropolitan</v>
      </c>
    </row>
    <row r="28" spans="1:12" x14ac:dyDescent="0.2">
      <c r="A28" s="104" t="s">
        <v>18</v>
      </c>
      <c r="C28" s="110">
        <v>83678</v>
      </c>
      <c r="D28" s="110">
        <v>62758.5</v>
      </c>
      <c r="E28" s="110">
        <v>34278</v>
      </c>
      <c r="F28" s="110">
        <v>25708.5</v>
      </c>
      <c r="G28" s="110">
        <v>23149</v>
      </c>
      <c r="H28" s="110">
        <v>17361.75</v>
      </c>
      <c r="I28" s="110">
        <v>648</v>
      </c>
      <c r="J28" s="110">
        <v>0</v>
      </c>
      <c r="K28" s="108" t="str">
        <f>VLOOKUP(A28,'FRS geographical categories'!A:C,2,FALSE)</f>
        <v>Predominantly Urban</v>
      </c>
      <c r="L28" s="108" t="str">
        <f>VLOOKUP(A28,'FRS geographical categories'!A:C,3,FALSE)</f>
        <v>Metropolitan</v>
      </c>
    </row>
    <row r="29" spans="1:12" x14ac:dyDescent="0.2">
      <c r="A29" s="104" t="s">
        <v>19</v>
      </c>
      <c r="C29" s="110">
        <v>77008</v>
      </c>
      <c r="D29" s="110">
        <v>73676</v>
      </c>
      <c r="E29" s="110">
        <v>9928</v>
      </c>
      <c r="F29" s="110">
        <v>10868</v>
      </c>
      <c r="G29" s="110">
        <v>0</v>
      </c>
      <c r="H29" s="110">
        <v>0</v>
      </c>
      <c r="I29" s="110">
        <v>884</v>
      </c>
      <c r="J29" s="110">
        <v>956</v>
      </c>
      <c r="K29" s="108" t="str">
        <f>VLOOKUP(A29,'FRS geographical categories'!A:C,2,FALSE)</f>
        <v>Predominantly Urban</v>
      </c>
      <c r="L29" s="108" t="str">
        <f>VLOOKUP(A29,'FRS geographical categories'!A:C,3,FALSE)</f>
        <v>Metropolitan</v>
      </c>
    </row>
    <row r="30" spans="1:12" x14ac:dyDescent="0.2">
      <c r="A30" s="104" t="s">
        <v>20</v>
      </c>
      <c r="C30" s="110">
        <v>10513</v>
      </c>
      <c r="D30" s="110">
        <v>19196</v>
      </c>
      <c r="E30" s="110">
        <v>6677</v>
      </c>
      <c r="F30" s="110">
        <v>14817</v>
      </c>
      <c r="G30" s="110">
        <v>0</v>
      </c>
      <c r="H30" s="110">
        <v>0</v>
      </c>
      <c r="I30" s="110">
        <v>650</v>
      </c>
      <c r="J30" s="110">
        <v>886</v>
      </c>
      <c r="K30" s="108" t="str">
        <f>VLOOKUP(A30,'FRS geographical categories'!A:C,2,FALSE)</f>
        <v>Predominantly Urban</v>
      </c>
      <c r="L30" s="108" t="str">
        <f>VLOOKUP(A30,'FRS geographical categories'!A:C,3,FALSE)</f>
        <v>Non-metropolitan</v>
      </c>
    </row>
    <row r="31" spans="1:12" x14ac:dyDescent="0.2">
      <c r="A31" s="104" t="s">
        <v>21</v>
      </c>
      <c r="C31" s="110">
        <v>4816</v>
      </c>
      <c r="D31" s="110">
        <v>8267</v>
      </c>
      <c r="E31" s="110">
        <v>2134</v>
      </c>
      <c r="F31" s="110">
        <v>3663</v>
      </c>
      <c r="G31" s="110">
        <v>1250</v>
      </c>
      <c r="H31" s="110">
        <v>2365</v>
      </c>
      <c r="I31" s="110">
        <v>0</v>
      </c>
      <c r="J31" s="110">
        <v>0</v>
      </c>
      <c r="K31" s="108" t="str">
        <f>VLOOKUP(A31,'FRS geographical categories'!A:C,2,FALSE)</f>
        <v>Significantly Rural</v>
      </c>
      <c r="L31" s="108" t="str">
        <f>VLOOKUP(A31,'FRS geographical categories'!A:C,3,FALSE)</f>
        <v>Non-metropolitan</v>
      </c>
    </row>
    <row r="32" spans="1:12" x14ac:dyDescent="0.2">
      <c r="A32" s="104" t="s">
        <v>22</v>
      </c>
      <c r="C32" s="110">
        <v>5585</v>
      </c>
      <c r="D32" s="110">
        <v>8377.5</v>
      </c>
      <c r="E32" s="110">
        <v>2257</v>
      </c>
      <c r="F32" s="110">
        <v>0</v>
      </c>
      <c r="G32" s="110">
        <v>561</v>
      </c>
      <c r="H32" s="110">
        <v>0</v>
      </c>
      <c r="I32" s="110">
        <v>428</v>
      </c>
      <c r="J32" s="110">
        <v>642</v>
      </c>
      <c r="K32" s="108" t="str">
        <f>VLOOKUP(A32,'FRS geographical categories'!A:C,2,FALSE)</f>
        <v>Predominantly Urban</v>
      </c>
      <c r="L32" s="108" t="str">
        <f>VLOOKUP(A32,'FRS geographical categories'!A:C,3,FALSE)</f>
        <v>Non-metropolitan</v>
      </c>
    </row>
    <row r="33" spans="1:12" x14ac:dyDescent="0.2">
      <c r="A33" s="104" t="s">
        <v>23</v>
      </c>
      <c r="C33" s="110">
        <v>9465</v>
      </c>
      <c r="D33" s="110">
        <v>8948</v>
      </c>
      <c r="E33" s="110">
        <v>3991</v>
      </c>
      <c r="F33" s="110">
        <v>3853.75</v>
      </c>
      <c r="G33" s="110">
        <v>1946</v>
      </c>
      <c r="H33" s="110">
        <v>2001</v>
      </c>
      <c r="I33" s="110">
        <v>0</v>
      </c>
      <c r="J33" s="110">
        <v>0</v>
      </c>
      <c r="K33" s="108" t="str">
        <f>VLOOKUP(A33,'FRS geographical categories'!A:C,2,FALSE)</f>
        <v>Significantly Rural</v>
      </c>
      <c r="L33" s="108" t="str">
        <f>VLOOKUP(A33,'FRS geographical categories'!A:C,3,FALSE)</f>
        <v>Non-metropolitan</v>
      </c>
    </row>
    <row r="34" spans="1:12" x14ac:dyDescent="0.2">
      <c r="A34" s="104" t="s">
        <v>48</v>
      </c>
      <c r="C34" s="110">
        <v>423</v>
      </c>
      <c r="D34" s="110">
        <v>300</v>
      </c>
      <c r="E34" s="110">
        <v>85</v>
      </c>
      <c r="F34" s="110">
        <v>61.5</v>
      </c>
      <c r="G34" s="110">
        <v>25</v>
      </c>
      <c r="H34" s="110">
        <v>20.5</v>
      </c>
      <c r="I34" s="110">
        <v>77</v>
      </c>
      <c r="J34" s="110">
        <v>77</v>
      </c>
      <c r="K34" s="108" t="str">
        <f>VLOOKUP(A34,'FRS geographical categories'!A:C,2,FALSE)</f>
        <v>Predominantly Rural</v>
      </c>
      <c r="L34" s="108" t="str">
        <f>VLOOKUP(A34,'FRS geographical categories'!A:C,3,FALSE)</f>
        <v>Non-metropolitan</v>
      </c>
    </row>
    <row r="35" spans="1:12" x14ac:dyDescent="0.2">
      <c r="A35" s="104" t="s">
        <v>25</v>
      </c>
      <c r="C35" s="110">
        <v>107</v>
      </c>
      <c r="D35" s="110">
        <v>66</v>
      </c>
      <c r="E35" s="110">
        <v>0</v>
      </c>
      <c r="F35" s="110">
        <v>0</v>
      </c>
      <c r="G35" s="110">
        <v>0</v>
      </c>
      <c r="H35" s="110">
        <v>0</v>
      </c>
      <c r="I35" s="110">
        <v>0</v>
      </c>
      <c r="J35" s="110">
        <v>0</v>
      </c>
      <c r="K35" s="108" t="str">
        <f>VLOOKUP(A35,'FRS geographical categories'!A:C,2,FALSE)</f>
        <v>Predominantly Rural</v>
      </c>
      <c r="L35" s="108" t="str">
        <f>VLOOKUP(A35,'FRS geographical categories'!A:C,3,FALSE)</f>
        <v>Non-metropolitan</v>
      </c>
    </row>
    <row r="36" spans="1:12" x14ac:dyDescent="0.2">
      <c r="A36" s="104" t="s">
        <v>26</v>
      </c>
      <c r="C36" s="110">
        <v>10503</v>
      </c>
      <c r="D36" s="110">
        <v>8847</v>
      </c>
      <c r="E36" s="110">
        <v>1595</v>
      </c>
      <c r="F36" s="110">
        <v>1353</v>
      </c>
      <c r="G36" s="110">
        <v>4134</v>
      </c>
      <c r="H36" s="110">
        <v>3517</v>
      </c>
      <c r="I36" s="110">
        <v>638</v>
      </c>
      <c r="J36" s="110">
        <v>0</v>
      </c>
      <c r="K36" s="108" t="str">
        <f>VLOOKUP(A36,'FRS geographical categories'!A:C,2,FALSE)</f>
        <v>Significantly Rural</v>
      </c>
      <c r="L36" s="108" t="str">
        <f>VLOOKUP(A36,'FRS geographical categories'!A:C,3,FALSE)</f>
        <v>Non-metropolitan</v>
      </c>
    </row>
    <row r="37" spans="1:12" x14ac:dyDescent="0.2">
      <c r="A37" s="104" t="s">
        <v>27</v>
      </c>
      <c r="C37" s="110">
        <v>44473</v>
      </c>
      <c r="D37" s="110">
        <v>50114</v>
      </c>
      <c r="E37" s="110">
        <v>20032</v>
      </c>
      <c r="F37" s="110">
        <v>23808</v>
      </c>
      <c r="G37" s="110">
        <v>10504</v>
      </c>
      <c r="H37" s="110">
        <v>16906</v>
      </c>
      <c r="I37" s="110">
        <v>174</v>
      </c>
      <c r="J37" s="110">
        <v>128</v>
      </c>
      <c r="K37" s="108" t="str">
        <f>VLOOKUP(A37,'FRS geographical categories'!A:C,2,FALSE)</f>
        <v>Predominantly Urban</v>
      </c>
      <c r="L37" s="108" t="str">
        <f>VLOOKUP(A37,'FRS geographical categories'!A:C,3,FALSE)</f>
        <v>Non-metropolitan</v>
      </c>
    </row>
    <row r="38" spans="1:12" x14ac:dyDescent="0.2">
      <c r="A38" s="104" t="s">
        <v>28</v>
      </c>
      <c r="C38" s="110">
        <v>3966</v>
      </c>
      <c r="D38" s="110">
        <v>6940.5</v>
      </c>
      <c r="E38" s="110">
        <v>2217</v>
      </c>
      <c r="F38" s="110">
        <v>3880</v>
      </c>
      <c r="G38" s="110">
        <v>898</v>
      </c>
      <c r="H38" s="110">
        <v>1572</v>
      </c>
      <c r="I38" s="110">
        <v>549</v>
      </c>
      <c r="J38" s="110">
        <v>960.75</v>
      </c>
      <c r="K38" s="108" t="str">
        <f>VLOOKUP(A38,'FRS geographical categories'!A:C,2,FALSE)</f>
        <v>Significantly Rural</v>
      </c>
      <c r="L38" s="108" t="str">
        <f>VLOOKUP(A38,'FRS geographical categories'!A:C,3,FALSE)</f>
        <v>Non-metropolitan</v>
      </c>
    </row>
    <row r="39" spans="1:12" x14ac:dyDescent="0.2">
      <c r="A39" s="104" t="s">
        <v>29</v>
      </c>
      <c r="C39" s="110">
        <v>11337</v>
      </c>
      <c r="D39" s="110">
        <v>17005</v>
      </c>
      <c r="E39" s="110">
        <v>4644</v>
      </c>
      <c r="F39" s="110">
        <v>6966</v>
      </c>
      <c r="G39" s="110">
        <v>1196</v>
      </c>
      <c r="H39" s="110">
        <v>1794</v>
      </c>
      <c r="I39" s="110">
        <v>0</v>
      </c>
      <c r="J39" s="110">
        <v>0</v>
      </c>
      <c r="K39" s="108" t="str">
        <f>VLOOKUP(A39,'FRS geographical categories'!A:C,2,FALSE)</f>
        <v>Predominantly Rural</v>
      </c>
      <c r="L39" s="108" t="str">
        <f>VLOOKUP(A39,'FRS geographical categories'!A:C,3,FALSE)</f>
        <v>Non-metropolitan</v>
      </c>
    </row>
    <row r="40" spans="1:12" x14ac:dyDescent="0.2">
      <c r="A40" s="104" t="s">
        <v>30</v>
      </c>
      <c r="C40" s="110">
        <v>65412</v>
      </c>
      <c r="D40" s="110">
        <v>101311</v>
      </c>
      <c r="E40" s="110">
        <v>25299</v>
      </c>
      <c r="F40" s="110">
        <v>38095</v>
      </c>
      <c r="G40" s="110">
        <v>10089</v>
      </c>
      <c r="H40" s="110">
        <v>15738</v>
      </c>
      <c r="I40" s="110">
        <v>9264</v>
      </c>
      <c r="J40" s="110">
        <v>14822</v>
      </c>
      <c r="K40" s="108" t="str">
        <f>VLOOKUP(A40,'FRS geographical categories'!A:C,2,FALSE)</f>
        <v>Predominantly Urban</v>
      </c>
      <c r="L40" s="108" t="str">
        <f>VLOOKUP(A40,'FRS geographical categories'!A:C,3,FALSE)</f>
        <v>Metropolitan</v>
      </c>
    </row>
    <row r="41" spans="1:12" x14ac:dyDescent="0.2">
      <c r="A41" s="104" t="s">
        <v>31</v>
      </c>
      <c r="C41" s="110">
        <v>3560</v>
      </c>
      <c r="D41" s="110">
        <v>3874</v>
      </c>
      <c r="E41" s="110">
        <v>2135</v>
      </c>
      <c r="F41" s="110">
        <v>2449</v>
      </c>
      <c r="G41" s="110">
        <v>0</v>
      </c>
      <c r="H41" s="110">
        <v>0</v>
      </c>
      <c r="I41" s="110">
        <v>38</v>
      </c>
      <c r="J41" s="110">
        <v>38</v>
      </c>
      <c r="K41" s="108" t="str">
        <f>VLOOKUP(A41,'FRS geographical categories'!A:C,2,FALSE)</f>
        <v>Predominantly Rural</v>
      </c>
      <c r="L41" s="108" t="str">
        <f>VLOOKUP(A41,'FRS geographical categories'!A:C,3,FALSE)</f>
        <v>Non-metropolitan</v>
      </c>
    </row>
    <row r="42" spans="1:12" x14ac:dyDescent="0.2">
      <c r="A42" s="104" t="s">
        <v>32</v>
      </c>
      <c r="C42" s="110">
        <v>2973</v>
      </c>
      <c r="D42" s="110">
        <v>3907</v>
      </c>
      <c r="E42" s="110">
        <v>1319</v>
      </c>
      <c r="F42" s="110">
        <v>1750</v>
      </c>
      <c r="G42" s="110">
        <v>0</v>
      </c>
      <c r="H42" s="110">
        <v>0</v>
      </c>
      <c r="I42" s="110">
        <v>65</v>
      </c>
      <c r="J42" s="110">
        <v>32</v>
      </c>
      <c r="K42" s="108" t="str">
        <f>VLOOKUP(A42,'FRS geographical categories'!A:C,2,FALSE)</f>
        <v>Predominantly Rural</v>
      </c>
      <c r="L42" s="108" t="str">
        <f>VLOOKUP(A42,'FRS geographical categories'!A:C,3,FALSE)</f>
        <v>Non-metropolitan</v>
      </c>
    </row>
    <row r="43" spans="1:12" x14ac:dyDescent="0.2">
      <c r="A43" s="104" t="s">
        <v>33</v>
      </c>
      <c r="C43" s="110">
        <v>9952</v>
      </c>
      <c r="D43" s="110">
        <v>6527</v>
      </c>
      <c r="E43" s="110">
        <v>3088</v>
      </c>
      <c r="F43" s="110">
        <v>2058</v>
      </c>
      <c r="G43" s="110">
        <v>1138</v>
      </c>
      <c r="H43" s="110">
        <v>759</v>
      </c>
      <c r="I43" s="110">
        <v>271</v>
      </c>
      <c r="J43" s="110">
        <v>179</v>
      </c>
      <c r="K43" s="108" t="str">
        <f>VLOOKUP(A43,'FRS geographical categories'!A:C,2,FALSE)</f>
        <v>Significantly Rural</v>
      </c>
      <c r="L43" s="108" t="str">
        <f>VLOOKUP(A43,'FRS geographical categories'!A:C,3,FALSE)</f>
        <v>Non-metropolitan</v>
      </c>
    </row>
    <row r="44" spans="1:12" x14ac:dyDescent="0.2">
      <c r="A44" s="104" t="s">
        <v>34</v>
      </c>
      <c r="C44" s="110">
        <v>10086</v>
      </c>
      <c r="D44" s="110">
        <v>9647</v>
      </c>
      <c r="E44" s="110">
        <v>5061</v>
      </c>
      <c r="F44" s="110">
        <v>4894</v>
      </c>
      <c r="G44" s="110">
        <v>709</v>
      </c>
      <c r="H44" s="110">
        <v>736</v>
      </c>
      <c r="I44" s="110">
        <v>0</v>
      </c>
      <c r="J44" s="110">
        <v>0</v>
      </c>
      <c r="K44" s="108" t="str">
        <f>VLOOKUP(A44,'FRS geographical categories'!A:C,2,FALSE)</f>
        <v>Predominantly Rural</v>
      </c>
      <c r="L44" s="108" t="str">
        <f>VLOOKUP(A44,'FRS geographical categories'!A:C,3,FALSE)</f>
        <v>Non-metropolitan</v>
      </c>
    </row>
    <row r="45" spans="1:12" x14ac:dyDescent="0.2">
      <c r="A45" s="104" t="s">
        <v>35</v>
      </c>
      <c r="C45" s="110">
        <v>3442</v>
      </c>
      <c r="D45" s="110">
        <v>6328.85</v>
      </c>
      <c r="E45" s="110">
        <v>1480</v>
      </c>
      <c r="F45" s="110">
        <v>2580</v>
      </c>
      <c r="G45" s="110">
        <v>1117</v>
      </c>
      <c r="H45" s="110">
        <v>2141.1666666666665</v>
      </c>
      <c r="I45" s="110">
        <v>426</v>
      </c>
      <c r="J45" s="110">
        <v>507.58333333333331</v>
      </c>
      <c r="K45" s="108" t="str">
        <f>VLOOKUP(A45,'FRS geographical categories'!A:C,2,FALSE)</f>
        <v>Predominantly Urban</v>
      </c>
      <c r="L45" s="108" t="str">
        <f>VLOOKUP(A45,'FRS geographical categories'!A:C,3,FALSE)</f>
        <v>Non-metropolitan</v>
      </c>
    </row>
    <row r="46" spans="1:12" x14ac:dyDescent="0.2">
      <c r="A46" s="104" t="s">
        <v>36</v>
      </c>
      <c r="C46" s="110">
        <v>2618</v>
      </c>
      <c r="D46" s="110">
        <v>7904</v>
      </c>
      <c r="E46" s="110">
        <v>1238</v>
      </c>
      <c r="F46" s="110">
        <v>3534</v>
      </c>
      <c r="G46" s="110" t="s">
        <v>65</v>
      </c>
      <c r="H46" s="110" t="s">
        <v>65</v>
      </c>
      <c r="I46" s="110">
        <v>9</v>
      </c>
      <c r="J46" s="110">
        <v>25</v>
      </c>
      <c r="K46" s="108" t="str">
        <f>VLOOKUP(A46,'FRS geographical categories'!A:C,2,FALSE)</f>
        <v>Predominantly Rural</v>
      </c>
      <c r="L46" s="108" t="str">
        <f>VLOOKUP(A46,'FRS geographical categories'!A:C,3,FALSE)</f>
        <v>Non-metropolitan</v>
      </c>
    </row>
    <row r="47" spans="1:12" x14ac:dyDescent="0.2">
      <c r="A47" s="104" t="s">
        <v>37</v>
      </c>
      <c r="C47" s="110">
        <v>5629</v>
      </c>
      <c r="D47" s="110">
        <v>7845</v>
      </c>
      <c r="E47" s="110">
        <v>0</v>
      </c>
      <c r="F47" s="110">
        <v>0</v>
      </c>
      <c r="G47" s="110">
        <v>0</v>
      </c>
      <c r="H47" s="110">
        <v>0</v>
      </c>
      <c r="I47" s="110">
        <v>767</v>
      </c>
      <c r="J47" s="110">
        <v>0</v>
      </c>
      <c r="K47" s="108" t="str">
        <f>VLOOKUP(A47,'FRS geographical categories'!A:C,2,FALSE)</f>
        <v>Predominantly Rural</v>
      </c>
      <c r="L47" s="108" t="str">
        <f>VLOOKUP(A47,'FRS geographical categories'!A:C,3,FALSE)</f>
        <v>Non-metropolitan</v>
      </c>
    </row>
    <row r="48" spans="1:12" x14ac:dyDescent="0.2">
      <c r="A48" s="104" t="s">
        <v>38</v>
      </c>
      <c r="C48" s="110">
        <v>27515</v>
      </c>
      <c r="D48" s="110">
        <v>18343.330000000002</v>
      </c>
      <c r="E48" s="110">
        <v>9895</v>
      </c>
      <c r="F48" s="110">
        <v>6596.66</v>
      </c>
      <c r="G48" s="110">
        <v>5618</v>
      </c>
      <c r="H48" s="110">
        <v>3745.33</v>
      </c>
      <c r="I48" s="110">
        <v>3</v>
      </c>
      <c r="J48" s="110">
        <v>2</v>
      </c>
      <c r="K48" s="108" t="str">
        <f>VLOOKUP(A48,'FRS geographical categories'!A:C,2,FALSE)</f>
        <v>Predominantly Urban</v>
      </c>
      <c r="L48" s="108" t="str">
        <f>VLOOKUP(A48,'FRS geographical categories'!A:C,3,FALSE)</f>
        <v>Metropolitan</v>
      </c>
    </row>
    <row r="49" spans="1:12" x14ac:dyDescent="0.2">
      <c r="A49" s="104" t="s">
        <v>39</v>
      </c>
      <c r="C49" s="110">
        <v>29630</v>
      </c>
      <c r="D49" s="110" t="s">
        <v>62</v>
      </c>
      <c r="E49" s="110">
        <v>13768</v>
      </c>
      <c r="F49" s="110">
        <v>0</v>
      </c>
      <c r="G49" s="110">
        <v>7400</v>
      </c>
      <c r="H49" s="110">
        <v>0</v>
      </c>
      <c r="I49" s="110">
        <v>0</v>
      </c>
      <c r="J49" s="110">
        <v>0</v>
      </c>
      <c r="K49" s="108" t="str">
        <f>VLOOKUP(A49,'FRS geographical categories'!A:C,2,FALSE)</f>
        <v>Significantly Rural</v>
      </c>
      <c r="L49" s="108" t="str">
        <f>VLOOKUP(A49,'FRS geographical categories'!A:C,3,FALSE)</f>
        <v>Non-metropolitan</v>
      </c>
    </row>
    <row r="50" spans="1:12" x14ac:dyDescent="0.2">
      <c r="A50" s="104" t="s">
        <v>40</v>
      </c>
      <c r="C50" s="110">
        <v>1732</v>
      </c>
      <c r="D50" s="110">
        <v>4704.58</v>
      </c>
      <c r="E50" s="110">
        <v>981</v>
      </c>
      <c r="F50" s="110">
        <v>3105.37</v>
      </c>
      <c r="G50" s="110">
        <v>159</v>
      </c>
      <c r="H50" s="110">
        <v>376.28</v>
      </c>
      <c r="I50" s="110">
        <v>0</v>
      </c>
      <c r="J50" s="110">
        <v>0</v>
      </c>
      <c r="K50" s="108" t="str">
        <f>VLOOKUP(A50,'FRS geographical categories'!A:C,2,FALSE)</f>
        <v>Predominantly Rural</v>
      </c>
      <c r="L50" s="108" t="str">
        <f>VLOOKUP(A50,'FRS geographical categories'!A:C,3,FALSE)</f>
        <v>Non-metropolitan</v>
      </c>
    </row>
    <row r="51" spans="1:12" x14ac:dyDescent="0.2">
      <c r="A51" s="104" t="s">
        <v>41</v>
      </c>
      <c r="C51" s="110">
        <v>3340</v>
      </c>
      <c r="D51" s="110" t="s">
        <v>62</v>
      </c>
      <c r="E51" s="110">
        <v>1922</v>
      </c>
      <c r="F51" s="110">
        <v>0</v>
      </c>
      <c r="G51" s="110">
        <v>1326</v>
      </c>
      <c r="H51" s="110">
        <v>0</v>
      </c>
      <c r="I51" s="110">
        <v>89</v>
      </c>
      <c r="J51" s="110">
        <v>0</v>
      </c>
      <c r="K51" s="108" t="str">
        <f>VLOOKUP(A51,'FRS geographical categories'!A:C,2,FALSE)</f>
        <v>Predominantly Urban</v>
      </c>
      <c r="L51" s="108" t="str">
        <f>VLOOKUP(A51,'FRS geographical categories'!A:C,3,FALSE)</f>
        <v>Non-metropolitan</v>
      </c>
    </row>
    <row r="52" spans="1:12" x14ac:dyDescent="0.2">
      <c r="A52" s="104" t="s">
        <v>42</v>
      </c>
      <c r="C52" s="110">
        <v>30578</v>
      </c>
      <c r="D52" s="110">
        <v>13499</v>
      </c>
      <c r="E52" s="110">
        <v>12484</v>
      </c>
      <c r="F52" s="110">
        <v>5823</v>
      </c>
      <c r="G52" s="110">
        <v>4616</v>
      </c>
      <c r="H52" s="110">
        <v>2571</v>
      </c>
      <c r="I52" s="110">
        <v>19304</v>
      </c>
      <c r="J52" s="110">
        <v>3884</v>
      </c>
      <c r="K52" s="108" t="str">
        <f>VLOOKUP(A52,'FRS geographical categories'!A:C,2,FALSE)</f>
        <v>Predominantly Urban</v>
      </c>
      <c r="L52" s="108" t="str">
        <f>VLOOKUP(A52,'FRS geographical categories'!A:C,3,FALSE)</f>
        <v>Metropolitan</v>
      </c>
    </row>
    <row r="53" spans="1:12" x14ac:dyDescent="0.2">
      <c r="A53" s="104" t="s">
        <v>43</v>
      </c>
      <c r="C53" s="110">
        <v>3758</v>
      </c>
      <c r="D53" s="110">
        <v>3758</v>
      </c>
      <c r="E53" s="110">
        <v>2012</v>
      </c>
      <c r="F53" s="110">
        <v>2012</v>
      </c>
      <c r="G53" s="110">
        <v>527</v>
      </c>
      <c r="H53" s="110">
        <v>527</v>
      </c>
      <c r="I53" s="110">
        <v>164</v>
      </c>
      <c r="J53" s="110">
        <v>164</v>
      </c>
      <c r="K53" s="108" t="str">
        <f>VLOOKUP(A53,'FRS geographical categories'!A:C,2,FALSE)</f>
        <v>Significantly Rural</v>
      </c>
      <c r="L53" s="108" t="str">
        <f>VLOOKUP(A53,'FRS geographical categories'!A:C,3,FALSE)</f>
        <v>Non-metropolitan</v>
      </c>
    </row>
    <row r="54" spans="1:12" x14ac:dyDescent="0.2">
      <c r="A54" s="104" t="s">
        <v>44</v>
      </c>
      <c r="C54" s="110">
        <v>22636</v>
      </c>
      <c r="D54" s="110">
        <v>90544</v>
      </c>
      <c r="E54" s="110">
        <v>10854</v>
      </c>
      <c r="F54" s="110">
        <v>43416</v>
      </c>
      <c r="G54" s="110">
        <v>7727</v>
      </c>
      <c r="H54" s="110">
        <v>30908</v>
      </c>
      <c r="I54" s="110">
        <v>0</v>
      </c>
      <c r="J54" s="110">
        <v>0</v>
      </c>
      <c r="K54" s="108" t="str">
        <f>VLOOKUP(A54,'FRS geographical categories'!A:C,2,FALSE)</f>
        <v>Predominantly Urban</v>
      </c>
      <c r="L54" s="108" t="str">
        <f>VLOOKUP(A54,'FRS geographical categories'!A:C,3,FALSE)</f>
        <v>Metropolitan</v>
      </c>
    </row>
    <row r="55" spans="1:12" x14ac:dyDescent="0.2">
      <c r="A55" s="104" t="s">
        <v>45</v>
      </c>
      <c r="C55" s="110">
        <v>5823</v>
      </c>
      <c r="D55" s="110">
        <v>10167</v>
      </c>
      <c r="E55" s="110">
        <v>2370</v>
      </c>
      <c r="F55" s="110">
        <v>3555</v>
      </c>
      <c r="G55" s="110">
        <v>1418</v>
      </c>
      <c r="H55" s="110">
        <v>2127</v>
      </c>
      <c r="I55" s="110">
        <v>0</v>
      </c>
      <c r="J55" s="110">
        <v>0</v>
      </c>
      <c r="K55" s="108" t="str">
        <f>VLOOKUP(A55,'FRS geographical categories'!A:C,2,FALSE)</f>
        <v>Significantly Rural</v>
      </c>
      <c r="L55" s="108" t="str">
        <f>VLOOKUP(A55,'FRS geographical categories'!A:C,3,FALSE)</f>
        <v>Non-metropolitan</v>
      </c>
    </row>
    <row r="56" spans="1:12" x14ac:dyDescent="0.2">
      <c r="A56" s="104" t="s">
        <v>46</v>
      </c>
      <c r="C56" s="110">
        <v>55149</v>
      </c>
      <c r="D56" s="110">
        <v>48274</v>
      </c>
      <c r="E56" s="110">
        <v>20514</v>
      </c>
      <c r="F56" s="110">
        <v>18866</v>
      </c>
      <c r="G56" s="110">
        <v>3505</v>
      </c>
      <c r="H56" s="110">
        <v>4035</v>
      </c>
      <c r="I56" s="110">
        <v>133</v>
      </c>
      <c r="J56" s="110">
        <v>146</v>
      </c>
      <c r="K56" s="108" t="str">
        <f>VLOOKUP(A56,'FRS geographical categories'!A:C,2,FALSE)</f>
        <v>Predominantly Urban</v>
      </c>
      <c r="L56" s="108" t="str">
        <f>VLOOKUP(A56,'FRS geographical categories'!A:C,3,FALSE)</f>
        <v>Metropolitan</v>
      </c>
    </row>
    <row r="57" spans="1:12" x14ac:dyDescent="0.2">
      <c r="C57" s="110"/>
      <c r="D57" s="110"/>
      <c r="E57" s="110"/>
      <c r="F57" s="110"/>
      <c r="G57" s="110"/>
      <c r="H57" s="110"/>
      <c r="I57" s="110"/>
      <c r="J57" s="110"/>
      <c r="K57" s="108"/>
      <c r="L57" s="108"/>
    </row>
    <row r="58" spans="1:12" x14ac:dyDescent="0.2">
      <c r="A58" s="104" t="s">
        <v>139</v>
      </c>
      <c r="C58" s="110"/>
      <c r="D58" s="110"/>
      <c r="E58" s="110"/>
      <c r="F58" s="110"/>
      <c r="G58" s="110"/>
      <c r="H58" s="110"/>
      <c r="I58" s="110"/>
      <c r="J58" s="110"/>
      <c r="K58" s="108"/>
      <c r="L58" s="108"/>
    </row>
    <row r="59" spans="1:12" ht="10.35" customHeight="1" x14ac:dyDescent="0.2">
      <c r="A59" s="104" t="s">
        <v>39</v>
      </c>
      <c r="D59" s="81">
        <v>21774.154940927918</v>
      </c>
      <c r="K59" s="108" t="str">
        <f>VLOOKUP(A59,'FRS geographical categories'!A:C,2,FALSE)</f>
        <v>Significantly Rural</v>
      </c>
      <c r="L59" s="108" t="str">
        <f>VLOOKUP(A59,'FRS geographical categories'!A:C,3,FALSE)</f>
        <v>Non-metropolitan</v>
      </c>
    </row>
    <row r="60" spans="1:12" ht="10.35" customHeight="1" x14ac:dyDescent="0.2">
      <c r="A60" s="104" t="s">
        <v>41</v>
      </c>
      <c r="D60" s="81">
        <v>2454.4609349544126</v>
      </c>
      <c r="K60" s="108" t="str">
        <f>VLOOKUP(A60,'FRS geographical categories'!A:C,2,FALSE)</f>
        <v>Predominantly Urban</v>
      </c>
      <c r="L60" s="108" t="str">
        <f>VLOOKUP(A60,'FRS geographical categories'!A:C,3,FALSE)</f>
        <v>Non-metropolitan</v>
      </c>
    </row>
    <row r="61" spans="1:12" ht="10.35" customHeight="1" x14ac:dyDescent="0.2"/>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row r="69" ht="10.35"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F2E9A-39A0-445F-A0A5-F1F2D506F48B}">
  <sheetPr codeName="Sheet4"/>
  <dimension ref="A1:L69"/>
  <sheetViews>
    <sheetView workbookViewId="0">
      <selection sqref="A1:J1"/>
    </sheetView>
  </sheetViews>
  <sheetFormatPr defaultColWidth="8.77734375" defaultRowHeight="10.199999999999999" x14ac:dyDescent="0.2"/>
  <cols>
    <col min="1" max="1" width="21" style="104" bestFit="1" customWidth="1"/>
    <col min="2" max="2" width="4.44140625" style="104" customWidth="1"/>
    <col min="3" max="10" width="8.77734375" style="104"/>
    <col min="11" max="11" width="18.44140625" style="104" bestFit="1" customWidth="1"/>
    <col min="12" max="12" width="15.77734375" style="104" bestFit="1" customWidth="1"/>
    <col min="13" max="16384" width="8.77734375" style="104"/>
  </cols>
  <sheetData>
    <row r="1" spans="1:12" ht="41.55" customHeight="1" x14ac:dyDescent="0.2">
      <c r="A1" s="178"/>
      <c r="B1" s="178"/>
      <c r="C1" s="178"/>
      <c r="D1" s="178"/>
      <c r="E1" s="178"/>
      <c r="F1" s="178"/>
      <c r="G1" s="178"/>
      <c r="H1" s="178"/>
      <c r="I1" s="178"/>
      <c r="J1" s="178"/>
    </row>
    <row r="2" spans="1:12" ht="36.6" customHeight="1" x14ac:dyDescent="0.2">
      <c r="A2" s="179"/>
      <c r="B2" s="112"/>
      <c r="C2" s="181" t="s">
        <v>58</v>
      </c>
      <c r="D2" s="182"/>
      <c r="E2" s="183" t="s">
        <v>63</v>
      </c>
      <c r="F2" s="183"/>
      <c r="G2" s="183" t="s">
        <v>64</v>
      </c>
      <c r="H2" s="183"/>
      <c r="I2" s="181" t="s">
        <v>59</v>
      </c>
      <c r="J2" s="182"/>
    </row>
    <row r="3" spans="1:12" ht="27.6" customHeight="1" x14ac:dyDescent="0.2">
      <c r="A3" s="180"/>
      <c r="B3" s="113"/>
      <c r="C3" s="105" t="s">
        <v>60</v>
      </c>
      <c r="D3" s="106" t="s">
        <v>61</v>
      </c>
      <c r="E3" s="105" t="s">
        <v>60</v>
      </c>
      <c r="F3" s="106" t="s">
        <v>61</v>
      </c>
      <c r="G3" s="105" t="s">
        <v>60</v>
      </c>
      <c r="H3" s="106" t="s">
        <v>61</v>
      </c>
      <c r="I3" s="105" t="s">
        <v>60</v>
      </c>
      <c r="J3" s="106" t="s">
        <v>61</v>
      </c>
    </row>
    <row r="6" spans="1:12" x14ac:dyDescent="0.2">
      <c r="A6" s="107" t="s">
        <v>0</v>
      </c>
      <c r="B6" s="107"/>
      <c r="C6" s="109">
        <f t="shared" ref="C6:J6" si="0">SUM(C12:C61)</f>
        <v>626706</v>
      </c>
      <c r="D6" s="109">
        <f t="shared" si="0"/>
        <v>732606.06608912186</v>
      </c>
      <c r="E6" s="109">
        <f t="shared" si="0"/>
        <v>253565</v>
      </c>
      <c r="F6" s="109">
        <f t="shared" si="0"/>
        <v>298424.64666666667</v>
      </c>
      <c r="G6" s="109">
        <f t="shared" si="0"/>
        <v>110712</v>
      </c>
      <c r="H6" s="109">
        <f t="shared" si="0"/>
        <v>143379.57666666666</v>
      </c>
      <c r="I6" s="109">
        <f t="shared" si="0"/>
        <v>45313</v>
      </c>
      <c r="J6" s="109">
        <f t="shared" si="0"/>
        <v>31941.99</v>
      </c>
    </row>
    <row r="7" spans="1:12" x14ac:dyDescent="0.2">
      <c r="A7" s="107" t="s">
        <v>77</v>
      </c>
      <c r="B7" s="107"/>
      <c r="C7" s="109">
        <f t="shared" ref="C7:J8" si="1">SUMIF($L$12:$L$61,$A7,C$12:C$61)</f>
        <v>322477</v>
      </c>
      <c r="D7" s="109">
        <f t="shared" si="1"/>
        <v>360224.96608912182</v>
      </c>
      <c r="E7" s="109">
        <f t="shared" si="1"/>
        <v>137688</v>
      </c>
      <c r="F7" s="109">
        <f t="shared" si="1"/>
        <v>146920.78</v>
      </c>
      <c r="G7" s="109">
        <f t="shared" si="1"/>
        <v>59641</v>
      </c>
      <c r="H7" s="109">
        <f t="shared" si="1"/>
        <v>59492.81</v>
      </c>
      <c r="I7" s="109">
        <f t="shared" si="1"/>
        <v>19057</v>
      </c>
      <c r="J7" s="109">
        <f t="shared" si="1"/>
        <v>13928.99</v>
      </c>
    </row>
    <row r="8" spans="1:12" x14ac:dyDescent="0.2">
      <c r="A8" s="107" t="s">
        <v>49</v>
      </c>
      <c r="B8" s="107"/>
      <c r="C8" s="109">
        <f t="shared" si="1"/>
        <v>304229</v>
      </c>
      <c r="D8" s="109">
        <f t="shared" si="1"/>
        <v>372381.1</v>
      </c>
      <c r="E8" s="109">
        <f t="shared" si="1"/>
        <v>115877</v>
      </c>
      <c r="F8" s="109">
        <f t="shared" si="1"/>
        <v>151503.86666666667</v>
      </c>
      <c r="G8" s="109">
        <f t="shared" si="1"/>
        <v>51071</v>
      </c>
      <c r="H8" s="109">
        <f t="shared" si="1"/>
        <v>83886.766666666663</v>
      </c>
      <c r="I8" s="109">
        <f t="shared" si="1"/>
        <v>26256</v>
      </c>
      <c r="J8" s="109">
        <f t="shared" si="1"/>
        <v>18013</v>
      </c>
    </row>
    <row r="9" spans="1:12" x14ac:dyDescent="0.2">
      <c r="A9" s="107" t="s">
        <v>114</v>
      </c>
      <c r="B9" s="107"/>
      <c r="C9" s="109">
        <f t="shared" ref="C9:J11" si="2">SUMIF($K$12:$K$61,$A9,C$12:C$61)</f>
        <v>398312</v>
      </c>
      <c r="D9" s="109">
        <f t="shared" si="2"/>
        <v>503140.68421983917</v>
      </c>
      <c r="E9" s="109">
        <f t="shared" si="2"/>
        <v>152909</v>
      </c>
      <c r="F9" s="109">
        <f t="shared" si="2"/>
        <v>203375.38666666666</v>
      </c>
      <c r="G9" s="109">
        <f t="shared" si="2"/>
        <v>69105</v>
      </c>
      <c r="H9" s="109">
        <f t="shared" si="2"/>
        <v>106484.09666666668</v>
      </c>
      <c r="I9" s="109">
        <f t="shared" si="2"/>
        <v>31240</v>
      </c>
      <c r="J9" s="109">
        <f t="shared" si="2"/>
        <v>19972</v>
      </c>
    </row>
    <row r="10" spans="1:12" x14ac:dyDescent="0.2">
      <c r="A10" s="107" t="s">
        <v>115</v>
      </c>
      <c r="B10" s="107"/>
      <c r="C10" s="109">
        <f t="shared" si="2"/>
        <v>151369</v>
      </c>
      <c r="D10" s="109">
        <f t="shared" si="2"/>
        <v>149262.03186928274</v>
      </c>
      <c r="E10" s="109">
        <f t="shared" si="2"/>
        <v>78331</v>
      </c>
      <c r="F10" s="109">
        <f t="shared" si="2"/>
        <v>67730.760000000009</v>
      </c>
      <c r="G10" s="109">
        <f t="shared" si="2"/>
        <v>37710</v>
      </c>
      <c r="H10" s="109">
        <f t="shared" si="2"/>
        <v>31850.48</v>
      </c>
      <c r="I10" s="109">
        <f t="shared" si="2"/>
        <v>11582</v>
      </c>
      <c r="J10" s="109">
        <f t="shared" si="2"/>
        <v>11688.84</v>
      </c>
    </row>
    <row r="11" spans="1:12" x14ac:dyDescent="0.2">
      <c r="A11" s="107" t="s">
        <v>116</v>
      </c>
      <c r="B11" s="107"/>
      <c r="C11" s="109">
        <f t="shared" si="2"/>
        <v>77025</v>
      </c>
      <c r="D11" s="109">
        <f t="shared" si="2"/>
        <v>80203.350000000006</v>
      </c>
      <c r="E11" s="109">
        <f t="shared" si="2"/>
        <v>22325</v>
      </c>
      <c r="F11" s="109">
        <f t="shared" si="2"/>
        <v>27318.5</v>
      </c>
      <c r="G11" s="109">
        <f t="shared" si="2"/>
        <v>3897</v>
      </c>
      <c r="H11" s="109">
        <f t="shared" si="2"/>
        <v>5045</v>
      </c>
      <c r="I11" s="109">
        <f t="shared" si="2"/>
        <v>2491</v>
      </c>
      <c r="J11" s="109">
        <f t="shared" si="2"/>
        <v>281.14999999999998</v>
      </c>
    </row>
    <row r="12" spans="1:12" x14ac:dyDescent="0.2">
      <c r="A12" s="104" t="s">
        <v>3</v>
      </c>
      <c r="C12" s="110">
        <v>5666</v>
      </c>
      <c r="D12" s="110">
        <v>3856.25</v>
      </c>
      <c r="E12" s="110">
        <v>3220</v>
      </c>
      <c r="F12" s="110">
        <v>2191.52</v>
      </c>
      <c r="G12" s="110">
        <v>2034</v>
      </c>
      <c r="H12" s="110">
        <v>1385.33</v>
      </c>
      <c r="I12" s="110">
        <v>1167</v>
      </c>
      <c r="J12" s="110" t="s">
        <v>65</v>
      </c>
      <c r="K12" s="108" t="str">
        <f>VLOOKUP(A12,'FRS geographical categories'!A:C,2,FALSE)</f>
        <v>Predominantly Urban</v>
      </c>
      <c r="L12" s="108" t="str">
        <f>VLOOKUP(A12,'FRS geographical categories'!A:C,3,FALSE)</f>
        <v>Non-metropolitan</v>
      </c>
    </row>
    <row r="13" spans="1:12" x14ac:dyDescent="0.2">
      <c r="A13" s="104" t="s">
        <v>4</v>
      </c>
      <c r="C13" s="110">
        <v>3608</v>
      </c>
      <c r="D13" s="110">
        <v>4383</v>
      </c>
      <c r="E13" s="110" t="s">
        <v>65</v>
      </c>
      <c r="F13" s="110" t="s">
        <v>65</v>
      </c>
      <c r="G13" s="110" t="s">
        <v>65</v>
      </c>
      <c r="H13" s="110" t="s">
        <v>65</v>
      </c>
      <c r="I13" s="110">
        <v>1026</v>
      </c>
      <c r="J13" s="110" t="s">
        <v>65</v>
      </c>
      <c r="K13" s="108" t="str">
        <f>VLOOKUP(A13,'FRS geographical categories'!A:C,2,FALSE)</f>
        <v>Significantly Rural</v>
      </c>
      <c r="L13" s="108" t="str">
        <f>VLOOKUP(A13,'FRS geographical categories'!A:C,3,FALSE)</f>
        <v>Non-metropolitan</v>
      </c>
    </row>
    <row r="14" spans="1:12" x14ac:dyDescent="0.2">
      <c r="A14" s="104" t="s">
        <v>5</v>
      </c>
      <c r="C14" s="110">
        <v>5944</v>
      </c>
      <c r="D14" s="110">
        <v>11888</v>
      </c>
      <c r="E14" s="110">
        <v>4107</v>
      </c>
      <c r="F14" s="110">
        <v>8214</v>
      </c>
      <c r="G14" s="110">
        <v>1649</v>
      </c>
      <c r="H14" s="110">
        <v>3298</v>
      </c>
      <c r="I14" s="110" t="s">
        <v>65</v>
      </c>
      <c r="J14" s="110" t="s">
        <v>65</v>
      </c>
      <c r="K14" s="108" t="str">
        <f>VLOOKUP(A14,'FRS geographical categories'!A:C,2,FALSE)</f>
        <v>Predominantly Urban</v>
      </c>
      <c r="L14" s="108" t="str">
        <f>VLOOKUP(A14,'FRS geographical categories'!A:C,3,FALSE)</f>
        <v>Non-metropolitan</v>
      </c>
    </row>
    <row r="15" spans="1:12" x14ac:dyDescent="0.2">
      <c r="A15" s="104" t="s">
        <v>6</v>
      </c>
      <c r="C15" s="110">
        <v>5934</v>
      </c>
      <c r="D15" s="110">
        <v>3956</v>
      </c>
      <c r="E15" s="110">
        <v>1415</v>
      </c>
      <c r="F15" s="110">
        <v>943</v>
      </c>
      <c r="G15" s="110">
        <v>523</v>
      </c>
      <c r="H15" s="110">
        <v>349</v>
      </c>
      <c r="I15" s="110">
        <v>0</v>
      </c>
      <c r="J15" s="110" t="s">
        <v>65</v>
      </c>
      <c r="K15" s="108" t="str">
        <f>VLOOKUP(A15,'FRS geographical categories'!A:C,2,FALSE)</f>
        <v>Significantly Rural</v>
      </c>
      <c r="L15" s="108" t="str">
        <f>VLOOKUP(A15,'FRS geographical categories'!A:C,3,FALSE)</f>
        <v>Non-metropolitan</v>
      </c>
    </row>
    <row r="16" spans="1:12" x14ac:dyDescent="0.2">
      <c r="A16" s="104" t="s">
        <v>7</v>
      </c>
      <c r="C16" s="110">
        <v>4633</v>
      </c>
      <c r="D16" s="110">
        <v>4670</v>
      </c>
      <c r="E16" s="110">
        <v>2415</v>
      </c>
      <c r="F16" s="110">
        <v>2965</v>
      </c>
      <c r="G16" s="110">
        <v>2010</v>
      </c>
      <c r="H16" s="110">
        <v>2686</v>
      </c>
      <c r="I16" s="110">
        <v>0</v>
      </c>
      <c r="J16" s="110">
        <v>0</v>
      </c>
      <c r="K16" s="108" t="str">
        <f>VLOOKUP(A16,'FRS geographical categories'!A:C,2,FALSE)</f>
        <v>Predominantly Rural</v>
      </c>
      <c r="L16" s="108" t="str">
        <f>VLOOKUP(A16,'FRS geographical categories'!A:C,3,FALSE)</f>
        <v>Non-metropolitan</v>
      </c>
    </row>
    <row r="17" spans="1:12" x14ac:dyDescent="0.2">
      <c r="A17" s="104" t="s">
        <v>8</v>
      </c>
      <c r="C17" s="110">
        <v>27206</v>
      </c>
      <c r="D17" s="110">
        <v>11671</v>
      </c>
      <c r="E17" s="110">
        <v>22273</v>
      </c>
      <c r="F17" s="110">
        <v>9251</v>
      </c>
      <c r="G17" s="110">
        <v>10240</v>
      </c>
      <c r="H17" s="110">
        <v>5304</v>
      </c>
      <c r="I17" s="110">
        <v>0</v>
      </c>
      <c r="J17" s="110">
        <v>0</v>
      </c>
      <c r="K17" s="108" t="str">
        <f>VLOOKUP(A17,'FRS geographical categories'!A:C,2,FALSE)</f>
        <v>Significantly Rural</v>
      </c>
      <c r="L17" s="108" t="str">
        <f>VLOOKUP(A17,'FRS geographical categories'!A:C,3,FALSE)</f>
        <v>Non-metropolitan</v>
      </c>
    </row>
    <row r="18" spans="1:12" x14ac:dyDescent="0.2">
      <c r="A18" s="104" t="s">
        <v>9</v>
      </c>
      <c r="C18" s="110">
        <v>21053</v>
      </c>
      <c r="D18" s="110" t="s">
        <v>62</v>
      </c>
      <c r="E18" s="110">
        <v>1427</v>
      </c>
      <c r="F18" s="110">
        <v>0</v>
      </c>
      <c r="G18" s="110">
        <v>0</v>
      </c>
      <c r="H18" s="110">
        <v>0</v>
      </c>
      <c r="I18" s="110">
        <v>1218</v>
      </c>
      <c r="J18" s="110">
        <v>0</v>
      </c>
      <c r="K18" s="108" t="str">
        <f>VLOOKUP(A18,'FRS geographical categories'!A:C,2,FALSE)</f>
        <v>Predominantly Urban</v>
      </c>
      <c r="L18" s="108" t="str">
        <f>VLOOKUP(A18,'FRS geographical categories'!A:C,3,FALSE)</f>
        <v>Non-metropolitan</v>
      </c>
    </row>
    <row r="19" spans="1:12" x14ac:dyDescent="0.2">
      <c r="A19" s="104" t="s">
        <v>10</v>
      </c>
      <c r="C19" s="110">
        <v>4107</v>
      </c>
      <c r="D19" s="110">
        <v>3012</v>
      </c>
      <c r="E19" s="110" t="s">
        <v>65</v>
      </c>
      <c r="F19" s="110" t="s">
        <v>65</v>
      </c>
      <c r="G19" s="110" t="s">
        <v>65</v>
      </c>
      <c r="H19" s="110" t="s">
        <v>65</v>
      </c>
      <c r="I19" s="110">
        <v>1200</v>
      </c>
      <c r="J19" s="110">
        <v>220</v>
      </c>
      <c r="K19" s="108" t="str">
        <f>VLOOKUP(A19,'FRS geographical categories'!A:C,2,FALSE)</f>
        <v>Predominantly Rural</v>
      </c>
      <c r="L19" s="108" t="str">
        <f>VLOOKUP(A19,'FRS geographical categories'!A:C,3,FALSE)</f>
        <v>Non-metropolitan</v>
      </c>
    </row>
    <row r="20" spans="1:12" x14ac:dyDescent="0.2">
      <c r="A20" s="104" t="s">
        <v>11</v>
      </c>
      <c r="C20" s="110">
        <v>15575</v>
      </c>
      <c r="D20" s="110">
        <v>12246</v>
      </c>
      <c r="E20" s="110">
        <v>3116</v>
      </c>
      <c r="F20" s="110">
        <v>2617</v>
      </c>
      <c r="G20" s="110" t="s">
        <v>65</v>
      </c>
      <c r="H20" s="110" t="s">
        <v>65</v>
      </c>
      <c r="I20" s="110">
        <v>0</v>
      </c>
      <c r="J20" s="110">
        <v>0</v>
      </c>
      <c r="K20" s="108" t="str">
        <f>VLOOKUP(A20,'FRS geographical categories'!A:C,2,FALSE)</f>
        <v>Predominantly Rural</v>
      </c>
      <c r="L20" s="108" t="str">
        <f>VLOOKUP(A20,'FRS geographical categories'!A:C,3,FALSE)</f>
        <v>Non-metropolitan</v>
      </c>
    </row>
    <row r="21" spans="1:12" x14ac:dyDescent="0.2">
      <c r="A21" s="81" t="s">
        <v>12</v>
      </c>
      <c r="C21" s="110">
        <v>9785</v>
      </c>
      <c r="D21" s="110">
        <v>14696</v>
      </c>
      <c r="E21" s="110">
        <v>5331</v>
      </c>
      <c r="F21" s="110">
        <v>8028</v>
      </c>
      <c r="G21" s="110">
        <v>1843</v>
      </c>
      <c r="H21" s="110">
        <v>1843</v>
      </c>
      <c r="I21" s="110">
        <v>7654</v>
      </c>
      <c r="J21" s="110">
        <v>9236</v>
      </c>
      <c r="K21" s="108" t="str">
        <f>VLOOKUP(A21,'FRS geographical categories'!A:C,2,FALSE)</f>
        <v>Significantly Rural</v>
      </c>
      <c r="L21" s="108" t="str">
        <f>VLOOKUP(A21,'FRS geographical categories'!A:C,3,FALSE)</f>
        <v>Non-metropolitan</v>
      </c>
    </row>
    <row r="22" spans="1:12" x14ac:dyDescent="0.2">
      <c r="A22" s="81" t="s">
        <v>13</v>
      </c>
      <c r="C22" s="110">
        <v>3477</v>
      </c>
      <c r="D22" s="110">
        <v>4800</v>
      </c>
      <c r="E22" s="110" t="s">
        <v>65</v>
      </c>
      <c r="F22" s="110" t="s">
        <v>65</v>
      </c>
      <c r="G22" s="110" t="s">
        <v>65</v>
      </c>
      <c r="H22" s="110" t="s">
        <v>65</v>
      </c>
      <c r="I22" s="110">
        <v>0</v>
      </c>
      <c r="J22" s="110">
        <v>0</v>
      </c>
      <c r="K22" s="108" t="str">
        <f>VLOOKUP(A22,'FRS geographical categories'!A:C,2,FALSE)</f>
        <v>Predominantly Rural</v>
      </c>
      <c r="L22" s="108" t="str">
        <f>VLOOKUP(A22,'FRS geographical categories'!A:C,3,FALSE)</f>
        <v>Non-metropolitan</v>
      </c>
    </row>
    <row r="23" spans="1:12" x14ac:dyDescent="0.2">
      <c r="A23" s="81" t="s">
        <v>74</v>
      </c>
      <c r="C23" s="110">
        <v>13944</v>
      </c>
      <c r="D23" s="110">
        <v>17436</v>
      </c>
      <c r="E23" s="110">
        <v>8119</v>
      </c>
      <c r="F23" s="110">
        <v>10800</v>
      </c>
      <c r="G23" s="110">
        <v>584</v>
      </c>
      <c r="H23" s="110">
        <v>584</v>
      </c>
      <c r="I23" s="110">
        <v>564</v>
      </c>
      <c r="J23" s="110">
        <v>558</v>
      </c>
      <c r="K23" s="108" t="str">
        <f>VLOOKUP(A23,'FRS geographical categories'!A:C,2,FALSE)</f>
        <v>Significantly Rural</v>
      </c>
      <c r="L23" s="108" t="str">
        <f>VLOOKUP(A23,'FRS geographical categories'!A:C,3,FALSE)</f>
        <v>Non-metropolitan</v>
      </c>
    </row>
    <row r="24" spans="1:12" x14ac:dyDescent="0.2">
      <c r="A24" s="104" t="s">
        <v>14</v>
      </c>
      <c r="C24" s="110">
        <v>15955</v>
      </c>
      <c r="D24" s="110">
        <v>11202</v>
      </c>
      <c r="E24" s="110">
        <v>5228</v>
      </c>
      <c r="F24" s="110">
        <v>3671</v>
      </c>
      <c r="G24" s="110">
        <v>359</v>
      </c>
      <c r="H24" s="110">
        <v>252</v>
      </c>
      <c r="I24" s="110">
        <v>0</v>
      </c>
      <c r="J24" s="110">
        <v>0</v>
      </c>
      <c r="K24" s="108" t="str">
        <f>VLOOKUP(A24,'FRS geographical categories'!A:C,2,FALSE)</f>
        <v>Predominantly Rural</v>
      </c>
      <c r="L24" s="108" t="str">
        <f>VLOOKUP(A24,'FRS geographical categories'!A:C,3,FALSE)</f>
        <v>Non-metropolitan</v>
      </c>
    </row>
    <row r="25" spans="1:12" x14ac:dyDescent="0.2">
      <c r="A25" s="104" t="s">
        <v>15</v>
      </c>
      <c r="C25" s="110">
        <v>10523</v>
      </c>
      <c r="D25" s="110">
        <v>21268.5</v>
      </c>
      <c r="E25" s="110">
        <v>6224</v>
      </c>
      <c r="F25" s="110">
        <v>11971.75</v>
      </c>
      <c r="G25" s="110">
        <v>5014</v>
      </c>
      <c r="H25" s="110">
        <v>9571.5</v>
      </c>
      <c r="I25" s="110" t="s">
        <v>65</v>
      </c>
      <c r="J25" s="110" t="s">
        <v>65</v>
      </c>
      <c r="K25" s="108" t="str">
        <f>VLOOKUP(A25,'FRS geographical categories'!A:C,2,FALSE)</f>
        <v>Significantly Rural</v>
      </c>
      <c r="L25" s="108" t="str">
        <f>VLOOKUP(A25,'FRS geographical categories'!A:C,3,FALSE)</f>
        <v>Non-metropolitan</v>
      </c>
    </row>
    <row r="26" spans="1:12" x14ac:dyDescent="0.2">
      <c r="A26" s="104" t="s">
        <v>16</v>
      </c>
      <c r="C26" s="110">
        <v>5492</v>
      </c>
      <c r="D26" s="110">
        <v>6208.96</v>
      </c>
      <c r="E26" s="110">
        <v>3425</v>
      </c>
      <c r="F26" s="110">
        <v>4054.26</v>
      </c>
      <c r="G26" s="110">
        <v>1113</v>
      </c>
      <c r="H26" s="110">
        <v>1335.98</v>
      </c>
      <c r="I26" s="110">
        <v>330</v>
      </c>
      <c r="J26" s="110">
        <v>263.83999999999997</v>
      </c>
      <c r="K26" s="108" t="str">
        <f>VLOOKUP(A26,'FRS geographical categories'!A:C,2,FALSE)</f>
        <v>Significantly Rural</v>
      </c>
      <c r="L26" s="108" t="str">
        <f>VLOOKUP(A26,'FRS geographical categories'!A:C,3,FALSE)</f>
        <v>Non-metropolitan</v>
      </c>
    </row>
    <row r="27" spans="1:12" x14ac:dyDescent="0.2">
      <c r="A27" s="104" t="s">
        <v>17</v>
      </c>
      <c r="C27" s="110">
        <v>3635</v>
      </c>
      <c r="D27" s="110">
        <v>3692</v>
      </c>
      <c r="E27" s="110">
        <v>2008</v>
      </c>
      <c r="F27" s="110">
        <v>2344</v>
      </c>
      <c r="G27" s="110">
        <v>1000</v>
      </c>
      <c r="H27" s="110">
        <v>1605</v>
      </c>
      <c r="I27" s="110">
        <v>0</v>
      </c>
      <c r="J27" s="110">
        <v>0</v>
      </c>
      <c r="K27" s="108" t="str">
        <f>VLOOKUP(A27,'FRS geographical categories'!A:C,2,FALSE)</f>
        <v>Significantly Rural</v>
      </c>
      <c r="L27" s="108" t="str">
        <f>VLOOKUP(A27,'FRS geographical categories'!A:C,3,FALSE)</f>
        <v>Non-metropolitan</v>
      </c>
    </row>
    <row r="28" spans="1:12" x14ac:dyDescent="0.2">
      <c r="A28" s="104" t="s">
        <v>18</v>
      </c>
      <c r="C28" s="110">
        <v>83945</v>
      </c>
      <c r="D28" s="110">
        <v>83945</v>
      </c>
      <c r="E28" s="110">
        <v>35961</v>
      </c>
      <c r="F28" s="110">
        <v>35961</v>
      </c>
      <c r="G28" s="110">
        <v>26876</v>
      </c>
      <c r="H28" s="110">
        <v>26876</v>
      </c>
      <c r="I28" s="110">
        <v>537</v>
      </c>
      <c r="J28" s="110">
        <v>537</v>
      </c>
      <c r="K28" s="108" t="str">
        <f>VLOOKUP(A28,'FRS geographical categories'!A:C,2,FALSE)</f>
        <v>Predominantly Urban</v>
      </c>
      <c r="L28" s="108" t="str">
        <f>VLOOKUP(A28,'FRS geographical categories'!A:C,3,FALSE)</f>
        <v>Metropolitan</v>
      </c>
    </row>
    <row r="29" spans="1:12" x14ac:dyDescent="0.2">
      <c r="A29" s="104" t="s">
        <v>19</v>
      </c>
      <c r="C29" s="110">
        <v>49246</v>
      </c>
      <c r="D29" s="110">
        <v>45914</v>
      </c>
      <c r="E29" s="110">
        <v>8917</v>
      </c>
      <c r="F29" s="110">
        <v>9857</v>
      </c>
      <c r="G29" s="110" t="s">
        <v>65</v>
      </c>
      <c r="H29" s="110" t="s">
        <v>65</v>
      </c>
      <c r="I29" s="110">
        <v>817</v>
      </c>
      <c r="J29" s="110">
        <v>920</v>
      </c>
      <c r="K29" s="108" t="str">
        <f>VLOOKUP(A29,'FRS geographical categories'!A:C,2,FALSE)</f>
        <v>Predominantly Urban</v>
      </c>
      <c r="L29" s="108" t="str">
        <f>VLOOKUP(A29,'FRS geographical categories'!A:C,3,FALSE)</f>
        <v>Metropolitan</v>
      </c>
    </row>
    <row r="30" spans="1:12" x14ac:dyDescent="0.2">
      <c r="A30" s="104" t="s">
        <v>20</v>
      </c>
      <c r="C30" s="110">
        <v>6013</v>
      </c>
      <c r="D30" s="110">
        <v>27451</v>
      </c>
      <c r="E30" s="110">
        <v>4295</v>
      </c>
      <c r="F30" s="110">
        <v>11257</v>
      </c>
      <c r="G30" s="110">
        <v>0</v>
      </c>
      <c r="H30" s="110">
        <v>0</v>
      </c>
      <c r="I30" s="110">
        <v>523</v>
      </c>
      <c r="J30" s="110">
        <v>603</v>
      </c>
      <c r="K30" s="108" t="str">
        <f>VLOOKUP(A30,'FRS geographical categories'!A:C,2,FALSE)</f>
        <v>Predominantly Urban</v>
      </c>
      <c r="L30" s="108" t="str">
        <f>VLOOKUP(A30,'FRS geographical categories'!A:C,3,FALSE)</f>
        <v>Non-metropolitan</v>
      </c>
    </row>
    <row r="31" spans="1:12" x14ac:dyDescent="0.2">
      <c r="A31" s="104" t="s">
        <v>21</v>
      </c>
      <c r="C31" s="110">
        <v>3732</v>
      </c>
      <c r="D31" s="110">
        <v>6157</v>
      </c>
      <c r="E31" s="110">
        <v>2023</v>
      </c>
      <c r="F31" s="110">
        <v>3365</v>
      </c>
      <c r="G31" s="110" t="s">
        <v>65</v>
      </c>
      <c r="H31" s="110" t="s">
        <v>65</v>
      </c>
      <c r="I31" s="110">
        <v>0</v>
      </c>
      <c r="J31" s="110">
        <v>0</v>
      </c>
      <c r="K31" s="108" t="str">
        <f>VLOOKUP(A31,'FRS geographical categories'!A:C,2,FALSE)</f>
        <v>Significantly Rural</v>
      </c>
      <c r="L31" s="108" t="str">
        <f>VLOOKUP(A31,'FRS geographical categories'!A:C,3,FALSE)</f>
        <v>Non-metropolitan</v>
      </c>
    </row>
    <row r="32" spans="1:12" x14ac:dyDescent="0.2">
      <c r="A32" s="104" t="s">
        <v>22</v>
      </c>
      <c r="C32" s="110">
        <v>7574</v>
      </c>
      <c r="D32" s="110">
        <v>14363</v>
      </c>
      <c r="E32" s="110">
        <v>1815</v>
      </c>
      <c r="F32" s="110">
        <v>3493</v>
      </c>
      <c r="G32" s="110">
        <v>1073</v>
      </c>
      <c r="H32" s="110">
        <v>1870</v>
      </c>
      <c r="I32" s="110">
        <v>1305</v>
      </c>
      <c r="J32" s="110">
        <v>719</v>
      </c>
      <c r="K32" s="108" t="str">
        <f>VLOOKUP(A32,'FRS geographical categories'!A:C,2,FALSE)</f>
        <v>Predominantly Urban</v>
      </c>
      <c r="L32" s="108" t="str">
        <f>VLOOKUP(A32,'FRS geographical categories'!A:C,3,FALSE)</f>
        <v>Non-metropolitan</v>
      </c>
    </row>
    <row r="33" spans="1:12" x14ac:dyDescent="0.2">
      <c r="A33" s="104" t="s">
        <v>23</v>
      </c>
      <c r="C33" s="110">
        <v>11232</v>
      </c>
      <c r="D33" s="110">
        <v>11623</v>
      </c>
      <c r="E33" s="110">
        <v>4739</v>
      </c>
      <c r="F33" s="110">
        <v>5022</v>
      </c>
      <c r="G33" s="110">
        <v>2353</v>
      </c>
      <c r="H33" s="110">
        <v>2581</v>
      </c>
      <c r="I33" s="110">
        <v>0</v>
      </c>
      <c r="J33" s="110">
        <v>0</v>
      </c>
      <c r="K33" s="108" t="str">
        <f>VLOOKUP(A33,'FRS geographical categories'!A:C,2,FALSE)</f>
        <v>Significantly Rural</v>
      </c>
      <c r="L33" s="108" t="str">
        <f>VLOOKUP(A33,'FRS geographical categories'!A:C,3,FALSE)</f>
        <v>Non-metropolitan</v>
      </c>
    </row>
    <row r="34" spans="1:12" x14ac:dyDescent="0.2">
      <c r="A34" s="104" t="s">
        <v>48</v>
      </c>
      <c r="C34" s="110">
        <v>492</v>
      </c>
      <c r="D34" s="110">
        <v>355</v>
      </c>
      <c r="E34" s="110">
        <v>298</v>
      </c>
      <c r="F34" s="110">
        <v>217.5</v>
      </c>
      <c r="G34" s="110" t="s">
        <v>65</v>
      </c>
      <c r="H34" s="110" t="s">
        <v>65</v>
      </c>
      <c r="I34" s="110">
        <v>187</v>
      </c>
      <c r="J34" s="110" t="s">
        <v>65</v>
      </c>
      <c r="K34" s="108" t="str">
        <f>VLOOKUP(A34,'FRS geographical categories'!A:C,2,FALSE)</f>
        <v>Predominantly Rural</v>
      </c>
      <c r="L34" s="108" t="str">
        <f>VLOOKUP(A34,'FRS geographical categories'!A:C,3,FALSE)</f>
        <v>Non-metropolitan</v>
      </c>
    </row>
    <row r="35" spans="1:12" x14ac:dyDescent="0.2">
      <c r="A35" s="104" t="s">
        <v>25</v>
      </c>
      <c r="C35" s="110">
        <v>120</v>
      </c>
      <c r="D35" s="110">
        <v>65</v>
      </c>
      <c r="E35" s="110" t="s">
        <v>65</v>
      </c>
      <c r="F35" s="110" t="s">
        <v>65</v>
      </c>
      <c r="G35" s="110" t="s">
        <v>65</v>
      </c>
      <c r="H35" s="110" t="s">
        <v>65</v>
      </c>
      <c r="I35" s="110">
        <v>0</v>
      </c>
      <c r="J35" s="110">
        <v>0</v>
      </c>
      <c r="K35" s="108" t="str">
        <f>VLOOKUP(A35,'FRS geographical categories'!A:C,2,FALSE)</f>
        <v>Predominantly Rural</v>
      </c>
      <c r="L35" s="108" t="str">
        <f>VLOOKUP(A35,'FRS geographical categories'!A:C,3,FALSE)</f>
        <v>Non-metropolitan</v>
      </c>
    </row>
    <row r="36" spans="1:12" x14ac:dyDescent="0.2">
      <c r="A36" s="104" t="s">
        <v>26</v>
      </c>
      <c r="C36" s="110">
        <v>10032</v>
      </c>
      <c r="D36" s="110">
        <v>8691</v>
      </c>
      <c r="E36" s="110">
        <v>3869</v>
      </c>
      <c r="F36" s="110">
        <v>3344</v>
      </c>
      <c r="G36" s="110">
        <v>4433</v>
      </c>
      <c r="H36" s="110">
        <v>3727</v>
      </c>
      <c r="I36" s="110">
        <v>635</v>
      </c>
      <c r="J36" s="110" t="s">
        <v>65</v>
      </c>
      <c r="K36" s="108" t="str">
        <f>VLOOKUP(A36,'FRS geographical categories'!A:C,2,FALSE)</f>
        <v>Significantly Rural</v>
      </c>
      <c r="L36" s="108" t="str">
        <f>VLOOKUP(A36,'FRS geographical categories'!A:C,3,FALSE)</f>
        <v>Non-metropolitan</v>
      </c>
    </row>
    <row r="37" spans="1:12" x14ac:dyDescent="0.2">
      <c r="A37" s="104" t="s">
        <v>27</v>
      </c>
      <c r="C37" s="110">
        <v>40438</v>
      </c>
      <c r="D37" s="110">
        <v>49918</v>
      </c>
      <c r="E37" s="110">
        <v>18790</v>
      </c>
      <c r="F37" s="110">
        <v>23112</v>
      </c>
      <c r="G37" s="110">
        <v>10492</v>
      </c>
      <c r="H37" s="110">
        <v>12905</v>
      </c>
      <c r="I37" s="110">
        <v>0</v>
      </c>
      <c r="J37" s="110">
        <v>0</v>
      </c>
      <c r="K37" s="108" t="str">
        <f>VLOOKUP(A37,'FRS geographical categories'!A:C,2,FALSE)</f>
        <v>Predominantly Urban</v>
      </c>
      <c r="L37" s="108" t="str">
        <f>VLOOKUP(A37,'FRS geographical categories'!A:C,3,FALSE)</f>
        <v>Non-metropolitan</v>
      </c>
    </row>
    <row r="38" spans="1:12" x14ac:dyDescent="0.2">
      <c r="A38" s="104" t="s">
        <v>28</v>
      </c>
      <c r="C38" s="110">
        <v>4201</v>
      </c>
      <c r="D38" s="110">
        <v>7352</v>
      </c>
      <c r="E38" s="110">
        <v>2354</v>
      </c>
      <c r="F38" s="110">
        <v>4120</v>
      </c>
      <c r="G38" s="110">
        <v>1239</v>
      </c>
      <c r="H38" s="110">
        <v>2168</v>
      </c>
      <c r="I38" s="110">
        <v>857</v>
      </c>
      <c r="J38" s="110">
        <v>1500</v>
      </c>
      <c r="K38" s="108" t="str">
        <f>VLOOKUP(A38,'FRS geographical categories'!A:C,2,FALSE)</f>
        <v>Significantly Rural</v>
      </c>
      <c r="L38" s="108" t="str">
        <f>VLOOKUP(A38,'FRS geographical categories'!A:C,3,FALSE)</f>
        <v>Non-metropolitan</v>
      </c>
    </row>
    <row r="39" spans="1:12" x14ac:dyDescent="0.2">
      <c r="A39" s="104" t="s">
        <v>29</v>
      </c>
      <c r="C39" s="110">
        <v>7454</v>
      </c>
      <c r="D39" s="110">
        <v>9342</v>
      </c>
      <c r="E39" s="110">
        <v>1551</v>
      </c>
      <c r="F39" s="110">
        <v>1972</v>
      </c>
      <c r="G39" s="110">
        <v>543</v>
      </c>
      <c r="H39" s="110">
        <v>697</v>
      </c>
      <c r="I39" s="110" t="s">
        <v>65</v>
      </c>
      <c r="J39" s="110" t="s">
        <v>65</v>
      </c>
      <c r="K39" s="108" t="str">
        <f>VLOOKUP(A39,'FRS geographical categories'!A:C,2,FALSE)</f>
        <v>Predominantly Rural</v>
      </c>
      <c r="L39" s="108" t="str">
        <f>VLOOKUP(A39,'FRS geographical categories'!A:C,3,FALSE)</f>
        <v>Non-metropolitan</v>
      </c>
    </row>
    <row r="40" spans="1:12" x14ac:dyDescent="0.2">
      <c r="A40" s="104" t="s">
        <v>30</v>
      </c>
      <c r="C40" s="110">
        <v>45688</v>
      </c>
      <c r="D40" s="110">
        <v>73100</v>
      </c>
      <c r="E40" s="110">
        <v>19837</v>
      </c>
      <c r="F40" s="110">
        <v>29954</v>
      </c>
      <c r="G40" s="110">
        <v>4797</v>
      </c>
      <c r="H40" s="110">
        <v>7483</v>
      </c>
      <c r="I40" s="110">
        <v>7919</v>
      </c>
      <c r="J40" s="110">
        <v>12670</v>
      </c>
      <c r="K40" s="108" t="str">
        <f>VLOOKUP(A40,'FRS geographical categories'!A:C,2,FALSE)</f>
        <v>Predominantly Urban</v>
      </c>
      <c r="L40" s="108" t="str">
        <f>VLOOKUP(A40,'FRS geographical categories'!A:C,3,FALSE)</f>
        <v>Metropolitan</v>
      </c>
    </row>
    <row r="41" spans="1:12" x14ac:dyDescent="0.2">
      <c r="A41" s="104" t="s">
        <v>31</v>
      </c>
      <c r="C41" s="110">
        <v>3967</v>
      </c>
      <c r="D41" s="110">
        <v>4091.1</v>
      </c>
      <c r="E41" s="110">
        <v>2237</v>
      </c>
      <c r="F41" s="110">
        <v>2303</v>
      </c>
      <c r="G41" s="110" t="s">
        <v>65</v>
      </c>
      <c r="H41" s="110" t="s">
        <v>65</v>
      </c>
      <c r="I41" s="110">
        <v>416</v>
      </c>
      <c r="J41" s="110">
        <v>38.9</v>
      </c>
      <c r="K41" s="108" t="str">
        <f>VLOOKUP(A41,'FRS geographical categories'!A:C,2,FALSE)</f>
        <v>Predominantly Rural</v>
      </c>
      <c r="L41" s="108" t="str">
        <f>VLOOKUP(A41,'FRS geographical categories'!A:C,3,FALSE)</f>
        <v>Non-metropolitan</v>
      </c>
    </row>
    <row r="42" spans="1:12" x14ac:dyDescent="0.2">
      <c r="A42" s="104" t="s">
        <v>32</v>
      </c>
      <c r="C42" s="110">
        <v>3171</v>
      </c>
      <c r="D42" s="110">
        <v>4005</v>
      </c>
      <c r="E42" s="110">
        <v>1069</v>
      </c>
      <c r="F42" s="110">
        <v>2388</v>
      </c>
      <c r="G42" s="110" t="s">
        <v>65</v>
      </c>
      <c r="H42" s="110" t="s">
        <v>65</v>
      </c>
      <c r="I42" s="110">
        <v>16</v>
      </c>
      <c r="J42" s="110">
        <v>8</v>
      </c>
      <c r="K42" s="108" t="str">
        <f>VLOOKUP(A42,'FRS geographical categories'!A:C,2,FALSE)</f>
        <v>Predominantly Rural</v>
      </c>
      <c r="L42" s="108" t="str">
        <f>VLOOKUP(A42,'FRS geographical categories'!A:C,3,FALSE)</f>
        <v>Non-metropolitan</v>
      </c>
    </row>
    <row r="43" spans="1:12" x14ac:dyDescent="0.2">
      <c r="A43" s="104" t="s">
        <v>33</v>
      </c>
      <c r="C43" s="110">
        <v>6348</v>
      </c>
      <c r="D43" s="110">
        <v>4757.25</v>
      </c>
      <c r="E43" s="110">
        <v>449</v>
      </c>
      <c r="F43" s="110">
        <v>336.75</v>
      </c>
      <c r="G43" s="110">
        <v>187</v>
      </c>
      <c r="H43" s="110">
        <v>141</v>
      </c>
      <c r="I43" s="110">
        <v>131</v>
      </c>
      <c r="J43" s="110">
        <v>131</v>
      </c>
      <c r="K43" s="108" t="str">
        <f>VLOOKUP(A43,'FRS geographical categories'!A:C,2,FALSE)</f>
        <v>Significantly Rural</v>
      </c>
      <c r="L43" s="108" t="str">
        <f>VLOOKUP(A43,'FRS geographical categories'!A:C,3,FALSE)</f>
        <v>Non-metropolitan</v>
      </c>
    </row>
    <row r="44" spans="1:12" x14ac:dyDescent="0.2">
      <c r="A44" s="104" t="s">
        <v>34</v>
      </c>
      <c r="C44" s="110">
        <v>9255</v>
      </c>
      <c r="D44" s="110">
        <v>9405.25</v>
      </c>
      <c r="E44" s="110">
        <v>4254</v>
      </c>
      <c r="F44" s="110">
        <v>4295</v>
      </c>
      <c r="G44" s="110">
        <v>691</v>
      </c>
      <c r="H44" s="110">
        <v>752</v>
      </c>
      <c r="I44" s="110">
        <v>14</v>
      </c>
      <c r="J44" s="110">
        <v>10.25</v>
      </c>
      <c r="K44" s="108" t="str">
        <f>VLOOKUP(A44,'FRS geographical categories'!A:C,2,FALSE)</f>
        <v>Predominantly Rural</v>
      </c>
      <c r="L44" s="108" t="str">
        <f>VLOOKUP(A44,'FRS geographical categories'!A:C,3,FALSE)</f>
        <v>Non-metropolitan</v>
      </c>
    </row>
    <row r="45" spans="1:12" x14ac:dyDescent="0.2">
      <c r="A45" s="104" t="s">
        <v>35</v>
      </c>
      <c r="C45" s="110">
        <v>4810</v>
      </c>
      <c r="D45" s="110">
        <v>8354.7833333333328</v>
      </c>
      <c r="E45" s="110">
        <v>1850</v>
      </c>
      <c r="F45" s="110">
        <v>3604</v>
      </c>
      <c r="G45" s="110">
        <v>1451</v>
      </c>
      <c r="H45" s="110">
        <v>3139</v>
      </c>
      <c r="I45" s="110">
        <v>551</v>
      </c>
      <c r="J45" s="110">
        <v>637</v>
      </c>
      <c r="K45" s="108" t="str">
        <f>VLOOKUP(A45,'FRS geographical categories'!A:C,2,FALSE)</f>
        <v>Predominantly Urban</v>
      </c>
      <c r="L45" s="108" t="str">
        <f>VLOOKUP(A45,'FRS geographical categories'!A:C,3,FALSE)</f>
        <v>Non-metropolitan</v>
      </c>
    </row>
    <row r="46" spans="1:12" x14ac:dyDescent="0.2">
      <c r="A46" s="104" t="s">
        <v>36</v>
      </c>
      <c r="C46" s="110">
        <v>3305</v>
      </c>
      <c r="D46" s="110">
        <v>8413</v>
      </c>
      <c r="E46" s="110">
        <v>1433</v>
      </c>
      <c r="F46" s="110">
        <v>4871</v>
      </c>
      <c r="G46" s="110" t="s">
        <v>65</v>
      </c>
      <c r="H46" s="110" t="s">
        <v>65</v>
      </c>
      <c r="I46" s="110">
        <v>3</v>
      </c>
      <c r="J46" s="110">
        <v>4</v>
      </c>
      <c r="K46" s="108" t="str">
        <f>VLOOKUP(A46,'FRS geographical categories'!A:C,2,FALSE)</f>
        <v>Predominantly Rural</v>
      </c>
      <c r="L46" s="108" t="str">
        <f>VLOOKUP(A46,'FRS geographical categories'!A:C,3,FALSE)</f>
        <v>Non-metropolitan</v>
      </c>
    </row>
    <row r="47" spans="1:12" x14ac:dyDescent="0.2">
      <c r="A47" s="104" t="s">
        <v>37</v>
      </c>
      <c r="C47" s="110">
        <v>4086</v>
      </c>
      <c r="D47" s="110">
        <v>5448</v>
      </c>
      <c r="E47" s="110">
        <v>0</v>
      </c>
      <c r="F47" s="110">
        <v>0</v>
      </c>
      <c r="G47" s="110" t="s">
        <v>65</v>
      </c>
      <c r="H47" s="110" t="s">
        <v>65</v>
      </c>
      <c r="I47" s="110">
        <v>655</v>
      </c>
      <c r="J47" s="110" t="s">
        <v>65</v>
      </c>
      <c r="K47" s="108" t="str">
        <f>VLOOKUP(A47,'FRS geographical categories'!A:C,2,FALSE)</f>
        <v>Predominantly Rural</v>
      </c>
      <c r="L47" s="108" t="str">
        <f>VLOOKUP(A47,'FRS geographical categories'!A:C,3,FALSE)</f>
        <v>Non-metropolitan</v>
      </c>
    </row>
    <row r="48" spans="1:12" x14ac:dyDescent="0.2">
      <c r="A48" s="104" t="s">
        <v>38</v>
      </c>
      <c r="C48" s="110">
        <v>24153</v>
      </c>
      <c r="D48" s="110">
        <v>16471.099999999999</v>
      </c>
      <c r="E48" s="110">
        <v>10825</v>
      </c>
      <c r="F48" s="110">
        <v>7376.8666666666668</v>
      </c>
      <c r="G48" s="110">
        <v>4147</v>
      </c>
      <c r="H48" s="110">
        <v>2857.7666666666669</v>
      </c>
      <c r="I48" s="110">
        <v>0</v>
      </c>
      <c r="J48" s="110">
        <v>0</v>
      </c>
      <c r="K48" s="108" t="str">
        <f>VLOOKUP(A48,'FRS geographical categories'!A:C,2,FALSE)</f>
        <v>Predominantly Urban</v>
      </c>
      <c r="L48" s="108" t="str">
        <f>VLOOKUP(A48,'FRS geographical categories'!A:C,3,FALSE)</f>
        <v>Metropolitan</v>
      </c>
    </row>
    <row r="49" spans="1:12" x14ac:dyDescent="0.2">
      <c r="A49" s="104" t="s">
        <v>39</v>
      </c>
      <c r="C49" s="110">
        <v>27745</v>
      </c>
      <c r="D49" s="110" t="s">
        <v>62</v>
      </c>
      <c r="E49" s="110">
        <v>13080</v>
      </c>
      <c r="F49" s="110">
        <v>0</v>
      </c>
      <c r="G49" s="110">
        <v>7006</v>
      </c>
      <c r="H49" s="110">
        <v>0</v>
      </c>
      <c r="I49" s="110">
        <v>385</v>
      </c>
      <c r="J49" s="110">
        <v>0</v>
      </c>
      <c r="K49" s="108" t="str">
        <f>VLOOKUP(A49,'FRS geographical categories'!A:C,2,FALSE)</f>
        <v>Significantly Rural</v>
      </c>
      <c r="L49" s="108" t="str">
        <f>VLOOKUP(A49,'FRS geographical categories'!A:C,3,FALSE)</f>
        <v>Non-metropolitan</v>
      </c>
    </row>
    <row r="50" spans="1:12" x14ac:dyDescent="0.2">
      <c r="A50" s="104" t="s">
        <v>40</v>
      </c>
      <c r="C50" s="110">
        <v>1428</v>
      </c>
      <c r="D50" s="110">
        <v>3149</v>
      </c>
      <c r="E50" s="110">
        <v>724</v>
      </c>
      <c r="F50" s="110">
        <v>2019</v>
      </c>
      <c r="G50" s="110">
        <v>294</v>
      </c>
      <c r="H50" s="110">
        <v>658</v>
      </c>
      <c r="I50" s="110" t="s">
        <v>65</v>
      </c>
      <c r="J50" s="110" t="s">
        <v>65</v>
      </c>
      <c r="K50" s="108" t="str">
        <f>VLOOKUP(A50,'FRS geographical categories'!A:C,2,FALSE)</f>
        <v>Predominantly Rural</v>
      </c>
      <c r="L50" s="108" t="str">
        <f>VLOOKUP(A50,'FRS geographical categories'!A:C,3,FALSE)</f>
        <v>Non-metropolitan</v>
      </c>
    </row>
    <row r="51" spans="1:12" x14ac:dyDescent="0.2">
      <c r="A51" s="104" t="s">
        <v>41</v>
      </c>
      <c r="C51" s="110">
        <v>2585</v>
      </c>
      <c r="D51" s="110" t="s">
        <v>62</v>
      </c>
      <c r="E51" s="110">
        <v>1528</v>
      </c>
      <c r="F51" s="110">
        <v>0</v>
      </c>
      <c r="G51" s="110">
        <v>1335</v>
      </c>
      <c r="H51" s="110">
        <v>0</v>
      </c>
      <c r="I51" s="110">
        <v>220</v>
      </c>
      <c r="J51" s="110">
        <v>0</v>
      </c>
      <c r="K51" s="108" t="str">
        <f>VLOOKUP(A51,'FRS geographical categories'!A:C,2,FALSE)</f>
        <v>Predominantly Urban</v>
      </c>
      <c r="L51" s="108" t="str">
        <f>VLOOKUP(A51,'FRS geographical categories'!A:C,3,FALSE)</f>
        <v>Non-metropolitan</v>
      </c>
    </row>
    <row r="52" spans="1:12" x14ac:dyDescent="0.2">
      <c r="A52" s="104" t="s">
        <v>42</v>
      </c>
      <c r="C52" s="110">
        <v>31268</v>
      </c>
      <c r="D52" s="110">
        <v>15308</v>
      </c>
      <c r="E52" s="110">
        <v>11353</v>
      </c>
      <c r="F52" s="110">
        <v>5903</v>
      </c>
      <c r="G52" s="110">
        <v>4259</v>
      </c>
      <c r="H52" s="110">
        <v>2702</v>
      </c>
      <c r="I52" s="110">
        <v>16855</v>
      </c>
      <c r="J52" s="110">
        <v>3724</v>
      </c>
      <c r="K52" s="108" t="str">
        <f>VLOOKUP(A52,'FRS geographical categories'!A:C,2,FALSE)</f>
        <v>Predominantly Urban</v>
      </c>
      <c r="L52" s="108" t="str">
        <f>VLOOKUP(A52,'FRS geographical categories'!A:C,3,FALSE)</f>
        <v>Metropolitan</v>
      </c>
    </row>
    <row r="53" spans="1:12" x14ac:dyDescent="0.2">
      <c r="A53" s="104" t="s">
        <v>43</v>
      </c>
      <c r="C53" s="110">
        <v>2048</v>
      </c>
      <c r="D53" s="110">
        <v>2048</v>
      </c>
      <c r="E53" s="110">
        <v>661</v>
      </c>
      <c r="F53" s="110">
        <v>661</v>
      </c>
      <c r="G53" s="110">
        <v>1245</v>
      </c>
      <c r="H53" s="110">
        <v>1245</v>
      </c>
      <c r="I53" s="110">
        <v>0</v>
      </c>
      <c r="J53" s="110" t="s">
        <v>65</v>
      </c>
      <c r="K53" s="108" t="str">
        <f>VLOOKUP(A53,'FRS geographical categories'!A:C,2,FALSE)</f>
        <v>Significantly Rural</v>
      </c>
      <c r="L53" s="108" t="str">
        <f>VLOOKUP(A53,'FRS geographical categories'!A:C,3,FALSE)</f>
        <v>Non-metropolitan</v>
      </c>
    </row>
    <row r="54" spans="1:12" x14ac:dyDescent="0.2">
      <c r="A54" s="104" t="s">
        <v>44</v>
      </c>
      <c r="C54" s="110">
        <v>24842</v>
      </c>
      <c r="D54" s="110">
        <v>99368</v>
      </c>
      <c r="E54" s="110">
        <v>11784</v>
      </c>
      <c r="F54" s="110">
        <v>47136</v>
      </c>
      <c r="G54" s="110">
        <v>10992</v>
      </c>
      <c r="H54" s="110">
        <v>43968</v>
      </c>
      <c r="I54" s="110" t="s">
        <v>65</v>
      </c>
      <c r="J54" s="110" t="s">
        <v>65</v>
      </c>
      <c r="K54" s="108" t="str">
        <f>VLOOKUP(A54,'FRS geographical categories'!A:C,2,FALSE)</f>
        <v>Predominantly Urban</v>
      </c>
      <c r="L54" s="108" t="str">
        <f>VLOOKUP(A54,'FRS geographical categories'!A:C,3,FALSE)</f>
        <v>Metropolitan</v>
      </c>
    </row>
    <row r="55" spans="1:12" x14ac:dyDescent="0.2">
      <c r="A55" s="104" t="s">
        <v>45</v>
      </c>
      <c r="C55" s="110">
        <v>5904</v>
      </c>
      <c r="D55" s="110">
        <v>7800</v>
      </c>
      <c r="E55" s="110">
        <v>2361</v>
      </c>
      <c r="F55" s="110">
        <v>3490</v>
      </c>
      <c r="G55" s="110">
        <v>930</v>
      </c>
      <c r="H55" s="110">
        <v>1396</v>
      </c>
      <c r="I55" s="110" t="s">
        <v>65</v>
      </c>
      <c r="J55" s="110" t="s">
        <v>65</v>
      </c>
      <c r="K55" s="108" t="str">
        <f>VLOOKUP(A55,'FRS geographical categories'!A:C,2,FALSE)</f>
        <v>Significantly Rural</v>
      </c>
      <c r="L55" s="108" t="str">
        <f>VLOOKUP(A55,'FRS geographical categories'!A:C,3,FALSE)</f>
        <v>Non-metropolitan</v>
      </c>
    </row>
    <row r="56" spans="1:12" x14ac:dyDescent="0.2">
      <c r="A56" s="104" t="s">
        <v>46</v>
      </c>
      <c r="C56" s="110">
        <v>45087</v>
      </c>
      <c r="D56" s="110">
        <v>38275</v>
      </c>
      <c r="E56" s="110">
        <v>17200</v>
      </c>
      <c r="F56" s="110">
        <v>15316</v>
      </c>
      <c r="G56" s="110" t="s">
        <v>65</v>
      </c>
      <c r="H56" s="110" t="s">
        <v>65</v>
      </c>
      <c r="I56" s="110">
        <v>128</v>
      </c>
      <c r="J56" s="110">
        <v>162</v>
      </c>
      <c r="K56" s="108" t="str">
        <f>VLOOKUP(A56,'FRS geographical categories'!A:C,2,FALSE)</f>
        <v>Predominantly Urban</v>
      </c>
      <c r="L56" s="108" t="str">
        <f>VLOOKUP(A56,'FRS geographical categories'!A:C,3,FALSE)</f>
        <v>Metropolitan</v>
      </c>
    </row>
    <row r="57" spans="1:12" x14ac:dyDescent="0.2">
      <c r="C57" s="110"/>
      <c r="D57" s="110"/>
      <c r="E57" s="110"/>
      <c r="F57" s="110"/>
      <c r="G57" s="110"/>
      <c r="H57" s="110"/>
      <c r="I57" s="110"/>
      <c r="J57" s="110"/>
      <c r="K57" s="108"/>
      <c r="L57" s="108"/>
    </row>
    <row r="58" spans="1:12" x14ac:dyDescent="0.2">
      <c r="A58" s="104" t="s">
        <v>139</v>
      </c>
      <c r="C58" s="110"/>
      <c r="D58" s="110"/>
      <c r="E58" s="110"/>
      <c r="F58" s="110"/>
      <c r="G58" s="110"/>
      <c r="H58" s="110"/>
      <c r="I58" s="110"/>
      <c r="J58" s="110"/>
      <c r="K58" s="108"/>
      <c r="L58" s="108"/>
    </row>
    <row r="59" spans="1:12" ht="10.35" customHeight="1" x14ac:dyDescent="0.2">
      <c r="A59" s="104" t="s">
        <v>9</v>
      </c>
      <c r="D59" s="81">
        <v>13295.99720000032</v>
      </c>
      <c r="K59" s="108" t="str">
        <f>VLOOKUP(A59,'FRS geographical categories'!A:C,2,FALSE)</f>
        <v>Predominantly Urban</v>
      </c>
      <c r="L59" s="108" t="str">
        <f>VLOOKUP(A59,'FRS geographical categories'!A:C,3,FALSE)</f>
        <v>Non-metropolitan</v>
      </c>
    </row>
    <row r="60" spans="1:12" ht="10.35" customHeight="1" x14ac:dyDescent="0.2">
      <c r="A60" s="104" t="s">
        <v>39</v>
      </c>
      <c r="D60" s="81">
        <v>17522.32186928271</v>
      </c>
      <c r="K60" s="108" t="str">
        <f>VLOOKUP(A60,'FRS geographical categories'!A:C,2,FALSE)</f>
        <v>Significantly Rural</v>
      </c>
      <c r="L60" s="108" t="str">
        <f>VLOOKUP(A60,'FRS geographical categories'!A:C,3,FALSE)</f>
        <v>Non-metropolitan</v>
      </c>
    </row>
    <row r="61" spans="1:12" ht="10.35" customHeight="1" x14ac:dyDescent="0.2">
      <c r="A61" s="104" t="s">
        <v>41</v>
      </c>
      <c r="D61" s="81">
        <v>1632.5536865055255</v>
      </c>
      <c r="K61" s="108" t="str">
        <f>VLOOKUP(A61,'FRS geographical categories'!A:C,2,FALSE)</f>
        <v>Predominantly Urban</v>
      </c>
      <c r="L61" s="108" t="str">
        <f>VLOOKUP(A61,'FRS geographical categories'!A:C,3,FALSE)</f>
        <v>Non-metropolitan</v>
      </c>
    </row>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row r="69" ht="10.35"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B8D2D-7751-420E-B50F-29638E628E2C}">
  <sheetPr codeName="Sheet5"/>
  <dimension ref="A1:L69"/>
  <sheetViews>
    <sheetView workbookViewId="0">
      <selection sqref="A1:J1"/>
    </sheetView>
  </sheetViews>
  <sheetFormatPr defaultColWidth="8.77734375" defaultRowHeight="10.199999999999999" x14ac:dyDescent="0.2"/>
  <cols>
    <col min="1" max="1" width="21" style="104" bestFit="1" customWidth="1"/>
    <col min="2" max="2" width="4.44140625" style="104" customWidth="1"/>
    <col min="3" max="10" width="8.77734375" style="104"/>
    <col min="11" max="11" width="18.44140625" style="104" bestFit="1" customWidth="1"/>
    <col min="12" max="12" width="15.77734375" style="104" bestFit="1" customWidth="1"/>
    <col min="13" max="16384" width="8.77734375" style="104"/>
  </cols>
  <sheetData>
    <row r="1" spans="1:12" ht="41.55" customHeight="1" x14ac:dyDescent="0.2">
      <c r="A1" s="178"/>
      <c r="B1" s="178"/>
      <c r="C1" s="178"/>
      <c r="D1" s="178"/>
      <c r="E1" s="178"/>
      <c r="F1" s="178"/>
      <c r="G1" s="178"/>
      <c r="H1" s="178"/>
      <c r="I1" s="178"/>
      <c r="J1" s="178"/>
    </row>
    <row r="2" spans="1:12" ht="36.6" customHeight="1" x14ac:dyDescent="0.2">
      <c r="A2" s="179"/>
      <c r="B2" s="112"/>
      <c r="C2" s="181" t="s">
        <v>58</v>
      </c>
      <c r="D2" s="182"/>
      <c r="E2" s="183" t="s">
        <v>63</v>
      </c>
      <c r="F2" s="183"/>
      <c r="G2" s="183" t="s">
        <v>64</v>
      </c>
      <c r="H2" s="183"/>
      <c r="I2" s="181" t="s">
        <v>59</v>
      </c>
      <c r="J2" s="182"/>
    </row>
    <row r="3" spans="1:12" ht="27.6" customHeight="1" x14ac:dyDescent="0.2">
      <c r="A3" s="180"/>
      <c r="B3" s="113"/>
      <c r="C3" s="105" t="s">
        <v>60</v>
      </c>
      <c r="D3" s="106" t="s">
        <v>61</v>
      </c>
      <c r="E3" s="105" t="s">
        <v>60</v>
      </c>
      <c r="F3" s="106" t="s">
        <v>61</v>
      </c>
      <c r="G3" s="105" t="s">
        <v>60</v>
      </c>
      <c r="H3" s="106" t="s">
        <v>61</v>
      </c>
      <c r="I3" s="105" t="s">
        <v>60</v>
      </c>
      <c r="J3" s="106" t="s">
        <v>61</v>
      </c>
    </row>
    <row r="6" spans="1:12" x14ac:dyDescent="0.2">
      <c r="A6" s="107" t="s">
        <v>0</v>
      </c>
      <c r="B6" s="107"/>
      <c r="C6" s="109">
        <f t="shared" ref="C6:J6" si="0">SUM(C12:C61)</f>
        <v>609261</v>
      </c>
      <c r="D6" s="109">
        <f t="shared" si="0"/>
        <v>727515.68333333335</v>
      </c>
      <c r="E6" s="109">
        <f t="shared" si="0"/>
        <v>243136</v>
      </c>
      <c r="F6" s="109">
        <f t="shared" si="0"/>
        <v>245084.63</v>
      </c>
      <c r="G6" s="109">
        <f t="shared" si="0"/>
        <v>115347</v>
      </c>
      <c r="H6" s="109">
        <f t="shared" si="0"/>
        <v>116082.65333333334</v>
      </c>
      <c r="I6" s="109">
        <f t="shared" si="0"/>
        <v>41770</v>
      </c>
      <c r="J6" s="109">
        <f t="shared" si="0"/>
        <v>55817.17</v>
      </c>
    </row>
    <row r="7" spans="1:12" x14ac:dyDescent="0.2">
      <c r="A7" s="107" t="s">
        <v>77</v>
      </c>
      <c r="B7" s="107"/>
      <c r="C7" s="109">
        <f t="shared" ref="C7:J8" si="1">SUMIF($L$12:$L$61,$A7,C$12:C$61)</f>
        <v>311859</v>
      </c>
      <c r="D7" s="109">
        <f t="shared" si="1"/>
        <v>417446.55</v>
      </c>
      <c r="E7" s="109">
        <f t="shared" si="1"/>
        <v>152427</v>
      </c>
      <c r="F7" s="109">
        <f t="shared" si="1"/>
        <v>176903.93</v>
      </c>
      <c r="G7" s="109">
        <f t="shared" si="1"/>
        <v>64581</v>
      </c>
      <c r="H7" s="109">
        <f t="shared" si="1"/>
        <v>74884.47</v>
      </c>
      <c r="I7" s="109">
        <f t="shared" si="1"/>
        <v>18622</v>
      </c>
      <c r="J7" s="109">
        <f t="shared" si="1"/>
        <v>15739.17</v>
      </c>
    </row>
    <row r="8" spans="1:12" x14ac:dyDescent="0.2">
      <c r="A8" s="107" t="s">
        <v>49</v>
      </c>
      <c r="B8" s="107"/>
      <c r="C8" s="109">
        <f t="shared" si="1"/>
        <v>297402</v>
      </c>
      <c r="D8" s="109">
        <f t="shared" si="1"/>
        <v>310069.1333333333</v>
      </c>
      <c r="E8" s="109">
        <f t="shared" si="1"/>
        <v>90709</v>
      </c>
      <c r="F8" s="109">
        <f t="shared" si="1"/>
        <v>68180.7</v>
      </c>
      <c r="G8" s="109">
        <f t="shared" si="1"/>
        <v>50766</v>
      </c>
      <c r="H8" s="109">
        <f t="shared" si="1"/>
        <v>41198.183333333334</v>
      </c>
      <c r="I8" s="109">
        <f t="shared" si="1"/>
        <v>23148</v>
      </c>
      <c r="J8" s="109">
        <f t="shared" si="1"/>
        <v>40078</v>
      </c>
    </row>
    <row r="9" spans="1:12" x14ac:dyDescent="0.2">
      <c r="A9" s="107" t="s">
        <v>114</v>
      </c>
      <c r="B9" s="107"/>
      <c r="C9" s="109">
        <f t="shared" ref="C9:J11" si="2">SUMIF($K$12:$K$61,$A9,C$12:C$61)</f>
        <v>387480</v>
      </c>
      <c r="D9" s="109">
        <f t="shared" si="2"/>
        <v>481852.09355995356</v>
      </c>
      <c r="E9" s="109">
        <f t="shared" si="2"/>
        <v>128689</v>
      </c>
      <c r="F9" s="109">
        <f t="shared" si="2"/>
        <v>135793.70000000001</v>
      </c>
      <c r="G9" s="109">
        <f t="shared" si="2"/>
        <v>72134</v>
      </c>
      <c r="H9" s="109">
        <f t="shared" si="2"/>
        <v>74003.183333333334</v>
      </c>
      <c r="I9" s="109">
        <f t="shared" si="2"/>
        <v>27021</v>
      </c>
      <c r="J9" s="109">
        <f t="shared" si="2"/>
        <v>44853</v>
      </c>
    </row>
    <row r="10" spans="1:12" x14ac:dyDescent="0.2">
      <c r="A10" s="107" t="s">
        <v>115</v>
      </c>
      <c r="B10" s="107"/>
      <c r="C10" s="109">
        <f t="shared" si="2"/>
        <v>149362</v>
      </c>
      <c r="D10" s="109">
        <f t="shared" si="2"/>
        <v>162240.98977337978</v>
      </c>
      <c r="E10" s="109">
        <f t="shared" si="2"/>
        <v>82584</v>
      </c>
      <c r="F10" s="109">
        <f t="shared" si="2"/>
        <v>72492.5</v>
      </c>
      <c r="G10" s="109">
        <f t="shared" si="2"/>
        <v>34977</v>
      </c>
      <c r="H10" s="109">
        <f t="shared" si="2"/>
        <v>32078.25</v>
      </c>
      <c r="I10" s="109">
        <f t="shared" si="2"/>
        <v>10699</v>
      </c>
      <c r="J10" s="109">
        <f t="shared" si="2"/>
        <v>9594.5</v>
      </c>
    </row>
    <row r="11" spans="1:12" x14ac:dyDescent="0.2">
      <c r="A11" s="107" t="s">
        <v>116</v>
      </c>
      <c r="B11" s="107"/>
      <c r="C11" s="109">
        <f t="shared" si="2"/>
        <v>72419</v>
      </c>
      <c r="D11" s="109">
        <f t="shared" si="2"/>
        <v>83422.600000000006</v>
      </c>
      <c r="E11" s="109">
        <f t="shared" si="2"/>
        <v>31863</v>
      </c>
      <c r="F11" s="109">
        <f t="shared" si="2"/>
        <v>36798.43</v>
      </c>
      <c r="G11" s="109">
        <f t="shared" si="2"/>
        <v>8236</v>
      </c>
      <c r="H11" s="109">
        <f t="shared" si="2"/>
        <v>10001.219999999999</v>
      </c>
      <c r="I11" s="109">
        <f t="shared" si="2"/>
        <v>4050</v>
      </c>
      <c r="J11" s="109">
        <f t="shared" si="2"/>
        <v>1369.67</v>
      </c>
    </row>
    <row r="12" spans="1:12" x14ac:dyDescent="0.2">
      <c r="A12" s="104" t="s">
        <v>3</v>
      </c>
      <c r="C12" s="110">
        <v>5607</v>
      </c>
      <c r="D12" s="110">
        <v>3863</v>
      </c>
      <c r="E12" s="110">
        <v>3357</v>
      </c>
      <c r="F12" s="110">
        <v>2313</v>
      </c>
      <c r="G12" s="110">
        <v>2083</v>
      </c>
      <c r="H12" s="110">
        <v>1435</v>
      </c>
      <c r="I12" s="110">
        <v>1048</v>
      </c>
      <c r="J12" s="110">
        <v>531</v>
      </c>
      <c r="K12" s="108" t="str">
        <f>VLOOKUP(A12,'FRS geographical categories'!A:C,2,FALSE)</f>
        <v>Predominantly Urban</v>
      </c>
      <c r="L12" s="108" t="str">
        <f>VLOOKUP(A12,'FRS geographical categories'!A:C,3,FALSE)</f>
        <v>Non-metropolitan</v>
      </c>
    </row>
    <row r="13" spans="1:12" x14ac:dyDescent="0.2">
      <c r="A13" s="104" t="s">
        <v>4</v>
      </c>
      <c r="C13" s="110">
        <v>4501</v>
      </c>
      <c r="D13" s="110">
        <v>5153</v>
      </c>
      <c r="E13" s="110" t="s">
        <v>62</v>
      </c>
      <c r="F13" s="110">
        <v>1637</v>
      </c>
      <c r="G13" s="110" t="s">
        <v>62</v>
      </c>
      <c r="H13" s="110" t="s">
        <v>62</v>
      </c>
      <c r="I13" s="110">
        <v>807</v>
      </c>
      <c r="J13" s="110" t="s">
        <v>62</v>
      </c>
      <c r="K13" s="108" t="str">
        <f>VLOOKUP(A13,'FRS geographical categories'!A:C,2,FALSE)</f>
        <v>Significantly Rural</v>
      </c>
      <c r="L13" s="108" t="str">
        <f>VLOOKUP(A13,'FRS geographical categories'!A:C,3,FALSE)</f>
        <v>Non-metropolitan</v>
      </c>
    </row>
    <row r="14" spans="1:12" x14ac:dyDescent="0.2">
      <c r="A14" s="104" t="s">
        <v>5</v>
      </c>
      <c r="C14" s="110">
        <v>8497</v>
      </c>
      <c r="D14" s="110">
        <v>14343</v>
      </c>
      <c r="E14" s="110">
        <v>4063</v>
      </c>
      <c r="F14" s="110">
        <v>8126</v>
      </c>
      <c r="G14" s="110">
        <v>1783</v>
      </c>
      <c r="H14" s="110">
        <v>3566</v>
      </c>
      <c r="I14" s="110" t="s">
        <v>62</v>
      </c>
      <c r="J14" s="110" t="s">
        <v>62</v>
      </c>
      <c r="K14" s="108" t="str">
        <f>VLOOKUP(A14,'FRS geographical categories'!A:C,2,FALSE)</f>
        <v>Predominantly Urban</v>
      </c>
      <c r="L14" s="108" t="str">
        <f>VLOOKUP(A14,'FRS geographical categories'!A:C,3,FALSE)</f>
        <v>Non-metropolitan</v>
      </c>
    </row>
    <row r="15" spans="1:12" x14ac:dyDescent="0.2">
      <c r="A15" s="104" t="s">
        <v>6</v>
      </c>
      <c r="C15" s="110">
        <v>4638</v>
      </c>
      <c r="D15" s="110">
        <v>4319</v>
      </c>
      <c r="E15" s="110">
        <v>1237</v>
      </c>
      <c r="F15" s="110">
        <v>824</v>
      </c>
      <c r="G15" s="110">
        <v>470</v>
      </c>
      <c r="H15" s="110">
        <v>174</v>
      </c>
      <c r="I15" s="110">
        <v>0</v>
      </c>
      <c r="J15" s="110">
        <v>0</v>
      </c>
      <c r="K15" s="108" t="str">
        <f>VLOOKUP(A15,'FRS geographical categories'!A:C,2,FALSE)</f>
        <v>Significantly Rural</v>
      </c>
      <c r="L15" s="108" t="str">
        <f>VLOOKUP(A15,'FRS geographical categories'!A:C,3,FALSE)</f>
        <v>Non-metropolitan</v>
      </c>
    </row>
    <row r="16" spans="1:12" x14ac:dyDescent="0.2">
      <c r="A16" s="104" t="s">
        <v>7</v>
      </c>
      <c r="C16" s="110">
        <v>3778</v>
      </c>
      <c r="D16" s="110">
        <v>3443</v>
      </c>
      <c r="E16" s="110">
        <v>1937</v>
      </c>
      <c r="F16" s="110">
        <v>2030</v>
      </c>
      <c r="G16" s="110">
        <v>1359</v>
      </c>
      <c r="H16" s="110">
        <v>1769</v>
      </c>
      <c r="I16" s="110">
        <v>567</v>
      </c>
      <c r="J16" s="110">
        <v>519.75</v>
      </c>
      <c r="K16" s="108" t="str">
        <f>VLOOKUP(A16,'FRS geographical categories'!A:C,2,FALSE)</f>
        <v>Predominantly Rural</v>
      </c>
      <c r="L16" s="108" t="str">
        <f>VLOOKUP(A16,'FRS geographical categories'!A:C,3,FALSE)</f>
        <v>Non-metropolitan</v>
      </c>
    </row>
    <row r="17" spans="1:12" x14ac:dyDescent="0.2">
      <c r="A17" s="104" t="s">
        <v>8</v>
      </c>
      <c r="C17" s="110">
        <v>27953</v>
      </c>
      <c r="D17" s="110">
        <v>12293</v>
      </c>
      <c r="E17" s="110">
        <v>22565</v>
      </c>
      <c r="F17" s="110">
        <v>9721</v>
      </c>
      <c r="G17" s="110">
        <v>7656</v>
      </c>
      <c r="H17" s="110">
        <v>3949</v>
      </c>
      <c r="I17" s="110" t="s">
        <v>62</v>
      </c>
      <c r="J17" s="110" t="s">
        <v>62</v>
      </c>
      <c r="K17" s="108" t="str">
        <f>VLOOKUP(A17,'FRS geographical categories'!A:C,2,FALSE)</f>
        <v>Significantly Rural</v>
      </c>
      <c r="L17" s="108" t="str">
        <f>VLOOKUP(A17,'FRS geographical categories'!A:C,3,FALSE)</f>
        <v>Non-metropolitan</v>
      </c>
    </row>
    <row r="18" spans="1:12" x14ac:dyDescent="0.2">
      <c r="A18" s="104" t="s">
        <v>9</v>
      </c>
      <c r="C18" s="110">
        <v>25691</v>
      </c>
      <c r="D18" s="110">
        <v>77073</v>
      </c>
      <c r="E18" s="110">
        <v>6447</v>
      </c>
      <c r="F18" s="110">
        <v>20700</v>
      </c>
      <c r="G18" s="110">
        <v>2175</v>
      </c>
      <c r="H18" s="110">
        <v>6964</v>
      </c>
      <c r="I18" s="110">
        <v>865</v>
      </c>
      <c r="J18" s="110">
        <v>1298</v>
      </c>
      <c r="K18" s="108" t="str">
        <f>VLOOKUP(A18,'FRS geographical categories'!A:C,2,FALSE)</f>
        <v>Predominantly Urban</v>
      </c>
      <c r="L18" s="108" t="str">
        <f>VLOOKUP(A18,'FRS geographical categories'!A:C,3,FALSE)</f>
        <v>Non-metropolitan</v>
      </c>
    </row>
    <row r="19" spans="1:12" x14ac:dyDescent="0.2">
      <c r="A19" s="104" t="s">
        <v>10</v>
      </c>
      <c r="C19" s="110">
        <v>4378</v>
      </c>
      <c r="D19" s="110">
        <v>3245</v>
      </c>
      <c r="E19" s="110">
        <v>1400</v>
      </c>
      <c r="F19" s="110">
        <v>1400</v>
      </c>
      <c r="G19" s="110">
        <v>1100</v>
      </c>
      <c r="H19" s="110">
        <v>1300</v>
      </c>
      <c r="I19" s="110">
        <v>1585</v>
      </c>
      <c r="J19" s="110">
        <v>289</v>
      </c>
      <c r="K19" s="108" t="str">
        <f>VLOOKUP(A19,'FRS geographical categories'!A:C,2,FALSE)</f>
        <v>Predominantly Rural</v>
      </c>
      <c r="L19" s="108" t="str">
        <f>VLOOKUP(A19,'FRS geographical categories'!A:C,3,FALSE)</f>
        <v>Non-metropolitan</v>
      </c>
    </row>
    <row r="20" spans="1:12" x14ac:dyDescent="0.2">
      <c r="A20" s="104" t="s">
        <v>11</v>
      </c>
      <c r="C20" s="110">
        <v>8596</v>
      </c>
      <c r="D20" s="110">
        <v>6066</v>
      </c>
      <c r="E20" s="110">
        <v>2207</v>
      </c>
      <c r="F20" s="110">
        <v>1939</v>
      </c>
      <c r="G20" s="110">
        <v>672</v>
      </c>
      <c r="H20" s="110">
        <v>599</v>
      </c>
      <c r="I20" s="110" t="s">
        <v>62</v>
      </c>
      <c r="J20" s="110" t="s">
        <v>62</v>
      </c>
      <c r="K20" s="108" t="str">
        <f>VLOOKUP(A20,'FRS geographical categories'!A:C,2,FALSE)</f>
        <v>Predominantly Rural</v>
      </c>
      <c r="L20" s="108" t="str">
        <f>VLOOKUP(A20,'FRS geographical categories'!A:C,3,FALSE)</f>
        <v>Non-metropolitan</v>
      </c>
    </row>
    <row r="21" spans="1:12" x14ac:dyDescent="0.2">
      <c r="A21" s="81" t="s">
        <v>12</v>
      </c>
      <c r="C21" s="110">
        <v>7617</v>
      </c>
      <c r="D21" s="110">
        <v>11298</v>
      </c>
      <c r="E21" s="110">
        <v>4131</v>
      </c>
      <c r="F21" s="110">
        <v>6145</v>
      </c>
      <c r="G21" s="110">
        <v>1760</v>
      </c>
      <c r="H21" s="110">
        <v>3188</v>
      </c>
      <c r="I21" s="110">
        <v>5989</v>
      </c>
      <c r="J21" s="110">
        <v>6516</v>
      </c>
      <c r="K21" s="108" t="str">
        <f>VLOOKUP(A21,'FRS geographical categories'!A:C,2,FALSE)</f>
        <v>Significantly Rural</v>
      </c>
      <c r="L21" s="108" t="str">
        <f>VLOOKUP(A21,'FRS geographical categories'!A:C,3,FALSE)</f>
        <v>Non-metropolitan</v>
      </c>
    </row>
    <row r="22" spans="1:12" x14ac:dyDescent="0.2">
      <c r="A22" s="81" t="s">
        <v>13</v>
      </c>
      <c r="C22" s="110">
        <v>4651</v>
      </c>
      <c r="D22" s="110">
        <v>5883</v>
      </c>
      <c r="E22" s="110">
        <v>3147</v>
      </c>
      <c r="F22" s="110">
        <v>3996</v>
      </c>
      <c r="G22" s="110">
        <v>342</v>
      </c>
      <c r="H22" s="110">
        <v>379</v>
      </c>
      <c r="I22" s="110" t="s">
        <v>62</v>
      </c>
      <c r="J22" s="110" t="s">
        <v>62</v>
      </c>
      <c r="K22" s="108" t="str">
        <f>VLOOKUP(A22,'FRS geographical categories'!A:C,2,FALSE)</f>
        <v>Predominantly Rural</v>
      </c>
      <c r="L22" s="108" t="str">
        <f>VLOOKUP(A22,'FRS geographical categories'!A:C,3,FALSE)</f>
        <v>Non-metropolitan</v>
      </c>
    </row>
    <row r="23" spans="1:12" x14ac:dyDescent="0.2">
      <c r="A23" s="81" t="s">
        <v>74</v>
      </c>
      <c r="C23" s="110">
        <v>14379</v>
      </c>
      <c r="D23" s="110">
        <v>18636.150000000001</v>
      </c>
      <c r="E23" s="110">
        <v>8680</v>
      </c>
      <c r="F23" s="110">
        <v>11967.5</v>
      </c>
      <c r="G23" s="110">
        <v>599</v>
      </c>
      <c r="H23" s="110">
        <v>970.5</v>
      </c>
      <c r="I23" s="110">
        <v>607</v>
      </c>
      <c r="J23" s="110">
        <v>461.5</v>
      </c>
      <c r="K23" s="108" t="str">
        <f>VLOOKUP(A23,'FRS geographical categories'!A:C,2,FALSE)</f>
        <v>Significantly Rural</v>
      </c>
      <c r="L23" s="108" t="str">
        <f>VLOOKUP(A23,'FRS geographical categories'!A:C,3,FALSE)</f>
        <v>Non-metropolitan</v>
      </c>
    </row>
    <row r="24" spans="1:12" x14ac:dyDescent="0.2">
      <c r="A24" s="104" t="s">
        <v>14</v>
      </c>
      <c r="C24" s="110">
        <v>18901</v>
      </c>
      <c r="D24" s="110">
        <v>13277</v>
      </c>
      <c r="E24" s="110">
        <v>6210</v>
      </c>
      <c r="F24" s="110">
        <v>4347</v>
      </c>
      <c r="G24" s="110">
        <v>406</v>
      </c>
      <c r="H24" s="110">
        <v>284</v>
      </c>
      <c r="I24" s="110" t="s">
        <v>62</v>
      </c>
      <c r="J24" s="110" t="s">
        <v>62</v>
      </c>
      <c r="K24" s="108" t="str">
        <f>VLOOKUP(A24,'FRS geographical categories'!A:C,2,FALSE)</f>
        <v>Predominantly Rural</v>
      </c>
      <c r="L24" s="108" t="str">
        <f>VLOOKUP(A24,'FRS geographical categories'!A:C,3,FALSE)</f>
        <v>Non-metropolitan</v>
      </c>
    </row>
    <row r="25" spans="1:12" x14ac:dyDescent="0.2">
      <c r="A25" s="104" t="s">
        <v>15</v>
      </c>
      <c r="C25" s="110">
        <v>9336</v>
      </c>
      <c r="D25" s="110">
        <v>18162.75</v>
      </c>
      <c r="E25" s="110">
        <v>5695</v>
      </c>
      <c r="F25" s="110">
        <v>10673.5</v>
      </c>
      <c r="G25" s="110">
        <v>4802</v>
      </c>
      <c r="H25" s="110">
        <v>8938.75</v>
      </c>
      <c r="I25" s="110" t="s">
        <v>62</v>
      </c>
      <c r="J25" s="110" t="s">
        <v>62</v>
      </c>
      <c r="K25" s="108" t="str">
        <f>VLOOKUP(A25,'FRS geographical categories'!A:C,2,FALSE)</f>
        <v>Significantly Rural</v>
      </c>
      <c r="L25" s="108" t="str">
        <f>VLOOKUP(A25,'FRS geographical categories'!A:C,3,FALSE)</f>
        <v>Non-metropolitan</v>
      </c>
    </row>
    <row r="26" spans="1:12" x14ac:dyDescent="0.2">
      <c r="A26" s="104" t="s">
        <v>16</v>
      </c>
      <c r="C26" s="110">
        <v>5899</v>
      </c>
      <c r="D26" s="110">
        <v>7037</v>
      </c>
      <c r="E26" s="110">
        <v>2870</v>
      </c>
      <c r="F26" s="110">
        <v>3603</v>
      </c>
      <c r="G26" s="110">
        <v>669</v>
      </c>
      <c r="H26" s="110">
        <v>830</v>
      </c>
      <c r="I26" s="110">
        <v>1695</v>
      </c>
      <c r="J26" s="110">
        <v>1470</v>
      </c>
      <c r="K26" s="108" t="str">
        <f>VLOOKUP(A26,'FRS geographical categories'!A:C,2,FALSE)</f>
        <v>Significantly Rural</v>
      </c>
      <c r="L26" s="108" t="str">
        <f>VLOOKUP(A26,'FRS geographical categories'!A:C,3,FALSE)</f>
        <v>Non-metropolitan</v>
      </c>
    </row>
    <row r="27" spans="1:12" x14ac:dyDescent="0.2">
      <c r="A27" s="104" t="s">
        <v>17</v>
      </c>
      <c r="C27" s="110">
        <v>4156</v>
      </c>
      <c r="D27" s="110">
        <v>3754</v>
      </c>
      <c r="E27" s="110">
        <v>2273</v>
      </c>
      <c r="F27" s="110">
        <v>2241</v>
      </c>
      <c r="G27" s="110">
        <v>823</v>
      </c>
      <c r="H27" s="110">
        <v>797</v>
      </c>
      <c r="I27" s="110" t="s">
        <v>62</v>
      </c>
      <c r="J27" s="110" t="s">
        <v>62</v>
      </c>
      <c r="K27" s="108" t="str">
        <f>VLOOKUP(A27,'FRS geographical categories'!A:C,2,FALSE)</f>
        <v>Significantly Rural</v>
      </c>
      <c r="L27" s="108" t="str">
        <f>VLOOKUP(A27,'FRS geographical categories'!A:C,3,FALSE)</f>
        <v>Non-metropolitan</v>
      </c>
    </row>
    <row r="28" spans="1:12" x14ac:dyDescent="0.2">
      <c r="A28" s="104" t="s">
        <v>18</v>
      </c>
      <c r="C28" s="110">
        <v>86961</v>
      </c>
      <c r="D28" s="110">
        <v>44785</v>
      </c>
      <c r="E28" s="110">
        <v>34245</v>
      </c>
      <c r="F28" s="110">
        <v>19721</v>
      </c>
      <c r="G28" s="110">
        <v>26234</v>
      </c>
      <c r="H28" s="110">
        <v>15429</v>
      </c>
      <c r="I28" s="110">
        <v>4238</v>
      </c>
      <c r="J28" s="110" t="s">
        <v>62</v>
      </c>
      <c r="K28" s="108" t="str">
        <f>VLOOKUP(A28,'FRS geographical categories'!A:C,2,FALSE)</f>
        <v>Predominantly Urban</v>
      </c>
      <c r="L28" s="108" t="str">
        <f>VLOOKUP(A28,'FRS geographical categories'!A:C,3,FALSE)</f>
        <v>Metropolitan</v>
      </c>
    </row>
    <row r="29" spans="1:12" x14ac:dyDescent="0.2">
      <c r="A29" s="104" t="s">
        <v>19</v>
      </c>
      <c r="C29" s="110">
        <v>61475</v>
      </c>
      <c r="D29" s="110">
        <v>61475</v>
      </c>
      <c r="E29" s="110">
        <v>4788</v>
      </c>
      <c r="F29" s="110">
        <v>4788</v>
      </c>
      <c r="G29" s="110">
        <v>1821</v>
      </c>
      <c r="H29" s="110">
        <v>1821</v>
      </c>
      <c r="I29" s="110">
        <v>21</v>
      </c>
      <c r="J29" s="110">
        <v>21</v>
      </c>
      <c r="K29" s="108" t="str">
        <f>VLOOKUP(A29,'FRS geographical categories'!A:C,2,FALSE)</f>
        <v>Predominantly Urban</v>
      </c>
      <c r="L29" s="108" t="str">
        <f>VLOOKUP(A29,'FRS geographical categories'!A:C,3,FALSE)</f>
        <v>Metropolitan</v>
      </c>
    </row>
    <row r="30" spans="1:12" x14ac:dyDescent="0.2">
      <c r="A30" s="104" t="s">
        <v>20</v>
      </c>
      <c r="C30" s="110">
        <v>4691</v>
      </c>
      <c r="D30" s="110">
        <v>9649</v>
      </c>
      <c r="E30" s="110">
        <v>3123</v>
      </c>
      <c r="F30" s="110">
        <v>6335</v>
      </c>
      <c r="G30" s="110" t="s">
        <v>62</v>
      </c>
      <c r="H30" s="110" t="s">
        <v>62</v>
      </c>
      <c r="I30" s="110">
        <v>506</v>
      </c>
      <c r="J30" s="110">
        <v>591</v>
      </c>
      <c r="K30" s="108" t="str">
        <f>VLOOKUP(A30,'FRS geographical categories'!A:C,2,FALSE)</f>
        <v>Predominantly Urban</v>
      </c>
      <c r="L30" s="108" t="str">
        <f>VLOOKUP(A30,'FRS geographical categories'!A:C,3,FALSE)</f>
        <v>Non-metropolitan</v>
      </c>
    </row>
    <row r="31" spans="1:12" x14ac:dyDescent="0.2">
      <c r="A31" s="104" t="s">
        <v>21</v>
      </c>
      <c r="C31" s="110">
        <v>3638</v>
      </c>
      <c r="D31" s="110">
        <v>5452</v>
      </c>
      <c r="E31" s="110">
        <v>2828</v>
      </c>
      <c r="F31" s="110">
        <v>3380</v>
      </c>
      <c r="G31" s="110">
        <v>1353</v>
      </c>
      <c r="H31" s="110">
        <v>1406</v>
      </c>
      <c r="I31" s="110" t="s">
        <v>62</v>
      </c>
      <c r="J31" s="110" t="s">
        <v>62</v>
      </c>
      <c r="K31" s="108" t="str">
        <f>VLOOKUP(A31,'FRS geographical categories'!A:C,2,FALSE)</f>
        <v>Significantly Rural</v>
      </c>
      <c r="L31" s="108" t="str">
        <f>VLOOKUP(A31,'FRS geographical categories'!A:C,3,FALSE)</f>
        <v>Non-metropolitan</v>
      </c>
    </row>
    <row r="32" spans="1:12" x14ac:dyDescent="0.2">
      <c r="A32" s="104" t="s">
        <v>22</v>
      </c>
      <c r="C32" s="110">
        <v>8631</v>
      </c>
      <c r="D32" s="110">
        <v>17262</v>
      </c>
      <c r="E32" s="110">
        <v>3649</v>
      </c>
      <c r="F32" s="110">
        <v>7298</v>
      </c>
      <c r="G32" s="110">
        <v>1197</v>
      </c>
      <c r="H32" s="110">
        <v>2394</v>
      </c>
      <c r="I32" s="110">
        <v>851</v>
      </c>
      <c r="J32" s="110">
        <v>1702</v>
      </c>
      <c r="K32" s="108" t="str">
        <f>VLOOKUP(A32,'FRS geographical categories'!A:C,2,FALSE)</f>
        <v>Predominantly Urban</v>
      </c>
      <c r="L32" s="108" t="str">
        <f>VLOOKUP(A32,'FRS geographical categories'!A:C,3,FALSE)</f>
        <v>Non-metropolitan</v>
      </c>
    </row>
    <row r="33" spans="1:12" x14ac:dyDescent="0.2">
      <c r="A33" s="104" t="s">
        <v>23</v>
      </c>
      <c r="C33" s="110">
        <v>16837</v>
      </c>
      <c r="D33" s="110">
        <v>14329.05</v>
      </c>
      <c r="E33" s="110">
        <v>7176</v>
      </c>
      <c r="F33" s="110">
        <v>6084.5</v>
      </c>
      <c r="G33" s="110">
        <v>3741</v>
      </c>
      <c r="H33" s="110">
        <v>3267</v>
      </c>
      <c r="I33" s="110" t="s">
        <v>62</v>
      </c>
      <c r="J33" s="110" t="s">
        <v>62</v>
      </c>
      <c r="K33" s="108" t="str">
        <f>VLOOKUP(A33,'FRS geographical categories'!A:C,2,FALSE)</f>
        <v>Significantly Rural</v>
      </c>
      <c r="L33" s="108" t="str">
        <f>VLOOKUP(A33,'FRS geographical categories'!A:C,3,FALSE)</f>
        <v>Non-metropolitan</v>
      </c>
    </row>
    <row r="34" spans="1:12" x14ac:dyDescent="0.2">
      <c r="A34" s="104" t="s">
        <v>48</v>
      </c>
      <c r="C34" s="110">
        <v>479</v>
      </c>
      <c r="D34" s="110">
        <v>328</v>
      </c>
      <c r="E34" s="110">
        <v>229</v>
      </c>
      <c r="F34" s="110">
        <v>166.5</v>
      </c>
      <c r="G34" s="110" t="s">
        <v>62</v>
      </c>
      <c r="H34" s="110" t="s">
        <v>62</v>
      </c>
      <c r="I34" s="110">
        <v>156</v>
      </c>
      <c r="J34" s="110">
        <v>125</v>
      </c>
      <c r="K34" s="108" t="str">
        <f>VLOOKUP(A34,'FRS geographical categories'!A:C,2,FALSE)</f>
        <v>Predominantly Rural</v>
      </c>
      <c r="L34" s="108" t="str">
        <f>VLOOKUP(A34,'FRS geographical categories'!A:C,3,FALSE)</f>
        <v>Non-metropolitan</v>
      </c>
    </row>
    <row r="35" spans="1:12" x14ac:dyDescent="0.2">
      <c r="A35" s="104" t="s">
        <v>25</v>
      </c>
      <c r="C35" s="110">
        <v>23</v>
      </c>
      <c r="D35" s="110">
        <v>15</v>
      </c>
      <c r="E35" s="110">
        <v>0</v>
      </c>
      <c r="F35" s="110">
        <v>0</v>
      </c>
      <c r="G35" s="110">
        <v>0</v>
      </c>
      <c r="H35" s="110">
        <v>0</v>
      </c>
      <c r="I35" s="110">
        <v>0</v>
      </c>
      <c r="J35" s="110">
        <v>0</v>
      </c>
      <c r="K35" s="108" t="str">
        <f>VLOOKUP(A35,'FRS geographical categories'!A:C,2,FALSE)</f>
        <v>Predominantly Rural</v>
      </c>
      <c r="L35" s="108" t="str">
        <f>VLOOKUP(A35,'FRS geographical categories'!A:C,3,FALSE)</f>
        <v>Non-metropolitan</v>
      </c>
    </row>
    <row r="36" spans="1:12" x14ac:dyDescent="0.2">
      <c r="A36" s="104" t="s">
        <v>26</v>
      </c>
      <c r="C36" s="110">
        <v>8831</v>
      </c>
      <c r="D36" s="110">
        <v>8083</v>
      </c>
      <c r="E36" s="110">
        <v>2813</v>
      </c>
      <c r="F36" s="110">
        <v>2460</v>
      </c>
      <c r="G36" s="110">
        <v>4108</v>
      </c>
      <c r="H36" s="110">
        <v>3920</v>
      </c>
      <c r="I36" s="110">
        <v>489</v>
      </c>
      <c r="J36" s="110">
        <v>0</v>
      </c>
      <c r="K36" s="108" t="str">
        <f>VLOOKUP(A36,'FRS geographical categories'!A:C,2,FALSE)</f>
        <v>Significantly Rural</v>
      </c>
      <c r="L36" s="108" t="str">
        <f>VLOOKUP(A36,'FRS geographical categories'!A:C,3,FALSE)</f>
        <v>Non-metropolitan</v>
      </c>
    </row>
    <row r="37" spans="1:12" x14ac:dyDescent="0.2">
      <c r="A37" s="104" t="s">
        <v>27</v>
      </c>
      <c r="C37" s="110">
        <v>31551</v>
      </c>
      <c r="D37" s="110">
        <v>40778</v>
      </c>
      <c r="E37" s="110">
        <v>15306</v>
      </c>
      <c r="F37" s="110">
        <v>19782</v>
      </c>
      <c r="G37" s="110">
        <v>12299</v>
      </c>
      <c r="H37" s="110">
        <v>15896</v>
      </c>
      <c r="I37" s="110">
        <v>9</v>
      </c>
      <c r="J37" s="110">
        <v>7</v>
      </c>
      <c r="K37" s="108" t="str">
        <f>VLOOKUP(A37,'FRS geographical categories'!A:C,2,FALSE)</f>
        <v>Predominantly Urban</v>
      </c>
      <c r="L37" s="108" t="str">
        <f>VLOOKUP(A37,'FRS geographical categories'!A:C,3,FALSE)</f>
        <v>Non-metropolitan</v>
      </c>
    </row>
    <row r="38" spans="1:12" x14ac:dyDescent="0.2">
      <c r="A38" s="104" t="s">
        <v>28</v>
      </c>
      <c r="C38" s="110">
        <v>4300</v>
      </c>
      <c r="D38" s="110">
        <v>7525</v>
      </c>
      <c r="E38" s="110">
        <v>2505</v>
      </c>
      <c r="F38" s="110">
        <v>4384</v>
      </c>
      <c r="G38" s="110">
        <v>1563</v>
      </c>
      <c r="H38" s="110">
        <v>2735</v>
      </c>
      <c r="I38" s="110">
        <v>520</v>
      </c>
      <c r="J38" s="110">
        <v>910</v>
      </c>
      <c r="K38" s="108" t="str">
        <f>VLOOKUP(A38,'FRS geographical categories'!A:C,2,FALSE)</f>
        <v>Significantly Rural</v>
      </c>
      <c r="L38" s="108" t="str">
        <f>VLOOKUP(A38,'FRS geographical categories'!A:C,3,FALSE)</f>
        <v>Non-metropolitan</v>
      </c>
    </row>
    <row r="39" spans="1:12" x14ac:dyDescent="0.2">
      <c r="A39" s="104" t="s">
        <v>29</v>
      </c>
      <c r="C39" s="110">
        <v>7276</v>
      </c>
      <c r="D39" s="110">
        <v>9205</v>
      </c>
      <c r="E39" s="110">
        <v>3990</v>
      </c>
      <c r="F39" s="110">
        <v>5128</v>
      </c>
      <c r="G39" s="110">
        <v>3160</v>
      </c>
      <c r="H39" s="110">
        <v>3946</v>
      </c>
      <c r="I39" s="110">
        <v>37</v>
      </c>
      <c r="J39" s="110">
        <v>40</v>
      </c>
      <c r="K39" s="108" t="str">
        <f>VLOOKUP(A39,'FRS geographical categories'!A:C,2,FALSE)</f>
        <v>Predominantly Rural</v>
      </c>
      <c r="L39" s="108" t="str">
        <f>VLOOKUP(A39,'FRS geographical categories'!A:C,3,FALSE)</f>
        <v>Non-metropolitan</v>
      </c>
    </row>
    <row r="40" spans="1:12" x14ac:dyDescent="0.2">
      <c r="A40" s="104" t="s">
        <v>30</v>
      </c>
      <c r="C40" s="110">
        <v>34980</v>
      </c>
      <c r="D40" s="110">
        <v>55933</v>
      </c>
      <c r="E40" s="110">
        <v>15000</v>
      </c>
      <c r="F40" s="110">
        <v>23985</v>
      </c>
      <c r="G40" s="110">
        <v>5147</v>
      </c>
      <c r="H40" s="110">
        <v>8230</v>
      </c>
      <c r="I40" s="110">
        <v>4812</v>
      </c>
      <c r="J40" s="110">
        <v>7694</v>
      </c>
      <c r="K40" s="108" t="str">
        <f>VLOOKUP(A40,'FRS geographical categories'!A:C,2,FALSE)</f>
        <v>Predominantly Urban</v>
      </c>
      <c r="L40" s="108" t="str">
        <f>VLOOKUP(A40,'FRS geographical categories'!A:C,3,FALSE)</f>
        <v>Metropolitan</v>
      </c>
    </row>
    <row r="41" spans="1:12" x14ac:dyDescent="0.2">
      <c r="A41" s="104" t="s">
        <v>31</v>
      </c>
      <c r="C41" s="110">
        <v>3780</v>
      </c>
      <c r="D41" s="110">
        <v>3792.07</v>
      </c>
      <c r="E41" s="110">
        <v>2100</v>
      </c>
      <c r="F41" s="110">
        <v>2104.56</v>
      </c>
      <c r="G41" s="110" t="s">
        <v>62</v>
      </c>
      <c r="H41" s="110" t="s">
        <v>62</v>
      </c>
      <c r="I41" s="110">
        <v>584</v>
      </c>
      <c r="J41" s="110">
        <v>51.67</v>
      </c>
      <c r="K41" s="108" t="str">
        <f>VLOOKUP(A41,'FRS geographical categories'!A:C,2,FALSE)</f>
        <v>Predominantly Rural</v>
      </c>
      <c r="L41" s="108" t="str">
        <f>VLOOKUP(A41,'FRS geographical categories'!A:C,3,FALSE)</f>
        <v>Non-metropolitan</v>
      </c>
    </row>
    <row r="42" spans="1:12" x14ac:dyDescent="0.2">
      <c r="A42" s="104" t="s">
        <v>32</v>
      </c>
      <c r="C42" s="110">
        <v>3108</v>
      </c>
      <c r="D42" s="110">
        <v>4023</v>
      </c>
      <c r="E42" s="110">
        <v>1860</v>
      </c>
      <c r="F42" s="110">
        <v>2443</v>
      </c>
      <c r="G42" s="110" t="s">
        <v>62</v>
      </c>
      <c r="H42" s="110" t="s">
        <v>62</v>
      </c>
      <c r="I42" s="110">
        <v>2</v>
      </c>
      <c r="J42" s="110">
        <v>1</v>
      </c>
      <c r="K42" s="108" t="str">
        <f>VLOOKUP(A42,'FRS geographical categories'!A:C,2,FALSE)</f>
        <v>Predominantly Rural</v>
      </c>
      <c r="L42" s="108" t="str">
        <f>VLOOKUP(A42,'FRS geographical categories'!A:C,3,FALSE)</f>
        <v>Non-metropolitan</v>
      </c>
    </row>
    <row r="43" spans="1:12" x14ac:dyDescent="0.2">
      <c r="A43" s="104" t="s">
        <v>33</v>
      </c>
      <c r="C43" s="110">
        <v>5015</v>
      </c>
      <c r="D43" s="110">
        <v>3628</v>
      </c>
      <c r="E43" s="110">
        <v>1453</v>
      </c>
      <c r="F43" s="110">
        <v>1119</v>
      </c>
      <c r="G43" s="110">
        <v>658</v>
      </c>
      <c r="H43" s="110">
        <v>524</v>
      </c>
      <c r="I43" s="110">
        <v>114</v>
      </c>
      <c r="J43" s="110">
        <v>114</v>
      </c>
      <c r="K43" s="108" t="str">
        <f>VLOOKUP(A43,'FRS geographical categories'!A:C,2,FALSE)</f>
        <v>Significantly Rural</v>
      </c>
      <c r="L43" s="108" t="str">
        <f>VLOOKUP(A43,'FRS geographical categories'!A:C,3,FALSE)</f>
        <v>Non-metropolitan</v>
      </c>
    </row>
    <row r="44" spans="1:12" x14ac:dyDescent="0.2">
      <c r="A44" s="104" t="s">
        <v>34</v>
      </c>
      <c r="C44" s="110">
        <v>8996</v>
      </c>
      <c r="D44" s="110">
        <v>8856.25</v>
      </c>
      <c r="E44" s="110">
        <v>4858</v>
      </c>
      <c r="F44" s="110">
        <v>4775.75</v>
      </c>
      <c r="G44" s="110">
        <v>868</v>
      </c>
      <c r="H44" s="110">
        <v>989</v>
      </c>
      <c r="I44" s="110">
        <v>445</v>
      </c>
      <c r="J44" s="110">
        <v>308.25</v>
      </c>
      <c r="K44" s="108" t="str">
        <f>VLOOKUP(A44,'FRS geographical categories'!A:C,2,FALSE)</f>
        <v>Predominantly Rural</v>
      </c>
      <c r="L44" s="108" t="str">
        <f>VLOOKUP(A44,'FRS geographical categories'!A:C,3,FALSE)</f>
        <v>Non-metropolitan</v>
      </c>
    </row>
    <row r="45" spans="1:12" x14ac:dyDescent="0.2">
      <c r="A45" s="104" t="s">
        <v>35</v>
      </c>
      <c r="C45" s="110">
        <v>3452</v>
      </c>
      <c r="D45" s="110">
        <v>6194</v>
      </c>
      <c r="E45" s="110">
        <v>1762</v>
      </c>
      <c r="F45" s="110">
        <v>3059</v>
      </c>
      <c r="G45" s="110">
        <v>1446</v>
      </c>
      <c r="H45" s="110">
        <v>2550</v>
      </c>
      <c r="I45" s="110">
        <v>520</v>
      </c>
      <c r="J45" s="110">
        <v>646</v>
      </c>
      <c r="K45" s="108" t="str">
        <f>VLOOKUP(A45,'FRS geographical categories'!A:C,2,FALSE)</f>
        <v>Predominantly Urban</v>
      </c>
      <c r="L45" s="108" t="str">
        <f>VLOOKUP(A45,'FRS geographical categories'!A:C,3,FALSE)</f>
        <v>Non-metropolitan</v>
      </c>
    </row>
    <row r="46" spans="1:12" x14ac:dyDescent="0.2">
      <c r="A46" s="104" t="s">
        <v>36</v>
      </c>
      <c r="C46" s="110">
        <v>3472</v>
      </c>
      <c r="D46" s="110">
        <v>17532</v>
      </c>
      <c r="E46" s="110">
        <v>1642</v>
      </c>
      <c r="F46" s="110">
        <v>4448</v>
      </c>
      <c r="G46" s="110" t="s">
        <v>65</v>
      </c>
      <c r="H46" s="110" t="s">
        <v>65</v>
      </c>
      <c r="I46" s="110">
        <v>12</v>
      </c>
      <c r="J46" s="110">
        <v>35</v>
      </c>
      <c r="K46" s="108" t="str">
        <f>VLOOKUP(A46,'FRS geographical categories'!A:C,2,FALSE)</f>
        <v>Predominantly Rural</v>
      </c>
      <c r="L46" s="108" t="str">
        <f>VLOOKUP(A46,'FRS geographical categories'!A:C,3,FALSE)</f>
        <v>Non-metropolitan</v>
      </c>
    </row>
    <row r="47" spans="1:12" x14ac:dyDescent="0.2">
      <c r="A47" s="104" t="s">
        <v>37</v>
      </c>
      <c r="C47" s="110">
        <v>3216</v>
      </c>
      <c r="D47" s="110">
        <v>4288</v>
      </c>
      <c r="E47" s="110">
        <v>1368</v>
      </c>
      <c r="F47" s="110">
        <v>1824</v>
      </c>
      <c r="G47" s="110" t="s">
        <v>62</v>
      </c>
      <c r="H47" s="110" t="s">
        <v>62</v>
      </c>
      <c r="I47" s="110">
        <v>662</v>
      </c>
      <c r="J47" s="110" t="s">
        <v>62</v>
      </c>
      <c r="K47" s="108" t="str">
        <f>VLOOKUP(A47,'FRS geographical categories'!A:C,2,FALSE)</f>
        <v>Predominantly Rural</v>
      </c>
      <c r="L47" s="108" t="str">
        <f>VLOOKUP(A47,'FRS geographical categories'!A:C,3,FALSE)</f>
        <v>Non-metropolitan</v>
      </c>
    </row>
    <row r="48" spans="1:12" x14ac:dyDescent="0.2">
      <c r="A48" s="104" t="s">
        <v>38</v>
      </c>
      <c r="C48" s="110">
        <v>20669</v>
      </c>
      <c r="D48" s="110">
        <v>13589.133333333333</v>
      </c>
      <c r="E48" s="110">
        <v>7044</v>
      </c>
      <c r="F48" s="110">
        <v>4654.7</v>
      </c>
      <c r="G48" s="110">
        <v>3637</v>
      </c>
      <c r="H48" s="110">
        <v>2507.1833333333334</v>
      </c>
      <c r="I48" s="110">
        <v>0</v>
      </c>
      <c r="J48" s="110">
        <v>0</v>
      </c>
      <c r="K48" s="108" t="str">
        <f>VLOOKUP(A48,'FRS geographical categories'!A:C,2,FALSE)</f>
        <v>Predominantly Urban</v>
      </c>
      <c r="L48" s="108" t="str">
        <f>VLOOKUP(A48,'FRS geographical categories'!A:C,3,FALSE)</f>
        <v>Metropolitan</v>
      </c>
    </row>
    <row r="49" spans="1:12" x14ac:dyDescent="0.2">
      <c r="A49" s="104" t="s">
        <v>39</v>
      </c>
      <c r="C49" s="110">
        <v>24165</v>
      </c>
      <c r="D49" s="110" t="s">
        <v>62</v>
      </c>
      <c r="E49" s="110">
        <v>13541</v>
      </c>
      <c r="F49" s="110" t="s">
        <v>62</v>
      </c>
      <c r="G49" s="110">
        <v>5707</v>
      </c>
      <c r="H49" s="110" t="s">
        <v>62</v>
      </c>
      <c r="I49" s="110">
        <v>355</v>
      </c>
      <c r="J49" s="110" t="s">
        <v>62</v>
      </c>
      <c r="K49" s="108" t="str">
        <f>VLOOKUP(A49,'FRS geographical categories'!A:C,2,FALSE)</f>
        <v>Significantly Rural</v>
      </c>
      <c r="L49" s="108" t="str">
        <f>VLOOKUP(A49,'FRS geographical categories'!A:C,3,FALSE)</f>
        <v>Non-metropolitan</v>
      </c>
    </row>
    <row r="50" spans="1:12" x14ac:dyDescent="0.2">
      <c r="A50" s="104" t="s">
        <v>40</v>
      </c>
      <c r="C50" s="110">
        <v>1765</v>
      </c>
      <c r="D50" s="110">
        <v>3469.28</v>
      </c>
      <c r="E50" s="110">
        <v>915</v>
      </c>
      <c r="F50" s="110">
        <v>2196.62</v>
      </c>
      <c r="G50" s="110">
        <v>329</v>
      </c>
      <c r="H50" s="110">
        <v>735.22</v>
      </c>
      <c r="I50" s="110">
        <v>0</v>
      </c>
      <c r="J50" s="110">
        <v>0</v>
      </c>
      <c r="K50" s="108" t="str">
        <f>VLOOKUP(A50,'FRS geographical categories'!A:C,2,FALSE)</f>
        <v>Predominantly Rural</v>
      </c>
      <c r="L50" s="108" t="str">
        <f>VLOOKUP(A50,'FRS geographical categories'!A:C,3,FALSE)</f>
        <v>Non-metropolitan</v>
      </c>
    </row>
    <row r="51" spans="1:12" x14ac:dyDescent="0.2">
      <c r="A51" s="104" t="s">
        <v>41</v>
      </c>
      <c r="C51" s="110">
        <v>1958</v>
      </c>
      <c r="D51" s="110" t="s">
        <v>62</v>
      </c>
      <c r="E51" s="110">
        <v>273</v>
      </c>
      <c r="F51" s="110" t="s">
        <v>62</v>
      </c>
      <c r="G51" s="110">
        <v>385</v>
      </c>
      <c r="H51" s="110" t="s">
        <v>62</v>
      </c>
      <c r="I51" s="110">
        <v>74</v>
      </c>
      <c r="J51" s="110" t="s">
        <v>62</v>
      </c>
      <c r="K51" s="108" t="str">
        <f>VLOOKUP(A51,'FRS geographical categories'!A:C,2,FALSE)</f>
        <v>Predominantly Urban</v>
      </c>
      <c r="L51" s="108" t="str">
        <f>VLOOKUP(A51,'FRS geographical categories'!A:C,3,FALSE)</f>
        <v>Non-metropolitan</v>
      </c>
    </row>
    <row r="52" spans="1:12" x14ac:dyDescent="0.2">
      <c r="A52" s="104" t="s">
        <v>42</v>
      </c>
      <c r="C52" s="110">
        <v>30504</v>
      </c>
      <c r="D52" s="110">
        <v>16622</v>
      </c>
      <c r="E52" s="110">
        <v>13507</v>
      </c>
      <c r="F52" s="110">
        <v>7752</v>
      </c>
      <c r="G52" s="110">
        <v>4874</v>
      </c>
      <c r="H52" s="110">
        <v>3393</v>
      </c>
      <c r="I52" s="110">
        <v>6621</v>
      </c>
      <c r="J52" s="110">
        <v>2713</v>
      </c>
      <c r="K52" s="108" t="str">
        <f>VLOOKUP(A52,'FRS geographical categories'!A:C,2,FALSE)</f>
        <v>Predominantly Urban</v>
      </c>
      <c r="L52" s="108" t="str">
        <f>VLOOKUP(A52,'FRS geographical categories'!A:C,3,FALSE)</f>
        <v>Metropolitan</v>
      </c>
    </row>
    <row r="53" spans="1:12" x14ac:dyDescent="0.2">
      <c r="A53" s="104" t="s">
        <v>43</v>
      </c>
      <c r="C53" s="110">
        <v>1632</v>
      </c>
      <c r="D53" s="110">
        <v>1632</v>
      </c>
      <c r="E53" s="110">
        <v>595</v>
      </c>
      <c r="F53" s="110">
        <v>595</v>
      </c>
      <c r="G53" s="110">
        <v>445</v>
      </c>
      <c r="H53" s="110">
        <v>445</v>
      </c>
      <c r="I53" s="110">
        <v>123</v>
      </c>
      <c r="J53" s="110">
        <v>123</v>
      </c>
      <c r="K53" s="108" t="str">
        <f>VLOOKUP(A53,'FRS geographical categories'!A:C,2,FALSE)</f>
        <v>Significantly Rural</v>
      </c>
      <c r="L53" s="108" t="str">
        <f>VLOOKUP(A53,'FRS geographical categories'!A:C,3,FALSE)</f>
        <v>Non-metropolitan</v>
      </c>
    </row>
    <row r="54" spans="1:12" x14ac:dyDescent="0.2">
      <c r="A54" s="104" t="s">
        <v>44</v>
      </c>
      <c r="C54" s="110">
        <v>20498</v>
      </c>
      <c r="D54" s="110">
        <v>81992</v>
      </c>
      <c r="E54" s="110" t="s">
        <v>62</v>
      </c>
      <c r="F54" s="110" t="s">
        <v>62</v>
      </c>
      <c r="G54" s="110" t="s">
        <v>62</v>
      </c>
      <c r="H54" s="110" t="s">
        <v>62</v>
      </c>
      <c r="I54" s="110">
        <v>7392</v>
      </c>
      <c r="J54" s="110">
        <v>29568</v>
      </c>
      <c r="K54" s="108" t="str">
        <f>VLOOKUP(A54,'FRS geographical categories'!A:C,2,FALSE)</f>
        <v>Predominantly Urban</v>
      </c>
      <c r="L54" s="108" t="str">
        <f>VLOOKUP(A54,'FRS geographical categories'!A:C,3,FALSE)</f>
        <v>Metropolitan</v>
      </c>
    </row>
    <row r="55" spans="1:12" x14ac:dyDescent="0.2">
      <c r="A55" s="104" t="s">
        <v>45</v>
      </c>
      <c r="C55" s="110">
        <v>6465</v>
      </c>
      <c r="D55" s="110">
        <v>8592</v>
      </c>
      <c r="E55" s="110">
        <v>4222</v>
      </c>
      <c r="F55" s="110">
        <v>7658</v>
      </c>
      <c r="G55" s="110">
        <v>623</v>
      </c>
      <c r="H55" s="110">
        <v>934</v>
      </c>
      <c r="I55" s="110" t="s">
        <v>62</v>
      </c>
      <c r="J55" s="110" t="s">
        <v>62</v>
      </c>
      <c r="K55" s="108" t="str">
        <f>VLOOKUP(A55,'FRS geographical categories'!A:C,2,FALSE)</f>
        <v>Significantly Rural</v>
      </c>
      <c r="L55" s="108" t="str">
        <f>VLOOKUP(A55,'FRS geographical categories'!A:C,3,FALSE)</f>
        <v>Non-metropolitan</v>
      </c>
    </row>
    <row r="56" spans="1:12" x14ac:dyDescent="0.2">
      <c r="A56" s="104" t="s">
        <v>46</v>
      </c>
      <c r="C56" s="110">
        <v>42315</v>
      </c>
      <c r="D56" s="110">
        <v>35673</v>
      </c>
      <c r="E56" s="110">
        <v>16125</v>
      </c>
      <c r="F56" s="110">
        <v>7280</v>
      </c>
      <c r="G56" s="110">
        <v>9053</v>
      </c>
      <c r="H56" s="110">
        <v>9818</v>
      </c>
      <c r="I56" s="110">
        <v>64</v>
      </c>
      <c r="J56" s="110">
        <v>82</v>
      </c>
      <c r="K56" s="108" t="str">
        <f>VLOOKUP(A56,'FRS geographical categories'!A:C,2,FALSE)</f>
        <v>Predominantly Urban</v>
      </c>
      <c r="L56" s="108" t="str">
        <f>VLOOKUP(A56,'FRS geographical categories'!A:C,3,FALSE)</f>
        <v>Metropolitan</v>
      </c>
    </row>
    <row r="57" spans="1:12" x14ac:dyDescent="0.2">
      <c r="C57" s="110"/>
      <c r="D57" s="110"/>
      <c r="E57" s="110"/>
      <c r="F57" s="110"/>
      <c r="G57" s="110"/>
      <c r="H57" s="110"/>
      <c r="I57" s="110"/>
      <c r="J57" s="110"/>
      <c r="K57" s="108"/>
      <c r="L57" s="108"/>
    </row>
    <row r="58" spans="1:12" x14ac:dyDescent="0.2">
      <c r="A58" s="104" t="s">
        <v>139</v>
      </c>
      <c r="C58" s="110"/>
      <c r="D58" s="110"/>
      <c r="E58" s="110"/>
      <c r="F58" s="110"/>
      <c r="G58" s="110"/>
      <c r="H58" s="110"/>
      <c r="I58" s="110"/>
      <c r="J58" s="110"/>
      <c r="K58" s="108"/>
      <c r="L58" s="108"/>
    </row>
    <row r="59" spans="1:12" ht="10.35" customHeight="1" x14ac:dyDescent="0.2">
      <c r="A59" s="104" t="s">
        <v>39</v>
      </c>
      <c r="D59" s="81">
        <v>32347.03977337978</v>
      </c>
      <c r="K59" s="108" t="str">
        <f>VLOOKUP(A59,'FRS geographical categories'!A:C,2,FALSE)</f>
        <v>Significantly Rural</v>
      </c>
      <c r="L59" s="108" t="str">
        <f>VLOOKUP(A59,'FRS geographical categories'!A:C,3,FALSE)</f>
        <v>Non-metropolitan</v>
      </c>
    </row>
    <row r="60" spans="1:12" ht="10.35" customHeight="1" x14ac:dyDescent="0.2">
      <c r="A60" s="104" t="s">
        <v>41</v>
      </c>
      <c r="D60" s="81">
        <v>2620.9602266202196</v>
      </c>
      <c r="K60" s="108" t="str">
        <f>VLOOKUP(A60,'FRS geographical categories'!A:C,2,FALSE)</f>
        <v>Predominantly Urban</v>
      </c>
      <c r="L60" s="108" t="str">
        <f>VLOOKUP(A60,'FRS geographical categories'!A:C,3,FALSE)</f>
        <v>Non-metropolitan</v>
      </c>
    </row>
    <row r="61" spans="1:12" ht="10.35" customHeight="1" x14ac:dyDescent="0.2">
      <c r="D61" s="81"/>
    </row>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row r="69" ht="10.35"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8F4EA-A02A-4C84-B6B5-86271C4B53AA}">
  <sheetPr codeName="Sheet6"/>
  <dimension ref="A1:L69"/>
  <sheetViews>
    <sheetView workbookViewId="0">
      <selection sqref="A1:J1"/>
    </sheetView>
  </sheetViews>
  <sheetFormatPr defaultColWidth="8.77734375" defaultRowHeight="10.199999999999999" x14ac:dyDescent="0.2"/>
  <cols>
    <col min="1" max="1" width="21" style="104" bestFit="1" customWidth="1"/>
    <col min="2" max="2" width="4.44140625" style="104" customWidth="1"/>
    <col min="3" max="10" width="8.77734375" style="104"/>
    <col min="11" max="11" width="18.44140625" style="104" bestFit="1" customWidth="1"/>
    <col min="12" max="12" width="15.77734375" style="104" bestFit="1" customWidth="1"/>
    <col min="13" max="16384" width="8.77734375" style="104"/>
  </cols>
  <sheetData>
    <row r="1" spans="1:12" ht="41.55" customHeight="1" x14ac:dyDescent="0.2">
      <c r="A1" s="178"/>
      <c r="B1" s="178"/>
      <c r="C1" s="178"/>
      <c r="D1" s="178"/>
      <c r="E1" s="178"/>
      <c r="F1" s="178"/>
      <c r="G1" s="178"/>
      <c r="H1" s="178"/>
      <c r="I1" s="178"/>
      <c r="J1" s="178"/>
    </row>
    <row r="2" spans="1:12" ht="36.6" customHeight="1" x14ac:dyDescent="0.2">
      <c r="A2" s="179"/>
      <c r="B2" s="112"/>
      <c r="C2" s="181" t="s">
        <v>58</v>
      </c>
      <c r="D2" s="182"/>
      <c r="E2" s="183" t="s">
        <v>63</v>
      </c>
      <c r="F2" s="183"/>
      <c r="G2" s="183" t="s">
        <v>64</v>
      </c>
      <c r="H2" s="183"/>
      <c r="I2" s="181" t="s">
        <v>59</v>
      </c>
      <c r="J2" s="182"/>
    </row>
    <row r="3" spans="1:12" ht="27.6" customHeight="1" x14ac:dyDescent="0.2">
      <c r="A3" s="180"/>
      <c r="B3" s="113"/>
      <c r="C3" s="105" t="s">
        <v>60</v>
      </c>
      <c r="D3" s="106" t="s">
        <v>61</v>
      </c>
      <c r="E3" s="105" t="s">
        <v>60</v>
      </c>
      <c r="F3" s="106" t="s">
        <v>61</v>
      </c>
      <c r="G3" s="105" t="s">
        <v>60</v>
      </c>
      <c r="H3" s="106" t="s">
        <v>61</v>
      </c>
      <c r="I3" s="105" t="s">
        <v>60</v>
      </c>
      <c r="J3" s="106" t="s">
        <v>61</v>
      </c>
    </row>
    <row r="6" spans="1:12" x14ac:dyDescent="0.2">
      <c r="A6" s="107" t="s">
        <v>0</v>
      </c>
      <c r="B6" s="107"/>
      <c r="C6" s="109">
        <f t="shared" ref="C6:J6" si="0">SUM(C12:C61)</f>
        <v>581364</v>
      </c>
      <c r="D6" s="109">
        <f t="shared" si="0"/>
        <v>729661.84618249536</v>
      </c>
      <c r="E6" s="109">
        <f t="shared" si="0"/>
        <v>268176</v>
      </c>
      <c r="F6" s="109">
        <f t="shared" si="0"/>
        <v>319565.42333333334</v>
      </c>
      <c r="G6" s="109">
        <f t="shared" si="0"/>
        <v>130971</v>
      </c>
      <c r="H6" s="109">
        <f t="shared" si="0"/>
        <v>182967.90000000002</v>
      </c>
      <c r="I6" s="109">
        <f t="shared" si="0"/>
        <v>44388</v>
      </c>
      <c r="J6" s="109">
        <f t="shared" si="0"/>
        <v>67055.459999999992</v>
      </c>
    </row>
    <row r="7" spans="1:12" x14ac:dyDescent="0.2">
      <c r="A7" s="107" t="s">
        <v>77</v>
      </c>
      <c r="B7" s="107"/>
      <c r="C7" s="109">
        <f t="shared" ref="C7:J8" si="1">SUMIF($L$12:$L$61,$A7,C$12:C$61)</f>
        <v>301400</v>
      </c>
      <c r="D7" s="109">
        <f t="shared" si="1"/>
        <v>397954.74618249526</v>
      </c>
      <c r="E7" s="109">
        <f t="shared" si="1"/>
        <v>158517</v>
      </c>
      <c r="F7" s="109">
        <f t="shared" si="1"/>
        <v>176360.84</v>
      </c>
      <c r="G7" s="109">
        <f t="shared" si="1"/>
        <v>63721</v>
      </c>
      <c r="H7" s="109">
        <f t="shared" si="1"/>
        <v>80094.3</v>
      </c>
      <c r="I7" s="109">
        <f t="shared" si="1"/>
        <v>19608</v>
      </c>
      <c r="J7" s="109">
        <f t="shared" si="1"/>
        <v>21262.46</v>
      </c>
    </row>
    <row r="8" spans="1:12" x14ac:dyDescent="0.2">
      <c r="A8" s="107" t="s">
        <v>49</v>
      </c>
      <c r="B8" s="107"/>
      <c r="C8" s="109">
        <f t="shared" si="1"/>
        <v>279964</v>
      </c>
      <c r="D8" s="109">
        <f t="shared" si="1"/>
        <v>331707.09999999998</v>
      </c>
      <c r="E8" s="109">
        <f t="shared" si="1"/>
        <v>109659</v>
      </c>
      <c r="F8" s="109">
        <f t="shared" si="1"/>
        <v>143204.58333333331</v>
      </c>
      <c r="G8" s="109">
        <f t="shared" si="1"/>
        <v>67250</v>
      </c>
      <c r="H8" s="109">
        <f t="shared" si="1"/>
        <v>102873.60000000001</v>
      </c>
      <c r="I8" s="109">
        <f t="shared" si="1"/>
        <v>24780</v>
      </c>
      <c r="J8" s="109">
        <f t="shared" si="1"/>
        <v>45793</v>
      </c>
    </row>
    <row r="9" spans="1:12" x14ac:dyDescent="0.2">
      <c r="A9" s="107" t="s">
        <v>114</v>
      </c>
      <c r="B9" s="107"/>
      <c r="C9" s="109">
        <f t="shared" ref="C9:J11" si="2">SUMIF($K$12:$K$61,$A9,C$12:C$61)</f>
        <v>351995</v>
      </c>
      <c r="D9" s="109">
        <f t="shared" si="2"/>
        <v>482908.1</v>
      </c>
      <c r="E9" s="109">
        <f t="shared" si="2"/>
        <v>145894</v>
      </c>
      <c r="F9" s="109">
        <f t="shared" si="2"/>
        <v>211276.58333333334</v>
      </c>
      <c r="G9" s="109">
        <f t="shared" si="2"/>
        <v>86340</v>
      </c>
      <c r="H9" s="109">
        <f t="shared" si="2"/>
        <v>132318.6</v>
      </c>
      <c r="I9" s="109">
        <f t="shared" si="2"/>
        <v>30970</v>
      </c>
      <c r="J9" s="109">
        <f t="shared" si="2"/>
        <v>57317.5</v>
      </c>
    </row>
    <row r="10" spans="1:12" x14ac:dyDescent="0.2">
      <c r="A10" s="107" t="s">
        <v>115</v>
      </c>
      <c r="B10" s="107"/>
      <c r="C10" s="109">
        <f t="shared" si="2"/>
        <v>155918</v>
      </c>
      <c r="D10" s="109">
        <f t="shared" si="2"/>
        <v>168552.49618249529</v>
      </c>
      <c r="E10" s="109">
        <f t="shared" si="2"/>
        <v>90911</v>
      </c>
      <c r="F10" s="109">
        <f t="shared" si="2"/>
        <v>70475.34</v>
      </c>
      <c r="G10" s="109">
        <f t="shared" si="2"/>
        <v>33675</v>
      </c>
      <c r="H10" s="109">
        <f t="shared" si="2"/>
        <v>33516.550000000003</v>
      </c>
      <c r="I10" s="109">
        <f t="shared" si="2"/>
        <v>9508</v>
      </c>
      <c r="J10" s="109">
        <f t="shared" si="2"/>
        <v>7708.21</v>
      </c>
    </row>
    <row r="11" spans="1:12" x14ac:dyDescent="0.2">
      <c r="A11" s="107" t="s">
        <v>116</v>
      </c>
      <c r="B11" s="107"/>
      <c r="C11" s="109">
        <f t="shared" si="2"/>
        <v>73451</v>
      </c>
      <c r="D11" s="109">
        <f t="shared" si="2"/>
        <v>78201.25</v>
      </c>
      <c r="E11" s="109">
        <f t="shared" si="2"/>
        <v>31371</v>
      </c>
      <c r="F11" s="109">
        <f t="shared" si="2"/>
        <v>37813.5</v>
      </c>
      <c r="G11" s="109">
        <f t="shared" si="2"/>
        <v>10956</v>
      </c>
      <c r="H11" s="109">
        <f t="shared" si="2"/>
        <v>17132.75</v>
      </c>
      <c r="I11" s="109">
        <f t="shared" si="2"/>
        <v>3910</v>
      </c>
      <c r="J11" s="109">
        <f t="shared" si="2"/>
        <v>2029.75</v>
      </c>
    </row>
    <row r="12" spans="1:12" x14ac:dyDescent="0.2">
      <c r="A12" s="104" t="s">
        <v>3</v>
      </c>
      <c r="C12" s="110">
        <v>7884</v>
      </c>
      <c r="D12" s="110">
        <v>6030</v>
      </c>
      <c r="E12" s="110">
        <v>4725</v>
      </c>
      <c r="F12" s="110">
        <v>3615</v>
      </c>
      <c r="G12" s="110">
        <v>3240</v>
      </c>
      <c r="H12" s="110">
        <v>2515</v>
      </c>
      <c r="I12" s="110">
        <v>1423</v>
      </c>
      <c r="J12" s="110">
        <v>710</v>
      </c>
      <c r="K12" s="108" t="str">
        <f>VLOOKUP(A12,'FRS geographical categories'!A:C,2,FALSE)</f>
        <v>Predominantly Urban</v>
      </c>
      <c r="L12" s="108" t="str">
        <f>VLOOKUP(A12,'FRS geographical categories'!A:C,3,FALSE)</f>
        <v>Non-metropolitan</v>
      </c>
    </row>
    <row r="13" spans="1:12" x14ac:dyDescent="0.2">
      <c r="A13" s="104" t="s">
        <v>4</v>
      </c>
      <c r="C13" s="110">
        <v>4346</v>
      </c>
      <c r="D13" s="110">
        <v>3961.53</v>
      </c>
      <c r="E13" s="110">
        <v>2684</v>
      </c>
      <c r="F13" s="110">
        <v>0</v>
      </c>
      <c r="G13" s="110">
        <v>0</v>
      </c>
      <c r="H13" s="110">
        <v>0</v>
      </c>
      <c r="I13" s="110">
        <v>1145</v>
      </c>
      <c r="J13" s="110">
        <v>0</v>
      </c>
      <c r="K13" s="108" t="str">
        <f>VLOOKUP(A13,'FRS geographical categories'!A:C,2,FALSE)</f>
        <v>Significantly Rural</v>
      </c>
      <c r="L13" s="108" t="str">
        <f>VLOOKUP(A13,'FRS geographical categories'!A:C,3,FALSE)</f>
        <v>Non-metropolitan</v>
      </c>
    </row>
    <row r="14" spans="1:12" x14ac:dyDescent="0.2">
      <c r="A14" s="104" t="s">
        <v>5</v>
      </c>
      <c r="C14" s="110">
        <v>9485</v>
      </c>
      <c r="D14" s="110">
        <v>11108</v>
      </c>
      <c r="E14" s="110">
        <v>5163</v>
      </c>
      <c r="F14" s="110">
        <v>10326</v>
      </c>
      <c r="G14" s="110">
        <v>1939</v>
      </c>
      <c r="H14" s="110">
        <v>3878</v>
      </c>
      <c r="I14" s="110">
        <v>0</v>
      </c>
      <c r="J14" s="110">
        <v>0</v>
      </c>
      <c r="K14" s="108" t="str">
        <f>VLOOKUP(A14,'FRS geographical categories'!A:C,2,FALSE)</f>
        <v>Predominantly Urban</v>
      </c>
      <c r="L14" s="108" t="str">
        <f>VLOOKUP(A14,'FRS geographical categories'!A:C,3,FALSE)</f>
        <v>Non-metropolitan</v>
      </c>
    </row>
    <row r="15" spans="1:12" x14ac:dyDescent="0.2">
      <c r="A15" s="104" t="s">
        <v>6</v>
      </c>
      <c r="C15" s="110">
        <v>4115</v>
      </c>
      <c r="D15" s="110">
        <v>5100</v>
      </c>
      <c r="E15" s="110">
        <v>1648</v>
      </c>
      <c r="F15" s="110">
        <v>840</v>
      </c>
      <c r="G15" s="110">
        <v>358</v>
      </c>
      <c r="H15" s="110">
        <v>220</v>
      </c>
      <c r="I15" s="110">
        <v>0</v>
      </c>
      <c r="J15" s="110">
        <v>0</v>
      </c>
      <c r="K15" s="108" t="str">
        <f>VLOOKUP(A15,'FRS geographical categories'!A:C,2,FALSE)</f>
        <v>Significantly Rural</v>
      </c>
      <c r="L15" s="108" t="str">
        <f>VLOOKUP(A15,'FRS geographical categories'!A:C,3,FALSE)</f>
        <v>Non-metropolitan</v>
      </c>
    </row>
    <row r="16" spans="1:12" x14ac:dyDescent="0.2">
      <c r="A16" s="104" t="s">
        <v>7</v>
      </c>
      <c r="C16" s="110">
        <v>2510</v>
      </c>
      <c r="D16" s="110">
        <v>2395</v>
      </c>
      <c r="E16" s="110">
        <v>1421</v>
      </c>
      <c r="F16" s="110">
        <v>1540</v>
      </c>
      <c r="G16" s="110">
        <v>972</v>
      </c>
      <c r="H16" s="110">
        <v>1194</v>
      </c>
      <c r="I16" s="110">
        <v>852</v>
      </c>
      <c r="J16" s="110">
        <v>738</v>
      </c>
      <c r="K16" s="108" t="str">
        <f>VLOOKUP(A16,'FRS geographical categories'!A:C,2,FALSE)</f>
        <v>Predominantly Rural</v>
      </c>
      <c r="L16" s="108" t="str">
        <f>VLOOKUP(A16,'FRS geographical categories'!A:C,3,FALSE)</f>
        <v>Non-metropolitan</v>
      </c>
    </row>
    <row r="17" spans="1:12" x14ac:dyDescent="0.2">
      <c r="A17" s="104" t="s">
        <v>8</v>
      </c>
      <c r="C17" s="110">
        <v>29162</v>
      </c>
      <c r="D17" s="110">
        <v>12285</v>
      </c>
      <c r="E17" s="110">
        <v>24129</v>
      </c>
      <c r="F17" s="110">
        <v>10042</v>
      </c>
      <c r="G17" s="110">
        <v>7835</v>
      </c>
      <c r="H17" s="110">
        <v>3941</v>
      </c>
      <c r="I17" s="110">
        <v>0</v>
      </c>
      <c r="J17" s="110">
        <v>0</v>
      </c>
      <c r="K17" s="108" t="str">
        <f>VLOOKUP(A17,'FRS geographical categories'!A:C,2,FALSE)</f>
        <v>Significantly Rural</v>
      </c>
      <c r="L17" s="108" t="str">
        <f>VLOOKUP(A17,'FRS geographical categories'!A:C,3,FALSE)</f>
        <v>Non-metropolitan</v>
      </c>
    </row>
    <row r="18" spans="1:12" x14ac:dyDescent="0.2">
      <c r="A18" s="104" t="s">
        <v>9</v>
      </c>
      <c r="C18" s="110">
        <v>22045</v>
      </c>
      <c r="D18" s="110">
        <v>83914</v>
      </c>
      <c r="E18" s="110">
        <v>8520</v>
      </c>
      <c r="F18" s="110">
        <v>29040</v>
      </c>
      <c r="G18" s="110">
        <v>3310</v>
      </c>
      <c r="H18" s="110">
        <v>10620</v>
      </c>
      <c r="I18" s="110">
        <v>1667</v>
      </c>
      <c r="J18" s="110">
        <v>5001</v>
      </c>
      <c r="K18" s="108" t="str">
        <f>VLOOKUP(A18,'FRS geographical categories'!A:C,2,FALSE)</f>
        <v>Predominantly Urban</v>
      </c>
      <c r="L18" s="108" t="str">
        <f>VLOOKUP(A18,'FRS geographical categories'!A:C,3,FALSE)</f>
        <v>Non-metropolitan</v>
      </c>
    </row>
    <row r="19" spans="1:12" x14ac:dyDescent="0.2">
      <c r="A19" s="104" t="s">
        <v>10</v>
      </c>
      <c r="C19" s="110">
        <v>4076</v>
      </c>
      <c r="D19" s="110">
        <v>2839</v>
      </c>
      <c r="E19" s="110">
        <v>1897</v>
      </c>
      <c r="F19" s="110">
        <v>949</v>
      </c>
      <c r="G19" s="110">
        <v>2396</v>
      </c>
      <c r="H19" s="110">
        <v>1278</v>
      </c>
      <c r="I19" s="110">
        <v>1077</v>
      </c>
      <c r="J19" s="110">
        <v>395</v>
      </c>
      <c r="K19" s="108" t="str">
        <f>VLOOKUP(A19,'FRS geographical categories'!A:C,2,FALSE)</f>
        <v>Predominantly Rural</v>
      </c>
      <c r="L19" s="108" t="str">
        <f>VLOOKUP(A19,'FRS geographical categories'!A:C,3,FALSE)</f>
        <v>Non-metropolitan</v>
      </c>
    </row>
    <row r="20" spans="1:12" x14ac:dyDescent="0.2">
      <c r="A20" s="104" t="s">
        <v>11</v>
      </c>
      <c r="C20" s="110">
        <v>8551</v>
      </c>
      <c r="D20" s="110">
        <v>6019</v>
      </c>
      <c r="E20" s="110">
        <v>1580</v>
      </c>
      <c r="F20" s="110">
        <v>2124</v>
      </c>
      <c r="G20" s="110">
        <v>514</v>
      </c>
      <c r="H20" s="110">
        <v>688</v>
      </c>
      <c r="I20" s="110">
        <v>0</v>
      </c>
      <c r="J20" s="110">
        <v>0</v>
      </c>
      <c r="K20" s="108" t="str">
        <f>VLOOKUP(A20,'FRS geographical categories'!A:C,2,FALSE)</f>
        <v>Predominantly Rural</v>
      </c>
      <c r="L20" s="108" t="str">
        <f>VLOOKUP(A20,'FRS geographical categories'!A:C,3,FALSE)</f>
        <v>Non-metropolitan</v>
      </c>
    </row>
    <row r="21" spans="1:12" x14ac:dyDescent="0.2">
      <c r="A21" s="81" t="s">
        <v>12</v>
      </c>
      <c r="C21" s="110">
        <v>11636</v>
      </c>
      <c r="D21" s="110">
        <v>15189</v>
      </c>
      <c r="E21" s="110">
        <v>8051</v>
      </c>
      <c r="F21" s="110">
        <v>10213</v>
      </c>
      <c r="G21" s="110">
        <v>2826</v>
      </c>
      <c r="H21" s="110">
        <v>4477</v>
      </c>
      <c r="I21" s="110">
        <v>5336</v>
      </c>
      <c r="J21" s="110">
        <v>5382</v>
      </c>
      <c r="K21" s="108" t="str">
        <f>VLOOKUP(A21,'FRS geographical categories'!A:C,2,FALSE)</f>
        <v>Significantly Rural</v>
      </c>
      <c r="L21" s="108" t="str">
        <f>VLOOKUP(A21,'FRS geographical categories'!A:C,3,FALSE)</f>
        <v>Non-metropolitan</v>
      </c>
    </row>
    <row r="22" spans="1:12" x14ac:dyDescent="0.2">
      <c r="A22" s="81" t="s">
        <v>13</v>
      </c>
      <c r="C22" s="110">
        <v>9968</v>
      </c>
      <c r="D22" s="110">
        <v>11332</v>
      </c>
      <c r="E22" s="110">
        <v>5289</v>
      </c>
      <c r="F22" s="110">
        <v>6656</v>
      </c>
      <c r="G22" s="110">
        <v>1663</v>
      </c>
      <c r="H22" s="110">
        <v>1936</v>
      </c>
      <c r="I22" s="110">
        <v>0</v>
      </c>
      <c r="J22" s="110">
        <v>0</v>
      </c>
      <c r="K22" s="108" t="str">
        <f>VLOOKUP(A22,'FRS geographical categories'!A:C,2,FALSE)</f>
        <v>Predominantly Rural</v>
      </c>
      <c r="L22" s="108" t="str">
        <f>VLOOKUP(A22,'FRS geographical categories'!A:C,3,FALSE)</f>
        <v>Non-metropolitan</v>
      </c>
    </row>
    <row r="23" spans="1:12" x14ac:dyDescent="0.2">
      <c r="A23" s="81" t="s">
        <v>74</v>
      </c>
      <c r="C23" s="110">
        <v>15255</v>
      </c>
      <c r="D23" s="110">
        <v>19358</v>
      </c>
      <c r="E23" s="110">
        <v>7808</v>
      </c>
      <c r="F23" s="110">
        <v>10737</v>
      </c>
      <c r="G23" s="110">
        <v>170</v>
      </c>
      <c r="H23" s="110">
        <v>255</v>
      </c>
      <c r="I23" s="110">
        <v>600</v>
      </c>
      <c r="J23" s="110">
        <v>456</v>
      </c>
      <c r="K23" s="108" t="str">
        <f>VLOOKUP(A23,'FRS geographical categories'!A:C,2,FALSE)</f>
        <v>Significantly Rural</v>
      </c>
      <c r="L23" s="108" t="str">
        <f>VLOOKUP(A23,'FRS geographical categories'!A:C,3,FALSE)</f>
        <v>Non-metropolitan</v>
      </c>
    </row>
    <row r="24" spans="1:12" x14ac:dyDescent="0.2">
      <c r="A24" s="104" t="s">
        <v>14</v>
      </c>
      <c r="C24" s="110">
        <v>20537</v>
      </c>
      <c r="D24" s="110">
        <v>14775</v>
      </c>
      <c r="E24" s="110">
        <v>6370</v>
      </c>
      <c r="F24" s="110">
        <v>5021</v>
      </c>
      <c r="G24" s="110">
        <v>474</v>
      </c>
      <c r="H24" s="110">
        <v>466</v>
      </c>
      <c r="I24" s="110">
        <v>0</v>
      </c>
      <c r="J24" s="110">
        <v>0</v>
      </c>
      <c r="K24" s="108" t="str">
        <f>VLOOKUP(A24,'FRS geographical categories'!A:C,2,FALSE)</f>
        <v>Predominantly Rural</v>
      </c>
      <c r="L24" s="108" t="str">
        <f>VLOOKUP(A24,'FRS geographical categories'!A:C,3,FALSE)</f>
        <v>Non-metropolitan</v>
      </c>
    </row>
    <row r="25" spans="1:12" x14ac:dyDescent="0.2">
      <c r="A25" s="104" t="s">
        <v>15</v>
      </c>
      <c r="C25" s="110">
        <v>9897</v>
      </c>
      <c r="D25" s="110">
        <v>17425.75</v>
      </c>
      <c r="E25" s="110">
        <v>6310</v>
      </c>
      <c r="F25" s="110">
        <v>10894</v>
      </c>
      <c r="G25" s="110">
        <v>4771</v>
      </c>
      <c r="H25" s="110">
        <v>8136.75</v>
      </c>
      <c r="I25" s="110">
        <v>0</v>
      </c>
      <c r="J25" s="110">
        <v>0</v>
      </c>
      <c r="K25" s="108" t="str">
        <f>VLOOKUP(A25,'FRS geographical categories'!A:C,2,FALSE)</f>
        <v>Significantly Rural</v>
      </c>
      <c r="L25" s="108" t="str">
        <f>VLOOKUP(A25,'FRS geographical categories'!A:C,3,FALSE)</f>
        <v>Non-metropolitan</v>
      </c>
    </row>
    <row r="26" spans="1:12" x14ac:dyDescent="0.2">
      <c r="A26" s="104" t="s">
        <v>16</v>
      </c>
      <c r="C26" s="110">
        <v>4595</v>
      </c>
      <c r="D26" s="110">
        <v>5934.15</v>
      </c>
      <c r="E26" s="110">
        <v>2288</v>
      </c>
      <c r="F26" s="110">
        <v>3049.34</v>
      </c>
      <c r="G26" s="110">
        <v>563</v>
      </c>
      <c r="H26" s="110">
        <v>780.8</v>
      </c>
      <c r="I26" s="110">
        <v>977</v>
      </c>
      <c r="J26" s="110">
        <v>778.21</v>
      </c>
      <c r="K26" s="108" t="str">
        <f>VLOOKUP(A26,'FRS geographical categories'!A:C,2,FALSE)</f>
        <v>Significantly Rural</v>
      </c>
      <c r="L26" s="108" t="str">
        <f>VLOOKUP(A26,'FRS geographical categories'!A:C,3,FALSE)</f>
        <v>Non-metropolitan</v>
      </c>
    </row>
    <row r="27" spans="1:12" x14ac:dyDescent="0.2">
      <c r="A27" s="104" t="s">
        <v>17</v>
      </c>
      <c r="C27" s="110">
        <v>6294</v>
      </c>
      <c r="D27" s="110">
        <v>5194</v>
      </c>
      <c r="E27" s="110">
        <v>3919</v>
      </c>
      <c r="F27" s="110">
        <v>3396</v>
      </c>
      <c r="G27" s="110">
        <v>1489</v>
      </c>
      <c r="H27" s="110">
        <v>1771</v>
      </c>
      <c r="I27" s="110">
        <v>0</v>
      </c>
      <c r="J27" s="110">
        <v>0</v>
      </c>
      <c r="K27" s="108" t="str">
        <f>VLOOKUP(A27,'FRS geographical categories'!A:C,2,FALSE)</f>
        <v>Significantly Rural</v>
      </c>
      <c r="L27" s="108" t="str">
        <f>VLOOKUP(A27,'FRS geographical categories'!A:C,3,FALSE)</f>
        <v>Non-metropolitan</v>
      </c>
    </row>
    <row r="28" spans="1:12" x14ac:dyDescent="0.2">
      <c r="A28" s="104" t="s">
        <v>18</v>
      </c>
      <c r="C28" s="110">
        <v>79855</v>
      </c>
      <c r="D28" s="110">
        <v>35673</v>
      </c>
      <c r="E28" s="110">
        <v>34760</v>
      </c>
      <c r="F28" s="110">
        <v>16048</v>
      </c>
      <c r="G28" s="110">
        <v>26873</v>
      </c>
      <c r="H28" s="110">
        <v>12598</v>
      </c>
      <c r="I28" s="110">
        <v>3903</v>
      </c>
      <c r="J28" s="110" t="s">
        <v>62</v>
      </c>
      <c r="K28" s="108" t="str">
        <f>VLOOKUP(A28,'FRS geographical categories'!A:C,2,FALSE)</f>
        <v>Predominantly Urban</v>
      </c>
      <c r="L28" s="108" t="str">
        <f>VLOOKUP(A28,'FRS geographical categories'!A:C,3,FALSE)</f>
        <v>Metropolitan</v>
      </c>
    </row>
    <row r="29" spans="1:12" x14ac:dyDescent="0.2">
      <c r="A29" s="104" t="s">
        <v>19</v>
      </c>
      <c r="C29" s="110">
        <v>44421</v>
      </c>
      <c r="D29" s="110">
        <v>48027</v>
      </c>
      <c r="E29" s="110">
        <v>6298</v>
      </c>
      <c r="F29" s="110">
        <v>7191.5</v>
      </c>
      <c r="G29" s="110">
        <v>1147</v>
      </c>
      <c r="H29" s="110">
        <v>1147</v>
      </c>
      <c r="I29" s="110">
        <v>6</v>
      </c>
      <c r="J29" s="110">
        <v>6</v>
      </c>
      <c r="K29" s="108" t="str">
        <f>VLOOKUP(A29,'FRS geographical categories'!A:C,2,FALSE)</f>
        <v>Predominantly Urban</v>
      </c>
      <c r="L29" s="108" t="str">
        <f>VLOOKUP(A29,'FRS geographical categories'!A:C,3,FALSE)</f>
        <v>Metropolitan</v>
      </c>
    </row>
    <row r="30" spans="1:12" x14ac:dyDescent="0.2">
      <c r="A30" s="104" t="s">
        <v>20</v>
      </c>
      <c r="C30" s="110">
        <v>4392</v>
      </c>
      <c r="D30" s="110">
        <v>10147</v>
      </c>
      <c r="E30" s="110">
        <v>3046</v>
      </c>
      <c r="F30" s="110">
        <v>6923</v>
      </c>
      <c r="G30" s="110">
        <v>0</v>
      </c>
      <c r="H30" s="110">
        <v>0</v>
      </c>
      <c r="I30" s="110">
        <v>430</v>
      </c>
      <c r="J30" s="110">
        <v>799</v>
      </c>
      <c r="K30" s="108" t="str">
        <f>VLOOKUP(A30,'FRS geographical categories'!A:C,2,FALSE)</f>
        <v>Predominantly Urban</v>
      </c>
      <c r="L30" s="108" t="str">
        <f>VLOOKUP(A30,'FRS geographical categories'!A:C,3,FALSE)</f>
        <v>Non-metropolitan</v>
      </c>
    </row>
    <row r="31" spans="1:12" x14ac:dyDescent="0.2">
      <c r="A31" s="104" t="s">
        <v>21</v>
      </c>
      <c r="C31" s="110">
        <v>4025</v>
      </c>
      <c r="D31" s="110">
        <v>4798</v>
      </c>
      <c r="E31" s="110">
        <v>2352</v>
      </c>
      <c r="F31" s="110">
        <v>2983</v>
      </c>
      <c r="G31" s="110">
        <v>1363</v>
      </c>
      <c r="H31" s="110">
        <v>1870</v>
      </c>
      <c r="I31" s="110">
        <v>0</v>
      </c>
      <c r="J31" s="110">
        <v>0</v>
      </c>
      <c r="K31" s="108" t="str">
        <f>VLOOKUP(A31,'FRS geographical categories'!A:C,2,FALSE)</f>
        <v>Significantly Rural</v>
      </c>
      <c r="L31" s="108" t="str">
        <f>VLOOKUP(A31,'FRS geographical categories'!A:C,3,FALSE)</f>
        <v>Non-metropolitan</v>
      </c>
    </row>
    <row r="32" spans="1:12" x14ac:dyDescent="0.2">
      <c r="A32" s="104" t="s">
        <v>22</v>
      </c>
      <c r="C32" s="110">
        <v>4535</v>
      </c>
      <c r="D32" s="110">
        <v>8163</v>
      </c>
      <c r="E32" s="110">
        <v>2140</v>
      </c>
      <c r="F32" s="110">
        <v>3852</v>
      </c>
      <c r="G32" s="110">
        <v>799</v>
      </c>
      <c r="H32" s="110">
        <v>1438</v>
      </c>
      <c r="I32" s="110">
        <v>2134</v>
      </c>
      <c r="J32" s="110">
        <v>4268</v>
      </c>
      <c r="K32" s="108" t="str">
        <f>VLOOKUP(A32,'FRS geographical categories'!A:C,2,FALSE)</f>
        <v>Predominantly Urban</v>
      </c>
      <c r="L32" s="108" t="str">
        <f>VLOOKUP(A32,'FRS geographical categories'!A:C,3,FALSE)</f>
        <v>Non-metropolitan</v>
      </c>
    </row>
    <row r="33" spans="1:12" x14ac:dyDescent="0.2">
      <c r="A33" s="104" t="s">
        <v>23</v>
      </c>
      <c r="C33" s="110">
        <v>8576</v>
      </c>
      <c r="D33" s="110">
        <v>8122</v>
      </c>
      <c r="E33" s="110">
        <v>3490</v>
      </c>
      <c r="F33" s="110">
        <v>3289</v>
      </c>
      <c r="G33" s="110">
        <v>1825</v>
      </c>
      <c r="H33" s="110">
        <v>1706</v>
      </c>
      <c r="I33" s="110">
        <v>0</v>
      </c>
      <c r="J33" s="110">
        <v>0</v>
      </c>
      <c r="K33" s="108" t="str">
        <f>VLOOKUP(A33,'FRS geographical categories'!A:C,2,FALSE)</f>
        <v>Significantly Rural</v>
      </c>
      <c r="L33" s="108" t="str">
        <f>VLOOKUP(A33,'FRS geographical categories'!A:C,3,FALSE)</f>
        <v>Non-metropolitan</v>
      </c>
    </row>
    <row r="34" spans="1:12" x14ac:dyDescent="0.2">
      <c r="A34" s="104" t="s">
        <v>48</v>
      </c>
      <c r="C34" s="110">
        <v>490</v>
      </c>
      <c r="D34" s="110">
        <v>366</v>
      </c>
      <c r="E34" s="110">
        <v>353</v>
      </c>
      <c r="F34" s="110">
        <v>268</v>
      </c>
      <c r="G34" s="110">
        <v>0</v>
      </c>
      <c r="H34" s="110">
        <v>0</v>
      </c>
      <c r="I34" s="110">
        <v>227</v>
      </c>
      <c r="J34" s="110">
        <v>176</v>
      </c>
      <c r="K34" s="108" t="str">
        <f>VLOOKUP(A34,'FRS geographical categories'!A:C,2,FALSE)</f>
        <v>Predominantly Rural</v>
      </c>
      <c r="L34" s="108" t="str">
        <f>VLOOKUP(A34,'FRS geographical categories'!A:C,3,FALSE)</f>
        <v>Non-metropolitan</v>
      </c>
    </row>
    <row r="35" spans="1:12" x14ac:dyDescent="0.2">
      <c r="A35" s="104" t="s">
        <v>25</v>
      </c>
      <c r="C35" s="110">
        <v>79</v>
      </c>
      <c r="D35" s="110">
        <v>41</v>
      </c>
      <c r="E35" s="110">
        <v>77</v>
      </c>
      <c r="F35" s="110">
        <v>39</v>
      </c>
      <c r="G35" s="110">
        <v>0</v>
      </c>
      <c r="H35" s="110">
        <v>0</v>
      </c>
      <c r="I35" s="110">
        <v>0</v>
      </c>
      <c r="J35" s="110">
        <v>0</v>
      </c>
      <c r="K35" s="108" t="str">
        <f>VLOOKUP(A35,'FRS geographical categories'!A:C,2,FALSE)</f>
        <v>Predominantly Rural</v>
      </c>
      <c r="L35" s="108" t="str">
        <f>VLOOKUP(A35,'FRS geographical categories'!A:C,3,FALSE)</f>
        <v>Non-metropolitan</v>
      </c>
    </row>
    <row r="36" spans="1:12" x14ac:dyDescent="0.2">
      <c r="A36" s="104" t="s">
        <v>26</v>
      </c>
      <c r="C36" s="110">
        <v>8969</v>
      </c>
      <c r="D36" s="110">
        <v>6956</v>
      </c>
      <c r="E36" s="110">
        <v>2009</v>
      </c>
      <c r="F36" s="110">
        <v>1467</v>
      </c>
      <c r="G36" s="110">
        <v>4382</v>
      </c>
      <c r="H36" s="110">
        <v>3370</v>
      </c>
      <c r="I36" s="110">
        <v>196</v>
      </c>
      <c r="J36" s="110">
        <v>0</v>
      </c>
      <c r="K36" s="108" t="str">
        <f>VLOOKUP(A36,'FRS geographical categories'!A:C,2,FALSE)</f>
        <v>Significantly Rural</v>
      </c>
      <c r="L36" s="108" t="str">
        <f>VLOOKUP(A36,'FRS geographical categories'!A:C,3,FALSE)</f>
        <v>Non-metropolitan</v>
      </c>
    </row>
    <row r="37" spans="1:12" x14ac:dyDescent="0.2">
      <c r="A37" s="104" t="s">
        <v>27</v>
      </c>
      <c r="C37" s="110">
        <v>16252</v>
      </c>
      <c r="D37" s="110">
        <v>22101</v>
      </c>
      <c r="E37" s="110">
        <v>8551</v>
      </c>
      <c r="F37" s="110">
        <v>9411</v>
      </c>
      <c r="G37" s="110">
        <v>6741</v>
      </c>
      <c r="H37" s="110">
        <v>7415</v>
      </c>
      <c r="I37" s="110">
        <v>3</v>
      </c>
      <c r="J37" s="110">
        <v>3</v>
      </c>
      <c r="K37" s="108" t="str">
        <f>VLOOKUP(A37,'FRS geographical categories'!A:C,2,FALSE)</f>
        <v>Predominantly Urban</v>
      </c>
      <c r="L37" s="108" t="str">
        <f>VLOOKUP(A37,'FRS geographical categories'!A:C,3,FALSE)</f>
        <v>Non-metropolitan</v>
      </c>
    </row>
    <row r="38" spans="1:12" x14ac:dyDescent="0.2">
      <c r="A38" s="104" t="s">
        <v>28</v>
      </c>
      <c r="C38" s="110">
        <v>5086</v>
      </c>
      <c r="D38" s="110">
        <v>8901</v>
      </c>
      <c r="E38" s="110">
        <v>2766</v>
      </c>
      <c r="F38" s="110">
        <v>4841</v>
      </c>
      <c r="G38" s="110">
        <v>1608</v>
      </c>
      <c r="H38" s="110">
        <v>2814</v>
      </c>
      <c r="I38" s="110">
        <v>472</v>
      </c>
      <c r="J38" s="110">
        <v>826</v>
      </c>
      <c r="K38" s="108" t="str">
        <f>VLOOKUP(A38,'FRS geographical categories'!A:C,2,FALSE)</f>
        <v>Significantly Rural</v>
      </c>
      <c r="L38" s="108" t="str">
        <f>VLOOKUP(A38,'FRS geographical categories'!A:C,3,FALSE)</f>
        <v>Non-metropolitan</v>
      </c>
    </row>
    <row r="39" spans="1:12" x14ac:dyDescent="0.2">
      <c r="A39" s="104" t="s">
        <v>29</v>
      </c>
      <c r="C39" s="110">
        <v>4704</v>
      </c>
      <c r="D39" s="110">
        <v>9700</v>
      </c>
      <c r="E39" s="110">
        <v>2028</v>
      </c>
      <c r="F39" s="110">
        <v>4300</v>
      </c>
      <c r="G39" s="110">
        <v>1862</v>
      </c>
      <c r="H39" s="110">
        <v>3980</v>
      </c>
      <c r="I39" s="110">
        <v>34</v>
      </c>
      <c r="J39" s="110">
        <v>38</v>
      </c>
      <c r="K39" s="108" t="str">
        <f>VLOOKUP(A39,'FRS geographical categories'!A:C,2,FALSE)</f>
        <v>Predominantly Rural</v>
      </c>
      <c r="L39" s="108" t="str">
        <f>VLOOKUP(A39,'FRS geographical categories'!A:C,3,FALSE)</f>
        <v>Non-metropolitan</v>
      </c>
    </row>
    <row r="40" spans="1:12" x14ac:dyDescent="0.2">
      <c r="A40" s="104" t="s">
        <v>30</v>
      </c>
      <c r="C40" s="110">
        <v>40280</v>
      </c>
      <c r="D40" s="110">
        <v>77532</v>
      </c>
      <c r="E40" s="110">
        <v>20621</v>
      </c>
      <c r="F40" s="110">
        <v>39180</v>
      </c>
      <c r="G40" s="110">
        <v>6010</v>
      </c>
      <c r="H40" s="110">
        <v>11419</v>
      </c>
      <c r="I40" s="110">
        <v>7570</v>
      </c>
      <c r="J40" s="110">
        <v>12036</v>
      </c>
      <c r="K40" s="108" t="str">
        <f>VLOOKUP(A40,'FRS geographical categories'!A:C,2,FALSE)</f>
        <v>Predominantly Urban</v>
      </c>
      <c r="L40" s="108" t="str">
        <f>VLOOKUP(A40,'FRS geographical categories'!A:C,3,FALSE)</f>
        <v>Metropolitan</v>
      </c>
    </row>
    <row r="41" spans="1:12" x14ac:dyDescent="0.2">
      <c r="A41" s="104" t="s">
        <v>31</v>
      </c>
      <c r="C41" s="110">
        <v>3286</v>
      </c>
      <c r="D41" s="110">
        <v>3671</v>
      </c>
      <c r="E41" s="110">
        <v>2003</v>
      </c>
      <c r="F41" s="110">
        <v>2239</v>
      </c>
      <c r="G41" s="110">
        <v>0</v>
      </c>
      <c r="H41" s="110">
        <v>0</v>
      </c>
      <c r="I41" s="110">
        <v>23</v>
      </c>
      <c r="J41" s="110">
        <v>6</v>
      </c>
      <c r="K41" s="108" t="str">
        <f>VLOOKUP(A41,'FRS geographical categories'!A:C,2,FALSE)</f>
        <v>Predominantly Rural</v>
      </c>
      <c r="L41" s="108" t="str">
        <f>VLOOKUP(A41,'FRS geographical categories'!A:C,3,FALSE)</f>
        <v>Non-metropolitan</v>
      </c>
    </row>
    <row r="42" spans="1:12" x14ac:dyDescent="0.2">
      <c r="A42" s="104" t="s">
        <v>32</v>
      </c>
      <c r="C42" s="110">
        <v>3198</v>
      </c>
      <c r="D42" s="110">
        <v>4186</v>
      </c>
      <c r="E42" s="110">
        <v>2031</v>
      </c>
      <c r="F42" s="110">
        <v>2608</v>
      </c>
      <c r="G42" s="110">
        <v>0</v>
      </c>
      <c r="H42" s="110">
        <v>0</v>
      </c>
      <c r="I42" s="110">
        <v>69</v>
      </c>
      <c r="J42" s="110">
        <v>42</v>
      </c>
      <c r="K42" s="108" t="str">
        <f>VLOOKUP(A42,'FRS geographical categories'!A:C,2,FALSE)</f>
        <v>Predominantly Rural</v>
      </c>
      <c r="L42" s="108" t="str">
        <f>VLOOKUP(A42,'FRS geographical categories'!A:C,3,FALSE)</f>
        <v>Non-metropolitan</v>
      </c>
    </row>
    <row r="43" spans="1:12" x14ac:dyDescent="0.2">
      <c r="A43" s="104" t="s">
        <v>33</v>
      </c>
      <c r="C43" s="110">
        <v>3946</v>
      </c>
      <c r="D43" s="110">
        <v>2843</v>
      </c>
      <c r="E43" s="110">
        <v>1406</v>
      </c>
      <c r="F43" s="110">
        <v>1135</v>
      </c>
      <c r="G43" s="110">
        <v>649</v>
      </c>
      <c r="H43" s="110">
        <v>521</v>
      </c>
      <c r="I43" s="110">
        <v>53</v>
      </c>
      <c r="J43" s="110">
        <v>53</v>
      </c>
      <c r="K43" s="108" t="str">
        <f>VLOOKUP(A43,'FRS geographical categories'!A:C,2,FALSE)</f>
        <v>Significantly Rural</v>
      </c>
      <c r="L43" s="108" t="str">
        <f>VLOOKUP(A43,'FRS geographical categories'!A:C,3,FALSE)</f>
        <v>Non-metropolitan</v>
      </c>
    </row>
    <row r="44" spans="1:12" x14ac:dyDescent="0.2">
      <c r="A44" s="104" t="s">
        <v>34</v>
      </c>
      <c r="C44" s="110">
        <v>8617</v>
      </c>
      <c r="D44" s="110">
        <v>8866.25</v>
      </c>
      <c r="E44" s="110">
        <v>4188</v>
      </c>
      <c r="F44" s="110">
        <v>4389.5</v>
      </c>
      <c r="G44" s="110">
        <v>711</v>
      </c>
      <c r="H44" s="110">
        <v>818.75</v>
      </c>
      <c r="I44" s="110">
        <v>1097</v>
      </c>
      <c r="J44" s="110">
        <v>633.75</v>
      </c>
      <c r="K44" s="108" t="str">
        <f>VLOOKUP(A44,'FRS geographical categories'!A:C,2,FALSE)</f>
        <v>Predominantly Rural</v>
      </c>
      <c r="L44" s="108" t="str">
        <f>VLOOKUP(A44,'FRS geographical categories'!A:C,3,FALSE)</f>
        <v>Non-metropolitan</v>
      </c>
    </row>
    <row r="45" spans="1:12" x14ac:dyDescent="0.2">
      <c r="A45" s="104" t="s">
        <v>35</v>
      </c>
      <c r="C45" s="110">
        <v>3846</v>
      </c>
      <c r="D45" s="110">
        <v>5548</v>
      </c>
      <c r="E45" s="110">
        <v>2001</v>
      </c>
      <c r="F45" s="110">
        <v>2787</v>
      </c>
      <c r="G45" s="110">
        <v>1593</v>
      </c>
      <c r="H45" s="110">
        <v>2540</v>
      </c>
      <c r="I45" s="110">
        <v>526</v>
      </c>
      <c r="J45" s="110">
        <v>733</v>
      </c>
      <c r="K45" s="108" t="str">
        <f>VLOOKUP(A45,'FRS geographical categories'!A:C,2,FALSE)</f>
        <v>Predominantly Urban</v>
      </c>
      <c r="L45" s="108" t="str">
        <f>VLOOKUP(A45,'FRS geographical categories'!A:C,3,FALSE)</f>
        <v>Non-metropolitan</v>
      </c>
    </row>
    <row r="46" spans="1:12" x14ac:dyDescent="0.2">
      <c r="A46" s="104" t="s">
        <v>36</v>
      </c>
      <c r="C46" s="110">
        <v>2960</v>
      </c>
      <c r="D46" s="110">
        <v>7775</v>
      </c>
      <c r="E46" s="110">
        <v>1527</v>
      </c>
      <c r="F46" s="110">
        <v>3854</v>
      </c>
      <c r="G46" s="110" t="s">
        <v>65</v>
      </c>
      <c r="H46" s="110" t="s">
        <v>65</v>
      </c>
      <c r="I46" s="110">
        <v>0</v>
      </c>
      <c r="J46" s="110">
        <v>0</v>
      </c>
      <c r="K46" s="108" t="str">
        <f>VLOOKUP(A46,'FRS geographical categories'!A:C,2,FALSE)</f>
        <v>Predominantly Rural</v>
      </c>
      <c r="L46" s="108" t="str">
        <f>VLOOKUP(A46,'FRS geographical categories'!A:C,3,FALSE)</f>
        <v>Non-metropolitan</v>
      </c>
    </row>
    <row r="47" spans="1:12" x14ac:dyDescent="0.2">
      <c r="A47" s="104" t="s">
        <v>37</v>
      </c>
      <c r="C47" s="110">
        <v>3233</v>
      </c>
      <c r="D47" s="110">
        <v>3771</v>
      </c>
      <c r="E47" s="110">
        <v>1801</v>
      </c>
      <c r="F47" s="110">
        <v>2101</v>
      </c>
      <c r="G47" s="110">
        <v>0</v>
      </c>
      <c r="H47" s="110">
        <v>0</v>
      </c>
      <c r="I47" s="110">
        <v>531</v>
      </c>
      <c r="J47" s="110">
        <v>0</v>
      </c>
      <c r="K47" s="108" t="str">
        <f>VLOOKUP(A47,'FRS geographical categories'!A:C,2,FALSE)</f>
        <v>Predominantly Rural</v>
      </c>
      <c r="L47" s="108" t="str">
        <f>VLOOKUP(A47,'FRS geographical categories'!A:C,3,FALSE)</f>
        <v>Non-metropolitan</v>
      </c>
    </row>
    <row r="48" spans="1:12" x14ac:dyDescent="0.2">
      <c r="A48" s="104" t="s">
        <v>38</v>
      </c>
      <c r="C48" s="110">
        <v>19895</v>
      </c>
      <c r="D48" s="110">
        <v>12556.1</v>
      </c>
      <c r="E48" s="110">
        <v>7035</v>
      </c>
      <c r="F48" s="110">
        <v>4639.083333333333</v>
      </c>
      <c r="G48" s="110">
        <v>3879</v>
      </c>
      <c r="H48" s="110">
        <v>2586.6</v>
      </c>
      <c r="I48" s="110">
        <v>0</v>
      </c>
      <c r="J48" s="110">
        <v>0</v>
      </c>
      <c r="K48" s="108" t="str">
        <f>VLOOKUP(A48,'FRS geographical categories'!A:C,2,FALSE)</f>
        <v>Predominantly Urban</v>
      </c>
      <c r="L48" s="108" t="str">
        <f>VLOOKUP(A48,'FRS geographical categories'!A:C,3,FALSE)</f>
        <v>Metropolitan</v>
      </c>
    </row>
    <row r="49" spans="1:12" x14ac:dyDescent="0.2">
      <c r="A49" s="104" t="s">
        <v>39</v>
      </c>
      <c r="C49" s="110">
        <v>29844</v>
      </c>
      <c r="D49" s="110">
        <v>0</v>
      </c>
      <c r="E49" s="110">
        <v>16318</v>
      </c>
      <c r="F49" s="110">
        <v>0</v>
      </c>
      <c r="G49" s="110">
        <v>2690</v>
      </c>
      <c r="H49" s="110">
        <v>0</v>
      </c>
      <c r="I49" s="110">
        <v>516</v>
      </c>
      <c r="J49" s="110">
        <v>0</v>
      </c>
      <c r="K49" s="108" t="str">
        <f>VLOOKUP(A49,'FRS geographical categories'!A:C,2,FALSE)</f>
        <v>Significantly Rural</v>
      </c>
      <c r="L49" s="108" t="str">
        <f>VLOOKUP(A49,'FRS geographical categories'!A:C,3,FALSE)</f>
        <v>Non-metropolitan</v>
      </c>
    </row>
    <row r="50" spans="1:12" x14ac:dyDescent="0.2">
      <c r="A50" s="104" t="s">
        <v>40</v>
      </c>
      <c r="C50" s="110">
        <v>1242</v>
      </c>
      <c r="D50" s="110">
        <v>2465</v>
      </c>
      <c r="E50" s="110">
        <v>806</v>
      </c>
      <c r="F50" s="110">
        <v>1725</v>
      </c>
      <c r="G50" s="110">
        <v>190</v>
      </c>
      <c r="H50" s="110">
        <v>399</v>
      </c>
      <c r="I50" s="110">
        <v>0</v>
      </c>
      <c r="J50" s="110">
        <v>0</v>
      </c>
      <c r="K50" s="108" t="str">
        <f>VLOOKUP(A50,'FRS geographical categories'!A:C,2,FALSE)</f>
        <v>Predominantly Rural</v>
      </c>
      <c r="L50" s="108" t="str">
        <f>VLOOKUP(A50,'FRS geographical categories'!A:C,3,FALSE)</f>
        <v>Non-metropolitan</v>
      </c>
    </row>
    <row r="51" spans="1:12" x14ac:dyDescent="0.2">
      <c r="A51" s="104" t="s">
        <v>41</v>
      </c>
      <c r="C51" s="110">
        <v>3592</v>
      </c>
      <c r="D51" s="110">
        <v>4190</v>
      </c>
      <c r="E51" s="110">
        <v>2089</v>
      </c>
      <c r="F51" s="110">
        <v>2118</v>
      </c>
      <c r="G51" s="110">
        <v>1468</v>
      </c>
      <c r="H51" s="110">
        <v>1039</v>
      </c>
      <c r="I51" s="110">
        <v>7</v>
      </c>
      <c r="J51" s="110">
        <v>10.5</v>
      </c>
      <c r="K51" s="108" t="str">
        <f>VLOOKUP(A51,'FRS geographical categories'!A:C,2,FALSE)</f>
        <v>Predominantly Urban</v>
      </c>
      <c r="L51" s="108" t="str">
        <f>VLOOKUP(A51,'FRS geographical categories'!A:C,3,FALSE)</f>
        <v>Non-metropolitan</v>
      </c>
    </row>
    <row r="52" spans="1:12" x14ac:dyDescent="0.2">
      <c r="A52" s="104" t="s">
        <v>42</v>
      </c>
      <c r="C52" s="110">
        <v>29537</v>
      </c>
      <c r="D52" s="110">
        <v>16071</v>
      </c>
      <c r="E52" s="110">
        <v>11862</v>
      </c>
      <c r="F52" s="110">
        <v>7988</v>
      </c>
      <c r="G52" s="110">
        <v>4438</v>
      </c>
      <c r="H52" s="110">
        <v>3063</v>
      </c>
      <c r="I52" s="110">
        <v>5147</v>
      </c>
      <c r="J52" s="110">
        <v>1283</v>
      </c>
      <c r="K52" s="108" t="str">
        <f>VLOOKUP(A52,'FRS geographical categories'!A:C,2,FALSE)</f>
        <v>Predominantly Urban</v>
      </c>
      <c r="L52" s="108" t="str">
        <f>VLOOKUP(A52,'FRS geographical categories'!A:C,3,FALSE)</f>
        <v>Metropolitan</v>
      </c>
    </row>
    <row r="53" spans="1:12" x14ac:dyDescent="0.2">
      <c r="A53" s="104" t="s">
        <v>43</v>
      </c>
      <c r="C53" s="110">
        <v>4152</v>
      </c>
      <c r="D53" s="110">
        <v>4152</v>
      </c>
      <c r="E53" s="110">
        <v>661</v>
      </c>
      <c r="F53" s="110">
        <v>661</v>
      </c>
      <c r="G53" s="110">
        <v>2198</v>
      </c>
      <c r="H53" s="110">
        <v>2198</v>
      </c>
      <c r="I53" s="110">
        <v>213</v>
      </c>
      <c r="J53" s="110">
        <v>213</v>
      </c>
      <c r="K53" s="108" t="str">
        <f>VLOOKUP(A53,'FRS geographical categories'!A:C,2,FALSE)</f>
        <v>Significantly Rural</v>
      </c>
      <c r="L53" s="108" t="str">
        <f>VLOOKUP(A53,'FRS geographical categories'!A:C,3,FALSE)</f>
        <v>Non-metropolitan</v>
      </c>
    </row>
    <row r="54" spans="1:12" x14ac:dyDescent="0.2">
      <c r="A54" s="104" t="s">
        <v>44</v>
      </c>
      <c r="C54" s="110">
        <v>28014</v>
      </c>
      <c r="D54" s="110">
        <v>112056</v>
      </c>
      <c r="E54" s="110">
        <v>13992</v>
      </c>
      <c r="F54" s="110">
        <v>55968</v>
      </c>
      <c r="G54" s="110">
        <v>16032</v>
      </c>
      <c r="H54" s="110">
        <v>64128</v>
      </c>
      <c r="I54" s="110">
        <v>8109</v>
      </c>
      <c r="J54" s="110">
        <v>32436</v>
      </c>
      <c r="K54" s="108" t="str">
        <f>VLOOKUP(A54,'FRS geographical categories'!A:C,2,FALSE)</f>
        <v>Predominantly Urban</v>
      </c>
      <c r="L54" s="108" t="str">
        <f>VLOOKUP(A54,'FRS geographical categories'!A:C,3,FALSE)</f>
        <v>Metropolitan</v>
      </c>
    </row>
    <row r="55" spans="1:12" x14ac:dyDescent="0.2">
      <c r="A55" s="104" t="s">
        <v>45</v>
      </c>
      <c r="C55" s="110">
        <v>6020</v>
      </c>
      <c r="D55" s="110">
        <v>8384</v>
      </c>
      <c r="E55" s="110">
        <v>5072</v>
      </c>
      <c r="F55" s="110">
        <v>6928</v>
      </c>
      <c r="G55" s="110">
        <v>948</v>
      </c>
      <c r="H55" s="110">
        <v>1456</v>
      </c>
      <c r="I55" s="110">
        <v>0</v>
      </c>
      <c r="J55" s="110">
        <v>0</v>
      </c>
      <c r="K55" s="108" t="str">
        <f>VLOOKUP(A55,'FRS geographical categories'!A:C,2,FALSE)</f>
        <v>Significantly Rural</v>
      </c>
      <c r="L55" s="108" t="str">
        <f>VLOOKUP(A55,'FRS geographical categories'!A:C,3,FALSE)</f>
        <v>Non-metropolitan</v>
      </c>
    </row>
    <row r="56" spans="1:12" x14ac:dyDescent="0.2">
      <c r="A56" s="104" t="s">
        <v>46</v>
      </c>
      <c r="C56" s="110">
        <v>37962</v>
      </c>
      <c r="D56" s="110">
        <v>29792</v>
      </c>
      <c r="E56" s="110">
        <v>15091</v>
      </c>
      <c r="F56" s="110">
        <v>12190</v>
      </c>
      <c r="G56" s="110">
        <v>8871</v>
      </c>
      <c r="H56" s="110">
        <v>7932</v>
      </c>
      <c r="I56" s="110">
        <v>45</v>
      </c>
      <c r="J56" s="110">
        <v>32</v>
      </c>
      <c r="K56" s="108" t="str">
        <f>VLOOKUP(A56,'FRS geographical categories'!A:C,2,FALSE)</f>
        <v>Predominantly Urban</v>
      </c>
      <c r="L56" s="108" t="str">
        <f>VLOOKUP(A56,'FRS geographical categories'!A:C,3,FALSE)</f>
        <v>Metropolitan</v>
      </c>
    </row>
    <row r="57" spans="1:12" x14ac:dyDescent="0.2">
      <c r="C57" s="110"/>
      <c r="D57" s="110"/>
      <c r="E57" s="110"/>
      <c r="F57" s="110"/>
      <c r="G57" s="110"/>
      <c r="H57" s="110"/>
      <c r="I57" s="110"/>
      <c r="J57" s="110"/>
      <c r="K57" s="108"/>
      <c r="L57" s="108"/>
    </row>
    <row r="58" spans="1:12" x14ac:dyDescent="0.2">
      <c r="A58" s="104" t="s">
        <v>139</v>
      </c>
      <c r="C58" s="110"/>
      <c r="D58" s="110"/>
      <c r="E58" s="110"/>
      <c r="F58" s="110"/>
      <c r="G58" s="110"/>
      <c r="H58" s="110"/>
      <c r="I58" s="110"/>
      <c r="J58" s="110"/>
      <c r="K58" s="108"/>
      <c r="L58" s="108"/>
    </row>
    <row r="59" spans="1:12" ht="10.35" customHeight="1" x14ac:dyDescent="0.2">
      <c r="A59" s="104" t="s">
        <v>39</v>
      </c>
      <c r="D59" s="81">
        <v>39949.066182495299</v>
      </c>
      <c r="K59" s="108" t="str">
        <f>VLOOKUP(A59,'FRS geographical categories'!A:C,2,FALSE)</f>
        <v>Significantly Rural</v>
      </c>
      <c r="L59" s="108" t="str">
        <f>VLOOKUP(A59,'FRS geographical categories'!A:C,3,FALSE)</f>
        <v>Non-metropolitan</v>
      </c>
    </row>
    <row r="60" spans="1:12" ht="10.35" customHeight="1" x14ac:dyDescent="0.2">
      <c r="A60" s="104" t="s">
        <v>140</v>
      </c>
      <c r="D60" s="81"/>
      <c r="G60" s="104">
        <v>2174</v>
      </c>
      <c r="H60" s="104">
        <v>6373</v>
      </c>
      <c r="J60" s="104">
        <v>1</v>
      </c>
      <c r="K60" s="108" t="s">
        <v>116</v>
      </c>
      <c r="L60" s="108" t="s">
        <v>77</v>
      </c>
    </row>
    <row r="61" spans="1:12" ht="10.35" customHeight="1" x14ac:dyDescent="0.2">
      <c r="D61" s="81"/>
    </row>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row r="69" ht="10.35"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43354-FFD3-45FB-B9A1-005A504EA0C0}">
  <sheetPr codeName="Sheet7"/>
  <dimension ref="A1:L69"/>
  <sheetViews>
    <sheetView topLeftCell="A37" workbookViewId="0">
      <selection sqref="A1:J1"/>
    </sheetView>
  </sheetViews>
  <sheetFormatPr defaultColWidth="8.77734375" defaultRowHeight="10.199999999999999" x14ac:dyDescent="0.2"/>
  <cols>
    <col min="1" max="1" width="21" style="104" bestFit="1" customWidth="1"/>
    <col min="2" max="2" width="4.44140625" style="104" customWidth="1"/>
    <col min="3" max="10" width="8.77734375" style="104"/>
    <col min="11" max="11" width="18.44140625" style="104" bestFit="1" customWidth="1"/>
    <col min="12" max="12" width="15.77734375" style="104" bestFit="1" customWidth="1"/>
    <col min="13" max="16384" width="8.77734375" style="104"/>
  </cols>
  <sheetData>
    <row r="1" spans="1:12" ht="41.55" customHeight="1" x14ac:dyDescent="0.2">
      <c r="A1" s="178"/>
      <c r="B1" s="178"/>
      <c r="C1" s="178"/>
      <c r="D1" s="178"/>
      <c r="E1" s="178"/>
      <c r="F1" s="178"/>
      <c r="G1" s="178"/>
      <c r="H1" s="178"/>
      <c r="I1" s="178"/>
      <c r="J1" s="178"/>
    </row>
    <row r="2" spans="1:12" ht="36.6" customHeight="1" x14ac:dyDescent="0.2">
      <c r="A2" s="179"/>
      <c r="B2" s="112"/>
      <c r="C2" s="181" t="s">
        <v>58</v>
      </c>
      <c r="D2" s="182"/>
      <c r="E2" s="183" t="s">
        <v>63</v>
      </c>
      <c r="F2" s="183"/>
      <c r="G2" s="183" t="s">
        <v>64</v>
      </c>
      <c r="H2" s="183"/>
      <c r="I2" s="181" t="s">
        <v>59</v>
      </c>
      <c r="J2" s="182"/>
    </row>
    <row r="3" spans="1:12" ht="27.6" customHeight="1" x14ac:dyDescent="0.2">
      <c r="A3" s="180"/>
      <c r="B3" s="113"/>
      <c r="C3" s="105" t="s">
        <v>60</v>
      </c>
      <c r="D3" s="106" t="s">
        <v>61</v>
      </c>
      <c r="E3" s="105" t="s">
        <v>60</v>
      </c>
      <c r="F3" s="106" t="s">
        <v>61</v>
      </c>
      <c r="G3" s="105" t="s">
        <v>60</v>
      </c>
      <c r="H3" s="106" t="s">
        <v>61</v>
      </c>
      <c r="I3" s="105" t="s">
        <v>60</v>
      </c>
      <c r="J3" s="106" t="s">
        <v>61</v>
      </c>
    </row>
    <row r="6" spans="1:12" x14ac:dyDescent="0.2">
      <c r="A6" s="107" t="s">
        <v>0</v>
      </c>
      <c r="B6" s="107"/>
      <c r="C6" s="109">
        <f t="shared" ref="C6:J6" si="0">SUM(C12:C61)</f>
        <v>588565</v>
      </c>
      <c r="D6" s="109">
        <f t="shared" si="0"/>
        <v>879633.67431547225</v>
      </c>
      <c r="E6" s="109">
        <f t="shared" si="0"/>
        <v>313757</v>
      </c>
      <c r="F6" s="109">
        <f t="shared" si="0"/>
        <v>439917.33999999997</v>
      </c>
      <c r="G6" s="109">
        <f t="shared" si="0"/>
        <v>140808</v>
      </c>
      <c r="H6" s="109">
        <f t="shared" si="0"/>
        <v>246456.33333333331</v>
      </c>
      <c r="I6" s="109">
        <f t="shared" si="0"/>
        <v>26677</v>
      </c>
      <c r="J6" s="109">
        <f t="shared" si="0"/>
        <v>27569.48333333333</v>
      </c>
    </row>
    <row r="7" spans="1:12" x14ac:dyDescent="0.2">
      <c r="A7" s="107" t="s">
        <v>77</v>
      </c>
      <c r="B7" s="107"/>
      <c r="C7" s="109">
        <f t="shared" ref="C7:J8" si="1">SUMIF($L$12:$L$61,$A7,C$12:C$61)</f>
        <v>303959</v>
      </c>
      <c r="D7" s="109">
        <f t="shared" si="1"/>
        <v>418891.17431547231</v>
      </c>
      <c r="E7" s="109">
        <f t="shared" si="1"/>
        <v>180309</v>
      </c>
      <c r="F7" s="109">
        <f t="shared" si="1"/>
        <v>215337.59</v>
      </c>
      <c r="G7" s="109">
        <f t="shared" si="1"/>
        <v>60654</v>
      </c>
      <c r="H7" s="109">
        <f t="shared" si="1"/>
        <v>83422.899999999994</v>
      </c>
      <c r="I7" s="109">
        <f t="shared" si="1"/>
        <v>16630</v>
      </c>
      <c r="J7" s="109">
        <f t="shared" si="1"/>
        <v>21029.149999999998</v>
      </c>
    </row>
    <row r="8" spans="1:12" x14ac:dyDescent="0.2">
      <c r="A8" s="107" t="s">
        <v>49</v>
      </c>
      <c r="B8" s="107"/>
      <c r="C8" s="109">
        <f t="shared" si="1"/>
        <v>284606</v>
      </c>
      <c r="D8" s="109">
        <f t="shared" si="1"/>
        <v>460742.5</v>
      </c>
      <c r="E8" s="109">
        <f t="shared" si="1"/>
        <v>133448</v>
      </c>
      <c r="F8" s="109">
        <f t="shared" si="1"/>
        <v>224579.75</v>
      </c>
      <c r="G8" s="109">
        <f t="shared" si="1"/>
        <v>80154</v>
      </c>
      <c r="H8" s="109">
        <f t="shared" si="1"/>
        <v>163033.43333333335</v>
      </c>
      <c r="I8" s="109">
        <f t="shared" si="1"/>
        <v>10047</v>
      </c>
      <c r="J8" s="109">
        <f t="shared" si="1"/>
        <v>6540.333333333333</v>
      </c>
    </row>
    <row r="9" spans="1:12" x14ac:dyDescent="0.2">
      <c r="A9" s="107" t="s">
        <v>114</v>
      </c>
      <c r="B9" s="107"/>
      <c r="C9" s="109">
        <f t="shared" ref="C9:J11" si="2">SUMIF($K$12:$K$61,$A9,C$12:C$61)</f>
        <v>349668</v>
      </c>
      <c r="D9" s="109">
        <f t="shared" si="2"/>
        <v>616645.5</v>
      </c>
      <c r="E9" s="109">
        <f t="shared" si="2"/>
        <v>172092</v>
      </c>
      <c r="F9" s="109">
        <f t="shared" si="2"/>
        <v>313018.57999999996</v>
      </c>
      <c r="G9" s="109">
        <f t="shared" si="2"/>
        <v>94065</v>
      </c>
      <c r="H9" s="109">
        <f t="shared" si="2"/>
        <v>193660.43333333335</v>
      </c>
      <c r="I9" s="109">
        <f t="shared" si="2"/>
        <v>16707</v>
      </c>
      <c r="J9" s="109">
        <f t="shared" si="2"/>
        <v>19143.933333333331</v>
      </c>
    </row>
    <row r="10" spans="1:12" x14ac:dyDescent="0.2">
      <c r="A10" s="107" t="s">
        <v>115</v>
      </c>
      <c r="B10" s="107"/>
      <c r="C10" s="109">
        <f t="shared" si="2"/>
        <v>164346</v>
      </c>
      <c r="D10" s="109">
        <f t="shared" si="2"/>
        <v>188020.59431547232</v>
      </c>
      <c r="E10" s="109">
        <f t="shared" si="2"/>
        <v>107372</v>
      </c>
      <c r="F10" s="109">
        <f t="shared" si="2"/>
        <v>86269.260000000009</v>
      </c>
      <c r="G10" s="109">
        <f t="shared" si="2"/>
        <v>36734</v>
      </c>
      <c r="H10" s="109">
        <f t="shared" si="2"/>
        <v>40491</v>
      </c>
      <c r="I10" s="109">
        <f t="shared" si="2"/>
        <v>7341</v>
      </c>
      <c r="J10" s="109">
        <f t="shared" si="2"/>
        <v>6967</v>
      </c>
    </row>
    <row r="11" spans="1:12" x14ac:dyDescent="0.2">
      <c r="A11" s="107" t="s">
        <v>116</v>
      </c>
      <c r="B11" s="107"/>
      <c r="C11" s="109">
        <f t="shared" si="2"/>
        <v>74551</v>
      </c>
      <c r="D11" s="109">
        <f t="shared" si="2"/>
        <v>74967.58</v>
      </c>
      <c r="E11" s="109">
        <f t="shared" si="2"/>
        <v>34293</v>
      </c>
      <c r="F11" s="109">
        <f t="shared" si="2"/>
        <v>40629.5</v>
      </c>
      <c r="G11" s="109">
        <f t="shared" si="2"/>
        <v>10009</v>
      </c>
      <c r="H11" s="109">
        <f t="shared" si="2"/>
        <v>12304.9</v>
      </c>
      <c r="I11" s="109">
        <f t="shared" si="2"/>
        <v>2629</v>
      </c>
      <c r="J11" s="109">
        <f t="shared" si="2"/>
        <v>1458.55</v>
      </c>
    </row>
    <row r="12" spans="1:12" x14ac:dyDescent="0.2">
      <c r="A12" s="104" t="s">
        <v>3</v>
      </c>
      <c r="C12" s="110">
        <v>7377</v>
      </c>
      <c r="D12" s="110">
        <v>7365</v>
      </c>
      <c r="E12" s="110">
        <v>4321</v>
      </c>
      <c r="F12" s="110">
        <v>4354</v>
      </c>
      <c r="G12" s="110">
        <v>2882</v>
      </c>
      <c r="H12" s="110">
        <v>2905</v>
      </c>
      <c r="I12" s="110">
        <v>939</v>
      </c>
      <c r="J12" s="110">
        <v>454</v>
      </c>
      <c r="K12" s="108" t="str">
        <f>VLOOKUP(A12,'FRS geographical categories'!A:C,2,FALSE)</f>
        <v>Predominantly Urban</v>
      </c>
      <c r="L12" s="108" t="str">
        <f>VLOOKUP(A12,'FRS geographical categories'!A:C,3,FALSE)</f>
        <v>Non-metropolitan</v>
      </c>
    </row>
    <row r="13" spans="1:12" x14ac:dyDescent="0.2">
      <c r="A13" s="104" t="s">
        <v>4</v>
      </c>
      <c r="C13" s="110">
        <v>3299</v>
      </c>
      <c r="D13" s="110">
        <v>3994</v>
      </c>
      <c r="E13" s="110">
        <v>550</v>
      </c>
      <c r="F13" s="110">
        <v>729</v>
      </c>
      <c r="G13" s="110" t="s">
        <v>62</v>
      </c>
      <c r="H13" s="110" t="s">
        <v>62</v>
      </c>
      <c r="I13" s="110">
        <v>1017</v>
      </c>
      <c r="J13" s="110" t="s">
        <v>62</v>
      </c>
      <c r="K13" s="108" t="str">
        <f>VLOOKUP(A13,'FRS geographical categories'!A:C,2,FALSE)</f>
        <v>Significantly Rural</v>
      </c>
      <c r="L13" s="108" t="str">
        <f>VLOOKUP(A13,'FRS geographical categories'!A:C,3,FALSE)</f>
        <v>Non-metropolitan</v>
      </c>
    </row>
    <row r="14" spans="1:12" x14ac:dyDescent="0.2">
      <c r="A14" s="104" t="s">
        <v>5</v>
      </c>
      <c r="C14" s="110">
        <v>7634</v>
      </c>
      <c r="D14" s="110">
        <v>19898</v>
      </c>
      <c r="E14" s="110">
        <v>6889</v>
      </c>
      <c r="F14" s="110">
        <v>13778</v>
      </c>
      <c r="G14" s="110">
        <v>2448</v>
      </c>
      <c r="H14" s="110">
        <v>6120</v>
      </c>
      <c r="I14" s="110">
        <v>0</v>
      </c>
      <c r="J14" s="110">
        <v>0</v>
      </c>
      <c r="K14" s="108" t="str">
        <f>VLOOKUP(A14,'FRS geographical categories'!A:C,2,FALSE)</f>
        <v>Predominantly Urban</v>
      </c>
      <c r="L14" s="108" t="str">
        <f>VLOOKUP(A14,'FRS geographical categories'!A:C,3,FALSE)</f>
        <v>Non-metropolitan</v>
      </c>
    </row>
    <row r="15" spans="1:12" x14ac:dyDescent="0.2">
      <c r="A15" s="104" t="s">
        <v>6</v>
      </c>
      <c r="C15" s="110">
        <v>3768</v>
      </c>
      <c r="D15" s="110">
        <v>5652</v>
      </c>
      <c r="E15" s="110">
        <v>1139</v>
      </c>
      <c r="F15" s="110">
        <v>636</v>
      </c>
      <c r="G15" s="110">
        <v>403</v>
      </c>
      <c r="H15" s="110">
        <v>230</v>
      </c>
      <c r="I15" s="110">
        <v>0</v>
      </c>
      <c r="J15" s="110">
        <v>0</v>
      </c>
      <c r="K15" s="108" t="str">
        <f>VLOOKUP(A15,'FRS geographical categories'!A:C,2,FALSE)</f>
        <v>Significantly Rural</v>
      </c>
      <c r="L15" s="108" t="str">
        <f>VLOOKUP(A15,'FRS geographical categories'!A:C,3,FALSE)</f>
        <v>Non-metropolitan</v>
      </c>
    </row>
    <row r="16" spans="1:12" x14ac:dyDescent="0.2">
      <c r="A16" s="104" t="s">
        <v>7</v>
      </c>
      <c r="C16" s="110">
        <v>4422</v>
      </c>
      <c r="D16" s="110">
        <v>4681</v>
      </c>
      <c r="E16" s="110">
        <v>3185</v>
      </c>
      <c r="F16" s="110">
        <v>3482</v>
      </c>
      <c r="G16" s="110">
        <v>1903</v>
      </c>
      <c r="H16" s="110">
        <v>2340.9</v>
      </c>
      <c r="I16" s="110">
        <v>845</v>
      </c>
      <c r="J16" s="110">
        <v>843</v>
      </c>
      <c r="K16" s="108" t="str">
        <f>VLOOKUP(A16,'FRS geographical categories'!A:C,2,FALSE)</f>
        <v>Predominantly Rural</v>
      </c>
      <c r="L16" s="108" t="str">
        <f>VLOOKUP(A16,'FRS geographical categories'!A:C,3,FALSE)</f>
        <v>Non-metropolitan</v>
      </c>
    </row>
    <row r="17" spans="1:12" x14ac:dyDescent="0.2">
      <c r="A17" s="104" t="s">
        <v>8</v>
      </c>
      <c r="C17" s="110">
        <v>39862</v>
      </c>
      <c r="D17" s="110">
        <v>16041</v>
      </c>
      <c r="E17" s="110">
        <v>35131</v>
      </c>
      <c r="F17" s="110">
        <v>13987</v>
      </c>
      <c r="G17" s="110">
        <v>8243</v>
      </c>
      <c r="H17" s="110">
        <v>4056</v>
      </c>
      <c r="I17" s="110">
        <v>0</v>
      </c>
      <c r="J17" s="110">
        <v>0</v>
      </c>
      <c r="K17" s="108" t="str">
        <f>VLOOKUP(A17,'FRS geographical categories'!A:C,2,FALSE)</f>
        <v>Significantly Rural</v>
      </c>
      <c r="L17" s="108" t="str">
        <f>VLOOKUP(A17,'FRS geographical categories'!A:C,3,FALSE)</f>
        <v>Non-metropolitan</v>
      </c>
    </row>
    <row r="18" spans="1:12" x14ac:dyDescent="0.2">
      <c r="A18" s="104" t="s">
        <v>9</v>
      </c>
      <c r="C18" s="110">
        <v>17964</v>
      </c>
      <c r="D18" s="110">
        <v>74171</v>
      </c>
      <c r="E18" s="110">
        <v>11465</v>
      </c>
      <c r="F18" s="110">
        <v>48890</v>
      </c>
      <c r="G18" s="110">
        <v>3331</v>
      </c>
      <c r="H18" s="110">
        <v>11892</v>
      </c>
      <c r="I18" s="110">
        <v>2295</v>
      </c>
      <c r="J18" s="110">
        <v>6773</v>
      </c>
      <c r="K18" s="108" t="str">
        <f>VLOOKUP(A18,'FRS geographical categories'!A:C,2,FALSE)</f>
        <v>Predominantly Urban</v>
      </c>
      <c r="L18" s="108" t="str">
        <f>VLOOKUP(A18,'FRS geographical categories'!A:C,3,FALSE)</f>
        <v>Non-metropolitan</v>
      </c>
    </row>
    <row r="19" spans="1:12" x14ac:dyDescent="0.2">
      <c r="A19" s="104" t="s">
        <v>10</v>
      </c>
      <c r="C19" s="110">
        <v>4509</v>
      </c>
      <c r="D19" s="110">
        <v>3575</v>
      </c>
      <c r="E19" s="110">
        <v>1908</v>
      </c>
      <c r="F19" s="110">
        <v>1696</v>
      </c>
      <c r="G19" s="110">
        <v>1355</v>
      </c>
      <c r="H19" s="110">
        <v>1246</v>
      </c>
      <c r="I19" s="110">
        <v>743</v>
      </c>
      <c r="J19" s="110">
        <v>228</v>
      </c>
      <c r="K19" s="108" t="str">
        <f>VLOOKUP(A19,'FRS geographical categories'!A:C,2,FALSE)</f>
        <v>Predominantly Rural</v>
      </c>
      <c r="L19" s="108" t="str">
        <f>VLOOKUP(A19,'FRS geographical categories'!A:C,3,FALSE)</f>
        <v>Non-metropolitan</v>
      </c>
    </row>
    <row r="20" spans="1:12" x14ac:dyDescent="0.2">
      <c r="A20" s="104" t="s">
        <v>11</v>
      </c>
      <c r="C20" s="110">
        <v>8777</v>
      </c>
      <c r="D20" s="110">
        <v>6381</v>
      </c>
      <c r="E20" s="110">
        <v>1679</v>
      </c>
      <c r="F20" s="110">
        <v>2432</v>
      </c>
      <c r="G20" s="110">
        <v>456</v>
      </c>
      <c r="H20" s="110">
        <v>646</v>
      </c>
      <c r="I20" s="110">
        <v>0</v>
      </c>
      <c r="J20" s="110">
        <v>0</v>
      </c>
      <c r="K20" s="108" t="str">
        <f>VLOOKUP(A20,'FRS geographical categories'!A:C,2,FALSE)</f>
        <v>Predominantly Rural</v>
      </c>
      <c r="L20" s="108" t="str">
        <f>VLOOKUP(A20,'FRS geographical categories'!A:C,3,FALSE)</f>
        <v>Non-metropolitan</v>
      </c>
    </row>
    <row r="21" spans="1:12" x14ac:dyDescent="0.2">
      <c r="A21" s="81" t="s">
        <v>12</v>
      </c>
      <c r="C21" s="110">
        <v>10658</v>
      </c>
      <c r="D21" s="110">
        <v>18073.599999999999</v>
      </c>
      <c r="E21" s="110">
        <v>8374</v>
      </c>
      <c r="F21" s="110">
        <v>13977.76</v>
      </c>
      <c r="G21" s="110">
        <v>3537</v>
      </c>
      <c r="H21" s="110">
        <v>6545</v>
      </c>
      <c r="I21" s="110">
        <v>4131</v>
      </c>
      <c r="J21" s="110">
        <v>5023</v>
      </c>
      <c r="K21" s="108" t="str">
        <f>VLOOKUP(A21,'FRS geographical categories'!A:C,2,FALSE)</f>
        <v>Significantly Rural</v>
      </c>
      <c r="L21" s="108" t="str">
        <f>VLOOKUP(A21,'FRS geographical categories'!A:C,3,FALSE)</f>
        <v>Non-metropolitan</v>
      </c>
    </row>
    <row r="22" spans="1:12" x14ac:dyDescent="0.2">
      <c r="A22" s="81" t="s">
        <v>13</v>
      </c>
      <c r="C22" s="110">
        <v>8774</v>
      </c>
      <c r="D22" s="110">
        <v>10832</v>
      </c>
      <c r="E22" s="110">
        <v>5789</v>
      </c>
      <c r="F22" s="110">
        <v>7497</v>
      </c>
      <c r="G22" s="110">
        <v>1476</v>
      </c>
      <c r="H22" s="110">
        <v>1744</v>
      </c>
      <c r="I22" s="110">
        <v>0</v>
      </c>
      <c r="J22" s="110">
        <v>0</v>
      </c>
      <c r="K22" s="108" t="str">
        <f>VLOOKUP(A22,'FRS geographical categories'!A:C,2,FALSE)</f>
        <v>Predominantly Rural</v>
      </c>
      <c r="L22" s="108" t="str">
        <f>VLOOKUP(A22,'FRS geographical categories'!A:C,3,FALSE)</f>
        <v>Non-metropolitan</v>
      </c>
    </row>
    <row r="23" spans="1:12" x14ac:dyDescent="0.2">
      <c r="A23" s="81" t="s">
        <v>74</v>
      </c>
      <c r="C23" s="110">
        <v>12371</v>
      </c>
      <c r="D23" s="110">
        <v>16547</v>
      </c>
      <c r="E23" s="110">
        <v>7980</v>
      </c>
      <c r="F23" s="110">
        <v>11000</v>
      </c>
      <c r="G23" s="110" t="s">
        <v>62</v>
      </c>
      <c r="H23" s="110" t="s">
        <v>62</v>
      </c>
      <c r="I23" s="110">
        <v>88</v>
      </c>
      <c r="J23" s="110">
        <v>48</v>
      </c>
      <c r="K23" s="108" t="str">
        <f>VLOOKUP(A23,'FRS geographical categories'!A:C,2,FALSE)</f>
        <v>Significantly Rural</v>
      </c>
      <c r="L23" s="108" t="str">
        <f>VLOOKUP(A23,'FRS geographical categories'!A:C,3,FALSE)</f>
        <v>Non-metropolitan</v>
      </c>
    </row>
    <row r="24" spans="1:12" x14ac:dyDescent="0.2">
      <c r="A24" s="104" t="s">
        <v>14</v>
      </c>
      <c r="C24" s="110">
        <v>18915</v>
      </c>
      <c r="D24" s="110">
        <v>14964</v>
      </c>
      <c r="E24" s="110">
        <v>7136</v>
      </c>
      <c r="F24" s="110">
        <v>5994</v>
      </c>
      <c r="G24" s="110">
        <v>1086</v>
      </c>
      <c r="H24" s="110">
        <v>1146</v>
      </c>
      <c r="I24" s="110">
        <v>0</v>
      </c>
      <c r="J24" s="110">
        <v>0</v>
      </c>
      <c r="K24" s="108" t="str">
        <f>VLOOKUP(A24,'FRS geographical categories'!A:C,2,FALSE)</f>
        <v>Predominantly Rural</v>
      </c>
      <c r="L24" s="108" t="str">
        <f>VLOOKUP(A24,'FRS geographical categories'!A:C,3,FALSE)</f>
        <v>Non-metropolitan</v>
      </c>
    </row>
    <row r="25" spans="1:12" x14ac:dyDescent="0.2">
      <c r="A25" s="104" t="s">
        <v>15</v>
      </c>
      <c r="C25" s="110">
        <v>9240</v>
      </c>
      <c r="D25" s="110">
        <v>17057</v>
      </c>
      <c r="E25" s="110">
        <v>6226</v>
      </c>
      <c r="F25" s="110">
        <v>10447</v>
      </c>
      <c r="G25" s="110">
        <v>5015</v>
      </c>
      <c r="H25" s="110">
        <v>7954.5</v>
      </c>
      <c r="I25" s="110">
        <v>0</v>
      </c>
      <c r="J25" s="110">
        <v>0</v>
      </c>
      <c r="K25" s="108" t="str">
        <f>VLOOKUP(A25,'FRS geographical categories'!A:C,2,FALSE)</f>
        <v>Significantly Rural</v>
      </c>
      <c r="L25" s="108" t="str">
        <f>VLOOKUP(A25,'FRS geographical categories'!A:C,3,FALSE)</f>
        <v>Non-metropolitan</v>
      </c>
    </row>
    <row r="26" spans="1:12" x14ac:dyDescent="0.2">
      <c r="A26" s="104" t="s">
        <v>16</v>
      </c>
      <c r="C26" s="110">
        <v>9488</v>
      </c>
      <c r="D26" s="110">
        <v>8169</v>
      </c>
      <c r="E26" s="110">
        <v>5461</v>
      </c>
      <c r="F26" s="110" t="s">
        <v>62</v>
      </c>
      <c r="G26" s="110">
        <v>2343</v>
      </c>
      <c r="H26" s="110" t="s">
        <v>62</v>
      </c>
      <c r="I26" s="110">
        <v>999</v>
      </c>
      <c r="J26" s="110">
        <v>839</v>
      </c>
      <c r="K26" s="108" t="str">
        <f>VLOOKUP(A26,'FRS geographical categories'!A:C,2,FALSE)</f>
        <v>Significantly Rural</v>
      </c>
      <c r="L26" s="108" t="str">
        <f>VLOOKUP(A26,'FRS geographical categories'!A:C,3,FALSE)</f>
        <v>Non-metropolitan</v>
      </c>
    </row>
    <row r="27" spans="1:12" x14ac:dyDescent="0.2">
      <c r="A27" s="104" t="s">
        <v>17</v>
      </c>
      <c r="C27" s="110">
        <v>7147</v>
      </c>
      <c r="D27" s="110">
        <v>10720</v>
      </c>
      <c r="E27" s="110">
        <v>3782</v>
      </c>
      <c r="F27" s="110">
        <v>5673</v>
      </c>
      <c r="G27" s="110">
        <v>2220</v>
      </c>
      <c r="H27" s="110">
        <v>3330</v>
      </c>
      <c r="I27" s="110">
        <v>0</v>
      </c>
      <c r="J27" s="110">
        <v>0</v>
      </c>
      <c r="K27" s="108" t="str">
        <f>VLOOKUP(A27,'FRS geographical categories'!A:C,2,FALSE)</f>
        <v>Significantly Rural</v>
      </c>
      <c r="L27" s="108" t="str">
        <f>VLOOKUP(A27,'FRS geographical categories'!A:C,3,FALSE)</f>
        <v>Non-metropolitan</v>
      </c>
    </row>
    <row r="28" spans="1:12" x14ac:dyDescent="0.2">
      <c r="A28" s="104" t="s">
        <v>18</v>
      </c>
      <c r="C28" s="110">
        <v>84891</v>
      </c>
      <c r="D28" s="110">
        <v>158704</v>
      </c>
      <c r="E28" s="110">
        <v>36050</v>
      </c>
      <c r="F28" s="110">
        <v>70981</v>
      </c>
      <c r="G28" s="110">
        <v>30334</v>
      </c>
      <c r="H28" s="110">
        <v>61253</v>
      </c>
      <c r="I28" s="110">
        <v>2276</v>
      </c>
      <c r="J28" s="110" t="s">
        <v>62</v>
      </c>
      <c r="K28" s="108" t="str">
        <f>VLOOKUP(A28,'FRS geographical categories'!A:C,2,FALSE)</f>
        <v>Predominantly Urban</v>
      </c>
      <c r="L28" s="108" t="str">
        <f>VLOOKUP(A28,'FRS geographical categories'!A:C,3,FALSE)</f>
        <v>Metropolitan</v>
      </c>
    </row>
    <row r="29" spans="1:12" x14ac:dyDescent="0.2">
      <c r="A29" s="104" t="s">
        <v>19</v>
      </c>
      <c r="C29" s="110">
        <v>27796</v>
      </c>
      <c r="D29" s="110">
        <v>35713</v>
      </c>
      <c r="E29" s="110">
        <v>10206</v>
      </c>
      <c r="F29" s="110">
        <v>14718</v>
      </c>
      <c r="G29" s="110">
        <v>5401</v>
      </c>
      <c r="H29" s="110">
        <v>11213.5</v>
      </c>
      <c r="I29" s="110">
        <v>117</v>
      </c>
      <c r="J29" s="110">
        <v>117</v>
      </c>
      <c r="K29" s="108" t="str">
        <f>VLOOKUP(A29,'FRS geographical categories'!A:C,2,FALSE)</f>
        <v>Predominantly Urban</v>
      </c>
      <c r="L29" s="108" t="str">
        <f>VLOOKUP(A29,'FRS geographical categories'!A:C,3,FALSE)</f>
        <v>Metropolitan</v>
      </c>
    </row>
    <row r="30" spans="1:12" x14ac:dyDescent="0.2">
      <c r="A30" s="104" t="s">
        <v>20</v>
      </c>
      <c r="C30" s="110">
        <v>6256</v>
      </c>
      <c r="D30" s="110">
        <v>8356</v>
      </c>
      <c r="E30" s="110">
        <v>3643</v>
      </c>
      <c r="F30" s="110">
        <v>1214.83</v>
      </c>
      <c r="G30" s="110" t="s">
        <v>62</v>
      </c>
      <c r="H30" s="110" t="s">
        <v>62</v>
      </c>
      <c r="I30" s="110">
        <v>215</v>
      </c>
      <c r="J30" s="110">
        <v>71.599999999999994</v>
      </c>
      <c r="K30" s="108" t="str">
        <f>VLOOKUP(A30,'FRS geographical categories'!A:C,2,FALSE)</f>
        <v>Predominantly Urban</v>
      </c>
      <c r="L30" s="108" t="str">
        <f>VLOOKUP(A30,'FRS geographical categories'!A:C,3,FALSE)</f>
        <v>Non-metropolitan</v>
      </c>
    </row>
    <row r="31" spans="1:12" x14ac:dyDescent="0.2">
      <c r="A31" s="104" t="s">
        <v>21</v>
      </c>
      <c r="C31" s="110">
        <v>4232</v>
      </c>
      <c r="D31" s="110">
        <v>4884</v>
      </c>
      <c r="E31" s="110">
        <v>2388</v>
      </c>
      <c r="F31" s="110">
        <v>3002</v>
      </c>
      <c r="G31" s="110">
        <v>1648</v>
      </c>
      <c r="H31" s="110">
        <v>2071</v>
      </c>
      <c r="I31" s="110">
        <v>0</v>
      </c>
      <c r="J31" s="110">
        <v>0</v>
      </c>
      <c r="K31" s="108" t="str">
        <f>VLOOKUP(A31,'FRS geographical categories'!A:C,2,FALSE)</f>
        <v>Significantly Rural</v>
      </c>
      <c r="L31" s="108" t="str">
        <f>VLOOKUP(A31,'FRS geographical categories'!A:C,3,FALSE)</f>
        <v>Non-metropolitan</v>
      </c>
    </row>
    <row r="32" spans="1:12" x14ac:dyDescent="0.2">
      <c r="A32" s="104" t="s">
        <v>22</v>
      </c>
      <c r="C32" s="110">
        <v>4852</v>
      </c>
      <c r="D32" s="110">
        <v>9704</v>
      </c>
      <c r="E32" s="110">
        <v>1794</v>
      </c>
      <c r="F32" s="110">
        <v>3588</v>
      </c>
      <c r="G32" s="110">
        <v>617</v>
      </c>
      <c r="H32" s="110">
        <v>1234</v>
      </c>
      <c r="I32" s="110">
        <v>1865</v>
      </c>
      <c r="J32" s="110">
        <v>3730</v>
      </c>
      <c r="K32" s="108" t="str">
        <f>VLOOKUP(A32,'FRS geographical categories'!A:C,2,FALSE)</f>
        <v>Predominantly Urban</v>
      </c>
      <c r="L32" s="108" t="str">
        <f>VLOOKUP(A32,'FRS geographical categories'!A:C,3,FALSE)</f>
        <v>Non-metropolitan</v>
      </c>
    </row>
    <row r="33" spans="1:12" x14ac:dyDescent="0.2">
      <c r="A33" s="104" t="s">
        <v>23</v>
      </c>
      <c r="C33" s="110">
        <v>6300</v>
      </c>
      <c r="D33" s="110">
        <v>5240</v>
      </c>
      <c r="E33" s="110">
        <v>2640</v>
      </c>
      <c r="F33" s="110">
        <v>2026</v>
      </c>
      <c r="G33" s="110">
        <v>1293</v>
      </c>
      <c r="H33" s="110">
        <v>1224</v>
      </c>
      <c r="I33" s="110">
        <v>0</v>
      </c>
      <c r="J33" s="110">
        <v>0</v>
      </c>
      <c r="K33" s="108" t="str">
        <f>VLOOKUP(A33,'FRS geographical categories'!A:C,2,FALSE)</f>
        <v>Significantly Rural</v>
      </c>
      <c r="L33" s="108" t="str">
        <f>VLOOKUP(A33,'FRS geographical categories'!A:C,3,FALSE)</f>
        <v>Non-metropolitan</v>
      </c>
    </row>
    <row r="34" spans="1:12" x14ac:dyDescent="0.2">
      <c r="A34" s="104" t="s">
        <v>48</v>
      </c>
      <c r="C34" s="110">
        <v>777</v>
      </c>
      <c r="D34" s="110">
        <v>651</v>
      </c>
      <c r="E34" s="110">
        <v>641</v>
      </c>
      <c r="F34" s="110">
        <v>537</v>
      </c>
      <c r="G34" s="110" t="s">
        <v>62</v>
      </c>
      <c r="H34" s="110" t="s">
        <v>62</v>
      </c>
      <c r="I34" s="110">
        <v>261</v>
      </c>
      <c r="J34" s="110">
        <v>196</v>
      </c>
      <c r="K34" s="108" t="str">
        <f>VLOOKUP(A34,'FRS geographical categories'!A:C,2,FALSE)</f>
        <v>Predominantly Rural</v>
      </c>
      <c r="L34" s="108" t="str">
        <f>VLOOKUP(A34,'FRS geographical categories'!A:C,3,FALSE)</f>
        <v>Non-metropolitan</v>
      </c>
    </row>
    <row r="35" spans="1:12" x14ac:dyDescent="0.2">
      <c r="A35" s="104" t="s">
        <v>25</v>
      </c>
      <c r="C35" s="110">
        <v>72</v>
      </c>
      <c r="D35" s="110">
        <v>24</v>
      </c>
      <c r="E35" s="110">
        <v>55</v>
      </c>
      <c r="F35" s="110">
        <v>18</v>
      </c>
      <c r="G35" s="110">
        <v>0</v>
      </c>
      <c r="H35" s="110">
        <v>0</v>
      </c>
      <c r="I35" s="110">
        <v>0</v>
      </c>
      <c r="J35" s="110">
        <v>0</v>
      </c>
      <c r="K35" s="108" t="str">
        <f>VLOOKUP(A35,'FRS geographical categories'!A:C,2,FALSE)</f>
        <v>Predominantly Rural</v>
      </c>
      <c r="L35" s="108" t="str">
        <f>VLOOKUP(A35,'FRS geographical categories'!A:C,3,FALSE)</f>
        <v>Non-metropolitan</v>
      </c>
    </row>
    <row r="36" spans="1:12" x14ac:dyDescent="0.2">
      <c r="A36" s="104" t="s">
        <v>26</v>
      </c>
      <c r="C36" s="110">
        <v>9000</v>
      </c>
      <c r="D36" s="110">
        <v>13500</v>
      </c>
      <c r="E36" s="110">
        <v>5049</v>
      </c>
      <c r="F36" s="110">
        <v>7573.5</v>
      </c>
      <c r="G36" s="110">
        <v>4973</v>
      </c>
      <c r="H36" s="110">
        <v>7459.5</v>
      </c>
      <c r="I36" s="110">
        <v>0</v>
      </c>
      <c r="J36" s="110">
        <v>0</v>
      </c>
      <c r="K36" s="108" t="str">
        <f>VLOOKUP(A36,'FRS geographical categories'!A:C,2,FALSE)</f>
        <v>Significantly Rural</v>
      </c>
      <c r="L36" s="108" t="str">
        <f>VLOOKUP(A36,'FRS geographical categories'!A:C,3,FALSE)</f>
        <v>Non-metropolitan</v>
      </c>
    </row>
    <row r="37" spans="1:12" x14ac:dyDescent="0.2">
      <c r="A37" s="104" t="s">
        <v>27</v>
      </c>
      <c r="C37" s="110">
        <v>11948</v>
      </c>
      <c r="D37" s="110">
        <v>17600</v>
      </c>
      <c r="E37" s="110">
        <v>6825</v>
      </c>
      <c r="F37" s="110">
        <v>8798</v>
      </c>
      <c r="G37" s="110">
        <v>1464</v>
      </c>
      <c r="H37" s="110">
        <v>1888</v>
      </c>
      <c r="I37" s="110">
        <v>0</v>
      </c>
      <c r="J37" s="110">
        <v>0</v>
      </c>
      <c r="K37" s="108" t="str">
        <f>VLOOKUP(A37,'FRS geographical categories'!A:C,2,FALSE)</f>
        <v>Predominantly Urban</v>
      </c>
      <c r="L37" s="108" t="str">
        <f>VLOOKUP(A37,'FRS geographical categories'!A:C,3,FALSE)</f>
        <v>Non-metropolitan</v>
      </c>
    </row>
    <row r="38" spans="1:12" x14ac:dyDescent="0.2">
      <c r="A38" s="104" t="s">
        <v>28</v>
      </c>
      <c r="C38" s="110">
        <v>8624</v>
      </c>
      <c r="D38" s="110">
        <v>15092</v>
      </c>
      <c r="E38" s="110">
        <v>4104</v>
      </c>
      <c r="F38" s="110">
        <v>7182</v>
      </c>
      <c r="G38" s="110">
        <v>2071</v>
      </c>
      <c r="H38" s="110">
        <v>3624</v>
      </c>
      <c r="I38" s="110">
        <v>463</v>
      </c>
      <c r="J38" s="110">
        <v>810</v>
      </c>
      <c r="K38" s="108" t="str">
        <f>VLOOKUP(A38,'FRS geographical categories'!A:C,2,FALSE)</f>
        <v>Significantly Rural</v>
      </c>
      <c r="L38" s="108" t="str">
        <f>VLOOKUP(A38,'FRS geographical categories'!A:C,3,FALSE)</f>
        <v>Non-metropolitan</v>
      </c>
    </row>
    <row r="39" spans="1:12" x14ac:dyDescent="0.2">
      <c r="A39" s="104" t="s">
        <v>29</v>
      </c>
      <c r="C39" s="110">
        <v>6232</v>
      </c>
      <c r="D39" s="110">
        <v>5491</v>
      </c>
      <c r="E39" s="110">
        <v>2188</v>
      </c>
      <c r="F39" s="110">
        <v>2744</v>
      </c>
      <c r="G39" s="110">
        <v>2195</v>
      </c>
      <c r="H39" s="110">
        <v>2918</v>
      </c>
      <c r="I39" s="110">
        <v>26</v>
      </c>
      <c r="J39" s="110">
        <v>39</v>
      </c>
      <c r="K39" s="108" t="str">
        <f>VLOOKUP(A39,'FRS geographical categories'!A:C,2,FALSE)</f>
        <v>Predominantly Rural</v>
      </c>
      <c r="L39" s="108" t="str">
        <f>VLOOKUP(A39,'FRS geographical categories'!A:C,3,FALSE)</f>
        <v>Non-metropolitan</v>
      </c>
    </row>
    <row r="40" spans="1:12" x14ac:dyDescent="0.2">
      <c r="A40" s="104" t="s">
        <v>30</v>
      </c>
      <c r="C40" s="110">
        <v>57679</v>
      </c>
      <c r="D40" s="110">
        <v>91709</v>
      </c>
      <c r="E40" s="110">
        <v>34870</v>
      </c>
      <c r="F40" s="110">
        <v>55443</v>
      </c>
      <c r="G40" s="110">
        <v>8008</v>
      </c>
      <c r="H40" s="110">
        <v>12732</v>
      </c>
      <c r="I40" s="110">
        <v>3214</v>
      </c>
      <c r="J40" s="110">
        <v>5110</v>
      </c>
      <c r="K40" s="108" t="str">
        <f>VLOOKUP(A40,'FRS geographical categories'!A:C,2,FALSE)</f>
        <v>Predominantly Urban</v>
      </c>
      <c r="L40" s="108" t="str">
        <f>VLOOKUP(A40,'FRS geographical categories'!A:C,3,FALSE)</f>
        <v>Metropolitan</v>
      </c>
    </row>
    <row r="41" spans="1:12" x14ac:dyDescent="0.2">
      <c r="A41" s="104" t="s">
        <v>31</v>
      </c>
      <c r="C41" s="110">
        <v>3291</v>
      </c>
      <c r="D41" s="110">
        <v>3437.33</v>
      </c>
      <c r="E41" s="110">
        <v>1802</v>
      </c>
      <c r="F41" s="110">
        <v>1880</v>
      </c>
      <c r="G41" s="110" t="s">
        <v>62</v>
      </c>
      <c r="H41" s="110" t="s">
        <v>62</v>
      </c>
      <c r="I41" s="110">
        <v>2</v>
      </c>
      <c r="J41" s="110">
        <v>2.2999999999999998</v>
      </c>
      <c r="K41" s="108" t="str">
        <f>VLOOKUP(A41,'FRS geographical categories'!A:C,2,FALSE)</f>
        <v>Predominantly Rural</v>
      </c>
      <c r="L41" s="108" t="str">
        <f>VLOOKUP(A41,'FRS geographical categories'!A:C,3,FALSE)</f>
        <v>Non-metropolitan</v>
      </c>
    </row>
    <row r="42" spans="1:12" x14ac:dyDescent="0.2">
      <c r="A42" s="104" t="s">
        <v>32</v>
      </c>
      <c r="C42" s="110">
        <v>2536</v>
      </c>
      <c r="D42" s="110">
        <v>3595</v>
      </c>
      <c r="E42" s="110">
        <v>1580</v>
      </c>
      <c r="F42" s="110">
        <v>2240</v>
      </c>
      <c r="G42" s="110" t="s">
        <v>62</v>
      </c>
      <c r="H42" s="110" t="s">
        <v>62</v>
      </c>
      <c r="I42" s="110">
        <v>8</v>
      </c>
      <c r="J42" s="110">
        <v>3</v>
      </c>
      <c r="K42" s="108" t="str">
        <f>VLOOKUP(A42,'FRS geographical categories'!A:C,2,FALSE)</f>
        <v>Predominantly Rural</v>
      </c>
      <c r="L42" s="108" t="str">
        <f>VLOOKUP(A42,'FRS geographical categories'!A:C,3,FALSE)</f>
        <v>Non-metropolitan</v>
      </c>
    </row>
    <row r="43" spans="1:12" x14ac:dyDescent="0.2">
      <c r="A43" s="104" t="s">
        <v>33</v>
      </c>
      <c r="C43" s="110">
        <v>2217</v>
      </c>
      <c r="D43" s="110">
        <v>1773.17</v>
      </c>
      <c r="E43" s="110">
        <v>938</v>
      </c>
      <c r="F43" s="110">
        <v>938</v>
      </c>
      <c r="G43" s="110">
        <v>498</v>
      </c>
      <c r="H43" s="110">
        <v>498</v>
      </c>
      <c r="I43" s="110">
        <v>48</v>
      </c>
      <c r="J43" s="110">
        <v>48</v>
      </c>
      <c r="K43" s="108" t="str">
        <f>VLOOKUP(A43,'FRS geographical categories'!A:C,2,FALSE)</f>
        <v>Significantly Rural</v>
      </c>
      <c r="L43" s="108" t="str">
        <f>VLOOKUP(A43,'FRS geographical categories'!A:C,3,FALSE)</f>
        <v>Non-metropolitan</v>
      </c>
    </row>
    <row r="44" spans="1:12" x14ac:dyDescent="0.2">
      <c r="A44" s="104" t="s">
        <v>34</v>
      </c>
      <c r="C44" s="110">
        <v>8616</v>
      </c>
      <c r="D44" s="110">
        <v>8180.25</v>
      </c>
      <c r="E44" s="110">
        <v>4356</v>
      </c>
      <c r="F44" s="110">
        <v>4261.5</v>
      </c>
      <c r="G44" s="110">
        <v>1378</v>
      </c>
      <c r="H44" s="110">
        <v>1620</v>
      </c>
      <c r="I44" s="110">
        <v>176</v>
      </c>
      <c r="J44" s="110">
        <v>89.25</v>
      </c>
      <c r="K44" s="108" t="str">
        <f>VLOOKUP(A44,'FRS geographical categories'!A:C,2,FALSE)</f>
        <v>Predominantly Rural</v>
      </c>
      <c r="L44" s="108" t="str">
        <f>VLOOKUP(A44,'FRS geographical categories'!A:C,3,FALSE)</f>
        <v>Non-metropolitan</v>
      </c>
    </row>
    <row r="45" spans="1:12" x14ac:dyDescent="0.2">
      <c r="A45" s="104" t="s">
        <v>35</v>
      </c>
      <c r="C45" s="110">
        <v>3894</v>
      </c>
      <c r="D45" s="110">
        <v>7751</v>
      </c>
      <c r="E45" s="110">
        <v>1959</v>
      </c>
      <c r="F45" s="110">
        <v>3791</v>
      </c>
      <c r="G45" s="110">
        <v>1645</v>
      </c>
      <c r="H45" s="110">
        <v>3266</v>
      </c>
      <c r="I45" s="110">
        <v>562</v>
      </c>
      <c r="J45" s="110">
        <v>791</v>
      </c>
      <c r="K45" s="108" t="str">
        <f>VLOOKUP(A45,'FRS geographical categories'!A:C,2,FALSE)</f>
        <v>Predominantly Urban</v>
      </c>
      <c r="L45" s="108" t="str">
        <f>VLOOKUP(A45,'FRS geographical categories'!A:C,3,FALSE)</f>
        <v>Non-metropolitan</v>
      </c>
    </row>
    <row r="46" spans="1:12" x14ac:dyDescent="0.2">
      <c r="A46" s="104" t="s">
        <v>36</v>
      </c>
      <c r="C46" s="110">
        <v>3245</v>
      </c>
      <c r="D46" s="110">
        <v>5478</v>
      </c>
      <c r="E46" s="110">
        <v>2099</v>
      </c>
      <c r="F46" s="110">
        <v>4479</v>
      </c>
      <c r="G46" s="110" t="s">
        <v>62</v>
      </c>
      <c r="H46" s="110" t="s">
        <v>62</v>
      </c>
      <c r="I46" s="110">
        <v>58</v>
      </c>
      <c r="J46" s="110">
        <v>58</v>
      </c>
      <c r="K46" s="108" t="str">
        <f>VLOOKUP(A46,'FRS geographical categories'!A:C,2,FALSE)</f>
        <v>Predominantly Rural</v>
      </c>
      <c r="L46" s="108" t="str">
        <f>VLOOKUP(A46,'FRS geographical categories'!A:C,3,FALSE)</f>
        <v>Non-metropolitan</v>
      </c>
    </row>
    <row r="47" spans="1:12" x14ac:dyDescent="0.2">
      <c r="A47" s="104" t="s">
        <v>37</v>
      </c>
      <c r="C47" s="110">
        <v>3031</v>
      </c>
      <c r="D47" s="110">
        <v>3811</v>
      </c>
      <c r="E47" s="110">
        <v>1049</v>
      </c>
      <c r="F47" s="110">
        <v>1161</v>
      </c>
      <c r="G47" s="110" t="s">
        <v>62</v>
      </c>
      <c r="H47" s="110" t="s">
        <v>62</v>
      </c>
      <c r="I47" s="110">
        <v>510</v>
      </c>
      <c r="J47" s="110" t="s">
        <v>62</v>
      </c>
      <c r="K47" s="108" t="str">
        <f>VLOOKUP(A47,'FRS geographical categories'!A:C,2,FALSE)</f>
        <v>Predominantly Rural</v>
      </c>
      <c r="L47" s="108" t="str">
        <f>VLOOKUP(A47,'FRS geographical categories'!A:C,3,FALSE)</f>
        <v>Non-metropolitan</v>
      </c>
    </row>
    <row r="48" spans="1:12" x14ac:dyDescent="0.2">
      <c r="A48" s="104" t="s">
        <v>38</v>
      </c>
      <c r="C48" s="110">
        <v>20893</v>
      </c>
      <c r="D48" s="110">
        <v>21588.5</v>
      </c>
      <c r="E48" s="110">
        <v>8608</v>
      </c>
      <c r="F48" s="110">
        <v>5785.75</v>
      </c>
      <c r="G48" s="110">
        <v>4214</v>
      </c>
      <c r="H48" s="110">
        <v>2933.9333333333334</v>
      </c>
      <c r="I48" s="110">
        <v>378</v>
      </c>
      <c r="J48" s="110">
        <v>243.33333333333334</v>
      </c>
      <c r="K48" s="108" t="str">
        <f>VLOOKUP(A48,'FRS geographical categories'!A:C,2,FALSE)</f>
        <v>Predominantly Urban</v>
      </c>
      <c r="L48" s="108" t="str">
        <f>VLOOKUP(A48,'FRS geographical categories'!A:C,3,FALSE)</f>
        <v>Metropolitan</v>
      </c>
    </row>
    <row r="49" spans="1:12" x14ac:dyDescent="0.2">
      <c r="A49" s="104" t="s">
        <v>39</v>
      </c>
      <c r="C49" s="110">
        <v>27491</v>
      </c>
      <c r="D49" s="110" t="s">
        <v>62</v>
      </c>
      <c r="E49" s="110">
        <v>15632</v>
      </c>
      <c r="F49" s="110" t="s">
        <v>62</v>
      </c>
      <c r="G49" s="110">
        <v>2614</v>
      </c>
      <c r="H49" s="110" t="s">
        <v>62</v>
      </c>
      <c r="I49" s="110">
        <v>396</v>
      </c>
      <c r="J49" s="110" t="s">
        <v>62</v>
      </c>
      <c r="K49" s="108" t="str">
        <f>VLOOKUP(A49,'FRS geographical categories'!A:C,2,FALSE)</f>
        <v>Significantly Rural</v>
      </c>
      <c r="L49" s="108" t="str">
        <f>VLOOKUP(A49,'FRS geographical categories'!A:C,3,FALSE)</f>
        <v>Non-metropolitan</v>
      </c>
    </row>
    <row r="50" spans="1:12" x14ac:dyDescent="0.2">
      <c r="A50" s="104" t="s">
        <v>40</v>
      </c>
      <c r="C50" s="110">
        <v>1354</v>
      </c>
      <c r="D50" s="110">
        <v>3867</v>
      </c>
      <c r="E50" s="110">
        <v>826</v>
      </c>
      <c r="F50" s="110">
        <v>2208</v>
      </c>
      <c r="G50" s="110">
        <v>160</v>
      </c>
      <c r="H50" s="110">
        <v>644</v>
      </c>
      <c r="I50" s="110">
        <v>0</v>
      </c>
      <c r="J50" s="110">
        <v>0</v>
      </c>
      <c r="K50" s="108" t="str">
        <f>VLOOKUP(A50,'FRS geographical categories'!A:C,2,FALSE)</f>
        <v>Predominantly Rural</v>
      </c>
      <c r="L50" s="108" t="str">
        <f>VLOOKUP(A50,'FRS geographical categories'!A:C,3,FALSE)</f>
        <v>Non-metropolitan</v>
      </c>
    </row>
    <row r="51" spans="1:12" x14ac:dyDescent="0.2">
      <c r="A51" s="104" t="s">
        <v>41</v>
      </c>
      <c r="C51" s="110">
        <v>5137</v>
      </c>
      <c r="D51" s="110">
        <v>11058</v>
      </c>
      <c r="E51" s="110">
        <v>1748</v>
      </c>
      <c r="F51" s="110">
        <v>4025</v>
      </c>
      <c r="G51" s="110">
        <v>1524</v>
      </c>
      <c r="H51" s="110">
        <v>3322</v>
      </c>
      <c r="I51" s="110">
        <v>784</v>
      </c>
      <c r="J51" s="110">
        <v>784</v>
      </c>
      <c r="K51" s="108" t="str">
        <f>VLOOKUP(A51,'FRS geographical categories'!A:C,2,FALSE)</f>
        <v>Predominantly Urban</v>
      </c>
      <c r="L51" s="108" t="str">
        <f>VLOOKUP(A51,'FRS geographical categories'!A:C,3,FALSE)</f>
        <v>Non-metropolitan</v>
      </c>
    </row>
    <row r="52" spans="1:12" x14ac:dyDescent="0.2">
      <c r="A52" s="104" t="s">
        <v>42</v>
      </c>
      <c r="C52" s="110">
        <v>29147</v>
      </c>
      <c r="D52" s="110">
        <v>15152</v>
      </c>
      <c r="E52" s="110">
        <v>12706</v>
      </c>
      <c r="F52" s="110">
        <v>7063</v>
      </c>
      <c r="G52" s="110">
        <v>5407</v>
      </c>
      <c r="H52" s="110">
        <v>3361</v>
      </c>
      <c r="I52" s="110">
        <v>4035</v>
      </c>
      <c r="J52" s="110">
        <v>1037</v>
      </c>
      <c r="K52" s="108" t="str">
        <f>VLOOKUP(A52,'FRS geographical categories'!A:C,2,FALSE)</f>
        <v>Predominantly Urban</v>
      </c>
      <c r="L52" s="108" t="str">
        <f>VLOOKUP(A52,'FRS geographical categories'!A:C,3,FALSE)</f>
        <v>Metropolitan</v>
      </c>
    </row>
    <row r="53" spans="1:12" x14ac:dyDescent="0.2">
      <c r="A53" s="104" t="s">
        <v>43</v>
      </c>
      <c r="C53" s="110">
        <v>4158</v>
      </c>
      <c r="D53" s="110">
        <v>4158</v>
      </c>
      <c r="E53" s="110">
        <v>2607</v>
      </c>
      <c r="F53" s="110">
        <v>2607</v>
      </c>
      <c r="G53" s="110">
        <v>756</v>
      </c>
      <c r="H53" s="110">
        <v>756</v>
      </c>
      <c r="I53" s="110">
        <v>199</v>
      </c>
      <c r="J53" s="110">
        <v>199</v>
      </c>
      <c r="K53" s="108" t="str">
        <f>VLOOKUP(A53,'FRS geographical categories'!A:C,2,FALSE)</f>
        <v>Significantly Rural</v>
      </c>
      <c r="L53" s="108" t="str">
        <f>VLOOKUP(A53,'FRS geographical categories'!A:C,3,FALSE)</f>
        <v>Non-metropolitan</v>
      </c>
    </row>
    <row r="54" spans="1:12" x14ac:dyDescent="0.2">
      <c r="A54" s="104" t="s">
        <v>44</v>
      </c>
      <c r="C54" s="110">
        <v>26673</v>
      </c>
      <c r="D54" s="110">
        <v>100697</v>
      </c>
      <c r="E54" s="110">
        <v>14196</v>
      </c>
      <c r="F54" s="110">
        <v>53593</v>
      </c>
      <c r="G54" s="110">
        <v>15701</v>
      </c>
      <c r="H54" s="110">
        <v>59275</v>
      </c>
      <c r="I54" s="110">
        <v>0</v>
      </c>
      <c r="J54" s="110">
        <v>0</v>
      </c>
      <c r="K54" s="108" t="str">
        <f>VLOOKUP(A54,'FRS geographical categories'!A:C,2,FALSE)</f>
        <v>Predominantly Urban</v>
      </c>
      <c r="L54" s="108" t="str">
        <f>VLOOKUP(A54,'FRS geographical categories'!A:C,3,FALSE)</f>
        <v>Metropolitan</v>
      </c>
    </row>
    <row r="55" spans="1:12" x14ac:dyDescent="0.2">
      <c r="A55" s="104" t="s">
        <v>45</v>
      </c>
      <c r="C55" s="110">
        <v>6491</v>
      </c>
      <c r="D55" s="110">
        <v>9234</v>
      </c>
      <c r="E55" s="110">
        <v>5371</v>
      </c>
      <c r="F55" s="110">
        <v>6491</v>
      </c>
      <c r="G55" s="110">
        <v>1120</v>
      </c>
      <c r="H55" s="110">
        <v>2743</v>
      </c>
      <c r="I55" s="110">
        <v>0</v>
      </c>
      <c r="J55" s="110">
        <v>0</v>
      </c>
      <c r="K55" s="108" t="str">
        <f>VLOOKUP(A55,'FRS geographical categories'!A:C,2,FALSE)</f>
        <v>Significantly Rural</v>
      </c>
      <c r="L55" s="108" t="str">
        <f>VLOOKUP(A55,'FRS geographical categories'!A:C,3,FALSE)</f>
        <v>Non-metropolitan</v>
      </c>
    </row>
    <row r="56" spans="1:12" x14ac:dyDescent="0.2">
      <c r="A56" s="104" t="s">
        <v>46</v>
      </c>
      <c r="C56" s="110">
        <v>37527</v>
      </c>
      <c r="D56" s="110">
        <v>37179</v>
      </c>
      <c r="E56" s="110">
        <v>16812</v>
      </c>
      <c r="F56" s="110">
        <v>16996</v>
      </c>
      <c r="G56" s="110">
        <v>11089</v>
      </c>
      <c r="H56" s="110">
        <v>12265</v>
      </c>
      <c r="I56" s="110">
        <v>27</v>
      </c>
      <c r="J56" s="110">
        <v>33</v>
      </c>
      <c r="K56" s="108" t="str">
        <f>VLOOKUP(A56,'FRS geographical categories'!A:C,2,FALSE)</f>
        <v>Predominantly Urban</v>
      </c>
      <c r="L56" s="108" t="str">
        <f>VLOOKUP(A56,'FRS geographical categories'!A:C,3,FALSE)</f>
        <v>Metropolitan</v>
      </c>
    </row>
    <row r="57" spans="1:12" x14ac:dyDescent="0.2">
      <c r="C57" s="110"/>
      <c r="D57" s="110"/>
      <c r="E57" s="110"/>
      <c r="F57" s="110"/>
      <c r="G57" s="110"/>
      <c r="H57" s="110"/>
      <c r="I57" s="110"/>
      <c r="J57" s="110"/>
      <c r="K57" s="108"/>
      <c r="L57" s="108"/>
    </row>
    <row r="58" spans="1:12" x14ac:dyDescent="0.2">
      <c r="A58" s="104" t="s">
        <v>139</v>
      </c>
      <c r="C58" s="110"/>
      <c r="D58" s="110"/>
      <c r="E58" s="110"/>
      <c r="F58" s="110"/>
      <c r="G58" s="110"/>
      <c r="H58" s="110"/>
      <c r="I58" s="110"/>
      <c r="J58" s="110"/>
      <c r="K58" s="108"/>
      <c r="L58" s="108"/>
    </row>
    <row r="59" spans="1:12" ht="10.35" customHeight="1" x14ac:dyDescent="0.2">
      <c r="A59" s="104" t="s">
        <v>39</v>
      </c>
      <c r="D59" s="81">
        <v>37885.82431547231</v>
      </c>
      <c r="K59" s="108" t="str">
        <f>VLOOKUP(A59,'FRS geographical categories'!A:C,2,FALSE)</f>
        <v>Significantly Rural</v>
      </c>
      <c r="L59" s="108" t="str">
        <f>VLOOKUP(A59,'FRS geographical categories'!A:C,3,FALSE)</f>
        <v>Non-metropolitan</v>
      </c>
    </row>
    <row r="60" spans="1:12" ht="10.35" customHeight="1" x14ac:dyDescent="0.2">
      <c r="D60" s="81"/>
      <c r="K60" s="108"/>
      <c r="L60" s="108"/>
    </row>
    <row r="61" spans="1:12" ht="10.35" customHeight="1" x14ac:dyDescent="0.2">
      <c r="D61" s="81"/>
    </row>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row r="69" ht="10.35"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60548-60DB-4608-BA16-95CB2CBCB4CE}">
  <sheetPr codeName="Sheet8"/>
  <dimension ref="A1:L69"/>
  <sheetViews>
    <sheetView workbookViewId="0">
      <selection sqref="A1:J1"/>
    </sheetView>
  </sheetViews>
  <sheetFormatPr defaultColWidth="8.77734375" defaultRowHeight="10.199999999999999" x14ac:dyDescent="0.2"/>
  <cols>
    <col min="1" max="1" width="21" style="104" bestFit="1" customWidth="1"/>
    <col min="2" max="2" width="4.44140625" style="104" customWidth="1"/>
    <col min="3" max="10" width="8.77734375" style="104"/>
    <col min="11" max="11" width="18.44140625" style="104" bestFit="1" customWidth="1"/>
    <col min="12" max="12" width="15.77734375" style="104" bestFit="1" customWidth="1"/>
    <col min="13" max="16384" width="8.77734375" style="104"/>
  </cols>
  <sheetData>
    <row r="1" spans="1:12" ht="41.55" customHeight="1" x14ac:dyDescent="0.2">
      <c r="A1" s="178"/>
      <c r="B1" s="178"/>
      <c r="C1" s="178"/>
      <c r="D1" s="178"/>
      <c r="E1" s="178"/>
      <c r="F1" s="178"/>
      <c r="G1" s="178"/>
      <c r="H1" s="178"/>
      <c r="I1" s="178"/>
      <c r="J1" s="178"/>
    </row>
    <row r="2" spans="1:12" ht="36.6" customHeight="1" x14ac:dyDescent="0.2">
      <c r="A2" s="179"/>
      <c r="B2" s="112"/>
      <c r="C2" s="181" t="s">
        <v>58</v>
      </c>
      <c r="D2" s="182"/>
      <c r="E2" s="183" t="s">
        <v>63</v>
      </c>
      <c r="F2" s="183"/>
      <c r="G2" s="183" t="s">
        <v>64</v>
      </c>
      <c r="H2" s="183"/>
      <c r="I2" s="181" t="s">
        <v>59</v>
      </c>
      <c r="J2" s="182"/>
    </row>
    <row r="3" spans="1:12" ht="27.6" customHeight="1" x14ac:dyDescent="0.2">
      <c r="A3" s="180"/>
      <c r="B3" s="113"/>
      <c r="C3" s="105" t="s">
        <v>60</v>
      </c>
      <c r="D3" s="106" t="s">
        <v>61</v>
      </c>
      <c r="E3" s="105" t="s">
        <v>60</v>
      </c>
      <c r="F3" s="106" t="s">
        <v>61</v>
      </c>
      <c r="G3" s="105" t="s">
        <v>60</v>
      </c>
      <c r="H3" s="106" t="s">
        <v>61</v>
      </c>
      <c r="I3" s="105" t="s">
        <v>60</v>
      </c>
      <c r="J3" s="106" t="s">
        <v>61</v>
      </c>
    </row>
    <row r="6" spans="1:12" x14ac:dyDescent="0.2">
      <c r="A6" s="107" t="s">
        <v>0</v>
      </c>
      <c r="B6" s="107"/>
      <c r="C6" s="109">
        <f t="shared" ref="C6:J6" si="0">SUM(C12:C61)</f>
        <v>576077</v>
      </c>
      <c r="D6" s="109">
        <f t="shared" si="0"/>
        <v>994269.56722457125</v>
      </c>
      <c r="E6" s="109">
        <f t="shared" si="0"/>
        <v>316017</v>
      </c>
      <c r="F6" s="109">
        <f t="shared" si="0"/>
        <v>506216.28</v>
      </c>
      <c r="G6" s="109">
        <f t="shared" si="0"/>
        <v>146464</v>
      </c>
      <c r="H6" s="109">
        <f t="shared" si="0"/>
        <v>308836.21999999997</v>
      </c>
      <c r="I6" s="109">
        <f t="shared" si="0"/>
        <v>24284</v>
      </c>
      <c r="J6" s="109">
        <f t="shared" si="0"/>
        <v>23887.84</v>
      </c>
    </row>
    <row r="7" spans="1:12" x14ac:dyDescent="0.2">
      <c r="A7" s="107" t="s">
        <v>77</v>
      </c>
      <c r="B7" s="107"/>
      <c r="C7" s="109">
        <f t="shared" ref="C7:J8" si="1">SUMIF($L$12:$L$61,$A7,C$12:C$61)</f>
        <v>309999</v>
      </c>
      <c r="D7" s="109">
        <f t="shared" si="1"/>
        <v>468630.06722457119</v>
      </c>
      <c r="E7" s="109">
        <f t="shared" si="1"/>
        <v>196507</v>
      </c>
      <c r="F7" s="109">
        <f t="shared" si="1"/>
        <v>263512.28000000003</v>
      </c>
      <c r="G7" s="109">
        <f t="shared" si="1"/>
        <v>67905</v>
      </c>
      <c r="H7" s="109">
        <f t="shared" si="1"/>
        <v>114131.22</v>
      </c>
      <c r="I7" s="109">
        <f t="shared" si="1"/>
        <v>17350</v>
      </c>
      <c r="J7" s="109">
        <f t="shared" si="1"/>
        <v>22551.84</v>
      </c>
    </row>
    <row r="8" spans="1:12" x14ac:dyDescent="0.2">
      <c r="A8" s="107" t="s">
        <v>49</v>
      </c>
      <c r="B8" s="107"/>
      <c r="C8" s="109">
        <f t="shared" si="1"/>
        <v>266078</v>
      </c>
      <c r="D8" s="109">
        <f t="shared" si="1"/>
        <v>525639.5</v>
      </c>
      <c r="E8" s="109">
        <f t="shared" si="1"/>
        <v>119510</v>
      </c>
      <c r="F8" s="109">
        <f t="shared" si="1"/>
        <v>242704</v>
      </c>
      <c r="G8" s="109">
        <f t="shared" si="1"/>
        <v>78559</v>
      </c>
      <c r="H8" s="109">
        <f t="shared" si="1"/>
        <v>194705</v>
      </c>
      <c r="I8" s="109">
        <f t="shared" si="1"/>
        <v>6934</v>
      </c>
      <c r="J8" s="109">
        <f t="shared" si="1"/>
        <v>1336</v>
      </c>
    </row>
    <row r="9" spans="1:12" x14ac:dyDescent="0.2">
      <c r="A9" s="107" t="s">
        <v>114</v>
      </c>
      <c r="B9" s="107"/>
      <c r="C9" s="109">
        <f t="shared" ref="C9:J11" si="2">SUMIF($K$12:$K$61,$A9,C$12:C$61)</f>
        <v>329772</v>
      </c>
      <c r="D9" s="109">
        <f t="shared" si="2"/>
        <v>683716.5</v>
      </c>
      <c r="E9" s="109">
        <f t="shared" si="2"/>
        <v>160249</v>
      </c>
      <c r="F9" s="109">
        <f t="shared" si="2"/>
        <v>335328</v>
      </c>
      <c r="G9" s="109">
        <f t="shared" si="2"/>
        <v>99010</v>
      </c>
      <c r="H9" s="109">
        <f t="shared" si="2"/>
        <v>239325</v>
      </c>
      <c r="I9" s="109">
        <f t="shared" si="2"/>
        <v>15874</v>
      </c>
      <c r="J9" s="109">
        <f t="shared" si="2"/>
        <v>16891</v>
      </c>
    </row>
    <row r="10" spans="1:12" x14ac:dyDescent="0.2">
      <c r="A10" s="107" t="s">
        <v>115</v>
      </c>
      <c r="B10" s="107"/>
      <c r="C10" s="109">
        <f t="shared" si="2"/>
        <v>167847</v>
      </c>
      <c r="D10" s="109">
        <f t="shared" si="2"/>
        <v>220537.2672245712</v>
      </c>
      <c r="E10" s="109">
        <f t="shared" si="2"/>
        <v>113954</v>
      </c>
      <c r="F10" s="109">
        <f t="shared" si="2"/>
        <v>119284.13</v>
      </c>
      <c r="G10" s="109">
        <f t="shared" si="2"/>
        <v>31821</v>
      </c>
      <c r="H10" s="109">
        <f t="shared" si="2"/>
        <v>48660.39</v>
      </c>
      <c r="I10" s="109">
        <f t="shared" si="2"/>
        <v>5827</v>
      </c>
      <c r="J10" s="109">
        <f t="shared" si="2"/>
        <v>5903.99</v>
      </c>
    </row>
    <row r="11" spans="1:12" x14ac:dyDescent="0.2">
      <c r="A11" s="107" t="s">
        <v>116</v>
      </c>
      <c r="B11" s="107"/>
      <c r="C11" s="109">
        <f t="shared" si="2"/>
        <v>78458</v>
      </c>
      <c r="D11" s="109">
        <f t="shared" si="2"/>
        <v>90015.8</v>
      </c>
      <c r="E11" s="109">
        <f t="shared" si="2"/>
        <v>41814</v>
      </c>
      <c r="F11" s="109">
        <f t="shared" si="2"/>
        <v>51604.149999999994</v>
      </c>
      <c r="G11" s="109">
        <f t="shared" si="2"/>
        <v>15633</v>
      </c>
      <c r="H11" s="109">
        <f t="shared" si="2"/>
        <v>20850.830000000002</v>
      </c>
      <c r="I11" s="109">
        <f t="shared" si="2"/>
        <v>2583</v>
      </c>
      <c r="J11" s="109">
        <f t="shared" si="2"/>
        <v>1092.8499999999999</v>
      </c>
    </row>
    <row r="12" spans="1:12" x14ac:dyDescent="0.2">
      <c r="A12" s="104" t="s">
        <v>3</v>
      </c>
      <c r="C12" s="110">
        <v>8402</v>
      </c>
      <c r="D12" s="110">
        <v>9140</v>
      </c>
      <c r="E12" s="110">
        <v>5426</v>
      </c>
      <c r="F12" s="110">
        <v>6078</v>
      </c>
      <c r="G12" s="110">
        <v>3299</v>
      </c>
      <c r="H12" s="110">
        <v>3604</v>
      </c>
      <c r="I12" s="110">
        <v>1094</v>
      </c>
      <c r="J12" s="110">
        <v>549</v>
      </c>
      <c r="K12" s="108" t="str">
        <f>VLOOKUP(A12,'FRS geographical categories'!A:C,2,FALSE)</f>
        <v>Predominantly Urban</v>
      </c>
      <c r="L12" s="108" t="str">
        <f>VLOOKUP(A12,'FRS geographical categories'!A:C,3,FALSE)</f>
        <v>Non-metropolitan</v>
      </c>
    </row>
    <row r="13" spans="1:12" x14ac:dyDescent="0.2">
      <c r="A13" s="104" t="s">
        <v>4</v>
      </c>
      <c r="C13" s="110">
        <v>2101</v>
      </c>
      <c r="D13" s="110">
        <v>3089</v>
      </c>
      <c r="E13" s="110">
        <v>938</v>
      </c>
      <c r="F13" s="110">
        <v>1668</v>
      </c>
      <c r="G13" s="110" t="s">
        <v>62</v>
      </c>
      <c r="H13" s="110" t="s">
        <v>62</v>
      </c>
      <c r="I13" s="110">
        <v>738</v>
      </c>
      <c r="J13" s="110" t="s">
        <v>62</v>
      </c>
      <c r="K13" s="108" t="str">
        <f>VLOOKUP(A13,'FRS geographical categories'!A:C,2,FALSE)</f>
        <v>Significantly Rural</v>
      </c>
      <c r="L13" s="108" t="str">
        <f>VLOOKUP(A13,'FRS geographical categories'!A:C,3,FALSE)</f>
        <v>Non-metropolitan</v>
      </c>
    </row>
    <row r="14" spans="1:12" x14ac:dyDescent="0.2">
      <c r="A14" s="104" t="s">
        <v>5</v>
      </c>
      <c r="C14" s="110">
        <v>9203</v>
      </c>
      <c r="D14" s="110">
        <v>10580</v>
      </c>
      <c r="E14" s="110">
        <v>6556</v>
      </c>
      <c r="F14" s="110">
        <v>7512</v>
      </c>
      <c r="G14" s="110">
        <v>2117</v>
      </c>
      <c r="H14" s="110">
        <v>2433</v>
      </c>
      <c r="I14" s="110">
        <v>0</v>
      </c>
      <c r="J14" s="110">
        <v>0</v>
      </c>
      <c r="K14" s="108" t="str">
        <f>VLOOKUP(A14,'FRS geographical categories'!A:C,2,FALSE)</f>
        <v>Predominantly Urban</v>
      </c>
      <c r="L14" s="108" t="str">
        <f>VLOOKUP(A14,'FRS geographical categories'!A:C,3,FALSE)</f>
        <v>Non-metropolitan</v>
      </c>
    </row>
    <row r="15" spans="1:12" x14ac:dyDescent="0.2">
      <c r="A15" s="104" t="s">
        <v>6</v>
      </c>
      <c r="C15" s="110">
        <v>3171</v>
      </c>
      <c r="D15" s="110">
        <v>1754</v>
      </c>
      <c r="E15" s="110">
        <v>1104</v>
      </c>
      <c r="F15" s="110">
        <v>1010</v>
      </c>
      <c r="G15" s="110">
        <v>399</v>
      </c>
      <c r="H15" s="110">
        <v>234</v>
      </c>
      <c r="I15" s="110">
        <v>0</v>
      </c>
      <c r="J15" s="110">
        <v>0</v>
      </c>
      <c r="K15" s="108" t="str">
        <f>VLOOKUP(A15,'FRS geographical categories'!A:C,2,FALSE)</f>
        <v>Significantly Rural</v>
      </c>
      <c r="L15" s="108" t="str">
        <f>VLOOKUP(A15,'FRS geographical categories'!A:C,3,FALSE)</f>
        <v>Non-metropolitan</v>
      </c>
    </row>
    <row r="16" spans="1:12" x14ac:dyDescent="0.2">
      <c r="A16" s="104" t="s">
        <v>7</v>
      </c>
      <c r="C16" s="110">
        <v>4318</v>
      </c>
      <c r="D16" s="110">
        <v>4581.3</v>
      </c>
      <c r="E16" s="110">
        <v>3399</v>
      </c>
      <c r="F16" s="110">
        <v>3697</v>
      </c>
      <c r="G16" s="110">
        <v>2104</v>
      </c>
      <c r="H16" s="110">
        <v>2490</v>
      </c>
      <c r="I16" s="110">
        <v>952</v>
      </c>
      <c r="J16" s="110">
        <v>682</v>
      </c>
      <c r="K16" s="108" t="str">
        <f>VLOOKUP(A16,'FRS geographical categories'!A:C,2,FALSE)</f>
        <v>Predominantly Rural</v>
      </c>
      <c r="L16" s="108" t="str">
        <f>VLOOKUP(A16,'FRS geographical categories'!A:C,3,FALSE)</f>
        <v>Non-metropolitan</v>
      </c>
    </row>
    <row r="17" spans="1:12" x14ac:dyDescent="0.2">
      <c r="A17" s="104" t="s">
        <v>8</v>
      </c>
      <c r="C17" s="110">
        <v>42395</v>
      </c>
      <c r="D17" s="110">
        <v>21197.5</v>
      </c>
      <c r="E17" s="110">
        <v>36379</v>
      </c>
      <c r="F17" s="110">
        <v>18189.5</v>
      </c>
      <c r="G17" s="110">
        <v>1465</v>
      </c>
      <c r="H17" s="110">
        <v>732.5</v>
      </c>
      <c r="I17" s="110">
        <v>0</v>
      </c>
      <c r="J17" s="110">
        <v>0</v>
      </c>
      <c r="K17" s="108" t="str">
        <f>VLOOKUP(A17,'FRS geographical categories'!A:C,2,FALSE)</f>
        <v>Significantly Rural</v>
      </c>
      <c r="L17" s="108" t="str">
        <f>VLOOKUP(A17,'FRS geographical categories'!A:C,3,FALSE)</f>
        <v>Non-metropolitan</v>
      </c>
    </row>
    <row r="18" spans="1:12" x14ac:dyDescent="0.2">
      <c r="A18" s="104" t="s">
        <v>9</v>
      </c>
      <c r="C18" s="110">
        <v>18315</v>
      </c>
      <c r="D18" s="110">
        <v>76000</v>
      </c>
      <c r="E18" s="110">
        <v>10760</v>
      </c>
      <c r="F18" s="110">
        <v>40328</v>
      </c>
      <c r="G18" s="110">
        <v>3378</v>
      </c>
      <c r="H18" s="110">
        <v>6777</v>
      </c>
      <c r="I18" s="110">
        <v>3935</v>
      </c>
      <c r="J18" s="110">
        <v>7870</v>
      </c>
      <c r="K18" s="108" t="str">
        <f>VLOOKUP(A18,'FRS geographical categories'!A:C,2,FALSE)</f>
        <v>Predominantly Urban</v>
      </c>
      <c r="L18" s="108" t="str">
        <f>VLOOKUP(A18,'FRS geographical categories'!A:C,3,FALSE)</f>
        <v>Non-metropolitan</v>
      </c>
    </row>
    <row r="19" spans="1:12" x14ac:dyDescent="0.2">
      <c r="A19" s="104" t="s">
        <v>10</v>
      </c>
      <c r="C19" s="110">
        <v>5373</v>
      </c>
      <c r="D19" s="110">
        <v>4622.25</v>
      </c>
      <c r="E19" s="110">
        <v>1279</v>
      </c>
      <c r="F19" s="110">
        <v>1083.2</v>
      </c>
      <c r="G19" s="110">
        <v>3135</v>
      </c>
      <c r="H19" s="110">
        <v>2213.33</v>
      </c>
      <c r="I19" s="110">
        <v>792</v>
      </c>
      <c r="J19" s="110">
        <v>178.6</v>
      </c>
      <c r="K19" s="108" t="str">
        <f>VLOOKUP(A19,'FRS geographical categories'!A:C,2,FALSE)</f>
        <v>Predominantly Rural</v>
      </c>
      <c r="L19" s="108" t="str">
        <f>VLOOKUP(A19,'FRS geographical categories'!A:C,3,FALSE)</f>
        <v>Non-metropolitan</v>
      </c>
    </row>
    <row r="20" spans="1:12" x14ac:dyDescent="0.2">
      <c r="A20" s="104" t="s">
        <v>11</v>
      </c>
      <c r="C20" s="110">
        <v>10070</v>
      </c>
      <c r="D20" s="110">
        <v>20140</v>
      </c>
      <c r="E20" s="110">
        <v>5244</v>
      </c>
      <c r="F20" s="110">
        <v>10488</v>
      </c>
      <c r="G20" s="110">
        <v>3754</v>
      </c>
      <c r="H20" s="110">
        <v>7508</v>
      </c>
      <c r="I20" s="110">
        <v>10</v>
      </c>
      <c r="J20" s="110">
        <v>20</v>
      </c>
      <c r="K20" s="108" t="str">
        <f>VLOOKUP(A20,'FRS geographical categories'!A:C,2,FALSE)</f>
        <v>Predominantly Rural</v>
      </c>
      <c r="L20" s="108" t="str">
        <f>VLOOKUP(A20,'FRS geographical categories'!A:C,3,FALSE)</f>
        <v>Non-metropolitan</v>
      </c>
    </row>
    <row r="21" spans="1:12" x14ac:dyDescent="0.2">
      <c r="A21" s="81" t="s">
        <v>12</v>
      </c>
      <c r="C21" s="110">
        <v>9531</v>
      </c>
      <c r="D21" s="110">
        <v>15371.75</v>
      </c>
      <c r="E21" s="110">
        <v>7384</v>
      </c>
      <c r="F21" s="110">
        <v>11609.63</v>
      </c>
      <c r="G21" s="110">
        <v>3352</v>
      </c>
      <c r="H21" s="110">
        <v>5872.89</v>
      </c>
      <c r="I21" s="110">
        <v>3881</v>
      </c>
      <c r="J21" s="110">
        <v>4836.99</v>
      </c>
      <c r="K21" s="108" t="str">
        <f>VLOOKUP(A21,'FRS geographical categories'!A:C,2,FALSE)</f>
        <v>Significantly Rural</v>
      </c>
      <c r="L21" s="108" t="str">
        <f>VLOOKUP(A21,'FRS geographical categories'!A:C,3,FALSE)</f>
        <v>Non-metropolitan</v>
      </c>
    </row>
    <row r="22" spans="1:12" x14ac:dyDescent="0.2">
      <c r="A22" s="81" t="s">
        <v>13</v>
      </c>
      <c r="C22" s="110">
        <v>10864</v>
      </c>
      <c r="D22" s="110">
        <v>13164</v>
      </c>
      <c r="E22" s="110">
        <v>7103</v>
      </c>
      <c r="F22" s="110">
        <v>9024</v>
      </c>
      <c r="G22" s="110">
        <v>2217</v>
      </c>
      <c r="H22" s="110">
        <v>2806</v>
      </c>
      <c r="I22" s="110">
        <v>0</v>
      </c>
      <c r="J22" s="110">
        <v>0</v>
      </c>
      <c r="K22" s="108" t="str">
        <f>VLOOKUP(A22,'FRS geographical categories'!A:C,2,FALSE)</f>
        <v>Predominantly Rural</v>
      </c>
      <c r="L22" s="108" t="str">
        <f>VLOOKUP(A22,'FRS geographical categories'!A:C,3,FALSE)</f>
        <v>Non-metropolitan</v>
      </c>
    </row>
    <row r="23" spans="1:12" x14ac:dyDescent="0.2">
      <c r="A23" s="81" t="s">
        <v>74</v>
      </c>
      <c r="C23" s="110">
        <v>11783</v>
      </c>
      <c r="D23" s="110">
        <v>15441</v>
      </c>
      <c r="E23" s="110">
        <v>7779</v>
      </c>
      <c r="F23" s="110">
        <v>10455</v>
      </c>
      <c r="G23" s="110" t="s">
        <v>62</v>
      </c>
      <c r="H23" s="110" t="s">
        <v>62</v>
      </c>
      <c r="I23" s="110">
        <v>366</v>
      </c>
      <c r="J23" s="110">
        <v>183</v>
      </c>
      <c r="K23" s="108" t="str">
        <f>VLOOKUP(A23,'FRS geographical categories'!A:C,2,FALSE)</f>
        <v>Significantly Rural</v>
      </c>
      <c r="L23" s="108" t="str">
        <f>VLOOKUP(A23,'FRS geographical categories'!A:C,3,FALSE)</f>
        <v>Non-metropolitan</v>
      </c>
    </row>
    <row r="24" spans="1:12" x14ac:dyDescent="0.2">
      <c r="A24" s="104" t="s">
        <v>14</v>
      </c>
      <c r="C24" s="110">
        <v>19545</v>
      </c>
      <c r="D24" s="110">
        <v>14614</v>
      </c>
      <c r="E24" s="110">
        <v>7072</v>
      </c>
      <c r="F24" s="110">
        <v>5621</v>
      </c>
      <c r="G24" s="110">
        <v>1196</v>
      </c>
      <c r="H24" s="110">
        <v>1288</v>
      </c>
      <c r="I24" s="110">
        <v>0</v>
      </c>
      <c r="J24" s="110">
        <v>0</v>
      </c>
      <c r="K24" s="108" t="str">
        <f>VLOOKUP(A24,'FRS geographical categories'!A:C,2,FALSE)</f>
        <v>Predominantly Rural</v>
      </c>
      <c r="L24" s="108" t="str">
        <f>VLOOKUP(A24,'FRS geographical categories'!A:C,3,FALSE)</f>
        <v>Non-metropolitan</v>
      </c>
    </row>
    <row r="25" spans="1:12" x14ac:dyDescent="0.2">
      <c r="A25" s="104" t="s">
        <v>15</v>
      </c>
      <c r="C25" s="110">
        <v>11019</v>
      </c>
      <c r="D25" s="110">
        <v>18750</v>
      </c>
      <c r="E25" s="110">
        <v>6794</v>
      </c>
      <c r="F25" s="110">
        <v>10865</v>
      </c>
      <c r="G25" s="110">
        <v>5441</v>
      </c>
      <c r="H25" s="110">
        <v>8577</v>
      </c>
      <c r="I25" s="110">
        <v>0</v>
      </c>
      <c r="J25" s="110">
        <v>0</v>
      </c>
      <c r="K25" s="108" t="str">
        <f>VLOOKUP(A25,'FRS geographical categories'!A:C,2,FALSE)</f>
        <v>Significantly Rural</v>
      </c>
      <c r="L25" s="108" t="str">
        <f>VLOOKUP(A25,'FRS geographical categories'!A:C,3,FALSE)</f>
        <v>Non-metropolitan</v>
      </c>
    </row>
    <row r="26" spans="1:12" x14ac:dyDescent="0.2">
      <c r="A26" s="104" t="s">
        <v>16</v>
      </c>
      <c r="C26" s="110">
        <v>8513</v>
      </c>
      <c r="D26" s="110">
        <v>27589</v>
      </c>
      <c r="E26" s="110">
        <v>5003</v>
      </c>
      <c r="F26" s="110">
        <v>16277</v>
      </c>
      <c r="G26" s="110">
        <v>2435</v>
      </c>
      <c r="H26" s="110">
        <v>7725</v>
      </c>
      <c r="I26" s="110">
        <v>0</v>
      </c>
      <c r="J26" s="110">
        <v>0</v>
      </c>
      <c r="K26" s="108" t="str">
        <f>VLOOKUP(A26,'FRS geographical categories'!A:C,2,FALSE)</f>
        <v>Significantly Rural</v>
      </c>
      <c r="L26" s="108" t="str">
        <f>VLOOKUP(A26,'FRS geographical categories'!A:C,3,FALSE)</f>
        <v>Non-metropolitan</v>
      </c>
    </row>
    <row r="27" spans="1:12" x14ac:dyDescent="0.2">
      <c r="A27" s="104" t="s">
        <v>17</v>
      </c>
      <c r="C27" s="110">
        <v>7649</v>
      </c>
      <c r="D27" s="110">
        <v>13692</v>
      </c>
      <c r="E27" s="110">
        <v>4151</v>
      </c>
      <c r="F27" s="110">
        <v>7430</v>
      </c>
      <c r="G27" s="110">
        <v>2860</v>
      </c>
      <c r="H27" s="110">
        <v>5119</v>
      </c>
      <c r="I27" s="110">
        <v>0</v>
      </c>
      <c r="J27" s="110">
        <v>0</v>
      </c>
      <c r="K27" s="108" t="str">
        <f>VLOOKUP(A27,'FRS geographical categories'!A:C,2,FALSE)</f>
        <v>Significantly Rural</v>
      </c>
      <c r="L27" s="108" t="str">
        <f>VLOOKUP(A27,'FRS geographical categories'!A:C,3,FALSE)</f>
        <v>Non-metropolitan</v>
      </c>
    </row>
    <row r="28" spans="1:12" x14ac:dyDescent="0.2">
      <c r="A28" s="104" t="s">
        <v>18</v>
      </c>
      <c r="C28" s="110">
        <v>83331</v>
      </c>
      <c r="D28" s="110">
        <v>153044</v>
      </c>
      <c r="E28" s="110">
        <v>29731</v>
      </c>
      <c r="F28" s="110">
        <v>57024</v>
      </c>
      <c r="G28" s="110">
        <v>30672</v>
      </c>
      <c r="H28" s="110">
        <v>60867</v>
      </c>
      <c r="I28" s="110">
        <v>1471</v>
      </c>
      <c r="J28" s="110" t="s">
        <v>62</v>
      </c>
      <c r="K28" s="108" t="str">
        <f>VLOOKUP(A28,'FRS geographical categories'!A:C,2,FALSE)</f>
        <v>Predominantly Urban</v>
      </c>
      <c r="L28" s="108" t="str">
        <f>VLOOKUP(A28,'FRS geographical categories'!A:C,3,FALSE)</f>
        <v>Metropolitan</v>
      </c>
    </row>
    <row r="29" spans="1:12" x14ac:dyDescent="0.2">
      <c r="A29" s="104" t="s">
        <v>19</v>
      </c>
      <c r="C29" s="110">
        <v>33418</v>
      </c>
      <c r="D29" s="110">
        <v>39659.5</v>
      </c>
      <c r="E29" s="110">
        <v>11782</v>
      </c>
      <c r="F29" s="110">
        <v>15058</v>
      </c>
      <c r="G29" s="110">
        <v>2660</v>
      </c>
      <c r="H29" s="110">
        <v>7833</v>
      </c>
      <c r="I29" s="110">
        <v>0</v>
      </c>
      <c r="J29" s="110">
        <v>0</v>
      </c>
      <c r="K29" s="108" t="str">
        <f>VLOOKUP(A29,'FRS geographical categories'!A:C,2,FALSE)</f>
        <v>Predominantly Urban</v>
      </c>
      <c r="L29" s="108" t="str">
        <f>VLOOKUP(A29,'FRS geographical categories'!A:C,3,FALSE)</f>
        <v>Metropolitan</v>
      </c>
    </row>
    <row r="30" spans="1:12" x14ac:dyDescent="0.2">
      <c r="A30" s="104" t="s">
        <v>20</v>
      </c>
      <c r="C30" s="110">
        <v>5030</v>
      </c>
      <c r="D30" s="110">
        <v>8593</v>
      </c>
      <c r="E30" s="110">
        <v>3305</v>
      </c>
      <c r="F30" s="110">
        <v>6917</v>
      </c>
      <c r="G30" s="110">
        <v>17</v>
      </c>
      <c r="H30" s="110">
        <v>60</v>
      </c>
      <c r="I30" s="110">
        <v>133</v>
      </c>
      <c r="J30" s="110">
        <v>68</v>
      </c>
      <c r="K30" s="108" t="str">
        <f>VLOOKUP(A30,'FRS geographical categories'!A:C,2,FALSE)</f>
        <v>Predominantly Urban</v>
      </c>
      <c r="L30" s="108" t="str">
        <f>VLOOKUP(A30,'FRS geographical categories'!A:C,3,FALSE)</f>
        <v>Non-metropolitan</v>
      </c>
    </row>
    <row r="31" spans="1:12" x14ac:dyDescent="0.2">
      <c r="A31" s="104" t="s">
        <v>21</v>
      </c>
      <c r="C31" s="110">
        <v>4113</v>
      </c>
      <c r="D31" s="110">
        <v>4485</v>
      </c>
      <c r="E31" s="110">
        <v>2546</v>
      </c>
      <c r="F31" s="110">
        <v>2885</v>
      </c>
      <c r="G31" s="110">
        <v>1260</v>
      </c>
      <c r="H31" s="110">
        <v>1537</v>
      </c>
      <c r="I31" s="110">
        <v>0</v>
      </c>
      <c r="J31" s="110">
        <v>0</v>
      </c>
      <c r="K31" s="108" t="str">
        <f>VLOOKUP(A31,'FRS geographical categories'!A:C,2,FALSE)</f>
        <v>Significantly Rural</v>
      </c>
      <c r="L31" s="108" t="str">
        <f>VLOOKUP(A31,'FRS geographical categories'!A:C,3,FALSE)</f>
        <v>Non-metropolitan</v>
      </c>
    </row>
    <row r="32" spans="1:12" x14ac:dyDescent="0.2">
      <c r="A32" s="104" t="s">
        <v>22</v>
      </c>
      <c r="C32" s="110">
        <v>3512</v>
      </c>
      <c r="D32" s="110">
        <v>2613</v>
      </c>
      <c r="E32" s="110">
        <v>1831</v>
      </c>
      <c r="F32" s="110">
        <v>1430</v>
      </c>
      <c r="G32" s="110">
        <v>444</v>
      </c>
      <c r="H32" s="110">
        <v>384</v>
      </c>
      <c r="I32" s="110">
        <v>2320</v>
      </c>
      <c r="J32" s="110">
        <v>2589</v>
      </c>
      <c r="K32" s="108" t="str">
        <f>VLOOKUP(A32,'FRS geographical categories'!A:C,2,FALSE)</f>
        <v>Predominantly Urban</v>
      </c>
      <c r="L32" s="108" t="str">
        <f>VLOOKUP(A32,'FRS geographical categories'!A:C,3,FALSE)</f>
        <v>Non-metropolitan</v>
      </c>
    </row>
    <row r="33" spans="1:12" x14ac:dyDescent="0.2">
      <c r="A33" s="104" t="s">
        <v>23</v>
      </c>
      <c r="C33" s="110">
        <v>5376</v>
      </c>
      <c r="D33" s="110">
        <v>3982</v>
      </c>
      <c r="E33" s="110">
        <v>2457</v>
      </c>
      <c r="F33" s="110">
        <v>1744</v>
      </c>
      <c r="G33" s="110">
        <v>1035</v>
      </c>
      <c r="H33" s="110">
        <v>817</v>
      </c>
      <c r="I33" s="110">
        <v>0</v>
      </c>
      <c r="J33" s="110">
        <v>0</v>
      </c>
      <c r="K33" s="108" t="str">
        <f>VLOOKUP(A33,'FRS geographical categories'!A:C,2,FALSE)</f>
        <v>Significantly Rural</v>
      </c>
      <c r="L33" s="108" t="str">
        <f>VLOOKUP(A33,'FRS geographical categories'!A:C,3,FALSE)</f>
        <v>Non-metropolitan</v>
      </c>
    </row>
    <row r="34" spans="1:12" x14ac:dyDescent="0.2">
      <c r="A34" s="104" t="s">
        <v>48</v>
      </c>
      <c r="C34" s="110">
        <v>647</v>
      </c>
      <c r="D34" s="110">
        <v>467</v>
      </c>
      <c r="E34" s="110">
        <v>480</v>
      </c>
      <c r="F34" s="110">
        <v>356</v>
      </c>
      <c r="G34" s="110" t="s">
        <v>62</v>
      </c>
      <c r="H34" s="110" t="s">
        <v>62</v>
      </c>
      <c r="I34" s="110">
        <v>230</v>
      </c>
      <c r="J34" s="110">
        <v>163</v>
      </c>
      <c r="K34" s="108" t="str">
        <f>VLOOKUP(A34,'FRS geographical categories'!A:C,2,FALSE)</f>
        <v>Predominantly Rural</v>
      </c>
      <c r="L34" s="108" t="str">
        <f>VLOOKUP(A34,'FRS geographical categories'!A:C,3,FALSE)</f>
        <v>Non-metropolitan</v>
      </c>
    </row>
    <row r="35" spans="1:12" x14ac:dyDescent="0.2">
      <c r="A35" s="104" t="s">
        <v>25</v>
      </c>
      <c r="C35" s="110">
        <v>54</v>
      </c>
      <c r="D35" s="110">
        <v>15</v>
      </c>
      <c r="E35" s="110">
        <v>21</v>
      </c>
      <c r="F35" s="110">
        <v>8</v>
      </c>
      <c r="G35" s="110">
        <v>1</v>
      </c>
      <c r="H35" s="110">
        <v>0.5</v>
      </c>
      <c r="I35" s="110">
        <v>0</v>
      </c>
      <c r="J35" s="110">
        <v>0</v>
      </c>
      <c r="K35" s="108" t="str">
        <f>VLOOKUP(A35,'FRS geographical categories'!A:C,2,FALSE)</f>
        <v>Predominantly Rural</v>
      </c>
      <c r="L35" s="108" t="str">
        <f>VLOOKUP(A35,'FRS geographical categories'!A:C,3,FALSE)</f>
        <v>Non-metropolitan</v>
      </c>
    </row>
    <row r="36" spans="1:12" x14ac:dyDescent="0.2">
      <c r="A36" s="104" t="s">
        <v>26</v>
      </c>
      <c r="C36" s="110">
        <v>15933</v>
      </c>
      <c r="D36" s="110">
        <v>23899.5</v>
      </c>
      <c r="E36" s="110">
        <v>10050</v>
      </c>
      <c r="F36" s="110">
        <v>15075</v>
      </c>
      <c r="G36" s="110">
        <v>6510</v>
      </c>
      <c r="H36" s="110">
        <v>9765</v>
      </c>
      <c r="I36" s="110">
        <v>0</v>
      </c>
      <c r="J36" s="110">
        <v>0</v>
      </c>
      <c r="K36" s="108" t="str">
        <f>VLOOKUP(A36,'FRS geographical categories'!A:C,2,FALSE)</f>
        <v>Significantly Rural</v>
      </c>
      <c r="L36" s="108" t="str">
        <f>VLOOKUP(A36,'FRS geographical categories'!A:C,3,FALSE)</f>
        <v>Non-metropolitan</v>
      </c>
    </row>
    <row r="37" spans="1:12" x14ac:dyDescent="0.2">
      <c r="A37" s="104" t="s">
        <v>27</v>
      </c>
      <c r="C37" s="110">
        <v>11954</v>
      </c>
      <c r="D37" s="110">
        <v>21959</v>
      </c>
      <c r="E37" s="110">
        <v>8507</v>
      </c>
      <c r="F37" s="110">
        <v>14462</v>
      </c>
      <c r="G37" s="110">
        <v>8131</v>
      </c>
      <c r="H37" s="110">
        <v>13823</v>
      </c>
      <c r="I37" s="110">
        <v>0</v>
      </c>
      <c r="J37" s="110">
        <v>0</v>
      </c>
      <c r="K37" s="108" t="str">
        <f>VLOOKUP(A37,'FRS geographical categories'!A:C,2,FALSE)</f>
        <v>Predominantly Urban</v>
      </c>
      <c r="L37" s="108" t="str">
        <f>VLOOKUP(A37,'FRS geographical categories'!A:C,3,FALSE)</f>
        <v>Non-metropolitan</v>
      </c>
    </row>
    <row r="38" spans="1:12" x14ac:dyDescent="0.2">
      <c r="A38" s="104" t="s">
        <v>28</v>
      </c>
      <c r="C38" s="110">
        <v>7926</v>
      </c>
      <c r="D38" s="110">
        <v>13871</v>
      </c>
      <c r="E38" s="110">
        <v>4743</v>
      </c>
      <c r="F38" s="110">
        <v>8300</v>
      </c>
      <c r="G38" s="110">
        <v>2299</v>
      </c>
      <c r="H38" s="110">
        <v>4023</v>
      </c>
      <c r="I38" s="110">
        <v>480</v>
      </c>
      <c r="J38" s="110">
        <v>840</v>
      </c>
      <c r="K38" s="108" t="str">
        <f>VLOOKUP(A38,'FRS geographical categories'!A:C,2,FALSE)</f>
        <v>Significantly Rural</v>
      </c>
      <c r="L38" s="108" t="str">
        <f>VLOOKUP(A38,'FRS geographical categories'!A:C,3,FALSE)</f>
        <v>Non-metropolitan</v>
      </c>
    </row>
    <row r="39" spans="1:12" x14ac:dyDescent="0.2">
      <c r="A39" s="104" t="s">
        <v>29</v>
      </c>
      <c r="C39" s="110">
        <v>5274</v>
      </c>
      <c r="D39" s="110">
        <v>4490</v>
      </c>
      <c r="E39" s="110">
        <v>2044</v>
      </c>
      <c r="F39" s="110">
        <v>2594</v>
      </c>
      <c r="G39" s="110">
        <v>2031</v>
      </c>
      <c r="H39" s="110">
        <v>2803</v>
      </c>
      <c r="I39" s="110">
        <v>15</v>
      </c>
      <c r="J39" s="110">
        <v>23</v>
      </c>
      <c r="K39" s="108" t="str">
        <f>VLOOKUP(A39,'FRS geographical categories'!A:C,2,FALSE)</f>
        <v>Predominantly Rural</v>
      </c>
      <c r="L39" s="108" t="str">
        <f>VLOOKUP(A39,'FRS geographical categories'!A:C,3,FALSE)</f>
        <v>Non-metropolitan</v>
      </c>
    </row>
    <row r="40" spans="1:12" x14ac:dyDescent="0.2">
      <c r="A40" s="104" t="s">
        <v>30</v>
      </c>
      <c r="C40" s="110">
        <v>52564</v>
      </c>
      <c r="D40" s="110">
        <v>83577</v>
      </c>
      <c r="E40" s="110">
        <v>30932</v>
      </c>
      <c r="F40" s="110">
        <v>49182</v>
      </c>
      <c r="G40" s="110">
        <v>8745</v>
      </c>
      <c r="H40" s="110">
        <v>13905</v>
      </c>
      <c r="I40" s="110">
        <v>0</v>
      </c>
      <c r="J40" s="110">
        <v>0</v>
      </c>
      <c r="K40" s="108" t="str">
        <f>VLOOKUP(A40,'FRS geographical categories'!A:C,2,FALSE)</f>
        <v>Predominantly Urban</v>
      </c>
      <c r="L40" s="108" t="str">
        <f>VLOOKUP(A40,'FRS geographical categories'!A:C,3,FALSE)</f>
        <v>Metropolitan</v>
      </c>
    </row>
    <row r="41" spans="1:12" x14ac:dyDescent="0.2">
      <c r="A41" s="104" t="s">
        <v>31</v>
      </c>
      <c r="C41" s="110">
        <v>3751</v>
      </c>
      <c r="D41" s="110">
        <v>3620.25</v>
      </c>
      <c r="E41" s="110">
        <v>2047</v>
      </c>
      <c r="F41" s="110">
        <v>1965</v>
      </c>
      <c r="G41" s="110" t="s">
        <v>62</v>
      </c>
      <c r="H41" s="110" t="s">
        <v>62</v>
      </c>
      <c r="I41" s="110">
        <v>13</v>
      </c>
      <c r="J41" s="110">
        <v>7.25</v>
      </c>
      <c r="K41" s="108" t="str">
        <f>VLOOKUP(A41,'FRS geographical categories'!A:C,2,FALSE)</f>
        <v>Predominantly Rural</v>
      </c>
      <c r="L41" s="108" t="str">
        <f>VLOOKUP(A41,'FRS geographical categories'!A:C,3,FALSE)</f>
        <v>Non-metropolitan</v>
      </c>
    </row>
    <row r="42" spans="1:12" x14ac:dyDescent="0.2">
      <c r="A42" s="104" t="s">
        <v>32</v>
      </c>
      <c r="C42" s="110">
        <v>2956</v>
      </c>
      <c r="D42" s="110">
        <v>4482</v>
      </c>
      <c r="E42" s="110">
        <v>1905</v>
      </c>
      <c r="F42" s="110">
        <v>2868</v>
      </c>
      <c r="G42" s="110">
        <v>0</v>
      </c>
      <c r="H42" s="110">
        <v>0</v>
      </c>
      <c r="I42" s="110">
        <v>8</v>
      </c>
      <c r="J42" s="110">
        <v>4</v>
      </c>
      <c r="K42" s="108" t="str">
        <f>VLOOKUP(A42,'FRS geographical categories'!A:C,2,FALSE)</f>
        <v>Predominantly Rural</v>
      </c>
      <c r="L42" s="108" t="str">
        <f>VLOOKUP(A42,'FRS geographical categories'!A:C,3,FALSE)</f>
        <v>Non-metropolitan</v>
      </c>
    </row>
    <row r="43" spans="1:12" x14ac:dyDescent="0.2">
      <c r="A43" s="104" t="s">
        <v>33</v>
      </c>
      <c r="C43" s="110">
        <v>2445</v>
      </c>
      <c r="D43" s="110">
        <v>1698</v>
      </c>
      <c r="E43" s="110">
        <v>1390</v>
      </c>
      <c r="F43" s="110">
        <v>926</v>
      </c>
      <c r="G43" s="110">
        <v>412</v>
      </c>
      <c r="H43" s="110">
        <v>274</v>
      </c>
      <c r="I43" s="110">
        <v>44</v>
      </c>
      <c r="J43" s="110">
        <v>44</v>
      </c>
      <c r="K43" s="108" t="str">
        <f>VLOOKUP(A43,'FRS geographical categories'!A:C,2,FALSE)</f>
        <v>Significantly Rural</v>
      </c>
      <c r="L43" s="108" t="str">
        <f>VLOOKUP(A43,'FRS geographical categories'!A:C,3,FALSE)</f>
        <v>Non-metropolitan</v>
      </c>
    </row>
    <row r="44" spans="1:12" x14ac:dyDescent="0.2">
      <c r="A44" s="104" t="s">
        <v>34</v>
      </c>
      <c r="C44" s="110">
        <v>7839</v>
      </c>
      <c r="D44" s="110">
        <v>7646.5</v>
      </c>
      <c r="E44" s="110">
        <v>4991</v>
      </c>
      <c r="F44" s="110">
        <v>4878</v>
      </c>
      <c r="G44" s="110">
        <v>1030</v>
      </c>
      <c r="H44" s="110">
        <v>1319.25</v>
      </c>
      <c r="I44" s="110">
        <v>4</v>
      </c>
      <c r="J44" s="110">
        <v>2</v>
      </c>
      <c r="K44" s="108" t="str">
        <f>VLOOKUP(A44,'FRS geographical categories'!A:C,2,FALSE)</f>
        <v>Predominantly Rural</v>
      </c>
      <c r="L44" s="108" t="str">
        <f>VLOOKUP(A44,'FRS geographical categories'!A:C,3,FALSE)</f>
        <v>Non-metropolitan</v>
      </c>
    </row>
    <row r="45" spans="1:12" x14ac:dyDescent="0.2">
      <c r="A45" s="104" t="s">
        <v>35</v>
      </c>
      <c r="C45" s="110">
        <v>3757</v>
      </c>
      <c r="D45" s="110">
        <v>11344</v>
      </c>
      <c r="E45" s="110">
        <v>1879</v>
      </c>
      <c r="F45" s="110">
        <v>5715</v>
      </c>
      <c r="G45" s="110">
        <v>1692</v>
      </c>
      <c r="H45" s="110">
        <v>5696</v>
      </c>
      <c r="I45" s="110">
        <v>571</v>
      </c>
      <c r="J45" s="110">
        <v>879</v>
      </c>
      <c r="K45" s="108" t="str">
        <f>VLOOKUP(A45,'FRS geographical categories'!A:C,2,FALSE)</f>
        <v>Predominantly Urban</v>
      </c>
      <c r="L45" s="108" t="str">
        <f>VLOOKUP(A45,'FRS geographical categories'!A:C,3,FALSE)</f>
        <v>Non-metropolitan</v>
      </c>
    </row>
    <row r="46" spans="1:12" x14ac:dyDescent="0.2">
      <c r="A46" s="104" t="s">
        <v>36</v>
      </c>
      <c r="C46" s="110">
        <v>2252</v>
      </c>
      <c r="D46" s="110">
        <v>5593.5</v>
      </c>
      <c r="E46" s="110">
        <v>1916</v>
      </c>
      <c r="F46" s="110">
        <v>3723</v>
      </c>
      <c r="G46" s="110">
        <v>6</v>
      </c>
      <c r="H46" s="110">
        <v>12.75</v>
      </c>
      <c r="I46" s="110">
        <v>13</v>
      </c>
      <c r="J46" s="110">
        <v>13</v>
      </c>
      <c r="K46" s="108" t="str">
        <f>VLOOKUP(A46,'FRS geographical categories'!A:C,2,FALSE)</f>
        <v>Predominantly Rural</v>
      </c>
      <c r="L46" s="108" t="str">
        <f>VLOOKUP(A46,'FRS geographical categories'!A:C,3,FALSE)</f>
        <v>Non-metropolitan</v>
      </c>
    </row>
    <row r="47" spans="1:12" x14ac:dyDescent="0.2">
      <c r="A47" s="104" t="s">
        <v>37</v>
      </c>
      <c r="C47" s="110">
        <v>4205</v>
      </c>
      <c r="D47" s="110">
        <v>3889</v>
      </c>
      <c r="E47" s="110">
        <v>3504</v>
      </c>
      <c r="F47" s="110">
        <v>3419.95</v>
      </c>
      <c r="G47" s="110" t="s">
        <v>62</v>
      </c>
      <c r="H47" s="110" t="s">
        <v>62</v>
      </c>
      <c r="I47" s="110">
        <v>546</v>
      </c>
      <c r="J47" s="110" t="s">
        <v>62</v>
      </c>
      <c r="K47" s="108" t="str">
        <f>VLOOKUP(A47,'FRS geographical categories'!A:C,2,FALSE)</f>
        <v>Predominantly Rural</v>
      </c>
      <c r="L47" s="108" t="str">
        <f>VLOOKUP(A47,'FRS geographical categories'!A:C,3,FALSE)</f>
        <v>Non-metropolitan</v>
      </c>
    </row>
    <row r="48" spans="1:12" x14ac:dyDescent="0.2">
      <c r="A48" s="104" t="s">
        <v>38</v>
      </c>
      <c r="C48" s="110">
        <v>20578</v>
      </c>
      <c r="D48" s="110">
        <v>27368</v>
      </c>
      <c r="E48" s="110">
        <v>7036</v>
      </c>
      <c r="F48" s="110">
        <v>9358</v>
      </c>
      <c r="G48" s="110">
        <v>4019</v>
      </c>
      <c r="H48" s="110">
        <v>5345</v>
      </c>
      <c r="I48" s="110">
        <v>478</v>
      </c>
      <c r="J48" s="110">
        <v>315</v>
      </c>
      <c r="K48" s="108" t="str">
        <f>VLOOKUP(A48,'FRS geographical categories'!A:C,2,FALSE)</f>
        <v>Predominantly Urban</v>
      </c>
      <c r="L48" s="108" t="str">
        <f>VLOOKUP(A48,'FRS geographical categories'!A:C,3,FALSE)</f>
        <v>Metropolitan</v>
      </c>
    </row>
    <row r="49" spans="1:12" x14ac:dyDescent="0.2">
      <c r="A49" s="104" t="s">
        <v>39</v>
      </c>
      <c r="C49" s="110">
        <v>25206</v>
      </c>
      <c r="D49" s="110" t="s">
        <v>62</v>
      </c>
      <c r="E49" s="110">
        <v>15199</v>
      </c>
      <c r="F49" s="110" t="s">
        <v>62</v>
      </c>
      <c r="G49" s="110">
        <v>2099</v>
      </c>
      <c r="H49" s="110" t="s">
        <v>62</v>
      </c>
      <c r="I49" s="110">
        <v>318</v>
      </c>
      <c r="J49" s="110" t="s">
        <v>62</v>
      </c>
      <c r="K49" s="108" t="str">
        <f>VLOOKUP(A49,'FRS geographical categories'!A:C,2,FALSE)</f>
        <v>Significantly Rural</v>
      </c>
      <c r="L49" s="108" t="str">
        <f>VLOOKUP(A49,'FRS geographical categories'!A:C,3,FALSE)</f>
        <v>Non-metropolitan</v>
      </c>
    </row>
    <row r="50" spans="1:12" x14ac:dyDescent="0.2">
      <c r="A50" s="104" t="s">
        <v>40</v>
      </c>
      <c r="C50" s="110">
        <v>1310</v>
      </c>
      <c r="D50" s="110">
        <v>2691</v>
      </c>
      <c r="E50" s="110">
        <v>809</v>
      </c>
      <c r="F50" s="110">
        <v>1879</v>
      </c>
      <c r="G50" s="110">
        <v>159</v>
      </c>
      <c r="H50" s="110">
        <v>410</v>
      </c>
      <c r="I50" s="110">
        <v>0</v>
      </c>
      <c r="J50" s="110">
        <v>0</v>
      </c>
      <c r="K50" s="108" t="str">
        <f>VLOOKUP(A50,'FRS geographical categories'!A:C,2,FALSE)</f>
        <v>Predominantly Rural</v>
      </c>
      <c r="L50" s="108" t="str">
        <f>VLOOKUP(A50,'FRS geographical categories'!A:C,3,FALSE)</f>
        <v>Non-metropolitan</v>
      </c>
    </row>
    <row r="51" spans="1:12" x14ac:dyDescent="0.2">
      <c r="A51" s="104" t="s">
        <v>41</v>
      </c>
      <c r="C51" s="110">
        <v>3521</v>
      </c>
      <c r="D51" s="110">
        <v>17848</v>
      </c>
      <c r="E51" s="110">
        <v>2475</v>
      </c>
      <c r="F51" s="110">
        <v>10182</v>
      </c>
      <c r="G51" s="110">
        <v>1373</v>
      </c>
      <c r="H51" s="110">
        <v>11843</v>
      </c>
      <c r="I51" s="110">
        <v>887</v>
      </c>
      <c r="J51" s="110">
        <v>3600</v>
      </c>
      <c r="K51" s="108" t="str">
        <f>VLOOKUP(A51,'FRS geographical categories'!A:C,2,FALSE)</f>
        <v>Predominantly Urban</v>
      </c>
      <c r="L51" s="108" t="str">
        <f>VLOOKUP(A51,'FRS geographical categories'!A:C,3,FALSE)</f>
        <v>Non-metropolitan</v>
      </c>
    </row>
    <row r="52" spans="1:12" x14ac:dyDescent="0.2">
      <c r="A52" s="104" t="s">
        <v>42</v>
      </c>
      <c r="C52" s="110">
        <v>26134</v>
      </c>
      <c r="D52" s="110">
        <v>14501</v>
      </c>
      <c r="E52" s="110">
        <v>12996</v>
      </c>
      <c r="F52" s="110">
        <v>7697</v>
      </c>
      <c r="G52" s="110">
        <v>4962</v>
      </c>
      <c r="H52" s="110">
        <v>3425</v>
      </c>
      <c r="I52" s="110">
        <v>4958</v>
      </c>
      <c r="J52" s="110">
        <v>982</v>
      </c>
      <c r="K52" s="108" t="str">
        <f>VLOOKUP(A52,'FRS geographical categories'!A:C,2,FALSE)</f>
        <v>Predominantly Urban</v>
      </c>
      <c r="L52" s="108" t="str">
        <f>VLOOKUP(A52,'FRS geographical categories'!A:C,3,FALSE)</f>
        <v>Metropolitan</v>
      </c>
    </row>
    <row r="53" spans="1:12" x14ac:dyDescent="0.2">
      <c r="A53" s="104" t="s">
        <v>43</v>
      </c>
      <c r="C53" s="110">
        <v>4039</v>
      </c>
      <c r="D53" s="110">
        <v>8078</v>
      </c>
      <c r="E53" s="110">
        <v>2964</v>
      </c>
      <c r="F53" s="110">
        <v>5928</v>
      </c>
      <c r="G53" s="110">
        <v>686</v>
      </c>
      <c r="H53" s="110">
        <v>1372</v>
      </c>
      <c r="I53" s="110">
        <v>0</v>
      </c>
      <c r="J53" s="110">
        <v>0</v>
      </c>
      <c r="K53" s="108" t="str">
        <f>VLOOKUP(A53,'FRS geographical categories'!A:C,2,FALSE)</f>
        <v>Significantly Rural</v>
      </c>
      <c r="L53" s="108" t="str">
        <f>VLOOKUP(A53,'FRS geographical categories'!A:C,3,FALSE)</f>
        <v>Non-metropolitan</v>
      </c>
    </row>
    <row r="54" spans="1:12" x14ac:dyDescent="0.2">
      <c r="A54" s="104" t="s">
        <v>44</v>
      </c>
      <c r="C54" s="110">
        <v>31576</v>
      </c>
      <c r="D54" s="110">
        <v>119207</v>
      </c>
      <c r="E54" s="110">
        <v>17539</v>
      </c>
      <c r="F54" s="110">
        <v>66214</v>
      </c>
      <c r="G54" s="110">
        <v>19761</v>
      </c>
      <c r="H54" s="110">
        <v>74602</v>
      </c>
      <c r="I54" s="110">
        <v>0</v>
      </c>
      <c r="J54" s="110">
        <v>0</v>
      </c>
      <c r="K54" s="108" t="str">
        <f>VLOOKUP(A54,'FRS geographical categories'!A:C,2,FALSE)</f>
        <v>Predominantly Urban</v>
      </c>
      <c r="L54" s="108" t="str">
        <f>VLOOKUP(A54,'FRS geographical categories'!A:C,3,FALSE)</f>
        <v>Metropolitan</v>
      </c>
    </row>
    <row r="55" spans="1:12" x14ac:dyDescent="0.2">
      <c r="A55" s="104" t="s">
        <v>45</v>
      </c>
      <c r="C55" s="110">
        <v>6647</v>
      </c>
      <c r="D55" s="110">
        <v>9534</v>
      </c>
      <c r="E55" s="110">
        <v>5073</v>
      </c>
      <c r="F55" s="110">
        <v>6922</v>
      </c>
      <c r="G55" s="110">
        <v>1568</v>
      </c>
      <c r="H55" s="110">
        <v>2612</v>
      </c>
      <c r="I55" s="110">
        <v>0</v>
      </c>
      <c r="J55" s="110">
        <v>0</v>
      </c>
      <c r="K55" s="108" t="str">
        <f>VLOOKUP(A55,'FRS geographical categories'!A:C,2,FALSE)</f>
        <v>Significantly Rural</v>
      </c>
      <c r="L55" s="108" t="str">
        <f>VLOOKUP(A55,'FRS geographical categories'!A:C,3,FALSE)</f>
        <v>Non-metropolitan</v>
      </c>
    </row>
    <row r="56" spans="1:12" x14ac:dyDescent="0.2">
      <c r="A56" s="104" t="s">
        <v>46</v>
      </c>
      <c r="C56" s="110">
        <v>18477</v>
      </c>
      <c r="D56" s="110">
        <v>88283</v>
      </c>
      <c r="E56" s="110">
        <v>9494</v>
      </c>
      <c r="F56" s="110">
        <v>38171</v>
      </c>
      <c r="G56" s="110">
        <v>7740</v>
      </c>
      <c r="H56" s="110">
        <v>28728</v>
      </c>
      <c r="I56" s="110">
        <v>27</v>
      </c>
      <c r="J56" s="110">
        <v>39</v>
      </c>
      <c r="K56" s="108" t="str">
        <f>VLOOKUP(A56,'FRS geographical categories'!A:C,2,FALSE)</f>
        <v>Predominantly Urban</v>
      </c>
      <c r="L56" s="108" t="str">
        <f>VLOOKUP(A56,'FRS geographical categories'!A:C,3,FALSE)</f>
        <v>Metropolitan</v>
      </c>
    </row>
    <row r="57" spans="1:12" x14ac:dyDescent="0.2">
      <c r="C57" s="110"/>
      <c r="D57" s="110"/>
      <c r="E57" s="110"/>
      <c r="F57" s="110"/>
      <c r="G57" s="110"/>
      <c r="H57" s="110"/>
      <c r="I57" s="110"/>
      <c r="J57" s="110"/>
      <c r="K57" s="108"/>
      <c r="L57" s="108"/>
    </row>
    <row r="58" spans="1:12" x14ac:dyDescent="0.2">
      <c r="A58" s="104" t="s">
        <v>139</v>
      </c>
      <c r="C58" s="110"/>
      <c r="D58" s="110"/>
      <c r="E58" s="110"/>
      <c r="F58" s="110"/>
      <c r="G58" s="110"/>
      <c r="H58" s="110"/>
      <c r="I58" s="110"/>
      <c r="J58" s="110"/>
      <c r="K58" s="108"/>
      <c r="L58" s="108"/>
    </row>
    <row r="59" spans="1:12" ht="10.35" customHeight="1" x14ac:dyDescent="0.2">
      <c r="A59" s="104" t="s">
        <v>39</v>
      </c>
      <c r="D59" s="81">
        <v>38105.517224571209</v>
      </c>
      <c r="K59" s="108" t="str">
        <f>VLOOKUP(A59,'FRS geographical categories'!A:C,2,FALSE)</f>
        <v>Significantly Rural</v>
      </c>
      <c r="L59" s="108" t="str">
        <f>VLOOKUP(A59,'FRS geographical categories'!A:C,3,FALSE)</f>
        <v>Non-metropolitan</v>
      </c>
    </row>
    <row r="60" spans="1:12" ht="10.35" customHeight="1" x14ac:dyDescent="0.2">
      <c r="D60" s="81"/>
      <c r="K60" s="108"/>
      <c r="L60" s="108"/>
    </row>
    <row r="61" spans="1:12" ht="10.35" customHeight="1" x14ac:dyDescent="0.2">
      <c r="D61" s="81"/>
    </row>
    <row r="62" spans="1:12" ht="10.35" customHeight="1" x14ac:dyDescent="0.2"/>
    <row r="63" spans="1:12" ht="10.35" customHeight="1" x14ac:dyDescent="0.2"/>
    <row r="64" spans="1:12" ht="10.35" customHeight="1" x14ac:dyDescent="0.2"/>
    <row r="65" ht="10.35" customHeight="1" x14ac:dyDescent="0.2"/>
    <row r="66" ht="10.35" customHeight="1" x14ac:dyDescent="0.2"/>
    <row r="67" ht="10.35" customHeight="1" x14ac:dyDescent="0.2"/>
    <row r="68" ht="10.35" customHeight="1" x14ac:dyDescent="0.2"/>
    <row r="69" ht="10.35" customHeight="1" x14ac:dyDescent="0.2"/>
  </sheetData>
  <mergeCells count="6">
    <mergeCell ref="A1:J1"/>
    <mergeCell ref="A2:A3"/>
    <mergeCell ref="C2:D2"/>
    <mergeCell ref="E2:F2"/>
    <mergeCell ref="G2:H2"/>
    <mergeCell ref="I2:J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2634EA"/>
  </sheetPr>
  <dimension ref="A1:AD70"/>
  <sheetViews>
    <sheetView zoomScaleNormal="100" workbookViewId="0">
      <selection activeCell="E16" sqref="E16"/>
    </sheetView>
  </sheetViews>
  <sheetFormatPr defaultColWidth="9.21875" defaultRowHeight="14.4" x14ac:dyDescent="0.3"/>
  <cols>
    <col min="1" max="1" width="50.77734375" style="4" customWidth="1"/>
    <col min="2" max="9" width="14.77734375" style="4" customWidth="1"/>
    <col min="10" max="10" width="10" style="4" bestFit="1" customWidth="1"/>
    <col min="11" max="11" width="11.77734375" style="4" customWidth="1"/>
    <col min="12" max="16" width="9.21875" style="4"/>
    <col min="17" max="17" width="11" style="4" customWidth="1"/>
    <col min="18" max="16384" width="9.21875" style="4"/>
  </cols>
  <sheetData>
    <row r="1" spans="1:30" s="3" customFormat="1" ht="23.25" customHeight="1" x14ac:dyDescent="0.45">
      <c r="A1" s="187"/>
      <c r="B1" s="187"/>
      <c r="C1" s="187"/>
      <c r="D1" s="187"/>
      <c r="E1" s="187"/>
      <c r="F1" s="187"/>
      <c r="G1" s="187"/>
      <c r="H1" s="187"/>
      <c r="I1" s="187"/>
    </row>
    <row r="2" spans="1:30" s="5" customFormat="1" ht="15" customHeight="1" x14ac:dyDescent="0.3">
      <c r="A2" s="4"/>
      <c r="B2" s="4"/>
      <c r="C2" s="4"/>
      <c r="D2" s="4"/>
      <c r="E2" s="4"/>
      <c r="F2" s="4"/>
      <c r="G2" s="4"/>
      <c r="H2" s="4"/>
      <c r="I2" s="4"/>
    </row>
    <row r="3" spans="1:30" s="5" customFormat="1" ht="15" customHeight="1" x14ac:dyDescent="0.3">
      <c r="A3" s="21"/>
      <c r="B3" s="22"/>
      <c r="C3" s="22"/>
      <c r="D3" s="22"/>
      <c r="E3" s="22"/>
      <c r="F3" s="4"/>
      <c r="G3" s="4"/>
      <c r="H3" s="4"/>
      <c r="I3" s="4"/>
    </row>
    <row r="4" spans="1:30" s="5" customFormat="1" ht="15" customHeight="1" x14ac:dyDescent="0.3">
      <c r="A4" s="185" t="str">
        <f>VLOOKUP(FIRE1201_historical!A3,FIRE1201_historical_raw!L12:M19,2,FALSE)</f>
        <v>2017-18</v>
      </c>
      <c r="B4" s="185"/>
      <c r="C4" s="185"/>
      <c r="D4" s="185"/>
      <c r="E4" s="185"/>
      <c r="F4" s="4"/>
      <c r="G4" s="4"/>
      <c r="H4" s="4"/>
      <c r="I4" s="4"/>
      <c r="J4" s="4"/>
    </row>
    <row r="5" spans="1:30" s="5" customFormat="1" ht="15" thickBot="1" x14ac:dyDescent="0.35">
      <c r="A5" s="4"/>
      <c r="B5" s="186"/>
      <c r="C5" s="186"/>
      <c r="D5" s="186"/>
      <c r="E5" s="186"/>
      <c r="F5" s="27"/>
      <c r="G5" s="27"/>
      <c r="H5" s="27"/>
      <c r="I5" s="27"/>
      <c r="K5" s="6"/>
      <c r="L5" s="6"/>
      <c r="N5" s="6"/>
      <c r="O5" s="6"/>
      <c r="P5" s="6"/>
      <c r="Q5" s="6"/>
      <c r="R5" s="6"/>
      <c r="U5" s="7"/>
    </row>
    <row r="6" spans="1:30" s="3" customFormat="1" ht="31.5" customHeight="1" thickBot="1" x14ac:dyDescent="0.35">
      <c r="A6" s="2"/>
      <c r="B6" s="188" t="s">
        <v>58</v>
      </c>
      <c r="C6" s="188"/>
      <c r="D6" s="188" t="s">
        <v>63</v>
      </c>
      <c r="E6" s="188"/>
      <c r="F6" s="188" t="s">
        <v>64</v>
      </c>
      <c r="G6" s="188"/>
      <c r="H6" s="188" t="s">
        <v>59</v>
      </c>
      <c r="I6" s="188"/>
      <c r="K6" s="28"/>
      <c r="L6" s="28"/>
      <c r="N6" s="28"/>
      <c r="O6" s="28"/>
      <c r="P6" s="28"/>
      <c r="Q6" s="28"/>
      <c r="R6" s="28"/>
    </row>
    <row r="7" spans="1:30" s="10" customFormat="1" ht="15" thickBot="1" x14ac:dyDescent="0.35">
      <c r="A7" s="8" t="s">
        <v>50</v>
      </c>
      <c r="B7" s="9" t="s">
        <v>60</v>
      </c>
      <c r="C7" s="9" t="s">
        <v>61</v>
      </c>
      <c r="D7" s="9" t="s">
        <v>60</v>
      </c>
      <c r="E7" s="9" t="s">
        <v>61</v>
      </c>
      <c r="F7" s="9" t="s">
        <v>60</v>
      </c>
      <c r="G7" s="9" t="s">
        <v>61</v>
      </c>
      <c r="H7" s="9" t="s">
        <v>60</v>
      </c>
      <c r="I7" s="9" t="s">
        <v>61</v>
      </c>
      <c r="J7" s="4"/>
    </row>
    <row r="8" spans="1:30" s="5" customFormat="1" ht="15" customHeight="1" x14ac:dyDescent="0.3">
      <c r="A8" s="24" t="s">
        <v>0</v>
      </c>
      <c r="B8" s="15">
        <f ca="1">INDIRECT("'("&amp;$A$4&amp;")'!C6")</f>
        <v>576077</v>
      </c>
      <c r="C8" s="15">
        <f ca="1">INDIRECT("'("&amp;$A$4&amp;")'!d6")</f>
        <v>994269.56722457125</v>
      </c>
      <c r="D8" s="15">
        <f ca="1">INDIRECT("'("&amp;$A$4&amp;")'!e6")</f>
        <v>316017</v>
      </c>
      <c r="E8" s="15">
        <f ca="1">INDIRECT("'("&amp;$A$4&amp;")'!f6")</f>
        <v>506216.28</v>
      </c>
      <c r="F8" s="15">
        <f ca="1">INDIRECT("'("&amp;$A$4&amp;")'!g6")</f>
        <v>146464</v>
      </c>
      <c r="G8" s="15">
        <f ca="1">INDIRECT("'("&amp;$A$4&amp;")'!h6")</f>
        <v>308836.21999999997</v>
      </c>
      <c r="H8" s="15">
        <f ca="1">INDIRECT("'("&amp;$A$4&amp;")'!i6")</f>
        <v>24284</v>
      </c>
      <c r="I8" s="15">
        <f ca="1">INDIRECT("'("&amp;$A$4&amp;")'!j6")</f>
        <v>23887.84</v>
      </c>
      <c r="K8" s="11"/>
      <c r="L8" s="11"/>
      <c r="N8" s="13"/>
      <c r="O8" s="13"/>
      <c r="P8" s="13"/>
      <c r="Q8" s="13"/>
      <c r="R8" s="13"/>
      <c r="T8" s="12"/>
      <c r="U8" s="12"/>
      <c r="V8" s="12"/>
      <c r="W8" s="12"/>
      <c r="X8" s="12"/>
      <c r="Y8" s="12"/>
      <c r="Z8" s="12"/>
      <c r="AA8" s="12"/>
      <c r="AB8" s="12"/>
      <c r="AC8" s="12"/>
      <c r="AD8" s="12"/>
    </row>
    <row r="9" spans="1:30" s="5" customFormat="1" ht="15" customHeight="1" x14ac:dyDescent="0.3">
      <c r="A9" s="25" t="s">
        <v>77</v>
      </c>
      <c r="B9" s="15">
        <f ca="1">INDIRECT("'("&amp;$A$4&amp;")'!C7")</f>
        <v>309999</v>
      </c>
      <c r="C9" s="15">
        <f ca="1">INDIRECT("'("&amp;$A$4&amp;")'!d7")</f>
        <v>468630.06722457119</v>
      </c>
      <c r="D9" s="15">
        <f ca="1">INDIRECT("'("&amp;$A$4&amp;")'!e7")</f>
        <v>196507</v>
      </c>
      <c r="E9" s="15">
        <f ca="1">INDIRECT("'("&amp;$A$4&amp;")'!f7")</f>
        <v>263512.28000000003</v>
      </c>
      <c r="F9" s="15">
        <f ca="1">INDIRECT("'("&amp;$A$4&amp;")'!g7")</f>
        <v>67905</v>
      </c>
      <c r="G9" s="15">
        <f ca="1">INDIRECT("'("&amp;$A$4&amp;")'!h7")</f>
        <v>114131.22</v>
      </c>
      <c r="H9" s="15">
        <f ca="1">INDIRECT("'("&amp;$A$4&amp;")'!i7")</f>
        <v>17350</v>
      </c>
      <c r="I9" s="15">
        <f ca="1">INDIRECT("'("&amp;$A$4&amp;")'!j7")</f>
        <v>22551.84</v>
      </c>
      <c r="K9" s="11"/>
      <c r="L9" s="37"/>
      <c r="N9" s="13"/>
      <c r="O9" s="13"/>
      <c r="P9" s="13"/>
      <c r="Q9" s="13"/>
      <c r="R9" s="13"/>
      <c r="T9" s="12"/>
      <c r="U9" s="12"/>
      <c r="V9" s="12"/>
      <c r="W9" s="12"/>
      <c r="X9" s="12"/>
      <c r="Y9" s="12"/>
      <c r="Z9" s="12"/>
      <c r="AA9" s="12"/>
      <c r="AB9" s="12"/>
      <c r="AC9" s="12"/>
      <c r="AD9" s="12"/>
    </row>
    <row r="10" spans="1:30" s="5" customFormat="1" ht="15" customHeight="1" x14ac:dyDescent="0.3">
      <c r="A10" s="23" t="s">
        <v>49</v>
      </c>
      <c r="B10" s="15">
        <f ca="1">INDIRECT("'("&amp;$A$4&amp;")'!C8")</f>
        <v>266078</v>
      </c>
      <c r="C10" s="15">
        <f ca="1">INDIRECT("'("&amp;$A$4&amp;")'!d8")</f>
        <v>525639.5</v>
      </c>
      <c r="D10" s="15">
        <f ca="1">INDIRECT("'("&amp;$A$4&amp;")'!e8")</f>
        <v>119510</v>
      </c>
      <c r="E10" s="15">
        <f ca="1">INDIRECT("'("&amp;$A$4&amp;")'!f8")</f>
        <v>242704</v>
      </c>
      <c r="F10" s="15">
        <f ca="1">INDIRECT("'("&amp;$A$4&amp;")'!g8")</f>
        <v>78559</v>
      </c>
      <c r="G10" s="15">
        <f ca="1">INDIRECT("'("&amp;$A$4&amp;")'!h8")</f>
        <v>194705</v>
      </c>
      <c r="H10" s="15">
        <f ca="1">INDIRECT("'("&amp;$A$4&amp;")'!i8")</f>
        <v>6934</v>
      </c>
      <c r="I10" s="15">
        <f ca="1">INDIRECT("'("&amp;$A$4&amp;")'!j8")</f>
        <v>1336</v>
      </c>
      <c r="K10" s="11"/>
      <c r="L10" s="37"/>
      <c r="N10" s="13"/>
      <c r="O10" s="13"/>
      <c r="P10" s="13"/>
      <c r="Q10" s="13"/>
      <c r="R10" s="13"/>
      <c r="T10" s="12"/>
      <c r="U10" s="12"/>
      <c r="V10" s="12"/>
      <c r="W10" s="12"/>
      <c r="X10" s="12"/>
      <c r="Y10" s="12"/>
      <c r="Z10" s="12"/>
      <c r="AA10" s="12"/>
      <c r="AB10" s="12"/>
      <c r="AC10" s="12"/>
      <c r="AD10" s="12"/>
    </row>
    <row r="11" spans="1:30" s="5" customFormat="1" ht="15" customHeight="1" x14ac:dyDescent="0.3">
      <c r="A11" s="23" t="s">
        <v>114</v>
      </c>
      <c r="B11" s="15">
        <f ca="1">INDIRECT("'("&amp;$A$4&amp;")'!C9")</f>
        <v>329772</v>
      </c>
      <c r="C11" s="15">
        <f ca="1">INDIRECT("'("&amp;$A$4&amp;")'!d9")</f>
        <v>683716.5</v>
      </c>
      <c r="D11" s="15">
        <f ca="1">INDIRECT("'("&amp;$A$4&amp;")'!e9")</f>
        <v>160249</v>
      </c>
      <c r="E11" s="15">
        <f ca="1">INDIRECT("'("&amp;$A$4&amp;")'!f9")</f>
        <v>335328</v>
      </c>
      <c r="F11" s="15">
        <f ca="1">INDIRECT("'("&amp;$A$4&amp;")'!g9")</f>
        <v>99010</v>
      </c>
      <c r="G11" s="15">
        <f ca="1">INDIRECT("'("&amp;$A$4&amp;")'!h9")</f>
        <v>239325</v>
      </c>
      <c r="H11" s="15">
        <f ca="1">INDIRECT("'("&amp;$A$4&amp;")'!i9")</f>
        <v>15874</v>
      </c>
      <c r="I11" s="15">
        <f ca="1">INDIRECT("'("&amp;$A$4&amp;")'!j9")</f>
        <v>16891</v>
      </c>
      <c r="K11" s="11"/>
      <c r="L11" s="37"/>
      <c r="N11" s="13"/>
      <c r="O11" s="13"/>
      <c r="P11" s="13"/>
      <c r="Q11" s="13"/>
      <c r="R11" s="13"/>
      <c r="T11" s="12"/>
      <c r="U11" s="12"/>
      <c r="V11" s="12"/>
      <c r="W11" s="12"/>
      <c r="X11" s="12"/>
      <c r="Y11" s="12"/>
      <c r="Z11" s="12"/>
      <c r="AA11" s="12"/>
      <c r="AB11" s="12"/>
      <c r="AC11" s="12"/>
      <c r="AD11" s="12"/>
    </row>
    <row r="12" spans="1:30" s="5" customFormat="1" ht="15" customHeight="1" x14ac:dyDescent="0.3">
      <c r="A12" s="23" t="s">
        <v>115</v>
      </c>
      <c r="B12" s="15">
        <f ca="1">INDIRECT("'("&amp;$A$4&amp;")'!C10")</f>
        <v>167847</v>
      </c>
      <c r="C12" s="15">
        <f ca="1">INDIRECT("'("&amp;$A$4&amp;")'!d10")</f>
        <v>220537.2672245712</v>
      </c>
      <c r="D12" s="15">
        <f ca="1">INDIRECT("'("&amp;$A$4&amp;")'!e10")</f>
        <v>113954</v>
      </c>
      <c r="E12" s="15">
        <f ca="1">INDIRECT("'("&amp;$A$4&amp;")'!f10")</f>
        <v>119284.13</v>
      </c>
      <c r="F12" s="15">
        <f ca="1">INDIRECT("'("&amp;$A$4&amp;")'!g10")</f>
        <v>31821</v>
      </c>
      <c r="G12" s="15">
        <f ca="1">INDIRECT("'("&amp;$A$4&amp;")'!h10")</f>
        <v>48660.39</v>
      </c>
      <c r="H12" s="15">
        <f ca="1">INDIRECT("'("&amp;$A$4&amp;")'!i10")</f>
        <v>5827</v>
      </c>
      <c r="I12" s="15">
        <f ca="1">INDIRECT("'("&amp;$A$4&amp;")'!j10")</f>
        <v>5903.99</v>
      </c>
      <c r="K12" s="11"/>
      <c r="L12" s="37" t="s">
        <v>72</v>
      </c>
      <c r="M12" s="37" t="s">
        <v>53</v>
      </c>
      <c r="N12" s="13"/>
      <c r="O12" s="13"/>
      <c r="P12" s="13"/>
      <c r="Q12" s="13"/>
      <c r="R12" s="13"/>
      <c r="T12" s="12"/>
      <c r="U12" s="12"/>
      <c r="V12" s="12"/>
      <c r="W12" s="12"/>
      <c r="X12" s="12"/>
      <c r="Y12" s="12"/>
      <c r="Z12" s="12"/>
      <c r="AA12" s="12"/>
      <c r="AB12" s="12"/>
      <c r="AC12" s="12"/>
      <c r="AD12" s="12"/>
    </row>
    <row r="13" spans="1:30" s="5" customFormat="1" ht="15" customHeight="1" x14ac:dyDescent="0.3">
      <c r="A13" s="23" t="s">
        <v>116</v>
      </c>
      <c r="B13" s="15">
        <f ca="1">INDIRECT("'("&amp;$A$4&amp;")'!C11")</f>
        <v>78458</v>
      </c>
      <c r="C13" s="15">
        <f ca="1">INDIRECT("'("&amp;$A$4&amp;")'!d11")</f>
        <v>90015.8</v>
      </c>
      <c r="D13" s="15">
        <f ca="1">INDIRECT("'("&amp;$A$4&amp;")'!e11")</f>
        <v>41814</v>
      </c>
      <c r="E13" s="15">
        <f ca="1">INDIRECT("'("&amp;$A$4&amp;")'!f11")</f>
        <v>51604.149999999994</v>
      </c>
      <c r="F13" s="15">
        <f ca="1">INDIRECT("'("&amp;$A$4&amp;")'!g11")</f>
        <v>15633</v>
      </c>
      <c r="G13" s="15">
        <f ca="1">INDIRECT("'("&amp;$A$4&amp;")'!h11")</f>
        <v>20850.830000000002</v>
      </c>
      <c r="H13" s="15">
        <f ca="1">INDIRECT("'("&amp;$A$4&amp;")'!i11")</f>
        <v>2583</v>
      </c>
      <c r="I13" s="15">
        <f ca="1">INDIRECT("'("&amp;$A$4&amp;")'!j11")</f>
        <v>1092.8499999999999</v>
      </c>
      <c r="K13" s="11"/>
      <c r="L13" s="37" t="s">
        <v>71</v>
      </c>
      <c r="M13" s="37" t="s">
        <v>54</v>
      </c>
      <c r="N13" s="13"/>
      <c r="O13" s="13"/>
      <c r="P13" s="13"/>
      <c r="Q13" s="13"/>
      <c r="R13" s="13"/>
      <c r="T13" s="12"/>
      <c r="U13" s="12"/>
      <c r="V13" s="12"/>
      <c r="W13" s="12"/>
      <c r="X13" s="12"/>
      <c r="Y13" s="12"/>
      <c r="Z13" s="12"/>
      <c r="AA13" s="12"/>
      <c r="AB13" s="12"/>
      <c r="AC13" s="12"/>
      <c r="AD13" s="12"/>
    </row>
    <row r="14" spans="1:30" s="5" customFormat="1" ht="15" customHeight="1" x14ac:dyDescent="0.3">
      <c r="A14" s="4" t="s">
        <v>3</v>
      </c>
      <c r="B14" s="14">
        <f ca="1">INDIRECT("'("&amp;$A$4&amp;")'!C12")</f>
        <v>8402</v>
      </c>
      <c r="C14" s="14">
        <f ca="1">INDIRECT("'("&amp;$A$4&amp;")'!d12")</f>
        <v>9140</v>
      </c>
      <c r="D14" s="14">
        <f ca="1">INDIRECT("'("&amp;$A$4&amp;")'!e12")</f>
        <v>5426</v>
      </c>
      <c r="E14" s="14">
        <f ca="1">INDIRECT("'("&amp;$A$4&amp;")'!f12")</f>
        <v>6078</v>
      </c>
      <c r="F14" s="14">
        <f ca="1">INDIRECT("'("&amp;$A$4&amp;")'!g12")</f>
        <v>3299</v>
      </c>
      <c r="G14" s="14">
        <f ca="1">INDIRECT("'("&amp;$A$4&amp;")'!h12")</f>
        <v>3604</v>
      </c>
      <c r="H14" s="14">
        <f ca="1">INDIRECT("'("&amp;$A$4&amp;")'!i12")</f>
        <v>1094</v>
      </c>
      <c r="I14" s="14">
        <f ca="1">INDIRECT("'("&amp;$A$4&amp;")'!j12")</f>
        <v>549</v>
      </c>
      <c r="K14" s="11"/>
      <c r="L14" s="37" t="s">
        <v>70</v>
      </c>
      <c r="M14" s="37" t="s">
        <v>55</v>
      </c>
      <c r="N14" s="13"/>
      <c r="O14" s="13"/>
      <c r="P14" s="13"/>
      <c r="Q14" s="13"/>
      <c r="R14" s="13"/>
      <c r="T14" s="12"/>
      <c r="U14" s="12"/>
      <c r="V14" s="12"/>
      <c r="W14" s="12"/>
      <c r="X14" s="12"/>
      <c r="Y14" s="12"/>
      <c r="Z14" s="12"/>
      <c r="AA14" s="12"/>
      <c r="AB14" s="12"/>
      <c r="AC14" s="12"/>
      <c r="AD14" s="12"/>
    </row>
    <row r="15" spans="1:30" s="5" customFormat="1" ht="15" customHeight="1" x14ac:dyDescent="0.3">
      <c r="A15" s="4" t="s">
        <v>4</v>
      </c>
      <c r="B15" s="14">
        <f ca="1">INDIRECT("'("&amp;$A$4&amp;")'!C13")</f>
        <v>2101</v>
      </c>
      <c r="C15" s="14">
        <f ca="1">INDIRECT("'("&amp;$A$4&amp;")'!d13")</f>
        <v>3089</v>
      </c>
      <c r="D15" s="14">
        <f ca="1">INDIRECT("'("&amp;$A$4&amp;")'!e13")</f>
        <v>938</v>
      </c>
      <c r="E15" s="14">
        <f ca="1">INDIRECT("'("&amp;$A$4&amp;")'!f13")</f>
        <v>1668</v>
      </c>
      <c r="F15" s="14" t="str">
        <f ca="1">INDIRECT("'("&amp;$A$4&amp;")'!g13")</f>
        <v>N/A</v>
      </c>
      <c r="G15" s="14" t="str">
        <f ca="1">INDIRECT("'("&amp;$A$4&amp;")'!h13")</f>
        <v>N/A</v>
      </c>
      <c r="H15" s="14">
        <f ca="1">INDIRECT("'("&amp;$A$4&amp;")'!i13")</f>
        <v>738</v>
      </c>
      <c r="I15" s="14" t="str">
        <f ca="1">INDIRECT("'("&amp;$A$4&amp;")'!j13")</f>
        <v>N/A</v>
      </c>
      <c r="K15" s="11"/>
      <c r="L15" s="37" t="s">
        <v>69</v>
      </c>
      <c r="M15" s="37" t="s">
        <v>56</v>
      </c>
      <c r="N15" s="13"/>
      <c r="O15" s="13"/>
      <c r="P15" s="13"/>
      <c r="Q15" s="13"/>
      <c r="R15" s="13"/>
      <c r="T15" s="12"/>
      <c r="U15" s="12"/>
      <c r="V15" s="12"/>
      <c r="W15" s="12"/>
      <c r="X15" s="12"/>
      <c r="Y15" s="12"/>
      <c r="Z15" s="12"/>
      <c r="AA15" s="12"/>
      <c r="AB15" s="12"/>
      <c r="AC15" s="12"/>
      <c r="AD15" s="12"/>
    </row>
    <row r="16" spans="1:30" s="5" customFormat="1" ht="15" customHeight="1" x14ac:dyDescent="0.3">
      <c r="A16" s="4" t="s">
        <v>5</v>
      </c>
      <c r="B16" s="14">
        <f ca="1">INDIRECT("'("&amp;$A$4&amp;")'!C14")</f>
        <v>9203</v>
      </c>
      <c r="C16" s="14">
        <f ca="1">INDIRECT("'("&amp;$A$4&amp;")'!d14")</f>
        <v>10580</v>
      </c>
      <c r="D16" s="14">
        <f ca="1">INDIRECT("'("&amp;$A$4&amp;")'!e14")</f>
        <v>6556</v>
      </c>
      <c r="E16" s="14">
        <f ca="1">INDIRECT("'("&amp;$A$4&amp;")'!f14")</f>
        <v>7512</v>
      </c>
      <c r="F16" s="14">
        <f ca="1">INDIRECT("'("&amp;$A$4&amp;")'!g14")</f>
        <v>2117</v>
      </c>
      <c r="G16" s="14">
        <f ca="1">INDIRECT("'("&amp;$A$4&amp;")'!h14")</f>
        <v>2433</v>
      </c>
      <c r="H16" s="14">
        <f ca="1">INDIRECT("'("&amp;$A$4&amp;")'!i14")</f>
        <v>0</v>
      </c>
      <c r="I16" s="14">
        <f ca="1">INDIRECT("'("&amp;$A$4&amp;")'!j14")</f>
        <v>0</v>
      </c>
      <c r="K16" s="11"/>
      <c r="L16" s="37" t="s">
        <v>68</v>
      </c>
      <c r="M16" s="37" t="s">
        <v>52</v>
      </c>
      <c r="N16" s="13"/>
      <c r="O16" s="13"/>
      <c r="P16" s="13"/>
      <c r="Q16" s="13"/>
      <c r="R16" s="13"/>
      <c r="T16" s="12"/>
      <c r="U16" s="12"/>
      <c r="V16" s="12"/>
      <c r="W16" s="12"/>
      <c r="X16" s="12"/>
      <c r="Y16" s="12"/>
      <c r="Z16" s="12"/>
      <c r="AA16" s="12"/>
      <c r="AB16" s="12"/>
      <c r="AC16" s="12"/>
      <c r="AD16" s="12"/>
    </row>
    <row r="17" spans="1:30" s="5" customFormat="1" ht="15" customHeight="1" x14ac:dyDescent="0.3">
      <c r="A17" s="4" t="s">
        <v>6</v>
      </c>
      <c r="B17" s="14">
        <f ca="1">INDIRECT("'("&amp;$A$4&amp;")'!C15")</f>
        <v>3171</v>
      </c>
      <c r="C17" s="14">
        <f ca="1">INDIRECT("'("&amp;$A$4&amp;")'!d15")</f>
        <v>1754</v>
      </c>
      <c r="D17" s="14">
        <f ca="1">INDIRECT("'("&amp;$A$4&amp;")'!e15")</f>
        <v>1104</v>
      </c>
      <c r="E17" s="14">
        <f ca="1">INDIRECT("'("&amp;$A$4&amp;")'!f15")</f>
        <v>1010</v>
      </c>
      <c r="F17" s="14">
        <f ca="1">INDIRECT("'("&amp;$A$4&amp;")'!g15")</f>
        <v>399</v>
      </c>
      <c r="G17" s="14">
        <f ca="1">INDIRECT("'("&amp;$A$4&amp;")'!h15")</f>
        <v>234</v>
      </c>
      <c r="H17" s="14">
        <f ca="1">INDIRECT("'("&amp;$A$4&amp;")'!i15")</f>
        <v>0</v>
      </c>
      <c r="I17" s="14">
        <f ca="1">INDIRECT("'("&amp;$A$4&amp;")'!j15")</f>
        <v>0</v>
      </c>
      <c r="K17" s="11"/>
      <c r="L17" s="37" t="s">
        <v>67</v>
      </c>
      <c r="M17" s="37" t="s">
        <v>47</v>
      </c>
      <c r="N17" s="13"/>
      <c r="O17" s="13"/>
      <c r="P17" s="13"/>
      <c r="Q17" s="13"/>
      <c r="R17" s="13"/>
      <c r="T17" s="12"/>
      <c r="U17" s="12"/>
      <c r="V17" s="12"/>
      <c r="W17" s="12"/>
      <c r="X17" s="12"/>
      <c r="Y17" s="12"/>
      <c r="Z17" s="12"/>
      <c r="AA17" s="12"/>
      <c r="AB17" s="12"/>
      <c r="AC17" s="12"/>
      <c r="AD17" s="12"/>
    </row>
    <row r="18" spans="1:30" s="5" customFormat="1" ht="15" customHeight="1" x14ac:dyDescent="0.3">
      <c r="A18" s="4" t="s">
        <v>7</v>
      </c>
      <c r="B18" s="14">
        <f ca="1">INDIRECT("'("&amp;$A$4&amp;")'!C16")</f>
        <v>4318</v>
      </c>
      <c r="C18" s="14">
        <f ca="1">INDIRECT("'("&amp;$A$4&amp;")'!d16")</f>
        <v>4581.3</v>
      </c>
      <c r="D18" s="14">
        <f ca="1">INDIRECT("'("&amp;$A$4&amp;")'!e16")</f>
        <v>3399</v>
      </c>
      <c r="E18" s="14">
        <f ca="1">INDIRECT("'("&amp;$A$4&amp;")'!f16")</f>
        <v>3697</v>
      </c>
      <c r="F18" s="14">
        <f ca="1">INDIRECT("'("&amp;$A$4&amp;")'!g16")</f>
        <v>2104</v>
      </c>
      <c r="G18" s="14">
        <f ca="1">INDIRECT("'("&amp;$A$4&amp;")'!h16")</f>
        <v>2490</v>
      </c>
      <c r="H18" s="14">
        <f ca="1">INDIRECT("'("&amp;$A$4&amp;")'!i16")</f>
        <v>952</v>
      </c>
      <c r="I18" s="14">
        <f ca="1">INDIRECT("'("&amp;$A$4&amp;")'!j16")</f>
        <v>682</v>
      </c>
      <c r="K18" s="11"/>
      <c r="L18" s="37" t="s">
        <v>75</v>
      </c>
      <c r="M18" s="38" t="s">
        <v>76</v>
      </c>
      <c r="N18" s="13"/>
      <c r="O18" s="13"/>
      <c r="P18" s="13"/>
      <c r="Q18" s="13"/>
      <c r="R18" s="13"/>
      <c r="T18" s="12"/>
      <c r="U18" s="12"/>
      <c r="V18" s="12"/>
      <c r="W18" s="12"/>
      <c r="X18" s="12"/>
      <c r="Y18" s="12"/>
      <c r="Z18" s="12"/>
      <c r="AA18" s="12"/>
      <c r="AB18" s="12"/>
      <c r="AC18" s="12"/>
      <c r="AD18" s="12"/>
    </row>
    <row r="19" spans="1:30" s="5" customFormat="1" ht="15" customHeight="1" x14ac:dyDescent="0.3">
      <c r="A19" s="20" t="s">
        <v>8</v>
      </c>
      <c r="B19" s="14">
        <f ca="1">INDIRECT("'("&amp;$A$4&amp;")'!C17")</f>
        <v>42395</v>
      </c>
      <c r="C19" s="14">
        <f ca="1">INDIRECT("'("&amp;$A$4&amp;")'!d17")</f>
        <v>21197.5</v>
      </c>
      <c r="D19" s="14">
        <f ca="1">INDIRECT("'("&amp;$A$4&amp;")'!e17")</f>
        <v>36379</v>
      </c>
      <c r="E19" s="14">
        <f ca="1">INDIRECT("'("&amp;$A$4&amp;")'!f17")</f>
        <v>18189.5</v>
      </c>
      <c r="F19" s="14">
        <f ca="1">INDIRECT("'("&amp;$A$4&amp;")'!g17")</f>
        <v>1465</v>
      </c>
      <c r="G19" s="14">
        <f ca="1">INDIRECT("'("&amp;$A$4&amp;")'!h17")</f>
        <v>732.5</v>
      </c>
      <c r="H19" s="14">
        <f ca="1">INDIRECT("'("&amp;$A$4&amp;")'!i17")</f>
        <v>0</v>
      </c>
      <c r="I19" s="14">
        <f ca="1">INDIRECT("'("&amp;$A$4&amp;")'!j17")</f>
        <v>0</v>
      </c>
      <c r="K19" s="11"/>
      <c r="L19" s="37" t="s">
        <v>86</v>
      </c>
      <c r="M19" s="38" t="s">
        <v>87</v>
      </c>
      <c r="N19" s="13"/>
      <c r="O19" s="13"/>
      <c r="P19" s="13"/>
      <c r="Q19" s="13"/>
      <c r="R19" s="13"/>
      <c r="T19" s="12"/>
      <c r="U19" s="12"/>
      <c r="V19" s="12"/>
      <c r="W19" s="12"/>
      <c r="X19" s="12"/>
      <c r="Y19" s="12"/>
      <c r="Z19" s="12"/>
      <c r="AA19" s="12"/>
      <c r="AB19" s="12"/>
      <c r="AC19" s="12"/>
      <c r="AD19" s="12"/>
    </row>
    <row r="20" spans="1:30" s="5" customFormat="1" ht="15" customHeight="1" x14ac:dyDescent="0.3">
      <c r="A20" s="20" t="s">
        <v>9</v>
      </c>
      <c r="B20" s="14">
        <f ca="1">INDIRECT("'("&amp;$A$4&amp;")'!C18")</f>
        <v>18315</v>
      </c>
      <c r="C20" s="14">
        <f ca="1">INDIRECT("'("&amp;$A$4&amp;")'!d18")</f>
        <v>76000</v>
      </c>
      <c r="D20" s="14">
        <f ca="1">INDIRECT("'("&amp;$A$4&amp;")'!e18")</f>
        <v>10760</v>
      </c>
      <c r="E20" s="14">
        <f ca="1">INDIRECT("'("&amp;$A$4&amp;")'!f18")</f>
        <v>40328</v>
      </c>
      <c r="F20" s="14">
        <f ca="1">INDIRECT("'("&amp;$A$4&amp;")'!g18")</f>
        <v>3378</v>
      </c>
      <c r="G20" s="14">
        <f ca="1">INDIRECT("'("&amp;$A$4&amp;")'!h18")</f>
        <v>6777</v>
      </c>
      <c r="H20" s="14">
        <f ca="1">INDIRECT("'("&amp;$A$4&amp;")'!i18")</f>
        <v>3935</v>
      </c>
      <c r="I20" s="14">
        <f ca="1">INDIRECT("'("&amp;$A$4&amp;")'!j18")</f>
        <v>7870</v>
      </c>
      <c r="K20" s="11"/>
      <c r="L20" s="11"/>
      <c r="N20" s="13"/>
      <c r="O20" s="13"/>
      <c r="P20" s="13"/>
      <c r="Q20" s="13"/>
      <c r="R20" s="13"/>
      <c r="T20" s="12"/>
      <c r="U20" s="12"/>
      <c r="V20" s="12"/>
      <c r="W20" s="12"/>
      <c r="X20" s="12"/>
      <c r="Y20" s="12"/>
      <c r="Z20" s="12"/>
      <c r="AA20" s="12"/>
      <c r="AB20" s="12"/>
      <c r="AC20" s="12"/>
      <c r="AD20" s="12"/>
    </row>
    <row r="21" spans="1:30" s="5" customFormat="1" ht="15" customHeight="1" x14ac:dyDescent="0.3">
      <c r="A21" s="20" t="s">
        <v>10</v>
      </c>
      <c r="B21" s="14">
        <f ca="1">INDIRECT("'("&amp;$A$4&amp;")'!C19")</f>
        <v>5373</v>
      </c>
      <c r="C21" s="14">
        <f ca="1">INDIRECT("'("&amp;$A$4&amp;")'!d19")</f>
        <v>4622.25</v>
      </c>
      <c r="D21" s="14">
        <f ca="1">INDIRECT("'("&amp;$A$4&amp;")'!e19")</f>
        <v>1279</v>
      </c>
      <c r="E21" s="14">
        <f ca="1">INDIRECT("'("&amp;$A$4&amp;")'!f19")</f>
        <v>1083.2</v>
      </c>
      <c r="F21" s="14">
        <f ca="1">INDIRECT("'("&amp;$A$4&amp;")'!g19")</f>
        <v>3135</v>
      </c>
      <c r="G21" s="14">
        <f ca="1">INDIRECT("'("&amp;$A$4&amp;")'!h19")</f>
        <v>2213.33</v>
      </c>
      <c r="H21" s="14">
        <f ca="1">INDIRECT("'("&amp;$A$4&amp;")'!i19")</f>
        <v>792</v>
      </c>
      <c r="I21" s="14">
        <f ca="1">INDIRECT("'("&amp;$A$4&amp;")'!j19")</f>
        <v>178.6</v>
      </c>
      <c r="K21" s="11"/>
      <c r="L21" s="11"/>
      <c r="N21" s="13"/>
      <c r="O21" s="13"/>
      <c r="P21" s="13"/>
      <c r="Q21" s="13"/>
      <c r="R21" s="13"/>
      <c r="T21" s="12"/>
      <c r="U21" s="12"/>
      <c r="V21" s="12"/>
      <c r="W21" s="12"/>
      <c r="X21" s="12"/>
      <c r="Y21" s="12"/>
      <c r="Z21" s="12"/>
      <c r="AA21" s="12"/>
      <c r="AB21" s="12"/>
      <c r="AC21" s="12"/>
      <c r="AD21" s="12"/>
    </row>
    <row r="22" spans="1:30" s="5" customFormat="1" ht="15" customHeight="1" x14ac:dyDescent="0.3">
      <c r="A22" s="4" t="s">
        <v>11</v>
      </c>
      <c r="B22" s="14">
        <f ca="1">INDIRECT("'("&amp;$A$4&amp;")'!C20")</f>
        <v>10070</v>
      </c>
      <c r="C22" s="14">
        <f ca="1">INDIRECT("'("&amp;$A$4&amp;")'!d20")</f>
        <v>20140</v>
      </c>
      <c r="D22" s="14">
        <f ca="1">INDIRECT("'("&amp;$A$4&amp;")'!e20")</f>
        <v>5244</v>
      </c>
      <c r="E22" s="14">
        <f ca="1">INDIRECT("'("&amp;$A$4&amp;")'!f20")</f>
        <v>10488</v>
      </c>
      <c r="F22" s="14">
        <f ca="1">INDIRECT("'("&amp;$A$4&amp;")'!g20")</f>
        <v>3754</v>
      </c>
      <c r="G22" s="14">
        <f ca="1">INDIRECT("'("&amp;$A$4&amp;")'!h20")</f>
        <v>7508</v>
      </c>
      <c r="H22" s="14">
        <f ca="1">INDIRECT("'("&amp;$A$4&amp;")'!i20")</f>
        <v>10</v>
      </c>
      <c r="I22" s="14">
        <f ca="1">INDIRECT("'("&amp;$A$4&amp;")'!j20")</f>
        <v>20</v>
      </c>
      <c r="K22" s="11"/>
      <c r="L22" s="11"/>
      <c r="N22" s="13"/>
      <c r="O22" s="13"/>
      <c r="P22" s="13"/>
      <c r="Q22" s="13"/>
      <c r="R22" s="13"/>
      <c r="T22" s="12"/>
      <c r="U22" s="12"/>
      <c r="V22" s="12"/>
      <c r="W22" s="12"/>
      <c r="X22" s="12"/>
      <c r="Y22" s="12"/>
      <c r="Z22" s="12"/>
      <c r="AA22" s="12"/>
      <c r="AB22" s="12"/>
      <c r="AC22" s="12"/>
      <c r="AD22" s="12"/>
    </row>
    <row r="23" spans="1:30" s="5" customFormat="1" ht="15" customHeight="1" x14ac:dyDescent="0.3">
      <c r="A23" s="4" t="s">
        <v>12</v>
      </c>
      <c r="B23" s="14">
        <f ca="1">INDIRECT("'("&amp;$A$4&amp;")'!C21")</f>
        <v>9531</v>
      </c>
      <c r="C23" s="14">
        <f ca="1">INDIRECT("'("&amp;$A$4&amp;")'!d21")</f>
        <v>15371.75</v>
      </c>
      <c r="D23" s="14">
        <f ca="1">INDIRECT("'("&amp;$A$4&amp;")'!e21")</f>
        <v>7384</v>
      </c>
      <c r="E23" s="14">
        <f ca="1">INDIRECT("'("&amp;$A$4&amp;")'!f21")</f>
        <v>11609.63</v>
      </c>
      <c r="F23" s="14">
        <f ca="1">INDIRECT("'("&amp;$A$4&amp;")'!g21")</f>
        <v>3352</v>
      </c>
      <c r="G23" s="14">
        <f ca="1">INDIRECT("'("&amp;$A$4&amp;")'!h21")</f>
        <v>5872.89</v>
      </c>
      <c r="H23" s="14">
        <f ca="1">INDIRECT("'("&amp;$A$4&amp;")'!i21")</f>
        <v>3881</v>
      </c>
      <c r="I23" s="14">
        <f ca="1">INDIRECT("'("&amp;$A$4&amp;")'!j21")</f>
        <v>4836.99</v>
      </c>
      <c r="K23" s="11"/>
      <c r="L23" s="11"/>
      <c r="N23" s="13"/>
      <c r="O23" s="13"/>
      <c r="P23" s="13"/>
      <c r="Q23" s="13"/>
      <c r="R23" s="13"/>
      <c r="T23" s="12"/>
      <c r="U23" s="12"/>
      <c r="V23" s="12"/>
      <c r="W23" s="12"/>
      <c r="X23" s="12"/>
      <c r="Y23" s="12"/>
      <c r="Z23" s="12"/>
      <c r="AA23" s="12"/>
      <c r="AB23" s="12"/>
      <c r="AC23" s="12"/>
      <c r="AD23" s="12"/>
    </row>
    <row r="24" spans="1:30" s="5" customFormat="1" ht="15" customHeight="1" x14ac:dyDescent="0.3">
      <c r="A24" s="4" t="s">
        <v>13</v>
      </c>
      <c r="B24" s="14">
        <f ca="1">INDIRECT("'("&amp;$A$4&amp;")'!C22")</f>
        <v>10864</v>
      </c>
      <c r="C24" s="14">
        <f ca="1">INDIRECT("'("&amp;$A$4&amp;")'!d22")</f>
        <v>13164</v>
      </c>
      <c r="D24" s="14">
        <f ca="1">INDIRECT("'("&amp;$A$4&amp;")'!e22")</f>
        <v>7103</v>
      </c>
      <c r="E24" s="14">
        <f ca="1">INDIRECT("'("&amp;$A$4&amp;")'!f22")</f>
        <v>9024</v>
      </c>
      <c r="F24" s="14">
        <f ca="1">INDIRECT("'("&amp;$A$4&amp;")'!g22")</f>
        <v>2217</v>
      </c>
      <c r="G24" s="14">
        <f ca="1">INDIRECT("'("&amp;$A$4&amp;")'!h22")</f>
        <v>2806</v>
      </c>
      <c r="H24" s="14">
        <f ca="1">INDIRECT("'("&amp;$A$4&amp;")'!i22")</f>
        <v>0</v>
      </c>
      <c r="I24" s="14">
        <f ca="1">INDIRECT("'("&amp;$A$4&amp;")'!j22")</f>
        <v>0</v>
      </c>
      <c r="K24" s="11"/>
      <c r="L24" s="11"/>
      <c r="N24" s="13"/>
      <c r="O24" s="13"/>
      <c r="P24" s="13"/>
      <c r="Q24" s="13"/>
      <c r="R24" s="13"/>
      <c r="T24" s="12"/>
      <c r="U24" s="12"/>
      <c r="V24" s="12"/>
      <c r="W24" s="12"/>
      <c r="X24" s="12"/>
      <c r="Y24" s="12"/>
      <c r="Z24" s="12"/>
      <c r="AA24" s="12"/>
      <c r="AB24" s="12"/>
      <c r="AC24" s="12"/>
      <c r="AD24" s="12"/>
    </row>
    <row r="25" spans="1:30" s="5" customFormat="1" ht="15" customHeight="1" x14ac:dyDescent="0.3">
      <c r="A25" s="4" t="s">
        <v>74</v>
      </c>
      <c r="B25" s="14">
        <f ca="1">INDIRECT("'("&amp;$A$4&amp;")'!C23")</f>
        <v>11783</v>
      </c>
      <c r="C25" s="14">
        <f ca="1">INDIRECT("'("&amp;$A$4&amp;")'!d23")</f>
        <v>15441</v>
      </c>
      <c r="D25" s="14">
        <f ca="1">INDIRECT("'("&amp;$A$4&amp;")'!e23")</f>
        <v>7779</v>
      </c>
      <c r="E25" s="14">
        <f ca="1">INDIRECT("'("&amp;$A$4&amp;")'!f23")</f>
        <v>10455</v>
      </c>
      <c r="F25" s="14" t="str">
        <f ca="1">INDIRECT("'("&amp;$A$4&amp;")'!g23")</f>
        <v>N/A</v>
      </c>
      <c r="G25" s="14" t="str">
        <f ca="1">INDIRECT("'("&amp;$A$4&amp;")'!h23")</f>
        <v>N/A</v>
      </c>
      <c r="H25" s="14">
        <f ca="1">INDIRECT("'("&amp;$A$4&amp;")'!i23")</f>
        <v>366</v>
      </c>
      <c r="I25" s="14">
        <f ca="1">INDIRECT("'("&amp;$A$4&amp;")'!j23")</f>
        <v>183</v>
      </c>
      <c r="K25" s="11"/>
      <c r="L25" s="11"/>
      <c r="N25" s="13"/>
      <c r="O25" s="13"/>
      <c r="P25" s="13"/>
      <c r="Q25" s="13"/>
      <c r="R25" s="13"/>
      <c r="T25" s="12"/>
      <c r="U25" s="12"/>
      <c r="V25" s="12"/>
      <c r="W25" s="12"/>
      <c r="X25" s="12"/>
      <c r="Y25" s="12"/>
      <c r="Z25" s="12"/>
      <c r="AA25" s="12"/>
      <c r="AB25" s="12"/>
      <c r="AC25" s="12"/>
      <c r="AD25" s="12"/>
    </row>
    <row r="26" spans="1:30" s="5" customFormat="1" ht="15" customHeight="1" x14ac:dyDescent="0.3">
      <c r="A26" s="4" t="s">
        <v>14</v>
      </c>
      <c r="B26" s="14">
        <f ca="1">INDIRECT("'("&amp;$A$4&amp;")'!C24")</f>
        <v>19545</v>
      </c>
      <c r="C26" s="14">
        <f ca="1">INDIRECT("'("&amp;$A$4&amp;")'!d24")</f>
        <v>14614</v>
      </c>
      <c r="D26" s="14">
        <f ca="1">INDIRECT("'("&amp;$A$4&amp;")'!e24")</f>
        <v>7072</v>
      </c>
      <c r="E26" s="14">
        <f ca="1">INDIRECT("'("&amp;$A$4&amp;")'!f24")</f>
        <v>5621</v>
      </c>
      <c r="F26" s="14">
        <f ca="1">INDIRECT("'("&amp;$A$4&amp;")'!g24")</f>
        <v>1196</v>
      </c>
      <c r="G26" s="14">
        <f ca="1">INDIRECT("'("&amp;$A$4&amp;")'!h24")</f>
        <v>1288</v>
      </c>
      <c r="H26" s="14">
        <f ca="1">INDIRECT("'("&amp;$A$4&amp;")'!i24")</f>
        <v>0</v>
      </c>
      <c r="I26" s="14">
        <f ca="1">INDIRECT("'("&amp;$A$4&amp;")'!j24")</f>
        <v>0</v>
      </c>
      <c r="K26" s="11"/>
      <c r="L26" s="11"/>
      <c r="N26" s="13"/>
      <c r="O26" s="13"/>
      <c r="P26" s="13"/>
      <c r="Q26" s="13"/>
      <c r="R26" s="13"/>
      <c r="T26" s="12"/>
      <c r="U26" s="12"/>
      <c r="V26" s="12"/>
      <c r="W26" s="12"/>
      <c r="X26" s="12"/>
      <c r="Y26" s="12"/>
      <c r="Z26" s="12"/>
      <c r="AA26" s="12"/>
      <c r="AB26" s="12"/>
      <c r="AC26" s="12"/>
      <c r="AD26" s="12"/>
    </row>
    <row r="27" spans="1:30" s="5" customFormat="1" ht="15" customHeight="1" x14ac:dyDescent="0.3">
      <c r="A27" s="4" t="s">
        <v>15</v>
      </c>
      <c r="B27" s="14">
        <f ca="1">INDIRECT("'("&amp;$A$4&amp;")'!C25")</f>
        <v>11019</v>
      </c>
      <c r="C27" s="14">
        <f ca="1">INDIRECT("'("&amp;$A$4&amp;")'!d25")</f>
        <v>18750</v>
      </c>
      <c r="D27" s="14">
        <f ca="1">INDIRECT("'("&amp;$A$4&amp;")'!e25")</f>
        <v>6794</v>
      </c>
      <c r="E27" s="14">
        <f ca="1">INDIRECT("'("&amp;$A$4&amp;")'!f25")</f>
        <v>10865</v>
      </c>
      <c r="F27" s="14">
        <f ca="1">INDIRECT("'("&amp;$A$4&amp;")'!g25")</f>
        <v>5441</v>
      </c>
      <c r="G27" s="14">
        <f ca="1">INDIRECT("'("&amp;$A$4&amp;")'!h25")</f>
        <v>8577</v>
      </c>
      <c r="H27" s="14">
        <f ca="1">INDIRECT("'("&amp;$A$4&amp;")'!i25")</f>
        <v>0</v>
      </c>
      <c r="I27" s="14">
        <f ca="1">INDIRECT("'("&amp;$A$4&amp;")'!j25")</f>
        <v>0</v>
      </c>
      <c r="K27" s="11"/>
      <c r="L27" s="11"/>
      <c r="N27" s="13"/>
      <c r="O27" s="13"/>
      <c r="P27" s="13"/>
      <c r="Q27" s="13"/>
      <c r="R27" s="13"/>
      <c r="T27" s="12"/>
      <c r="U27" s="12"/>
      <c r="V27" s="12"/>
      <c r="W27" s="12"/>
      <c r="X27" s="12"/>
      <c r="Y27" s="12"/>
      <c r="Z27" s="12"/>
      <c r="AA27" s="12"/>
      <c r="AB27" s="12"/>
      <c r="AC27" s="12"/>
      <c r="AD27" s="12"/>
    </row>
    <row r="28" spans="1:30" s="5" customFormat="1" ht="15" customHeight="1" x14ac:dyDescent="0.3">
      <c r="A28" s="4" t="s">
        <v>16</v>
      </c>
      <c r="B28" s="14">
        <f ca="1">INDIRECT("'("&amp;$A$4&amp;")'!C26")</f>
        <v>8513</v>
      </c>
      <c r="C28" s="14">
        <f ca="1">INDIRECT("'("&amp;$A$4&amp;")'!d26")</f>
        <v>27589</v>
      </c>
      <c r="D28" s="14">
        <f ca="1">INDIRECT("'("&amp;$A$4&amp;")'!e26")</f>
        <v>5003</v>
      </c>
      <c r="E28" s="14">
        <f ca="1">INDIRECT("'("&amp;$A$4&amp;")'!f26")</f>
        <v>16277</v>
      </c>
      <c r="F28" s="14">
        <f ca="1">INDIRECT("'("&amp;$A$4&amp;")'!g26")</f>
        <v>2435</v>
      </c>
      <c r="G28" s="14">
        <f ca="1">INDIRECT("'("&amp;$A$4&amp;")'!h26")</f>
        <v>7725</v>
      </c>
      <c r="H28" s="14">
        <f ca="1">INDIRECT("'("&amp;$A$4&amp;")'!i26")</f>
        <v>0</v>
      </c>
      <c r="I28" s="14">
        <f ca="1">INDIRECT("'("&amp;$A$4&amp;")'!j26")</f>
        <v>0</v>
      </c>
      <c r="K28" s="11"/>
      <c r="L28" s="11"/>
      <c r="N28" s="13"/>
      <c r="O28" s="13"/>
      <c r="P28" s="13"/>
      <c r="Q28" s="13"/>
      <c r="R28" s="13"/>
      <c r="T28" s="12"/>
      <c r="U28" s="12"/>
      <c r="V28" s="12"/>
      <c r="W28" s="12"/>
      <c r="X28" s="12"/>
      <c r="Y28" s="12"/>
      <c r="Z28" s="12"/>
      <c r="AA28" s="12"/>
      <c r="AB28" s="12"/>
      <c r="AC28" s="12"/>
      <c r="AD28" s="12"/>
    </row>
    <row r="29" spans="1:30" s="5" customFormat="1" ht="15" customHeight="1" x14ac:dyDescent="0.3">
      <c r="A29" s="4" t="s">
        <v>17</v>
      </c>
      <c r="B29" s="14">
        <f ca="1">INDIRECT("'("&amp;$A$4&amp;")'!C27")</f>
        <v>7649</v>
      </c>
      <c r="C29" s="14">
        <f ca="1">INDIRECT("'("&amp;$A$4&amp;")'!d27")</f>
        <v>13692</v>
      </c>
      <c r="D29" s="14">
        <f ca="1">INDIRECT("'("&amp;$A$4&amp;")'!e27")</f>
        <v>4151</v>
      </c>
      <c r="E29" s="14">
        <f ca="1">INDIRECT("'("&amp;$A$4&amp;")'!f27")</f>
        <v>7430</v>
      </c>
      <c r="F29" s="14">
        <f ca="1">INDIRECT("'("&amp;$A$4&amp;")'!g27")</f>
        <v>2860</v>
      </c>
      <c r="G29" s="14">
        <f ca="1">INDIRECT("'("&amp;$A$4&amp;")'!h27")</f>
        <v>5119</v>
      </c>
      <c r="H29" s="14">
        <f ca="1">INDIRECT("'("&amp;$A$4&amp;")'!i27")</f>
        <v>0</v>
      </c>
      <c r="I29" s="14">
        <f ca="1">INDIRECT("'("&amp;$A$4&amp;")'!j27")</f>
        <v>0</v>
      </c>
      <c r="K29" s="11"/>
      <c r="L29" s="11"/>
      <c r="N29" s="13"/>
      <c r="O29" s="13"/>
      <c r="P29" s="13"/>
      <c r="Q29" s="13"/>
      <c r="R29" s="13"/>
      <c r="T29" s="12"/>
      <c r="U29" s="12"/>
      <c r="V29" s="12"/>
      <c r="W29" s="12"/>
      <c r="X29" s="12"/>
      <c r="Y29" s="12"/>
      <c r="Z29" s="12"/>
      <c r="AA29" s="12"/>
      <c r="AB29" s="12"/>
      <c r="AC29" s="12"/>
      <c r="AD29" s="12"/>
    </row>
    <row r="30" spans="1:30" s="5" customFormat="1" ht="15" customHeight="1" x14ac:dyDescent="0.3">
      <c r="A30" s="4" t="s">
        <v>18</v>
      </c>
      <c r="B30" s="14">
        <f ca="1">INDIRECT("'("&amp;$A$4&amp;")'!C28")</f>
        <v>83331</v>
      </c>
      <c r="C30" s="14">
        <f ca="1">INDIRECT("'("&amp;$A$4&amp;")'!d28")</f>
        <v>153044</v>
      </c>
      <c r="D30" s="14">
        <f ca="1">INDIRECT("'("&amp;$A$4&amp;")'!e28")</f>
        <v>29731</v>
      </c>
      <c r="E30" s="14">
        <f ca="1">INDIRECT("'("&amp;$A$4&amp;")'!f28")</f>
        <v>57024</v>
      </c>
      <c r="F30" s="14">
        <f ca="1">INDIRECT("'("&amp;$A$4&amp;")'!g28")</f>
        <v>30672</v>
      </c>
      <c r="G30" s="14">
        <f ca="1">INDIRECT("'("&amp;$A$4&amp;")'!h28")</f>
        <v>60867</v>
      </c>
      <c r="H30" s="14">
        <f ca="1">INDIRECT("'("&amp;$A$4&amp;")'!i28")</f>
        <v>1471</v>
      </c>
      <c r="I30" s="14" t="str">
        <f ca="1">INDIRECT("'("&amp;$A$4&amp;")'!j28")</f>
        <v>N/A</v>
      </c>
      <c r="K30" s="11"/>
      <c r="L30" s="11"/>
      <c r="N30" s="13"/>
      <c r="O30" s="13"/>
      <c r="P30" s="13"/>
      <c r="Q30" s="13"/>
      <c r="R30" s="13"/>
      <c r="T30" s="12"/>
      <c r="U30" s="12"/>
      <c r="V30" s="12"/>
      <c r="W30" s="12"/>
      <c r="X30" s="12"/>
      <c r="Y30" s="12"/>
      <c r="Z30" s="12"/>
      <c r="AA30" s="12"/>
      <c r="AB30" s="12"/>
      <c r="AC30" s="12"/>
      <c r="AD30" s="12"/>
    </row>
    <row r="31" spans="1:30" s="5" customFormat="1" ht="15" customHeight="1" x14ac:dyDescent="0.3">
      <c r="A31" s="4" t="s">
        <v>19</v>
      </c>
      <c r="B31" s="14">
        <f ca="1">INDIRECT("'("&amp;$A$4&amp;")'!C29")</f>
        <v>33418</v>
      </c>
      <c r="C31" s="14">
        <f ca="1">INDIRECT("'("&amp;$A$4&amp;")'!d29")</f>
        <v>39659.5</v>
      </c>
      <c r="D31" s="14">
        <f ca="1">INDIRECT("'("&amp;$A$4&amp;")'!e29")</f>
        <v>11782</v>
      </c>
      <c r="E31" s="14">
        <f ca="1">INDIRECT("'("&amp;$A$4&amp;")'!f29")</f>
        <v>15058</v>
      </c>
      <c r="F31" s="14">
        <f ca="1">INDIRECT("'("&amp;$A$4&amp;")'!g29")</f>
        <v>2660</v>
      </c>
      <c r="G31" s="14">
        <f ca="1">INDIRECT("'("&amp;$A$4&amp;")'!h29")</f>
        <v>7833</v>
      </c>
      <c r="H31" s="14">
        <f ca="1">INDIRECT("'("&amp;$A$4&amp;")'!i29")</f>
        <v>0</v>
      </c>
      <c r="I31" s="14">
        <f ca="1">INDIRECT("'("&amp;$A$4&amp;")'!j29")</f>
        <v>0</v>
      </c>
      <c r="K31" s="11"/>
      <c r="L31" s="11"/>
      <c r="N31" s="13"/>
      <c r="O31" s="13"/>
      <c r="P31" s="13"/>
      <c r="Q31" s="13"/>
      <c r="R31" s="13"/>
      <c r="T31" s="12"/>
      <c r="U31" s="12"/>
      <c r="V31" s="12"/>
      <c r="W31" s="12"/>
      <c r="X31" s="12"/>
      <c r="Y31" s="12"/>
      <c r="Z31" s="12"/>
      <c r="AA31" s="12"/>
      <c r="AB31" s="12"/>
      <c r="AC31" s="12"/>
      <c r="AD31" s="12"/>
    </row>
    <row r="32" spans="1:30" s="5" customFormat="1" ht="15" customHeight="1" x14ac:dyDescent="0.3">
      <c r="A32" s="5" t="s">
        <v>20</v>
      </c>
      <c r="B32" s="14">
        <f ca="1">INDIRECT("'("&amp;$A$4&amp;")'!C30")</f>
        <v>5030</v>
      </c>
      <c r="C32" s="14">
        <f ca="1">INDIRECT("'("&amp;$A$4&amp;")'!d30")</f>
        <v>8593</v>
      </c>
      <c r="D32" s="14">
        <f ca="1">INDIRECT("'("&amp;$A$4&amp;")'!e30")</f>
        <v>3305</v>
      </c>
      <c r="E32" s="14">
        <f ca="1">INDIRECT("'("&amp;$A$4&amp;")'!f30")</f>
        <v>6917</v>
      </c>
      <c r="F32" s="14">
        <f ca="1">INDIRECT("'("&amp;$A$4&amp;")'!g30")</f>
        <v>17</v>
      </c>
      <c r="G32" s="14">
        <f ca="1">INDIRECT("'("&amp;$A$4&amp;")'!h30")</f>
        <v>60</v>
      </c>
      <c r="H32" s="14">
        <f ca="1">INDIRECT("'("&amp;$A$4&amp;")'!i30")</f>
        <v>133</v>
      </c>
      <c r="I32" s="14">
        <f ca="1">INDIRECT("'("&amp;$A$4&amp;")'!j30")</f>
        <v>68</v>
      </c>
      <c r="K32" s="11"/>
      <c r="L32" s="11"/>
      <c r="N32" s="13"/>
      <c r="O32" s="13"/>
      <c r="P32" s="13"/>
      <c r="Q32" s="13"/>
      <c r="R32" s="13"/>
      <c r="T32" s="12"/>
      <c r="U32" s="12"/>
      <c r="V32" s="12"/>
      <c r="W32" s="12"/>
      <c r="X32" s="12"/>
      <c r="Y32" s="12"/>
      <c r="Z32" s="12"/>
      <c r="AA32" s="12"/>
      <c r="AB32" s="12"/>
      <c r="AC32" s="12"/>
      <c r="AD32" s="12"/>
    </row>
    <row r="33" spans="1:30" s="5" customFormat="1" ht="15" customHeight="1" x14ac:dyDescent="0.3">
      <c r="A33" s="5" t="s">
        <v>21</v>
      </c>
      <c r="B33" s="14">
        <f ca="1">INDIRECT("'("&amp;$A$4&amp;")'!C31")</f>
        <v>4113</v>
      </c>
      <c r="C33" s="14">
        <f ca="1">INDIRECT("'("&amp;$A$4&amp;")'!d31")</f>
        <v>4485</v>
      </c>
      <c r="D33" s="14">
        <f ca="1">INDIRECT("'("&amp;$A$4&amp;")'!e31")</f>
        <v>2546</v>
      </c>
      <c r="E33" s="14">
        <f ca="1">INDIRECT("'("&amp;$A$4&amp;")'!f31")</f>
        <v>2885</v>
      </c>
      <c r="F33" s="14">
        <f ca="1">INDIRECT("'("&amp;$A$4&amp;")'!g31")</f>
        <v>1260</v>
      </c>
      <c r="G33" s="14">
        <f ca="1">INDIRECT("'("&amp;$A$4&amp;")'!h31")</f>
        <v>1537</v>
      </c>
      <c r="H33" s="14">
        <f ca="1">INDIRECT("'("&amp;$A$4&amp;")'!i31")</f>
        <v>0</v>
      </c>
      <c r="I33" s="14">
        <f ca="1">INDIRECT("'("&amp;$A$4&amp;")'!j31")</f>
        <v>0</v>
      </c>
      <c r="K33" s="11"/>
      <c r="L33" s="11"/>
      <c r="N33" s="13"/>
      <c r="O33" s="13"/>
      <c r="P33" s="13"/>
      <c r="Q33" s="13"/>
      <c r="R33" s="13"/>
      <c r="T33" s="12"/>
      <c r="U33" s="12"/>
      <c r="V33" s="12"/>
      <c r="W33" s="12"/>
      <c r="X33" s="12"/>
      <c r="Y33" s="12"/>
      <c r="Z33" s="12"/>
      <c r="AA33" s="12"/>
      <c r="AB33" s="12"/>
      <c r="AC33" s="12"/>
      <c r="AD33" s="12"/>
    </row>
    <row r="34" spans="1:30" s="5" customFormat="1" ht="15" customHeight="1" x14ac:dyDescent="0.3">
      <c r="A34" s="4" t="s">
        <v>22</v>
      </c>
      <c r="B34" s="14">
        <f ca="1">INDIRECT("'("&amp;$A$4&amp;")'!C32")</f>
        <v>3512</v>
      </c>
      <c r="C34" s="14">
        <f ca="1">INDIRECT("'("&amp;$A$4&amp;")'!d32")</f>
        <v>2613</v>
      </c>
      <c r="D34" s="14">
        <f ca="1">INDIRECT("'("&amp;$A$4&amp;")'!e32")</f>
        <v>1831</v>
      </c>
      <c r="E34" s="14">
        <f ca="1">INDIRECT("'("&amp;$A$4&amp;")'!f32")</f>
        <v>1430</v>
      </c>
      <c r="F34" s="14">
        <f ca="1">INDIRECT("'("&amp;$A$4&amp;")'!g32")</f>
        <v>444</v>
      </c>
      <c r="G34" s="14">
        <f ca="1">INDIRECT("'("&amp;$A$4&amp;")'!h32")</f>
        <v>384</v>
      </c>
      <c r="H34" s="14">
        <f ca="1">INDIRECT("'("&amp;$A$4&amp;")'!i32")</f>
        <v>2320</v>
      </c>
      <c r="I34" s="14">
        <f ca="1">INDIRECT("'("&amp;$A$4&amp;")'!j32")</f>
        <v>2589</v>
      </c>
      <c r="K34" s="11"/>
      <c r="L34" s="11"/>
      <c r="N34" s="13"/>
      <c r="O34" s="13"/>
      <c r="P34" s="13"/>
      <c r="Q34" s="13"/>
      <c r="R34" s="13"/>
      <c r="T34" s="12"/>
      <c r="U34" s="12"/>
      <c r="V34" s="12"/>
      <c r="W34" s="12"/>
      <c r="X34" s="12"/>
      <c r="Y34" s="12"/>
      <c r="Z34" s="12"/>
      <c r="AA34" s="12"/>
      <c r="AB34" s="12"/>
      <c r="AC34" s="12"/>
      <c r="AD34" s="12"/>
    </row>
    <row r="35" spans="1:30" s="5" customFormat="1" ht="15" customHeight="1" x14ac:dyDescent="0.3">
      <c r="A35" s="5" t="s">
        <v>23</v>
      </c>
      <c r="B35" s="14">
        <f ca="1">INDIRECT("'("&amp;$A$4&amp;")'!C33")</f>
        <v>5376</v>
      </c>
      <c r="C35" s="14">
        <f ca="1">INDIRECT("'("&amp;$A$4&amp;")'!d33")</f>
        <v>3982</v>
      </c>
      <c r="D35" s="14">
        <f ca="1">INDIRECT("'("&amp;$A$4&amp;")'!e33")</f>
        <v>2457</v>
      </c>
      <c r="E35" s="14">
        <f ca="1">INDIRECT("'("&amp;$A$4&amp;")'!f33")</f>
        <v>1744</v>
      </c>
      <c r="F35" s="14">
        <f ca="1">INDIRECT("'("&amp;$A$4&amp;")'!g33")</f>
        <v>1035</v>
      </c>
      <c r="G35" s="14">
        <f ca="1">INDIRECT("'("&amp;$A$4&amp;")'!h33")</f>
        <v>817</v>
      </c>
      <c r="H35" s="14">
        <f ca="1">INDIRECT("'("&amp;$A$4&amp;")'!i33")</f>
        <v>0</v>
      </c>
      <c r="I35" s="14">
        <f ca="1">INDIRECT("'("&amp;$A$4&amp;")'!j33")</f>
        <v>0</v>
      </c>
      <c r="K35" s="11"/>
      <c r="L35" s="11"/>
      <c r="N35" s="13"/>
      <c r="O35" s="13"/>
      <c r="P35" s="13"/>
      <c r="Q35" s="13"/>
      <c r="R35" s="13"/>
      <c r="T35" s="12"/>
      <c r="U35" s="12"/>
      <c r="V35" s="12"/>
      <c r="W35" s="12"/>
      <c r="X35" s="12"/>
      <c r="Y35" s="12"/>
      <c r="Z35" s="12"/>
      <c r="AA35" s="12"/>
      <c r="AB35" s="12"/>
      <c r="AC35" s="12"/>
      <c r="AD35" s="12"/>
    </row>
    <row r="36" spans="1:30" s="5" customFormat="1" ht="15" customHeight="1" x14ac:dyDescent="0.3">
      <c r="A36" s="5" t="s">
        <v>48</v>
      </c>
      <c r="B36" s="14">
        <f ca="1">INDIRECT("'("&amp;$A$4&amp;")'!C34")</f>
        <v>647</v>
      </c>
      <c r="C36" s="14">
        <f ca="1">INDIRECT("'("&amp;$A$4&amp;")'!d34")</f>
        <v>467</v>
      </c>
      <c r="D36" s="14">
        <f ca="1">INDIRECT("'("&amp;$A$4&amp;")'!e34")</f>
        <v>480</v>
      </c>
      <c r="E36" s="14">
        <f ca="1">INDIRECT("'("&amp;$A$4&amp;")'!f34")</f>
        <v>356</v>
      </c>
      <c r="F36" s="14" t="str">
        <f ca="1">INDIRECT("'("&amp;$A$4&amp;")'!g34")</f>
        <v>N/A</v>
      </c>
      <c r="G36" s="14" t="str">
        <f ca="1">INDIRECT("'("&amp;$A$4&amp;")'!h34")</f>
        <v>N/A</v>
      </c>
      <c r="H36" s="14">
        <f ca="1">INDIRECT("'("&amp;$A$4&amp;")'!i34")</f>
        <v>230</v>
      </c>
      <c r="I36" s="14">
        <f ca="1">INDIRECT("'("&amp;$A$4&amp;")'!j34")</f>
        <v>163</v>
      </c>
      <c r="K36" s="11"/>
      <c r="L36" s="11"/>
      <c r="N36" s="13"/>
      <c r="O36" s="13"/>
      <c r="P36" s="13"/>
      <c r="Q36" s="13"/>
      <c r="R36" s="13"/>
      <c r="T36" s="12"/>
      <c r="U36" s="12"/>
      <c r="V36" s="12"/>
      <c r="W36" s="12"/>
      <c r="X36" s="12"/>
      <c r="Y36" s="12"/>
      <c r="Z36" s="12"/>
      <c r="AA36" s="12"/>
      <c r="AB36" s="12"/>
      <c r="AC36" s="12"/>
      <c r="AD36" s="12"/>
    </row>
    <row r="37" spans="1:30" s="5" customFormat="1" ht="15" customHeight="1" x14ac:dyDescent="0.3">
      <c r="A37" s="5" t="s">
        <v>25</v>
      </c>
      <c r="B37" s="14">
        <f ca="1">INDIRECT("'("&amp;$A$4&amp;")'!C35")</f>
        <v>54</v>
      </c>
      <c r="C37" s="14">
        <f ca="1">INDIRECT("'("&amp;$A$4&amp;")'!d35")</f>
        <v>15</v>
      </c>
      <c r="D37" s="14">
        <f ca="1">INDIRECT("'("&amp;$A$4&amp;")'!e35")</f>
        <v>21</v>
      </c>
      <c r="E37" s="14">
        <f ca="1">INDIRECT("'("&amp;$A$4&amp;")'!f35")</f>
        <v>8</v>
      </c>
      <c r="F37" s="14">
        <f ca="1">INDIRECT("'("&amp;$A$4&amp;")'!g35")</f>
        <v>1</v>
      </c>
      <c r="G37" s="14">
        <f ca="1">INDIRECT("'("&amp;$A$4&amp;")'!h35")</f>
        <v>0.5</v>
      </c>
      <c r="H37" s="14">
        <f ca="1">INDIRECT("'("&amp;$A$4&amp;")'!i35")</f>
        <v>0</v>
      </c>
      <c r="I37" s="14">
        <f ca="1">INDIRECT("'("&amp;$A$4&amp;")'!j35")</f>
        <v>0</v>
      </c>
      <c r="K37" s="11"/>
      <c r="L37" s="11"/>
      <c r="N37" s="13"/>
      <c r="O37" s="13"/>
      <c r="P37" s="13"/>
      <c r="Q37" s="13"/>
      <c r="R37" s="13"/>
      <c r="T37" s="12"/>
      <c r="U37" s="12"/>
      <c r="V37" s="12"/>
      <c r="W37" s="12"/>
      <c r="X37" s="12"/>
      <c r="Y37" s="12"/>
      <c r="Z37" s="12"/>
      <c r="AA37" s="12"/>
      <c r="AB37" s="12"/>
      <c r="AC37" s="12"/>
      <c r="AD37" s="12"/>
    </row>
    <row r="38" spans="1:30" s="5" customFormat="1" ht="15" customHeight="1" x14ac:dyDescent="0.3">
      <c r="A38" s="5" t="s">
        <v>26</v>
      </c>
      <c r="B38" s="14">
        <f ca="1">INDIRECT("'("&amp;$A$4&amp;")'!C36")</f>
        <v>15933</v>
      </c>
      <c r="C38" s="14">
        <f ca="1">INDIRECT("'("&amp;$A$4&amp;")'!d36")</f>
        <v>23899.5</v>
      </c>
      <c r="D38" s="14">
        <f ca="1">INDIRECT("'("&amp;$A$4&amp;")'!e36")</f>
        <v>10050</v>
      </c>
      <c r="E38" s="14">
        <f ca="1">INDIRECT("'("&amp;$A$4&amp;")'!f36")</f>
        <v>15075</v>
      </c>
      <c r="F38" s="14">
        <f ca="1">INDIRECT("'("&amp;$A$4&amp;")'!g36")</f>
        <v>6510</v>
      </c>
      <c r="G38" s="14">
        <f ca="1">INDIRECT("'("&amp;$A$4&amp;")'!h36")</f>
        <v>9765</v>
      </c>
      <c r="H38" s="14">
        <f ca="1">INDIRECT("'("&amp;$A$4&amp;")'!i36")</f>
        <v>0</v>
      </c>
      <c r="I38" s="14">
        <f ca="1">INDIRECT("'("&amp;$A$4&amp;")'!j36")</f>
        <v>0</v>
      </c>
      <c r="K38" s="11"/>
      <c r="L38" s="11"/>
      <c r="N38" s="13"/>
      <c r="O38" s="13"/>
      <c r="P38" s="13"/>
      <c r="Q38" s="13"/>
      <c r="R38" s="13"/>
      <c r="T38" s="12"/>
      <c r="U38" s="12"/>
      <c r="V38" s="12"/>
      <c r="W38" s="12"/>
      <c r="X38" s="12"/>
      <c r="Y38" s="12"/>
      <c r="Z38" s="12"/>
      <c r="AA38" s="12"/>
      <c r="AB38" s="12"/>
      <c r="AC38" s="12"/>
      <c r="AD38" s="12"/>
    </row>
    <row r="39" spans="1:30" s="5" customFormat="1" ht="15" customHeight="1" x14ac:dyDescent="0.3">
      <c r="A39" s="5" t="s">
        <v>27</v>
      </c>
      <c r="B39" s="14">
        <f ca="1">INDIRECT("'("&amp;$A$4&amp;")'!C37")</f>
        <v>11954</v>
      </c>
      <c r="C39" s="14">
        <f ca="1">INDIRECT("'("&amp;$A$4&amp;")'!d37")</f>
        <v>21959</v>
      </c>
      <c r="D39" s="14">
        <f ca="1">INDIRECT("'("&amp;$A$4&amp;")'!e37")</f>
        <v>8507</v>
      </c>
      <c r="E39" s="14">
        <f ca="1">INDIRECT("'("&amp;$A$4&amp;")'!f37")</f>
        <v>14462</v>
      </c>
      <c r="F39" s="14">
        <f ca="1">INDIRECT("'("&amp;$A$4&amp;")'!g37")</f>
        <v>8131</v>
      </c>
      <c r="G39" s="14">
        <f ca="1">INDIRECT("'("&amp;$A$4&amp;")'!h37")</f>
        <v>13823</v>
      </c>
      <c r="H39" s="14">
        <f ca="1">INDIRECT("'("&amp;$A$4&amp;")'!i37")</f>
        <v>0</v>
      </c>
      <c r="I39" s="14">
        <f ca="1">INDIRECT("'("&amp;$A$4&amp;")'!j37")</f>
        <v>0</v>
      </c>
      <c r="K39" s="11"/>
      <c r="L39" s="11"/>
      <c r="N39" s="13"/>
      <c r="O39" s="13"/>
      <c r="P39" s="13"/>
      <c r="Q39" s="13"/>
      <c r="R39" s="13"/>
      <c r="T39" s="12"/>
      <c r="U39" s="12"/>
      <c r="V39" s="12"/>
      <c r="W39" s="12"/>
      <c r="X39" s="12"/>
      <c r="Y39" s="12"/>
      <c r="Z39" s="12"/>
      <c r="AA39" s="12"/>
      <c r="AB39" s="12"/>
      <c r="AC39" s="12"/>
      <c r="AD39" s="12"/>
    </row>
    <row r="40" spans="1:30" s="5" customFormat="1" ht="15" customHeight="1" x14ac:dyDescent="0.3">
      <c r="A40" s="4" t="s">
        <v>28</v>
      </c>
      <c r="B40" s="14">
        <f ca="1">INDIRECT("'("&amp;$A$4&amp;")'!C38")</f>
        <v>7926</v>
      </c>
      <c r="C40" s="14">
        <f ca="1">INDIRECT("'("&amp;$A$4&amp;")'!d38")</f>
        <v>13871</v>
      </c>
      <c r="D40" s="14">
        <f ca="1">INDIRECT("'("&amp;$A$4&amp;")'!e38")</f>
        <v>4743</v>
      </c>
      <c r="E40" s="14">
        <f ca="1">INDIRECT("'("&amp;$A$4&amp;")'!f38")</f>
        <v>8300</v>
      </c>
      <c r="F40" s="14">
        <f ca="1">INDIRECT("'("&amp;$A$4&amp;")'!g38")</f>
        <v>2299</v>
      </c>
      <c r="G40" s="14">
        <f ca="1">INDIRECT("'("&amp;$A$4&amp;")'!h38")</f>
        <v>4023</v>
      </c>
      <c r="H40" s="14">
        <f ca="1">INDIRECT("'("&amp;$A$4&amp;")'!i38")</f>
        <v>480</v>
      </c>
      <c r="I40" s="14">
        <f ca="1">INDIRECT("'("&amp;$A$4&amp;")'!j38")</f>
        <v>840</v>
      </c>
      <c r="K40" s="11"/>
      <c r="L40" s="11"/>
      <c r="N40" s="13"/>
      <c r="O40" s="13"/>
      <c r="P40" s="13"/>
      <c r="Q40" s="13"/>
      <c r="R40" s="13"/>
      <c r="T40" s="12"/>
      <c r="U40" s="12"/>
      <c r="V40" s="12"/>
      <c r="W40" s="12"/>
      <c r="X40" s="12"/>
      <c r="Y40" s="12"/>
      <c r="Z40" s="12"/>
      <c r="AA40" s="12"/>
      <c r="AB40" s="12"/>
      <c r="AC40" s="12"/>
      <c r="AD40" s="12"/>
    </row>
    <row r="41" spans="1:30" s="5" customFormat="1" ht="15" customHeight="1" x14ac:dyDescent="0.3">
      <c r="A41" s="4" t="s">
        <v>29</v>
      </c>
      <c r="B41" s="14">
        <f ca="1">INDIRECT("'("&amp;$A$4&amp;")'!C39")</f>
        <v>5274</v>
      </c>
      <c r="C41" s="14">
        <f ca="1">INDIRECT("'("&amp;$A$4&amp;")'!d39")</f>
        <v>4490</v>
      </c>
      <c r="D41" s="14">
        <f ca="1">INDIRECT("'("&amp;$A$4&amp;")'!e39")</f>
        <v>2044</v>
      </c>
      <c r="E41" s="14">
        <f ca="1">INDIRECT("'("&amp;$A$4&amp;")'!f39")</f>
        <v>2594</v>
      </c>
      <c r="F41" s="14">
        <f ca="1">INDIRECT("'("&amp;$A$4&amp;")'!g39")</f>
        <v>2031</v>
      </c>
      <c r="G41" s="14">
        <f ca="1">INDIRECT("'("&amp;$A$4&amp;")'!h39")</f>
        <v>2803</v>
      </c>
      <c r="H41" s="14">
        <f ca="1">INDIRECT("'("&amp;$A$4&amp;")'!i39")</f>
        <v>15</v>
      </c>
      <c r="I41" s="14">
        <f ca="1">INDIRECT("'("&amp;$A$4&amp;")'!j39")</f>
        <v>23</v>
      </c>
      <c r="K41" s="11"/>
      <c r="L41" s="11"/>
      <c r="N41" s="13"/>
      <c r="O41" s="13"/>
      <c r="P41" s="13"/>
      <c r="Q41" s="13"/>
      <c r="R41" s="13"/>
      <c r="T41" s="12"/>
      <c r="U41" s="12"/>
      <c r="V41" s="12"/>
      <c r="W41" s="12"/>
      <c r="X41" s="12"/>
      <c r="Y41" s="12"/>
      <c r="Z41" s="12"/>
      <c r="AA41" s="12"/>
      <c r="AB41" s="12"/>
      <c r="AC41" s="12"/>
      <c r="AD41" s="12"/>
    </row>
    <row r="42" spans="1:30" s="5" customFormat="1" ht="15" customHeight="1" x14ac:dyDescent="0.3">
      <c r="A42" s="4" t="s">
        <v>30</v>
      </c>
      <c r="B42" s="14">
        <f ca="1">INDIRECT("'("&amp;$A$4&amp;")'!C40")</f>
        <v>52564</v>
      </c>
      <c r="C42" s="14">
        <f ca="1">INDIRECT("'("&amp;$A$4&amp;")'!d40")</f>
        <v>83577</v>
      </c>
      <c r="D42" s="14">
        <f ca="1">INDIRECT("'("&amp;$A$4&amp;")'!e40")</f>
        <v>30932</v>
      </c>
      <c r="E42" s="14">
        <f ca="1">INDIRECT("'("&amp;$A$4&amp;")'!f40")</f>
        <v>49182</v>
      </c>
      <c r="F42" s="14">
        <f ca="1">INDIRECT("'("&amp;$A$4&amp;")'!g40")</f>
        <v>8745</v>
      </c>
      <c r="G42" s="14">
        <f ca="1">INDIRECT("'("&amp;$A$4&amp;")'!h40")</f>
        <v>13905</v>
      </c>
      <c r="H42" s="14">
        <f ca="1">INDIRECT("'("&amp;$A$4&amp;")'!i40")</f>
        <v>0</v>
      </c>
      <c r="I42" s="14">
        <f ca="1">INDIRECT("'("&amp;$A$4&amp;")'!j40")</f>
        <v>0</v>
      </c>
      <c r="K42" s="11"/>
      <c r="L42" s="11"/>
      <c r="N42" s="13"/>
      <c r="O42" s="13"/>
      <c r="P42" s="13"/>
      <c r="Q42" s="13"/>
      <c r="R42" s="13"/>
      <c r="T42" s="12"/>
      <c r="U42" s="12"/>
      <c r="V42" s="12"/>
      <c r="W42" s="12"/>
      <c r="X42" s="12"/>
      <c r="Y42" s="12"/>
      <c r="Z42" s="12"/>
      <c r="AA42" s="12"/>
      <c r="AB42" s="12"/>
      <c r="AC42" s="12"/>
      <c r="AD42" s="12"/>
    </row>
    <row r="43" spans="1:30" s="5" customFormat="1" ht="15" customHeight="1" x14ac:dyDescent="0.3">
      <c r="A43" s="4" t="s">
        <v>31</v>
      </c>
      <c r="B43" s="14">
        <f ca="1">INDIRECT("'("&amp;$A$4&amp;")'!C41")</f>
        <v>3751</v>
      </c>
      <c r="C43" s="14">
        <f ca="1">INDIRECT("'("&amp;$A$4&amp;")'!d41")</f>
        <v>3620.25</v>
      </c>
      <c r="D43" s="14">
        <f ca="1">INDIRECT("'("&amp;$A$4&amp;")'!e41")</f>
        <v>2047</v>
      </c>
      <c r="E43" s="14">
        <f ca="1">INDIRECT("'("&amp;$A$4&amp;")'!f41")</f>
        <v>1965</v>
      </c>
      <c r="F43" s="14" t="str">
        <f ca="1">INDIRECT("'("&amp;$A$4&amp;")'!g41")</f>
        <v>N/A</v>
      </c>
      <c r="G43" s="14" t="str">
        <f ca="1">INDIRECT("'("&amp;$A$4&amp;")'!h41")</f>
        <v>N/A</v>
      </c>
      <c r="H43" s="14">
        <f ca="1">INDIRECT("'("&amp;$A$4&amp;")'!i41")</f>
        <v>13</v>
      </c>
      <c r="I43" s="14">
        <f ca="1">INDIRECT("'("&amp;$A$4&amp;")'!j41")</f>
        <v>7.25</v>
      </c>
      <c r="K43" s="11"/>
      <c r="L43" s="11"/>
      <c r="N43" s="13"/>
      <c r="O43" s="13"/>
      <c r="P43" s="13"/>
      <c r="Q43" s="13"/>
      <c r="R43" s="13"/>
      <c r="T43" s="12"/>
      <c r="U43" s="12"/>
      <c r="V43" s="12"/>
      <c r="W43" s="12"/>
      <c r="X43" s="12"/>
      <c r="Y43" s="12"/>
      <c r="Z43" s="12"/>
      <c r="AA43" s="12"/>
      <c r="AB43" s="12"/>
      <c r="AC43" s="12"/>
      <c r="AD43" s="12"/>
    </row>
    <row r="44" spans="1:30" s="5" customFormat="1" ht="15" customHeight="1" x14ac:dyDescent="0.3">
      <c r="A44" s="4" t="s">
        <v>32</v>
      </c>
      <c r="B44" s="14">
        <f ca="1">INDIRECT("'("&amp;$A$4&amp;")'!C42")</f>
        <v>2956</v>
      </c>
      <c r="C44" s="14">
        <f ca="1">INDIRECT("'("&amp;$A$4&amp;")'!d42")</f>
        <v>4482</v>
      </c>
      <c r="D44" s="14">
        <f ca="1">INDIRECT("'("&amp;$A$4&amp;")'!e42")</f>
        <v>1905</v>
      </c>
      <c r="E44" s="14">
        <f ca="1">INDIRECT("'("&amp;$A$4&amp;")'!f42")</f>
        <v>2868</v>
      </c>
      <c r="F44" s="14">
        <f ca="1">INDIRECT("'("&amp;$A$4&amp;")'!g42")</f>
        <v>0</v>
      </c>
      <c r="G44" s="14">
        <f ca="1">INDIRECT("'("&amp;$A$4&amp;")'!h42")</f>
        <v>0</v>
      </c>
      <c r="H44" s="14">
        <f ca="1">INDIRECT("'("&amp;$A$4&amp;")'!i42")</f>
        <v>8</v>
      </c>
      <c r="I44" s="14">
        <f ca="1">INDIRECT("'("&amp;$A$4&amp;")'!j42")</f>
        <v>4</v>
      </c>
      <c r="K44" s="11"/>
      <c r="L44" s="11"/>
      <c r="N44" s="13"/>
      <c r="O44" s="13"/>
      <c r="P44" s="13"/>
      <c r="Q44" s="13"/>
      <c r="R44" s="13"/>
      <c r="T44" s="12"/>
      <c r="U44" s="12"/>
      <c r="V44" s="12"/>
      <c r="W44" s="12"/>
      <c r="X44" s="12"/>
      <c r="Y44" s="12"/>
      <c r="Z44" s="12"/>
      <c r="AA44" s="12"/>
      <c r="AB44" s="12"/>
      <c r="AC44" s="12"/>
      <c r="AD44" s="12"/>
    </row>
    <row r="45" spans="1:30" s="5" customFormat="1" ht="15" customHeight="1" x14ac:dyDescent="0.3">
      <c r="A45" s="4" t="s">
        <v>33</v>
      </c>
      <c r="B45" s="14">
        <f ca="1">INDIRECT("'("&amp;$A$4&amp;")'!C43")</f>
        <v>2445</v>
      </c>
      <c r="C45" s="14">
        <f ca="1">INDIRECT("'("&amp;$A$4&amp;")'!d43")</f>
        <v>1698</v>
      </c>
      <c r="D45" s="14">
        <f ca="1">INDIRECT("'("&amp;$A$4&amp;")'!e43")</f>
        <v>1390</v>
      </c>
      <c r="E45" s="14">
        <f ca="1">INDIRECT("'("&amp;$A$4&amp;")'!f43")</f>
        <v>926</v>
      </c>
      <c r="F45" s="14">
        <f ca="1">INDIRECT("'("&amp;$A$4&amp;")'!g43")</f>
        <v>412</v>
      </c>
      <c r="G45" s="14">
        <f ca="1">INDIRECT("'("&amp;$A$4&amp;")'!h43")</f>
        <v>274</v>
      </c>
      <c r="H45" s="14">
        <f ca="1">INDIRECT("'("&amp;$A$4&amp;")'!i43")</f>
        <v>44</v>
      </c>
      <c r="I45" s="14">
        <f ca="1">INDIRECT("'("&amp;$A$4&amp;")'!j43")</f>
        <v>44</v>
      </c>
      <c r="K45" s="11"/>
      <c r="L45" s="11"/>
      <c r="N45" s="13"/>
      <c r="O45" s="13"/>
      <c r="P45" s="13"/>
      <c r="Q45" s="13"/>
      <c r="R45" s="13"/>
      <c r="T45" s="12"/>
      <c r="U45" s="12"/>
      <c r="V45" s="12"/>
      <c r="W45" s="12"/>
      <c r="X45" s="12"/>
      <c r="Y45" s="12"/>
      <c r="Z45" s="12"/>
      <c r="AA45" s="12"/>
      <c r="AB45" s="12"/>
      <c r="AC45" s="12"/>
      <c r="AD45" s="12"/>
    </row>
    <row r="46" spans="1:30" s="5" customFormat="1" ht="15" customHeight="1" x14ac:dyDescent="0.3">
      <c r="A46" s="4" t="s">
        <v>34</v>
      </c>
      <c r="B46" s="14">
        <f ca="1">INDIRECT("'("&amp;$A$4&amp;")'!C44")</f>
        <v>7839</v>
      </c>
      <c r="C46" s="14">
        <f ca="1">INDIRECT("'("&amp;$A$4&amp;")'!d44")</f>
        <v>7646.5</v>
      </c>
      <c r="D46" s="14">
        <f ca="1">INDIRECT("'("&amp;$A$4&amp;")'!e44")</f>
        <v>4991</v>
      </c>
      <c r="E46" s="14">
        <f ca="1">INDIRECT("'("&amp;$A$4&amp;")'!f44")</f>
        <v>4878</v>
      </c>
      <c r="F46" s="14">
        <f ca="1">INDIRECT("'("&amp;$A$4&amp;")'!g44")</f>
        <v>1030</v>
      </c>
      <c r="G46" s="14">
        <f ca="1">INDIRECT("'("&amp;$A$4&amp;")'!h44")</f>
        <v>1319.25</v>
      </c>
      <c r="H46" s="14">
        <f ca="1">INDIRECT("'("&amp;$A$4&amp;")'!i44")</f>
        <v>4</v>
      </c>
      <c r="I46" s="14">
        <f ca="1">INDIRECT("'("&amp;$A$4&amp;")'!j44")</f>
        <v>2</v>
      </c>
      <c r="K46" s="11"/>
      <c r="L46" s="11"/>
      <c r="N46" s="13"/>
      <c r="O46" s="13"/>
      <c r="P46" s="13"/>
      <c r="Q46" s="13"/>
      <c r="R46" s="13"/>
      <c r="T46" s="12"/>
      <c r="U46" s="12"/>
      <c r="V46" s="12"/>
      <c r="W46" s="12"/>
      <c r="X46" s="12"/>
      <c r="Y46" s="12"/>
      <c r="Z46" s="12"/>
      <c r="AA46" s="12"/>
      <c r="AB46" s="12"/>
      <c r="AC46" s="12"/>
      <c r="AD46" s="12"/>
    </row>
    <row r="47" spans="1:30" s="5" customFormat="1" ht="15" customHeight="1" x14ac:dyDescent="0.3">
      <c r="A47" s="4" t="s">
        <v>35</v>
      </c>
      <c r="B47" s="29">
        <f ca="1">INDIRECT("'("&amp;$A$4&amp;")'!C45")</f>
        <v>3757</v>
      </c>
      <c r="C47" s="29">
        <f ca="1">INDIRECT("'("&amp;$A$4&amp;")'!d45")</f>
        <v>11344</v>
      </c>
      <c r="D47" s="29">
        <f ca="1">INDIRECT("'("&amp;$A$4&amp;")'!e45")</f>
        <v>1879</v>
      </c>
      <c r="E47" s="29">
        <f ca="1">INDIRECT("'("&amp;$A$4&amp;")'!f45")</f>
        <v>5715</v>
      </c>
      <c r="F47" s="29">
        <f ca="1">INDIRECT("'("&amp;$A$4&amp;")'!g45")</f>
        <v>1692</v>
      </c>
      <c r="G47" s="29">
        <f ca="1">INDIRECT("'("&amp;$A$4&amp;")'!h45")</f>
        <v>5696</v>
      </c>
      <c r="H47" s="29">
        <f ca="1">INDIRECT("'("&amp;$A$4&amp;")'!i45")</f>
        <v>571</v>
      </c>
      <c r="I47" s="29">
        <f ca="1">INDIRECT("'("&amp;$A$4&amp;")'!j45")</f>
        <v>879</v>
      </c>
      <c r="K47" s="11"/>
      <c r="L47" s="11"/>
      <c r="N47" s="13"/>
      <c r="O47" s="13"/>
      <c r="P47" s="13"/>
      <c r="Q47" s="13"/>
      <c r="R47" s="13"/>
      <c r="T47" s="12"/>
      <c r="U47" s="12"/>
      <c r="V47" s="12"/>
      <c r="W47" s="12"/>
      <c r="X47" s="12"/>
      <c r="Y47" s="12"/>
      <c r="Z47" s="12"/>
      <c r="AA47" s="12"/>
      <c r="AB47" s="12"/>
      <c r="AC47" s="12"/>
      <c r="AD47" s="12"/>
    </row>
    <row r="48" spans="1:30" s="5" customFormat="1" ht="15" customHeight="1" x14ac:dyDescent="0.3">
      <c r="A48" s="4" t="s">
        <v>36</v>
      </c>
      <c r="B48" s="14">
        <f ca="1">INDIRECT("'("&amp;$A$4&amp;")'!C46")</f>
        <v>2252</v>
      </c>
      <c r="C48" s="14">
        <f ca="1">INDIRECT("'("&amp;$A$4&amp;")'!d46")</f>
        <v>5593.5</v>
      </c>
      <c r="D48" s="14">
        <f ca="1">INDIRECT("'("&amp;$A$4&amp;")'!e46")</f>
        <v>1916</v>
      </c>
      <c r="E48" s="14">
        <f ca="1">INDIRECT("'("&amp;$A$4&amp;")'!f46")</f>
        <v>3723</v>
      </c>
      <c r="F48" s="14">
        <f ca="1">INDIRECT("'("&amp;$A$4&amp;")'!g46")</f>
        <v>6</v>
      </c>
      <c r="G48" s="14">
        <f ca="1">INDIRECT("'("&amp;$A$4&amp;")'!h46")</f>
        <v>12.75</v>
      </c>
      <c r="H48" s="14">
        <f ca="1">INDIRECT("'("&amp;$A$4&amp;")'!i46")</f>
        <v>13</v>
      </c>
      <c r="I48" s="14">
        <f ca="1">INDIRECT("'("&amp;$A$4&amp;")'!j46")</f>
        <v>13</v>
      </c>
      <c r="K48" s="11"/>
      <c r="L48" s="11"/>
      <c r="N48" s="13"/>
      <c r="O48" s="13"/>
      <c r="P48" s="13"/>
      <c r="Q48" s="13"/>
      <c r="R48" s="13"/>
      <c r="T48" s="12"/>
      <c r="U48" s="12"/>
      <c r="V48" s="12"/>
      <c r="W48" s="12"/>
      <c r="X48" s="12"/>
      <c r="Y48" s="12"/>
      <c r="Z48" s="12"/>
      <c r="AA48" s="12"/>
      <c r="AB48" s="12"/>
      <c r="AC48" s="12"/>
      <c r="AD48" s="12"/>
    </row>
    <row r="49" spans="1:30" s="5" customFormat="1" ht="15" customHeight="1" x14ac:dyDescent="0.3">
      <c r="A49" s="4" t="s">
        <v>37</v>
      </c>
      <c r="B49" s="14">
        <f ca="1">INDIRECT("'("&amp;$A$4&amp;")'!C47")</f>
        <v>4205</v>
      </c>
      <c r="C49" s="14">
        <f ca="1">INDIRECT("'("&amp;$A$4&amp;")'!d47")</f>
        <v>3889</v>
      </c>
      <c r="D49" s="14">
        <f ca="1">INDIRECT("'("&amp;$A$4&amp;")'!e47")</f>
        <v>3504</v>
      </c>
      <c r="E49" s="14">
        <f ca="1">INDIRECT("'("&amp;$A$4&amp;")'!f47")</f>
        <v>3419.95</v>
      </c>
      <c r="F49" s="14" t="str">
        <f ca="1">INDIRECT("'("&amp;$A$4&amp;")'!g47")</f>
        <v>N/A</v>
      </c>
      <c r="G49" s="14" t="str">
        <f ca="1">INDIRECT("'("&amp;$A$4&amp;")'!h47")</f>
        <v>N/A</v>
      </c>
      <c r="H49" s="14">
        <f ca="1">INDIRECT("'("&amp;$A$4&amp;")'!i47")</f>
        <v>546</v>
      </c>
      <c r="I49" s="14" t="str">
        <f ca="1">INDIRECT("'("&amp;$A$4&amp;")'!j47")</f>
        <v>N/A</v>
      </c>
      <c r="K49" s="11"/>
      <c r="L49" s="11"/>
      <c r="N49" s="13"/>
      <c r="O49" s="13"/>
      <c r="P49" s="13"/>
      <c r="Q49" s="13"/>
      <c r="R49" s="13"/>
      <c r="T49" s="12"/>
      <c r="U49" s="12"/>
      <c r="V49" s="12"/>
      <c r="W49" s="12"/>
      <c r="X49" s="12"/>
      <c r="Y49" s="12"/>
      <c r="Z49" s="12"/>
      <c r="AA49" s="12"/>
      <c r="AB49" s="12"/>
      <c r="AC49" s="12"/>
      <c r="AD49" s="12"/>
    </row>
    <row r="50" spans="1:30" s="5" customFormat="1" ht="15" customHeight="1" x14ac:dyDescent="0.3">
      <c r="A50" s="95" t="s">
        <v>38</v>
      </c>
      <c r="B50" s="29">
        <f ca="1">INDIRECT("'("&amp;$A$4&amp;")'!C48")</f>
        <v>20578</v>
      </c>
      <c r="C50" s="29">
        <f ca="1">INDIRECT("'("&amp;$A$4&amp;")'!d48")</f>
        <v>27368</v>
      </c>
      <c r="D50" s="29">
        <f ca="1">INDIRECT("'("&amp;$A$4&amp;")'!e48")</f>
        <v>7036</v>
      </c>
      <c r="E50" s="29">
        <f ca="1">INDIRECT("'("&amp;$A$4&amp;")'!f48")</f>
        <v>9358</v>
      </c>
      <c r="F50" s="29">
        <f ca="1">INDIRECT("'("&amp;$A$4&amp;")'!g48")</f>
        <v>4019</v>
      </c>
      <c r="G50" s="29">
        <f ca="1">INDIRECT("'("&amp;$A$4&amp;")'!h48")</f>
        <v>5345</v>
      </c>
      <c r="H50" s="29">
        <f ca="1">INDIRECT("'("&amp;$A$4&amp;")'!i48")</f>
        <v>478</v>
      </c>
      <c r="I50" s="29">
        <f ca="1">INDIRECT("'("&amp;$A$4&amp;")'!j48")</f>
        <v>315</v>
      </c>
      <c r="K50" s="11"/>
      <c r="L50" s="11"/>
      <c r="N50" s="13"/>
      <c r="O50" s="13"/>
      <c r="P50" s="13"/>
      <c r="Q50" s="13"/>
      <c r="R50" s="13"/>
      <c r="T50" s="12"/>
      <c r="U50" s="12"/>
      <c r="V50" s="12"/>
      <c r="W50" s="12"/>
      <c r="X50" s="12"/>
      <c r="Y50" s="12"/>
      <c r="Z50" s="12"/>
      <c r="AA50" s="12"/>
      <c r="AB50" s="12"/>
      <c r="AC50" s="12"/>
      <c r="AD50" s="12"/>
    </row>
    <row r="51" spans="1:30" s="5" customFormat="1" ht="15" customHeight="1" x14ac:dyDescent="0.3">
      <c r="A51" s="4" t="s">
        <v>39</v>
      </c>
      <c r="B51" s="14">
        <f ca="1">INDIRECT("'("&amp;$A$4&amp;")'!C49")</f>
        <v>25206</v>
      </c>
      <c r="C51" s="14" t="str">
        <f ca="1">INDIRECT("'("&amp;$A$4&amp;")'!d49")</f>
        <v>N/A</v>
      </c>
      <c r="D51" s="14">
        <f ca="1">INDIRECT("'("&amp;$A$4&amp;")'!e49")</f>
        <v>15199</v>
      </c>
      <c r="E51" s="14" t="str">
        <f ca="1">INDIRECT("'("&amp;$A$4&amp;")'!f49")</f>
        <v>N/A</v>
      </c>
      <c r="F51" s="14">
        <f ca="1">INDIRECT("'("&amp;$A$4&amp;")'!g49")</f>
        <v>2099</v>
      </c>
      <c r="G51" s="14" t="str">
        <f ca="1">INDIRECT("'("&amp;$A$4&amp;")'!h49")</f>
        <v>N/A</v>
      </c>
      <c r="H51" s="14">
        <f ca="1">INDIRECT("'("&amp;$A$4&amp;")'!i49")</f>
        <v>318</v>
      </c>
      <c r="I51" s="14" t="str">
        <f ca="1">INDIRECT("'("&amp;$A$4&amp;")'!j49")</f>
        <v>N/A</v>
      </c>
      <c r="K51" s="11"/>
      <c r="L51" s="11"/>
      <c r="N51" s="13"/>
      <c r="O51" s="13"/>
      <c r="P51" s="13"/>
      <c r="Q51" s="13"/>
      <c r="R51" s="13"/>
      <c r="T51" s="12"/>
      <c r="U51" s="12"/>
      <c r="V51" s="12"/>
      <c r="W51" s="12"/>
      <c r="X51" s="12"/>
      <c r="Y51" s="12"/>
      <c r="Z51" s="12"/>
      <c r="AA51" s="12"/>
      <c r="AB51" s="12"/>
      <c r="AC51" s="12"/>
      <c r="AD51" s="12"/>
    </row>
    <row r="52" spans="1:30" s="5" customFormat="1" ht="15" customHeight="1" x14ac:dyDescent="0.3">
      <c r="A52" s="4" t="s">
        <v>40</v>
      </c>
      <c r="B52" s="14">
        <f ca="1">INDIRECT("'("&amp;$A$4&amp;")'!C50")</f>
        <v>1310</v>
      </c>
      <c r="C52" s="14">
        <f ca="1">INDIRECT("'("&amp;$A$4&amp;")'!d50")</f>
        <v>2691</v>
      </c>
      <c r="D52" s="14">
        <f ca="1">INDIRECT("'("&amp;$A$4&amp;")'!e50")</f>
        <v>809</v>
      </c>
      <c r="E52" s="14">
        <f ca="1">INDIRECT("'("&amp;$A$4&amp;")'!f50")</f>
        <v>1879</v>
      </c>
      <c r="F52" s="14">
        <f ca="1">INDIRECT("'("&amp;$A$4&amp;")'!g50")</f>
        <v>159</v>
      </c>
      <c r="G52" s="14">
        <f ca="1">INDIRECT("'("&amp;$A$4&amp;")'!h50")</f>
        <v>410</v>
      </c>
      <c r="H52" s="14">
        <f ca="1">INDIRECT("'("&amp;$A$4&amp;")'!i50")</f>
        <v>0</v>
      </c>
      <c r="I52" s="14">
        <f ca="1">INDIRECT("'("&amp;$A$4&amp;")'!j50")</f>
        <v>0</v>
      </c>
      <c r="K52" s="11"/>
      <c r="L52" s="11"/>
      <c r="N52" s="13"/>
      <c r="O52" s="13"/>
      <c r="P52" s="13"/>
      <c r="Q52" s="13"/>
      <c r="R52" s="13"/>
      <c r="T52" s="12"/>
      <c r="U52" s="12"/>
      <c r="V52" s="12"/>
      <c r="W52" s="12"/>
      <c r="X52" s="12"/>
      <c r="Y52" s="12"/>
      <c r="Z52" s="12"/>
      <c r="AA52" s="12"/>
      <c r="AB52" s="12"/>
      <c r="AC52" s="12"/>
      <c r="AD52" s="12"/>
    </row>
    <row r="53" spans="1:30" s="5" customFormat="1" ht="15" customHeight="1" x14ac:dyDescent="0.3">
      <c r="A53" s="4" t="s">
        <v>41</v>
      </c>
      <c r="B53" s="14">
        <f ca="1">INDIRECT("'("&amp;$A$4&amp;")'!C51")</f>
        <v>3521</v>
      </c>
      <c r="C53" s="14">
        <f ca="1">INDIRECT("'("&amp;$A$4&amp;")'!d51")</f>
        <v>17848</v>
      </c>
      <c r="D53" s="14">
        <f ca="1">INDIRECT("'("&amp;$A$4&amp;")'!e51")</f>
        <v>2475</v>
      </c>
      <c r="E53" s="14">
        <f ca="1">INDIRECT("'("&amp;$A$4&amp;")'!f51")</f>
        <v>10182</v>
      </c>
      <c r="F53" s="14">
        <f ca="1">INDIRECT("'("&amp;$A$4&amp;")'!g51")</f>
        <v>1373</v>
      </c>
      <c r="G53" s="14">
        <f ca="1">INDIRECT("'("&amp;$A$4&amp;")'!h51")</f>
        <v>11843</v>
      </c>
      <c r="H53" s="14">
        <f ca="1">INDIRECT("'("&amp;$A$4&amp;")'!i51")</f>
        <v>887</v>
      </c>
      <c r="I53" s="14">
        <f ca="1">INDIRECT("'("&amp;$A$4&amp;")'!j51")</f>
        <v>3600</v>
      </c>
      <c r="K53" s="11"/>
      <c r="L53" s="11"/>
      <c r="N53" s="13"/>
      <c r="O53" s="13"/>
      <c r="P53" s="13"/>
      <c r="Q53" s="13"/>
      <c r="R53" s="13"/>
      <c r="T53" s="12"/>
      <c r="U53" s="12"/>
      <c r="V53" s="12"/>
      <c r="W53" s="12"/>
      <c r="X53" s="12"/>
      <c r="Y53" s="12"/>
      <c r="Z53" s="12"/>
      <c r="AA53" s="12"/>
      <c r="AB53" s="12"/>
      <c r="AC53" s="12"/>
      <c r="AD53" s="12"/>
    </row>
    <row r="54" spans="1:30" s="5" customFormat="1" ht="15" customHeight="1" x14ac:dyDescent="0.3">
      <c r="A54" s="4" t="s">
        <v>42</v>
      </c>
      <c r="B54" s="14">
        <f ca="1">INDIRECT("'("&amp;$A$4&amp;")'!C52")</f>
        <v>26134</v>
      </c>
      <c r="C54" s="14">
        <f ca="1">INDIRECT("'("&amp;$A$4&amp;")'!d52")</f>
        <v>14501</v>
      </c>
      <c r="D54" s="14">
        <f ca="1">INDIRECT("'("&amp;$A$4&amp;")'!e52")</f>
        <v>12996</v>
      </c>
      <c r="E54" s="14">
        <f ca="1">INDIRECT("'("&amp;$A$4&amp;")'!f52")</f>
        <v>7697</v>
      </c>
      <c r="F54" s="14">
        <f ca="1">INDIRECT("'("&amp;$A$4&amp;")'!g52")</f>
        <v>4962</v>
      </c>
      <c r="G54" s="14">
        <f ca="1">INDIRECT("'("&amp;$A$4&amp;")'!h52")</f>
        <v>3425</v>
      </c>
      <c r="H54" s="14">
        <f ca="1">INDIRECT("'("&amp;$A$4&amp;")'!i52")</f>
        <v>4958</v>
      </c>
      <c r="I54" s="14">
        <f ca="1">INDIRECT("'("&amp;$A$4&amp;")'!j52")</f>
        <v>982</v>
      </c>
      <c r="K54" s="11"/>
      <c r="L54" s="11"/>
      <c r="N54" s="13"/>
      <c r="O54" s="13"/>
      <c r="P54" s="13"/>
      <c r="Q54" s="13"/>
      <c r="R54" s="13"/>
      <c r="T54" s="12"/>
      <c r="U54" s="12"/>
      <c r="V54" s="12"/>
      <c r="W54" s="12"/>
      <c r="X54" s="12"/>
      <c r="Y54" s="12"/>
      <c r="Z54" s="12"/>
      <c r="AA54" s="12"/>
      <c r="AB54" s="12"/>
      <c r="AC54" s="12"/>
      <c r="AD54" s="12"/>
    </row>
    <row r="55" spans="1:30" s="5" customFormat="1" ht="15" customHeight="1" x14ac:dyDescent="0.3">
      <c r="A55" s="4" t="s">
        <v>43</v>
      </c>
      <c r="B55" s="14">
        <f ca="1">INDIRECT("'("&amp;$A$4&amp;")'!C53")</f>
        <v>4039</v>
      </c>
      <c r="C55" s="14">
        <f ca="1">INDIRECT("'("&amp;$A$4&amp;")'!d53")</f>
        <v>8078</v>
      </c>
      <c r="D55" s="14">
        <f ca="1">INDIRECT("'("&amp;$A$4&amp;")'!e53")</f>
        <v>2964</v>
      </c>
      <c r="E55" s="14">
        <f ca="1">INDIRECT("'("&amp;$A$4&amp;")'!f53")</f>
        <v>5928</v>
      </c>
      <c r="F55" s="14">
        <f ca="1">INDIRECT("'("&amp;$A$4&amp;")'!g53")</f>
        <v>686</v>
      </c>
      <c r="G55" s="14">
        <f ca="1">INDIRECT("'("&amp;$A$4&amp;")'!h53")</f>
        <v>1372</v>
      </c>
      <c r="H55" s="14">
        <f ca="1">INDIRECT("'("&amp;$A$4&amp;")'!i53")</f>
        <v>0</v>
      </c>
      <c r="I55" s="14">
        <f ca="1">INDIRECT("'("&amp;$A$4&amp;")'!j53")</f>
        <v>0</v>
      </c>
      <c r="K55" s="11"/>
      <c r="L55" s="11"/>
      <c r="N55" s="13"/>
      <c r="O55" s="13"/>
      <c r="P55" s="13"/>
      <c r="Q55" s="13"/>
      <c r="R55" s="13"/>
      <c r="T55" s="12"/>
      <c r="U55" s="12"/>
      <c r="V55" s="12"/>
      <c r="W55" s="12"/>
      <c r="X55" s="12"/>
      <c r="Y55" s="12"/>
      <c r="Z55" s="12"/>
      <c r="AA55" s="12"/>
      <c r="AB55" s="12"/>
      <c r="AC55" s="12"/>
      <c r="AD55" s="12"/>
    </row>
    <row r="56" spans="1:30" s="5" customFormat="1" ht="15" customHeight="1" x14ac:dyDescent="0.3">
      <c r="A56" s="4" t="s">
        <v>44</v>
      </c>
      <c r="B56" s="14">
        <f ca="1">INDIRECT("'("&amp;$A$4&amp;")'!C54")</f>
        <v>31576</v>
      </c>
      <c r="C56" s="14">
        <f ca="1">INDIRECT("'("&amp;$A$4&amp;")'!d54")</f>
        <v>119207</v>
      </c>
      <c r="D56" s="14">
        <f ca="1">INDIRECT("'("&amp;$A$4&amp;")'!e54")</f>
        <v>17539</v>
      </c>
      <c r="E56" s="14">
        <f ca="1">INDIRECT("'("&amp;$A$4&amp;")'!f54")</f>
        <v>66214</v>
      </c>
      <c r="F56" s="14">
        <f ca="1">INDIRECT("'("&amp;$A$4&amp;")'!g54")</f>
        <v>19761</v>
      </c>
      <c r="G56" s="14">
        <f ca="1">INDIRECT("'("&amp;$A$4&amp;")'!h54")</f>
        <v>74602</v>
      </c>
      <c r="H56" s="14">
        <f ca="1">INDIRECT("'("&amp;$A$4&amp;")'!i54")</f>
        <v>0</v>
      </c>
      <c r="I56" s="14">
        <f ca="1">INDIRECT("'("&amp;$A$4&amp;")'!j54")</f>
        <v>0</v>
      </c>
      <c r="J56" s="4"/>
      <c r="K56" s="11"/>
      <c r="L56" s="11"/>
      <c r="N56" s="13"/>
      <c r="O56" s="13"/>
      <c r="P56" s="13"/>
      <c r="Q56" s="13"/>
      <c r="R56" s="13"/>
      <c r="T56" s="12"/>
      <c r="U56" s="12"/>
      <c r="V56" s="12"/>
      <c r="W56" s="12"/>
      <c r="X56" s="12"/>
      <c r="Y56" s="12"/>
      <c r="Z56" s="12"/>
      <c r="AA56" s="12"/>
      <c r="AB56" s="12"/>
      <c r="AC56" s="12"/>
      <c r="AD56" s="12"/>
    </row>
    <row r="57" spans="1:30" s="5" customFormat="1" ht="15" customHeight="1" x14ac:dyDescent="0.3">
      <c r="A57" s="31" t="s">
        <v>45</v>
      </c>
      <c r="B57" s="14">
        <f ca="1">INDIRECT("'("&amp;$A$4&amp;")'!C55")</f>
        <v>6647</v>
      </c>
      <c r="C57" s="14">
        <f ca="1">INDIRECT("'("&amp;$A$4&amp;")'!d55")</f>
        <v>9534</v>
      </c>
      <c r="D57" s="14">
        <f ca="1">INDIRECT("'("&amp;$A$4&amp;")'!e55")</f>
        <v>5073</v>
      </c>
      <c r="E57" s="14">
        <f ca="1">INDIRECT("'("&amp;$A$4&amp;")'!f55")</f>
        <v>6922</v>
      </c>
      <c r="F57" s="14">
        <f ca="1">INDIRECT("'("&amp;$A$4&amp;")'!g55")</f>
        <v>1568</v>
      </c>
      <c r="G57" s="14">
        <f ca="1">INDIRECT("'("&amp;$A$4&amp;")'!h55")</f>
        <v>2612</v>
      </c>
      <c r="H57" s="14">
        <f ca="1">INDIRECT("'("&amp;$A$4&amp;")'!i55")</f>
        <v>0</v>
      </c>
      <c r="I57" s="14">
        <f ca="1">INDIRECT("'("&amp;$A$4&amp;")'!j55")</f>
        <v>0</v>
      </c>
      <c r="J57" s="4"/>
      <c r="K57" s="11"/>
      <c r="L57" s="11"/>
      <c r="N57" s="13"/>
      <c r="O57" s="13"/>
      <c r="P57" s="13"/>
      <c r="Q57" s="13"/>
      <c r="R57" s="13"/>
      <c r="T57" s="12"/>
      <c r="U57" s="12"/>
      <c r="V57" s="12"/>
      <c r="W57" s="12"/>
      <c r="X57" s="12"/>
      <c r="Y57" s="12"/>
      <c r="Z57" s="12"/>
      <c r="AA57" s="12"/>
      <c r="AB57" s="12"/>
      <c r="AC57" s="12"/>
      <c r="AD57" s="12"/>
    </row>
    <row r="58" spans="1:30" x14ac:dyDescent="0.3">
      <c r="A58" s="31" t="s">
        <v>46</v>
      </c>
      <c r="B58" s="14">
        <f ca="1">INDIRECT("'("&amp;$A$4&amp;")'!C56")</f>
        <v>18477</v>
      </c>
      <c r="C58" s="14">
        <f ca="1">INDIRECT("'("&amp;$A$4&amp;")'!d56")</f>
        <v>88283</v>
      </c>
      <c r="D58" s="14">
        <f ca="1">INDIRECT("'("&amp;$A$4&amp;")'!e56")</f>
        <v>9494</v>
      </c>
      <c r="E58" s="14">
        <f ca="1">INDIRECT("'("&amp;$A$4&amp;")'!f56")</f>
        <v>38171</v>
      </c>
      <c r="F58" s="14">
        <f ca="1">INDIRECT("'("&amp;$A$4&amp;")'!g56")</f>
        <v>7740</v>
      </c>
      <c r="G58" s="14">
        <f ca="1">INDIRECT("'("&amp;$A$4&amp;")'!h56")</f>
        <v>28728</v>
      </c>
      <c r="H58" s="14">
        <f ca="1">INDIRECT("'("&amp;$A$4&amp;")'!i56")</f>
        <v>27</v>
      </c>
      <c r="I58" s="14">
        <f ca="1">INDIRECT("'("&amp;$A$4&amp;")'!j56")</f>
        <v>39</v>
      </c>
      <c r="K58" s="11"/>
      <c r="L58" s="11"/>
      <c r="M58" s="11"/>
      <c r="N58" s="11"/>
      <c r="O58" s="11"/>
      <c r="P58" s="11"/>
      <c r="Q58" s="11"/>
      <c r="R58" s="11"/>
    </row>
    <row r="59" spans="1:30" s="5" customFormat="1" ht="15" customHeight="1" x14ac:dyDescent="0.3">
      <c r="A59" s="189"/>
      <c r="B59" s="189"/>
      <c r="C59" s="189"/>
      <c r="D59" s="189"/>
      <c r="E59" s="189"/>
      <c r="F59" s="189"/>
      <c r="G59" s="189"/>
      <c r="H59" s="189"/>
      <c r="I59" s="189"/>
      <c r="J59" s="4"/>
      <c r="K59" s="11"/>
      <c r="L59" s="11"/>
      <c r="M59" s="11"/>
      <c r="N59" s="11"/>
      <c r="O59" s="11"/>
      <c r="P59" s="11"/>
      <c r="Q59" s="11"/>
      <c r="R59" s="11"/>
    </row>
    <row r="60" spans="1:30" s="5" customFormat="1" ht="15" customHeight="1" x14ac:dyDescent="0.3">
      <c r="A60" s="190"/>
      <c r="B60" s="190"/>
      <c r="C60" s="190"/>
      <c r="D60" s="190"/>
      <c r="E60" s="190"/>
      <c r="F60" s="190"/>
      <c r="G60" s="190"/>
      <c r="H60" s="190"/>
      <c r="I60" s="190"/>
      <c r="J60" s="4"/>
      <c r="K60" s="11"/>
      <c r="L60" s="11"/>
      <c r="M60" s="11"/>
      <c r="N60" s="11"/>
      <c r="O60" s="11"/>
      <c r="P60" s="11"/>
      <c r="Q60" s="11"/>
      <c r="R60" s="11"/>
    </row>
    <row r="61" spans="1:30" s="5" customFormat="1" ht="15" customHeight="1" x14ac:dyDescent="0.3">
      <c r="A61" s="111"/>
      <c r="B61" s="31"/>
      <c r="C61" s="31"/>
      <c r="D61" s="31"/>
      <c r="E61" s="31"/>
      <c r="F61" s="31"/>
      <c r="G61" s="31"/>
      <c r="H61" s="31"/>
      <c r="I61" s="31"/>
      <c r="J61" s="4"/>
      <c r="K61" s="11"/>
      <c r="L61" s="11"/>
      <c r="M61" s="11"/>
      <c r="N61" s="11"/>
      <c r="O61" s="11"/>
      <c r="P61" s="11"/>
      <c r="Q61" s="11"/>
      <c r="R61" s="11"/>
    </row>
    <row r="62" spans="1:30" s="5" customFormat="1" ht="31.5" customHeight="1" x14ac:dyDescent="0.3">
      <c r="A62" s="189"/>
      <c r="B62" s="189"/>
      <c r="C62" s="189"/>
      <c r="D62" s="189"/>
      <c r="E62" s="189"/>
      <c r="F62" s="189"/>
      <c r="G62" s="189"/>
      <c r="H62" s="189"/>
      <c r="I62" s="189"/>
      <c r="J62" s="4"/>
      <c r="K62" s="11"/>
      <c r="L62" s="11"/>
      <c r="M62" s="11"/>
      <c r="N62" s="11"/>
      <c r="O62" s="11"/>
      <c r="P62" s="11"/>
      <c r="Q62" s="11"/>
      <c r="R62" s="11"/>
    </row>
    <row r="63" spans="1:30" s="5" customFormat="1" ht="15" customHeight="1" x14ac:dyDescent="0.3">
      <c r="A63" s="26"/>
      <c r="B63" s="26"/>
      <c r="C63" s="26"/>
      <c r="D63" s="26"/>
      <c r="E63" s="26"/>
      <c r="F63" s="26"/>
      <c r="G63" s="26"/>
      <c r="H63" s="26"/>
      <c r="I63" s="26"/>
      <c r="J63" s="4"/>
      <c r="K63" s="11"/>
      <c r="L63" s="11"/>
      <c r="M63" s="11"/>
      <c r="N63" s="11"/>
      <c r="O63" s="11"/>
      <c r="P63" s="11"/>
      <c r="Q63" s="11"/>
      <c r="R63" s="11"/>
    </row>
    <row r="64" spans="1:30" s="5" customFormat="1" ht="15" customHeight="1" x14ac:dyDescent="0.3">
      <c r="A64" s="4"/>
      <c r="B64" s="2"/>
      <c r="C64" s="2"/>
      <c r="D64" s="2"/>
      <c r="E64" s="2"/>
      <c r="F64" s="2"/>
      <c r="G64" s="2"/>
      <c r="H64" s="2"/>
      <c r="I64" s="2"/>
      <c r="J64" s="4"/>
    </row>
    <row r="65" spans="1:10" s="5" customFormat="1" ht="15" customHeight="1" x14ac:dyDescent="0.3">
      <c r="A65" s="18"/>
      <c r="B65" s="2"/>
      <c r="C65" s="2"/>
      <c r="D65" s="2"/>
      <c r="E65" s="2"/>
      <c r="F65" s="2"/>
      <c r="G65" s="2"/>
      <c r="H65" s="2"/>
      <c r="I65" s="2"/>
      <c r="J65" s="4"/>
    </row>
    <row r="66" spans="1:10" s="5" customFormat="1" ht="15" customHeight="1" x14ac:dyDescent="0.3">
      <c r="A66" s="18"/>
      <c r="B66" s="2"/>
      <c r="C66" s="2"/>
      <c r="D66" s="2"/>
      <c r="E66" s="2"/>
      <c r="F66" s="2"/>
      <c r="G66" s="2"/>
      <c r="H66" s="2"/>
      <c r="I66" s="2"/>
      <c r="J66" s="4"/>
    </row>
    <row r="67" spans="1:10" s="5" customFormat="1" x14ac:dyDescent="0.3">
      <c r="A67" s="184"/>
      <c r="B67" s="184"/>
      <c r="C67" s="184"/>
      <c r="D67" s="184"/>
      <c r="E67" s="184"/>
      <c r="F67" s="184"/>
      <c r="G67" s="184"/>
      <c r="H67" s="184"/>
      <c r="I67" s="184"/>
      <c r="J67" s="4"/>
    </row>
    <row r="69" spans="1:10" s="5" customFormat="1" x14ac:dyDescent="0.3">
      <c r="A69" s="4"/>
      <c r="B69" s="4"/>
      <c r="C69" s="4"/>
      <c r="D69" s="4"/>
      <c r="E69" s="4"/>
      <c r="F69" s="19"/>
      <c r="G69" s="19"/>
      <c r="H69" s="19"/>
      <c r="I69" s="19"/>
      <c r="J69" s="4"/>
    </row>
    <row r="70" spans="1:10" s="5" customFormat="1" x14ac:dyDescent="0.3">
      <c r="A70" s="18"/>
      <c r="B70" s="4"/>
      <c r="C70" s="4"/>
      <c r="D70" s="4"/>
      <c r="E70" s="4"/>
      <c r="F70" s="19"/>
      <c r="G70" s="19"/>
      <c r="H70" s="19"/>
      <c r="I70" s="19"/>
      <c r="J70" s="4"/>
    </row>
  </sheetData>
  <mergeCells count="11">
    <mergeCell ref="A67:I67"/>
    <mergeCell ref="A4:E4"/>
    <mergeCell ref="B5:E5"/>
    <mergeCell ref="A1:I1"/>
    <mergeCell ref="B6:C6"/>
    <mergeCell ref="D6:E6"/>
    <mergeCell ref="F6:G6"/>
    <mergeCell ref="H6:I6"/>
    <mergeCell ref="A59:I59"/>
    <mergeCell ref="A60:I60"/>
    <mergeCell ref="A62:I6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(2010-11)</vt:lpstr>
      <vt:lpstr>(2011-12)</vt:lpstr>
      <vt:lpstr>(2012-13)</vt:lpstr>
      <vt:lpstr>(2013-14)</vt:lpstr>
      <vt:lpstr>(2014-15)</vt:lpstr>
      <vt:lpstr>(2015-16)</vt:lpstr>
      <vt:lpstr>(2016-17)</vt:lpstr>
      <vt:lpstr>(2017-18)</vt:lpstr>
      <vt:lpstr>FIRE1201_historical_raw</vt:lpstr>
      <vt:lpstr>Cover_sheet</vt:lpstr>
      <vt:lpstr>Contents</vt:lpstr>
      <vt:lpstr>FIRE1201_historical</vt:lpstr>
      <vt:lpstr>2019-20</vt:lpstr>
      <vt:lpstr>2018-19</vt:lpstr>
      <vt:lpstr>FIRE1201_raw</vt:lpstr>
      <vt:lpstr>FIRE1201</vt:lpstr>
      <vt:lpstr>FIRE1201a_raw</vt:lpstr>
      <vt:lpstr>FIRE1201a</vt:lpstr>
      <vt:lpstr>Error check</vt:lpstr>
      <vt:lpstr>Little notes</vt:lpstr>
      <vt:lpstr>FRS geographical 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FIRE1201: Home fire risk checks carried out by fire and rescue services and partners, by fire and rescue authority</dc:title>
  <dc:creator/>
  <cp:keywords>data tables, home, fire, risk, 2020</cp:keywords>
  <cp:lastModifiedBy/>
  <dcterms:created xsi:type="dcterms:W3CDTF">2020-08-25T13:48:23Z</dcterms:created>
  <dcterms:modified xsi:type="dcterms:W3CDTF">2020-09-08T12:10:58Z</dcterms:modified>
</cp:coreProperties>
</file>