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defaultThemeVersion="166925"/>
  <mc:AlternateContent xmlns:mc="http://schemas.openxmlformats.org/markup-compatibility/2006">
    <mc:Choice Requires="x15">
      <x15ac:absPath xmlns:x15ac="http://schemas.microsoft.com/office/spreadsheetml/2010/11/ac" url="https://educationgovuk-my.sharepoint.com/personal/emma_gifford_education_gov_uk/Documents/Documents/Digi Comms role/Service Now tickets/13416/"/>
    </mc:Choice>
  </mc:AlternateContent>
  <xr:revisionPtr revIDLastSave="0" documentId="8_{BB5D0C00-CEC3-4242-8970-7D02C758C4CB}" xr6:coauthVersionLast="47" xr6:coauthVersionMax="47" xr10:uidLastSave="{00000000-0000-0000-0000-000000000000}"/>
  <bookViews>
    <workbookView xWindow="-98" yWindow="-98" windowWidth="22695" windowHeight="14595" tabRatio="912" firstSheet="1" activeTab="1" xr2:uid="{08BAFEE4-E2EB-4967-BE6E-EC77772B1D0F}"/>
  </bookViews>
  <sheets>
    <sheet name="Accessibility_Dropdowns_toHide" sheetId="36" state="hidden" r:id="rId1"/>
    <sheet name="Information" sheetId="1" r:id="rId2"/>
    <sheet name="National Details" sheetId="2" r:id="rId3"/>
    <sheet name="2022-23 Allocations" sheetId="9" r:id="rId4"/>
    <sheet name="2022-23 StepbyStep Allocations" sheetId="4" r:id="rId5"/>
    <sheet name="Individual LA" sheetId="5" r:id="rId6"/>
    <sheet name="2021-22 Baseline" sheetId="6" r:id="rId7"/>
    <sheet name="Historic Spend Factor" sheetId="38" r:id="rId8"/>
    <sheet name="Import|Export Adjustments Data" sheetId="7" r:id="rId9"/>
    <sheet name="AP Funding Factor" sheetId="8" r:id="rId10"/>
  </sheets>
  <externalReferences>
    <externalReference r:id="rId11"/>
  </externalReferences>
  <definedNames>
    <definedName name="___v2" localSheetId="3" hidden="1">[1]weekly!#REF!</definedName>
    <definedName name="___v2" hidden="1">[1]weekly!#REF!</definedName>
    <definedName name="__123Graph_ADUMMY" localSheetId="3" hidden="1">[1]weekly!#REF!</definedName>
    <definedName name="__123Graph_ADUMMY" hidden="1">[1]weekly!#REF!</definedName>
    <definedName name="__123Graph_AMAIN" localSheetId="3"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6" hidden="1">'2021-22 Baseline'!$A$8:$D$158</definedName>
    <definedName name="_xlnm._FilterDatabase" localSheetId="4" hidden="1">'2022-23 StepbyStep Allocations'!$A$8:$BU$8</definedName>
    <definedName name="_xlnm._FilterDatabase" localSheetId="9" hidden="1">'AP Funding Factor'!$B$8:$J$158</definedName>
    <definedName name="_xlnm._FilterDatabase" localSheetId="8" hidden="1">'Import|Export Adjustments Data'!$A$8:$Q$8</definedName>
    <definedName name="_Key1" localSheetId="3" hidden="1">#REF!</definedName>
    <definedName name="_Key1" hidden="1">#REF!</definedName>
    <definedName name="_Order1" hidden="1">0</definedName>
    <definedName name="_Sort" localSheetId="3" hidden="1">#REF!</definedName>
    <definedName name="_Sort" hidden="1">#REF!</definedName>
    <definedName name="_v2" localSheetId="3" hidden="1">[1]weekly!#REF!</definedName>
    <definedName name="_v2" hidden="1">[1]weekly!#REF!</definedName>
    <definedName name="Funding_Floor">'National Details'!$I$4</definedName>
    <definedName name="Gains_Cap">'National Details'!$I$5</definedName>
    <definedName name="LA_List">Accessibility_Dropdowns_toHide!$A$1:$A$150</definedName>
    <definedName name="Pal_Workbook_GUID" hidden="1">"KQLMPBLEGBTJMFGZIUGRU27J"</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olver_adj" localSheetId="2" hidden="1">'National Details'!$E$22</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2</definedName>
    <definedName name="solver_nod" localSheetId="2" hidden="1">2147483647</definedName>
    <definedName name="solver_num" localSheetId="2" hidden="1">0</definedName>
    <definedName name="solver_nwt" localSheetId="2" hidden="1">1</definedName>
    <definedName name="solver_opt" localSheetId="2" hidden="1">'National Details'!$I$6</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8" l="1"/>
  <c r="I43" i="8" s="1"/>
  <c r="P43" i="7"/>
  <c r="Q43" i="7" s="1"/>
  <c r="J43" i="7"/>
  <c r="R44" i="38"/>
  <c r="S44" i="38" s="1"/>
  <c r="M44" i="38"/>
  <c r="N44" i="38" s="1"/>
  <c r="J44" i="38"/>
  <c r="J43" i="6"/>
  <c r="F55" i="9"/>
  <c r="G55" i="9"/>
  <c r="H55" i="9"/>
  <c r="J55" i="9"/>
  <c r="AS43" i="4"/>
  <c r="AP43" i="4"/>
  <c r="AM43" i="4"/>
  <c r="AJ43" i="4"/>
  <c r="AF43" i="4"/>
  <c r="AC43" i="4"/>
  <c r="Z43" i="4"/>
  <c r="W43" i="4"/>
  <c r="T43" i="4"/>
  <c r="Q43" i="4"/>
  <c r="N43" i="4"/>
  <c r="K43" i="4"/>
  <c r="F43" i="4"/>
  <c r="H43" i="4" s="1"/>
  <c r="R20" i="38"/>
  <c r="R21" i="38"/>
  <c r="R22" i="38"/>
  <c r="R23" i="38"/>
  <c r="R24" i="38"/>
  <c r="R25" i="38"/>
  <c r="R26" i="38"/>
  <c r="R27" i="38"/>
  <c r="R28" i="38"/>
  <c r="R29" i="38"/>
  <c r="R30" i="38"/>
  <c r="R31" i="38"/>
  <c r="R32" i="38"/>
  <c r="R33" i="38"/>
  <c r="R34" i="38"/>
  <c r="R35" i="38"/>
  <c r="R36" i="38"/>
  <c r="R37" i="38"/>
  <c r="R38" i="38"/>
  <c r="R39" i="38"/>
  <c r="R40" i="38"/>
  <c r="R41" i="38"/>
  <c r="R42" i="38"/>
  <c r="R43" i="38"/>
  <c r="R45" i="38"/>
  <c r="R46" i="38"/>
  <c r="R47" i="38"/>
  <c r="R48" i="38"/>
  <c r="R49" i="38"/>
  <c r="R50" i="38"/>
  <c r="R51" i="38"/>
  <c r="R52" i="38"/>
  <c r="R53" i="38"/>
  <c r="R54" i="38"/>
  <c r="R55" i="38"/>
  <c r="R56" i="38"/>
  <c r="R57" i="38"/>
  <c r="R58" i="38"/>
  <c r="R59" i="38"/>
  <c r="R60" i="38"/>
  <c r="R61" i="38"/>
  <c r="R62" i="38"/>
  <c r="R63" i="38"/>
  <c r="R64" i="38"/>
  <c r="R65" i="38"/>
  <c r="R66" i="38"/>
  <c r="R67" i="38"/>
  <c r="R68" i="38"/>
  <c r="R69" i="38"/>
  <c r="R70" i="38"/>
  <c r="R71" i="38"/>
  <c r="R72" i="38"/>
  <c r="R73" i="38"/>
  <c r="R74" i="38"/>
  <c r="R75" i="38"/>
  <c r="R76" i="38"/>
  <c r="R77" i="38"/>
  <c r="R78" i="38"/>
  <c r="R79" i="38"/>
  <c r="R80" i="38"/>
  <c r="R81" i="38"/>
  <c r="R82" i="38"/>
  <c r="R83" i="38"/>
  <c r="R84" i="38"/>
  <c r="R85" i="38"/>
  <c r="R86" i="38"/>
  <c r="R87" i="38"/>
  <c r="R88" i="38"/>
  <c r="R89" i="38"/>
  <c r="R90" i="38"/>
  <c r="R91" i="38"/>
  <c r="R92" i="38"/>
  <c r="R93" i="38"/>
  <c r="R94" i="38"/>
  <c r="R95" i="38"/>
  <c r="R96" i="38"/>
  <c r="R97" i="38"/>
  <c r="R98" i="38"/>
  <c r="R99" i="38"/>
  <c r="R100" i="38"/>
  <c r="R101" i="38"/>
  <c r="R102" i="38"/>
  <c r="R103" i="38"/>
  <c r="R104" i="38"/>
  <c r="R105" i="38"/>
  <c r="R106" i="38"/>
  <c r="R107" i="38"/>
  <c r="R108" i="38"/>
  <c r="R109" i="38"/>
  <c r="R110" i="38"/>
  <c r="R111" i="38"/>
  <c r="R112" i="38"/>
  <c r="R113" i="38"/>
  <c r="R114" i="38"/>
  <c r="R115" i="38"/>
  <c r="R116" i="38"/>
  <c r="R117" i="38"/>
  <c r="R118" i="38"/>
  <c r="R119" i="38"/>
  <c r="R120" i="38"/>
  <c r="R121" i="38"/>
  <c r="R122" i="38"/>
  <c r="R123" i="38"/>
  <c r="R124" i="38"/>
  <c r="R125" i="38"/>
  <c r="R126" i="38"/>
  <c r="R127" i="38"/>
  <c r="R128" i="38"/>
  <c r="R129" i="38"/>
  <c r="R130" i="38"/>
  <c r="R131" i="38"/>
  <c r="R132" i="38"/>
  <c r="R133" i="38"/>
  <c r="R134" i="38"/>
  <c r="R135" i="38"/>
  <c r="R136" i="38"/>
  <c r="R137" i="38"/>
  <c r="R138" i="38"/>
  <c r="R139" i="38"/>
  <c r="R140" i="38"/>
  <c r="R141" i="38"/>
  <c r="R142" i="38"/>
  <c r="R143" i="38"/>
  <c r="R144" i="38"/>
  <c r="R145" i="38"/>
  <c r="R146" i="38"/>
  <c r="R147" i="38"/>
  <c r="R148" i="38"/>
  <c r="R149" i="38"/>
  <c r="R150" i="38"/>
  <c r="R151" i="38"/>
  <c r="R152" i="38"/>
  <c r="R153" i="38"/>
  <c r="R154" i="38"/>
  <c r="R155" i="38"/>
  <c r="R156" i="38"/>
  <c r="R157" i="38"/>
  <c r="R158" i="38"/>
  <c r="R159" i="38"/>
  <c r="R18" i="38"/>
  <c r="R19" i="38"/>
  <c r="R17" i="38"/>
  <c r="R10" i="38"/>
  <c r="R11" i="38"/>
  <c r="R12" i="38"/>
  <c r="R13" i="38"/>
  <c r="R14" i="38"/>
  <c r="R9" i="38"/>
  <c r="C151" i="5"/>
  <c r="T44" i="38" l="1"/>
  <c r="U44" i="38" s="1"/>
  <c r="C23" i="5" l="1"/>
  <c r="E171" i="9" l="1"/>
  <c r="L171" i="9"/>
  <c r="J14" i="6" l="1"/>
  <c r="AV14" i="4" s="1"/>
  <c r="J9" i="6"/>
  <c r="E14" i="2"/>
  <c r="G158" i="8" l="1"/>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2" i="8"/>
  <c r="G41" i="8"/>
  <c r="G40" i="8"/>
  <c r="G39" i="8"/>
  <c r="G38" i="8"/>
  <c r="G37" i="8"/>
  <c r="G36" i="8"/>
  <c r="G35" i="8"/>
  <c r="G34" i="8"/>
  <c r="G33" i="8"/>
  <c r="G32" i="8"/>
  <c r="G31" i="8"/>
  <c r="G30" i="8"/>
  <c r="G29" i="8"/>
  <c r="G28" i="8"/>
  <c r="G27" i="8"/>
  <c r="G26" i="8"/>
  <c r="G25" i="8"/>
  <c r="G24" i="8"/>
  <c r="G23" i="8"/>
  <c r="G22" i="8"/>
  <c r="G21" i="8"/>
  <c r="G20" i="8"/>
  <c r="G19" i="8"/>
  <c r="G17" i="8"/>
  <c r="G16" i="8"/>
  <c r="G15" i="8"/>
  <c r="G18" i="8"/>
  <c r="G14" i="8"/>
  <c r="G13" i="8"/>
  <c r="G12" i="8"/>
  <c r="G11" i="8"/>
  <c r="G10" i="8"/>
  <c r="G9" i="8"/>
  <c r="F7" i="5" l="1"/>
  <c r="F6" i="5"/>
  <c r="H132" i="5" l="1"/>
  <c r="G1" i="36"/>
  <c r="F59" i="5"/>
  <c r="F43" i="5"/>
  <c r="H135" i="5"/>
  <c r="F117" i="5"/>
  <c r="F91" i="5"/>
  <c r="H141" i="5"/>
  <c r="F35" i="5"/>
  <c r="F125" i="5"/>
  <c r="F67" i="5"/>
  <c r="F101" i="5"/>
  <c r="F75" i="5"/>
  <c r="F109" i="5"/>
  <c r="F51" i="5"/>
  <c r="F83" i="5"/>
  <c r="M162" i="5"/>
  <c r="H171" i="5"/>
  <c r="F159" i="4" l="1"/>
  <c r="J18" i="38" l="1"/>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J95" i="38"/>
  <c r="J96" i="38"/>
  <c r="J97" i="38"/>
  <c r="J98" i="38"/>
  <c r="J99" i="38"/>
  <c r="J100" i="38"/>
  <c r="J101" i="38"/>
  <c r="J102" i="38"/>
  <c r="J103" i="38"/>
  <c r="J104" i="38"/>
  <c r="J105" i="38"/>
  <c r="J106" i="38"/>
  <c r="J107" i="38"/>
  <c r="J108" i="38"/>
  <c r="J109" i="38"/>
  <c r="J110" i="38"/>
  <c r="J111" i="38"/>
  <c r="J112" i="38"/>
  <c r="J113" i="38"/>
  <c r="J114" i="38"/>
  <c r="J115" i="38"/>
  <c r="J116" i="38"/>
  <c r="J117" i="38"/>
  <c r="J119" i="38"/>
  <c r="J120" i="38"/>
  <c r="J121" i="38"/>
  <c r="J123" i="38"/>
  <c r="J124" i="38"/>
  <c r="J125" i="38"/>
  <c r="J126" i="38"/>
  <c r="J127" i="38"/>
  <c r="J128" i="38"/>
  <c r="J129" i="38"/>
  <c r="J130" i="38"/>
  <c r="J131" i="38"/>
  <c r="J132" i="38"/>
  <c r="J133" i="38"/>
  <c r="J134" i="38"/>
  <c r="J135" i="38"/>
  <c r="J136" i="38"/>
  <c r="J137" i="38"/>
  <c r="J138" i="38"/>
  <c r="J139" i="38"/>
  <c r="J140" i="38"/>
  <c r="J141" i="38"/>
  <c r="J142" i="38"/>
  <c r="J143" i="38"/>
  <c r="J144" i="38"/>
  <c r="J145" i="38"/>
  <c r="J146" i="38"/>
  <c r="J147" i="38"/>
  <c r="J148" i="38"/>
  <c r="J149" i="38"/>
  <c r="J150" i="38"/>
  <c r="J151" i="38"/>
  <c r="J152" i="38"/>
  <c r="J153" i="38"/>
  <c r="J154" i="38"/>
  <c r="J155" i="38"/>
  <c r="J156" i="38"/>
  <c r="J157" i="38"/>
  <c r="J158" i="38"/>
  <c r="J159" i="38"/>
  <c r="J17" i="38"/>
  <c r="J10" i="38"/>
  <c r="J11" i="38"/>
  <c r="J12" i="38"/>
  <c r="J13" i="38"/>
  <c r="J14" i="38"/>
  <c r="J9" i="38"/>
  <c r="F31" i="5"/>
  <c r="J14" i="7" l="1"/>
  <c r="P14" i="7"/>
  <c r="J15" i="7"/>
  <c r="P15" i="7"/>
  <c r="AY7" i="4"/>
  <c r="K11" i="4" l="1"/>
  <c r="F11" i="4"/>
  <c r="K75" i="4"/>
  <c r="F75" i="4"/>
  <c r="K91" i="4"/>
  <c r="F91" i="4"/>
  <c r="K123" i="4"/>
  <c r="F123" i="4"/>
  <c r="K131" i="4"/>
  <c r="F131" i="4"/>
  <c r="K139" i="4"/>
  <c r="F139" i="4"/>
  <c r="K147" i="4"/>
  <c r="F147" i="4"/>
  <c r="K155" i="4"/>
  <c r="F155" i="4"/>
  <c r="K12" i="4"/>
  <c r="F12" i="4"/>
  <c r="K20" i="4"/>
  <c r="F20" i="4"/>
  <c r="K28" i="4"/>
  <c r="F28" i="4"/>
  <c r="K36" i="4"/>
  <c r="F36" i="4"/>
  <c r="K52" i="4"/>
  <c r="F52" i="4"/>
  <c r="K60" i="4"/>
  <c r="F60" i="4"/>
  <c r="K68" i="4"/>
  <c r="F68" i="4"/>
  <c r="K76" i="4"/>
  <c r="F76" i="4"/>
  <c r="K84" i="4"/>
  <c r="F84" i="4"/>
  <c r="K92" i="4"/>
  <c r="F92" i="4"/>
  <c r="K100" i="4"/>
  <c r="F100" i="4"/>
  <c r="K108" i="4"/>
  <c r="F108" i="4"/>
  <c r="K116" i="4"/>
  <c r="F116" i="4"/>
  <c r="K124" i="4"/>
  <c r="F124" i="4"/>
  <c r="K132" i="4"/>
  <c r="F132" i="4"/>
  <c r="K140" i="4"/>
  <c r="F140" i="4"/>
  <c r="K148" i="4"/>
  <c r="F148" i="4"/>
  <c r="K156" i="4"/>
  <c r="F156" i="4"/>
  <c r="K44" i="4"/>
  <c r="F44" i="4"/>
  <c r="K99" i="4"/>
  <c r="F99" i="4"/>
  <c r="K29" i="4"/>
  <c r="F29" i="4"/>
  <c r="K37" i="4"/>
  <c r="F37" i="4"/>
  <c r="K69" i="4"/>
  <c r="F69" i="4"/>
  <c r="K109" i="4"/>
  <c r="F109" i="4"/>
  <c r="K141" i="4"/>
  <c r="F141" i="4"/>
  <c r="K157" i="4"/>
  <c r="F157" i="4"/>
  <c r="K14" i="4"/>
  <c r="F14" i="4"/>
  <c r="K22" i="4"/>
  <c r="F22" i="4"/>
  <c r="K30" i="4"/>
  <c r="F30" i="4"/>
  <c r="K38" i="4"/>
  <c r="F38" i="4"/>
  <c r="K46" i="4"/>
  <c r="F46" i="4"/>
  <c r="K54" i="4"/>
  <c r="F54" i="4"/>
  <c r="K62" i="4"/>
  <c r="F62" i="4"/>
  <c r="K70" i="4"/>
  <c r="F70" i="4"/>
  <c r="K78" i="4"/>
  <c r="F78" i="4"/>
  <c r="K86" i="4"/>
  <c r="F86" i="4"/>
  <c r="K94" i="4"/>
  <c r="F94" i="4"/>
  <c r="K102" i="4"/>
  <c r="F102" i="4"/>
  <c r="K110" i="4"/>
  <c r="F110" i="4"/>
  <c r="K118" i="4"/>
  <c r="F118" i="4"/>
  <c r="K126" i="4"/>
  <c r="F126" i="4"/>
  <c r="K134" i="4"/>
  <c r="F134" i="4"/>
  <c r="K142" i="4"/>
  <c r="F142" i="4"/>
  <c r="K150" i="4"/>
  <c r="F150" i="4"/>
  <c r="K158" i="4"/>
  <c r="F158" i="4"/>
  <c r="K27" i="4"/>
  <c r="F27" i="4"/>
  <c r="K67" i="4"/>
  <c r="F67" i="4"/>
  <c r="K115" i="4"/>
  <c r="F115" i="4"/>
  <c r="K61" i="4"/>
  <c r="F61" i="4"/>
  <c r="K85" i="4"/>
  <c r="F85" i="4"/>
  <c r="K125" i="4"/>
  <c r="F125" i="4"/>
  <c r="K18" i="4"/>
  <c r="F18" i="4"/>
  <c r="K23" i="4"/>
  <c r="F23" i="4"/>
  <c r="K31" i="4"/>
  <c r="F31" i="4"/>
  <c r="K39" i="4"/>
  <c r="F39" i="4"/>
  <c r="K47" i="4"/>
  <c r="F47" i="4"/>
  <c r="K55" i="4"/>
  <c r="F55" i="4"/>
  <c r="K63" i="4"/>
  <c r="F63" i="4"/>
  <c r="K71" i="4"/>
  <c r="F71" i="4"/>
  <c r="K79" i="4"/>
  <c r="F79" i="4"/>
  <c r="K87" i="4"/>
  <c r="F87" i="4"/>
  <c r="K95" i="4"/>
  <c r="F95" i="4"/>
  <c r="K103" i="4"/>
  <c r="F103" i="4"/>
  <c r="K111" i="4"/>
  <c r="F111" i="4"/>
  <c r="K119" i="4"/>
  <c r="F119" i="4"/>
  <c r="K127" i="4"/>
  <c r="F127" i="4"/>
  <c r="K135" i="4"/>
  <c r="F135" i="4"/>
  <c r="K143" i="4"/>
  <c r="F143" i="4"/>
  <c r="K151" i="4"/>
  <c r="F151" i="4"/>
  <c r="K51" i="4"/>
  <c r="F51" i="4"/>
  <c r="K107" i="4"/>
  <c r="F107" i="4"/>
  <c r="K21" i="4"/>
  <c r="F21" i="4"/>
  <c r="K53" i="4"/>
  <c r="F53" i="4"/>
  <c r="K101" i="4"/>
  <c r="F101" i="4"/>
  <c r="K133" i="4"/>
  <c r="F133" i="4"/>
  <c r="K15" i="4"/>
  <c r="F15" i="4"/>
  <c r="K24" i="4"/>
  <c r="F24" i="4"/>
  <c r="K32" i="4"/>
  <c r="F32" i="4"/>
  <c r="K40" i="4"/>
  <c r="F40" i="4"/>
  <c r="K48" i="4"/>
  <c r="F48" i="4"/>
  <c r="K56" i="4"/>
  <c r="F56" i="4"/>
  <c r="K64" i="4"/>
  <c r="F64" i="4"/>
  <c r="K72" i="4"/>
  <c r="F72" i="4"/>
  <c r="K80" i="4"/>
  <c r="F80" i="4"/>
  <c r="K88" i="4"/>
  <c r="F88" i="4"/>
  <c r="K96" i="4"/>
  <c r="F96" i="4"/>
  <c r="K104" i="4"/>
  <c r="F104" i="4"/>
  <c r="K112" i="4"/>
  <c r="F112" i="4"/>
  <c r="K120" i="4"/>
  <c r="F120" i="4"/>
  <c r="K128" i="4"/>
  <c r="F128" i="4"/>
  <c r="K136" i="4"/>
  <c r="F136" i="4"/>
  <c r="K144" i="4"/>
  <c r="F144" i="4"/>
  <c r="K152" i="4"/>
  <c r="F152" i="4"/>
  <c r="K59" i="4"/>
  <c r="F59" i="4"/>
  <c r="K83" i="4"/>
  <c r="F83" i="4"/>
  <c r="K13" i="4"/>
  <c r="F13" i="4"/>
  <c r="K45" i="4"/>
  <c r="F45" i="4"/>
  <c r="K77" i="4"/>
  <c r="F77" i="4"/>
  <c r="K93" i="4"/>
  <c r="F93" i="4"/>
  <c r="K117" i="4"/>
  <c r="F117" i="4"/>
  <c r="K149" i="4"/>
  <c r="F149" i="4"/>
  <c r="K16" i="4"/>
  <c r="F16" i="4"/>
  <c r="K25" i="4"/>
  <c r="F25" i="4"/>
  <c r="K33" i="4"/>
  <c r="F33" i="4"/>
  <c r="K41" i="4"/>
  <c r="F41" i="4"/>
  <c r="K49" i="4"/>
  <c r="F49" i="4"/>
  <c r="K57" i="4"/>
  <c r="F57" i="4"/>
  <c r="K65" i="4"/>
  <c r="F65" i="4"/>
  <c r="K73" i="4"/>
  <c r="F73" i="4"/>
  <c r="K81" i="4"/>
  <c r="F81" i="4"/>
  <c r="K89" i="4"/>
  <c r="F89" i="4"/>
  <c r="K97" i="4"/>
  <c r="F97" i="4"/>
  <c r="K105" i="4"/>
  <c r="F105" i="4"/>
  <c r="K113" i="4"/>
  <c r="F113" i="4"/>
  <c r="K121" i="4"/>
  <c r="F121" i="4"/>
  <c r="K129" i="4"/>
  <c r="F129" i="4"/>
  <c r="K137" i="4"/>
  <c r="F137" i="4"/>
  <c r="K145" i="4"/>
  <c r="F145" i="4"/>
  <c r="K153" i="4"/>
  <c r="F153" i="4"/>
  <c r="K19" i="4"/>
  <c r="F19" i="4"/>
  <c r="K35" i="4"/>
  <c r="F35" i="4"/>
  <c r="K10" i="4"/>
  <c r="F10" i="4"/>
  <c r="K17" i="4"/>
  <c r="F17" i="4"/>
  <c r="K26" i="4"/>
  <c r="F26" i="4"/>
  <c r="K34" i="4"/>
  <c r="F34" i="4"/>
  <c r="K42" i="4"/>
  <c r="F42" i="4"/>
  <c r="K50" i="4"/>
  <c r="F50" i="4"/>
  <c r="K58" i="4"/>
  <c r="F58" i="4"/>
  <c r="K66" i="4"/>
  <c r="F66" i="4"/>
  <c r="K74" i="4"/>
  <c r="F74" i="4"/>
  <c r="K82" i="4"/>
  <c r="F82" i="4"/>
  <c r="K90" i="4"/>
  <c r="F90" i="4"/>
  <c r="K98" i="4"/>
  <c r="F98" i="4"/>
  <c r="K106" i="4"/>
  <c r="F106" i="4"/>
  <c r="K114" i="4"/>
  <c r="F114" i="4"/>
  <c r="K122" i="4"/>
  <c r="F122" i="4"/>
  <c r="K130" i="4"/>
  <c r="F130" i="4"/>
  <c r="K138" i="4"/>
  <c r="F138" i="4"/>
  <c r="K146" i="4"/>
  <c r="F146" i="4"/>
  <c r="K154" i="4"/>
  <c r="F154" i="4"/>
  <c r="Q14" i="7"/>
  <c r="BG14" i="4" s="1"/>
  <c r="Q15" i="7"/>
  <c r="BG15" i="4" s="1"/>
  <c r="S14" i="38" l="1"/>
  <c r="M10" i="38"/>
  <c r="N10" i="38" s="1"/>
  <c r="S10" i="38"/>
  <c r="M11" i="38"/>
  <c r="N11" i="38" s="1"/>
  <c r="S11" i="38"/>
  <c r="M12" i="38"/>
  <c r="N12" i="38" s="1"/>
  <c r="S12" i="38"/>
  <c r="M13" i="38"/>
  <c r="N13" i="38" s="1"/>
  <c r="S13" i="38"/>
  <c r="M14" i="38"/>
  <c r="N14" i="38" s="1"/>
  <c r="M17" i="38"/>
  <c r="N17" i="38" s="1"/>
  <c r="S17" i="38"/>
  <c r="M18" i="38"/>
  <c r="N18" i="38" s="1"/>
  <c r="S18" i="38"/>
  <c r="M19" i="38"/>
  <c r="N19" i="38" s="1"/>
  <c r="S19" i="38"/>
  <c r="M20" i="38"/>
  <c r="N20" i="38" s="1"/>
  <c r="S20" i="38"/>
  <c r="M21" i="38"/>
  <c r="N21" i="38" s="1"/>
  <c r="S21" i="38"/>
  <c r="M22" i="38"/>
  <c r="N22" i="38" s="1"/>
  <c r="S22" i="38"/>
  <c r="M23" i="38"/>
  <c r="N23" i="38" s="1"/>
  <c r="S23" i="38"/>
  <c r="M24" i="38"/>
  <c r="N24" i="38" s="1"/>
  <c r="S24" i="38"/>
  <c r="M25" i="38"/>
  <c r="N25" i="38" s="1"/>
  <c r="S25" i="38"/>
  <c r="M26" i="38"/>
  <c r="N26" i="38" s="1"/>
  <c r="S26" i="38"/>
  <c r="M27" i="38"/>
  <c r="N27" i="38" s="1"/>
  <c r="S27" i="38"/>
  <c r="M28" i="38"/>
  <c r="N28" i="38" s="1"/>
  <c r="S28" i="38"/>
  <c r="M29" i="38"/>
  <c r="N29" i="38" s="1"/>
  <c r="S29" i="38"/>
  <c r="M30" i="38"/>
  <c r="N30" i="38" s="1"/>
  <c r="S30" i="38"/>
  <c r="M31" i="38"/>
  <c r="N31" i="38" s="1"/>
  <c r="S31" i="38"/>
  <c r="M32" i="38"/>
  <c r="N32" i="38" s="1"/>
  <c r="S32" i="38"/>
  <c r="M33" i="38"/>
  <c r="N33" i="38" s="1"/>
  <c r="S33" i="38"/>
  <c r="M34" i="38"/>
  <c r="N34" i="38" s="1"/>
  <c r="S34" i="38"/>
  <c r="M35" i="38"/>
  <c r="N35" i="38" s="1"/>
  <c r="S35" i="38"/>
  <c r="M36" i="38"/>
  <c r="N36" i="38" s="1"/>
  <c r="S36" i="38"/>
  <c r="M37" i="38"/>
  <c r="N37" i="38" s="1"/>
  <c r="S37" i="38"/>
  <c r="M38" i="38"/>
  <c r="N38" i="38" s="1"/>
  <c r="S38" i="38"/>
  <c r="M39" i="38"/>
  <c r="N39" i="38" s="1"/>
  <c r="S39" i="38"/>
  <c r="M40" i="38"/>
  <c r="N40" i="38" s="1"/>
  <c r="S40" i="38"/>
  <c r="M41" i="38"/>
  <c r="N41" i="38" s="1"/>
  <c r="S41" i="38"/>
  <c r="M42" i="38"/>
  <c r="N42" i="38" s="1"/>
  <c r="S42" i="38"/>
  <c r="M43" i="38"/>
  <c r="N43" i="38" s="1"/>
  <c r="S43" i="38"/>
  <c r="M45" i="38"/>
  <c r="N45" i="38" s="1"/>
  <c r="S45" i="38"/>
  <c r="M46" i="38"/>
  <c r="N46" i="38" s="1"/>
  <c r="S46" i="38"/>
  <c r="M47" i="38"/>
  <c r="N47" i="38" s="1"/>
  <c r="S47" i="38"/>
  <c r="M48" i="38"/>
  <c r="N48" i="38" s="1"/>
  <c r="S48" i="38"/>
  <c r="M49" i="38"/>
  <c r="N49" i="38" s="1"/>
  <c r="S49" i="38"/>
  <c r="M50" i="38"/>
  <c r="N50" i="38" s="1"/>
  <c r="S50" i="38"/>
  <c r="M51" i="38"/>
  <c r="N51" i="38" s="1"/>
  <c r="S51" i="38"/>
  <c r="M52" i="38"/>
  <c r="N52" i="38" s="1"/>
  <c r="S52" i="38"/>
  <c r="M53" i="38"/>
  <c r="N53" i="38" s="1"/>
  <c r="S53" i="38"/>
  <c r="M54" i="38"/>
  <c r="N54" i="38" s="1"/>
  <c r="S54" i="38"/>
  <c r="M55" i="38"/>
  <c r="N55" i="38" s="1"/>
  <c r="S55" i="38"/>
  <c r="M56" i="38"/>
  <c r="N56" i="38" s="1"/>
  <c r="S56" i="38"/>
  <c r="M57" i="38"/>
  <c r="N57" i="38" s="1"/>
  <c r="S57" i="38"/>
  <c r="M58" i="38"/>
  <c r="N58" i="38" s="1"/>
  <c r="S58" i="38"/>
  <c r="M59" i="38"/>
  <c r="N59" i="38" s="1"/>
  <c r="S59" i="38"/>
  <c r="M60" i="38"/>
  <c r="N60" i="38" s="1"/>
  <c r="S60" i="38"/>
  <c r="M61" i="38"/>
  <c r="N61" i="38" s="1"/>
  <c r="S61" i="38"/>
  <c r="M62" i="38"/>
  <c r="N62" i="38" s="1"/>
  <c r="S62" i="38"/>
  <c r="M63" i="38"/>
  <c r="N63" i="38" s="1"/>
  <c r="S63" i="38"/>
  <c r="M64" i="38"/>
  <c r="N64" i="38" s="1"/>
  <c r="S64" i="38"/>
  <c r="M65" i="38"/>
  <c r="N65" i="38" s="1"/>
  <c r="S65" i="38"/>
  <c r="M66" i="38"/>
  <c r="N66" i="38" s="1"/>
  <c r="S66" i="38"/>
  <c r="M67" i="38"/>
  <c r="N67" i="38" s="1"/>
  <c r="S67" i="38"/>
  <c r="M68" i="38"/>
  <c r="N68" i="38" s="1"/>
  <c r="S68" i="38"/>
  <c r="M69" i="38"/>
  <c r="N69" i="38" s="1"/>
  <c r="S69" i="38"/>
  <c r="M70" i="38"/>
  <c r="N70" i="38" s="1"/>
  <c r="S70" i="38"/>
  <c r="M71" i="38"/>
  <c r="N71" i="38" s="1"/>
  <c r="S71" i="38"/>
  <c r="M72" i="38"/>
  <c r="N72" i="38" s="1"/>
  <c r="S72" i="38"/>
  <c r="M73" i="38"/>
  <c r="N73" i="38" s="1"/>
  <c r="S73" i="38"/>
  <c r="M74" i="38"/>
  <c r="N74" i="38" s="1"/>
  <c r="S74" i="38"/>
  <c r="M75" i="38"/>
  <c r="N75" i="38" s="1"/>
  <c r="S75" i="38"/>
  <c r="M76" i="38"/>
  <c r="N76" i="38" s="1"/>
  <c r="S76" i="38"/>
  <c r="M77" i="38"/>
  <c r="N77" i="38" s="1"/>
  <c r="S77" i="38"/>
  <c r="M78" i="38"/>
  <c r="N78" i="38" s="1"/>
  <c r="S78" i="38"/>
  <c r="M79" i="38"/>
  <c r="N79" i="38" s="1"/>
  <c r="S79" i="38"/>
  <c r="M80" i="38"/>
  <c r="N80" i="38" s="1"/>
  <c r="S80" i="38"/>
  <c r="M81" i="38"/>
  <c r="N81" i="38" s="1"/>
  <c r="S81" i="38"/>
  <c r="M82" i="38"/>
  <c r="N82" i="38" s="1"/>
  <c r="S82" i="38"/>
  <c r="M83" i="38"/>
  <c r="N83" i="38" s="1"/>
  <c r="S83" i="38"/>
  <c r="M84" i="38"/>
  <c r="N84" i="38" s="1"/>
  <c r="S84" i="38"/>
  <c r="M85" i="38"/>
  <c r="N85" i="38" s="1"/>
  <c r="S85" i="38"/>
  <c r="M86" i="38"/>
  <c r="N86" i="38" s="1"/>
  <c r="S86" i="38"/>
  <c r="M87" i="38"/>
  <c r="N87" i="38" s="1"/>
  <c r="S87" i="38"/>
  <c r="M88" i="38"/>
  <c r="N88" i="38" s="1"/>
  <c r="S88" i="38"/>
  <c r="M89" i="38"/>
  <c r="N89" i="38" s="1"/>
  <c r="S89" i="38"/>
  <c r="M90" i="38"/>
  <c r="N90" i="38" s="1"/>
  <c r="S90" i="38"/>
  <c r="M91" i="38"/>
  <c r="N91" i="38" s="1"/>
  <c r="S91" i="38"/>
  <c r="M92" i="38"/>
  <c r="N92" i="38" s="1"/>
  <c r="S92" i="38"/>
  <c r="M93" i="38"/>
  <c r="N93" i="38" s="1"/>
  <c r="S93" i="38"/>
  <c r="M94" i="38"/>
  <c r="N94" i="38" s="1"/>
  <c r="S94" i="38"/>
  <c r="M95" i="38"/>
  <c r="N95" i="38" s="1"/>
  <c r="S95" i="38"/>
  <c r="M96" i="38"/>
  <c r="N96" i="38" s="1"/>
  <c r="S96" i="38"/>
  <c r="M97" i="38"/>
  <c r="N97" i="38" s="1"/>
  <c r="S97" i="38"/>
  <c r="M98" i="38"/>
  <c r="N98" i="38" s="1"/>
  <c r="S98" i="38"/>
  <c r="M99" i="38"/>
  <c r="N99" i="38" s="1"/>
  <c r="S99" i="38"/>
  <c r="M100" i="38"/>
  <c r="N100" i="38" s="1"/>
  <c r="S100" i="38"/>
  <c r="M101" i="38"/>
  <c r="N101" i="38" s="1"/>
  <c r="S101" i="38"/>
  <c r="M102" i="38"/>
  <c r="N102" i="38" s="1"/>
  <c r="S102" i="38"/>
  <c r="M103" i="38"/>
  <c r="N103" i="38" s="1"/>
  <c r="S103" i="38"/>
  <c r="M104" i="38"/>
  <c r="N104" i="38" s="1"/>
  <c r="S104" i="38"/>
  <c r="M105" i="38"/>
  <c r="N105" i="38" s="1"/>
  <c r="S105" i="38"/>
  <c r="M106" i="38"/>
  <c r="N106" i="38" s="1"/>
  <c r="S106" i="38"/>
  <c r="M107" i="38"/>
  <c r="N107" i="38" s="1"/>
  <c r="S107" i="38"/>
  <c r="M108" i="38"/>
  <c r="N108" i="38" s="1"/>
  <c r="S108" i="38"/>
  <c r="M109" i="38"/>
  <c r="N109" i="38" s="1"/>
  <c r="S109" i="38"/>
  <c r="M110" i="38"/>
  <c r="N110" i="38" s="1"/>
  <c r="S110" i="38"/>
  <c r="M111" i="38"/>
  <c r="N111" i="38" s="1"/>
  <c r="S111" i="38"/>
  <c r="M112" i="38"/>
  <c r="N112" i="38" s="1"/>
  <c r="S112" i="38"/>
  <c r="M113" i="38"/>
  <c r="N113" i="38" s="1"/>
  <c r="S113" i="38"/>
  <c r="M114" i="38"/>
  <c r="N114" i="38" s="1"/>
  <c r="S114" i="38"/>
  <c r="M115" i="38"/>
  <c r="N115" i="38" s="1"/>
  <c r="S115" i="38"/>
  <c r="M116" i="38"/>
  <c r="N116" i="38" s="1"/>
  <c r="S116" i="38"/>
  <c r="M117" i="38"/>
  <c r="N117" i="38" s="1"/>
  <c r="S117" i="38"/>
  <c r="M118" i="38"/>
  <c r="N118" i="38" s="1"/>
  <c r="S118" i="38"/>
  <c r="M119" i="38"/>
  <c r="N119" i="38" s="1"/>
  <c r="S119" i="38"/>
  <c r="M120" i="38"/>
  <c r="N120" i="38" s="1"/>
  <c r="S120" i="38"/>
  <c r="M121" i="38"/>
  <c r="N121" i="38" s="1"/>
  <c r="S121" i="38"/>
  <c r="M122" i="38"/>
  <c r="N122" i="38" s="1"/>
  <c r="S122" i="38"/>
  <c r="M123" i="38"/>
  <c r="N123" i="38" s="1"/>
  <c r="S123" i="38"/>
  <c r="M124" i="38"/>
  <c r="N124" i="38" s="1"/>
  <c r="S124" i="38"/>
  <c r="M125" i="38"/>
  <c r="N125" i="38" s="1"/>
  <c r="S125" i="38"/>
  <c r="M126" i="38"/>
  <c r="N126" i="38" s="1"/>
  <c r="S126" i="38"/>
  <c r="M127" i="38"/>
  <c r="N127" i="38" s="1"/>
  <c r="S127" i="38"/>
  <c r="M128" i="38"/>
  <c r="N128" i="38" s="1"/>
  <c r="S128" i="38"/>
  <c r="M129" i="38"/>
  <c r="N129" i="38" s="1"/>
  <c r="S129" i="38"/>
  <c r="M130" i="38"/>
  <c r="N130" i="38" s="1"/>
  <c r="S130" i="38"/>
  <c r="M131" i="38"/>
  <c r="N131" i="38" s="1"/>
  <c r="S131" i="38"/>
  <c r="M132" i="38"/>
  <c r="N132" i="38" s="1"/>
  <c r="S132" i="38"/>
  <c r="M133" i="38"/>
  <c r="N133" i="38" s="1"/>
  <c r="S133" i="38"/>
  <c r="M134" i="38"/>
  <c r="N134" i="38" s="1"/>
  <c r="S134" i="38"/>
  <c r="M135" i="38"/>
  <c r="N135" i="38" s="1"/>
  <c r="S135" i="38"/>
  <c r="M136" i="38"/>
  <c r="N136" i="38" s="1"/>
  <c r="S136" i="38"/>
  <c r="M137" i="38"/>
  <c r="N137" i="38" s="1"/>
  <c r="S137" i="38"/>
  <c r="M138" i="38"/>
  <c r="N138" i="38" s="1"/>
  <c r="S138" i="38"/>
  <c r="M139" i="38"/>
  <c r="N139" i="38" s="1"/>
  <c r="S139" i="38"/>
  <c r="M140" i="38"/>
  <c r="N140" i="38" s="1"/>
  <c r="S140" i="38"/>
  <c r="M141" i="38"/>
  <c r="N141" i="38" s="1"/>
  <c r="S141" i="38"/>
  <c r="M142" i="38"/>
  <c r="N142" i="38" s="1"/>
  <c r="S142" i="38"/>
  <c r="M143" i="38"/>
  <c r="N143" i="38" s="1"/>
  <c r="S143" i="38"/>
  <c r="M144" i="38"/>
  <c r="N144" i="38" s="1"/>
  <c r="S144" i="38"/>
  <c r="M145" i="38"/>
  <c r="N145" i="38" s="1"/>
  <c r="S145" i="38"/>
  <c r="M146" i="38"/>
  <c r="N146" i="38" s="1"/>
  <c r="S146" i="38"/>
  <c r="M147" i="38"/>
  <c r="N147" i="38" s="1"/>
  <c r="S147" i="38"/>
  <c r="M148" i="38"/>
  <c r="N148" i="38" s="1"/>
  <c r="S148" i="38"/>
  <c r="M149" i="38"/>
  <c r="N149" i="38" s="1"/>
  <c r="S149" i="38"/>
  <c r="M150" i="38"/>
  <c r="N150" i="38" s="1"/>
  <c r="S150" i="38"/>
  <c r="M151" i="38"/>
  <c r="N151" i="38" s="1"/>
  <c r="S151" i="38"/>
  <c r="M152" i="38"/>
  <c r="N152" i="38" s="1"/>
  <c r="S152" i="38"/>
  <c r="M153" i="38"/>
  <c r="N153" i="38" s="1"/>
  <c r="S153" i="38"/>
  <c r="M154" i="38"/>
  <c r="N154" i="38" s="1"/>
  <c r="S154" i="38"/>
  <c r="M155" i="38"/>
  <c r="N155" i="38" s="1"/>
  <c r="S155" i="38"/>
  <c r="M156" i="38"/>
  <c r="N156" i="38" s="1"/>
  <c r="S156" i="38"/>
  <c r="M157" i="38"/>
  <c r="N157" i="38" s="1"/>
  <c r="S157" i="38"/>
  <c r="M158" i="38"/>
  <c r="N158" i="38" s="1"/>
  <c r="S158" i="38"/>
  <c r="M159" i="38"/>
  <c r="N159" i="38" s="1"/>
  <c r="S159" i="38"/>
  <c r="M9" i="38"/>
  <c r="T40" i="38" l="1"/>
  <c r="U40" i="38" s="1"/>
  <c r="I39" i="4" s="1"/>
  <c r="T100" i="38"/>
  <c r="U100" i="38" s="1"/>
  <c r="I99" i="4" s="1"/>
  <c r="T121" i="38"/>
  <c r="U121" i="38" s="1"/>
  <c r="I120" i="4" s="1"/>
  <c r="T105" i="38"/>
  <c r="U105" i="38" s="1"/>
  <c r="I104" i="4" s="1"/>
  <c r="T68" i="38"/>
  <c r="U68" i="38" s="1"/>
  <c r="I67" i="4" s="1"/>
  <c r="T28" i="38"/>
  <c r="U28" i="38" s="1"/>
  <c r="I27" i="4" s="1"/>
  <c r="T128" i="38"/>
  <c r="U128" i="38" s="1"/>
  <c r="I127" i="4" s="1"/>
  <c r="T120" i="38"/>
  <c r="U120" i="38" s="1"/>
  <c r="I119" i="4" s="1"/>
  <c r="T112" i="38"/>
  <c r="U112" i="38" s="1"/>
  <c r="I111" i="4" s="1"/>
  <c r="T104" i="38"/>
  <c r="U104" i="38" s="1"/>
  <c r="I103" i="4" s="1"/>
  <c r="T92" i="38"/>
  <c r="U92" i="38" s="1"/>
  <c r="I91" i="4" s="1"/>
  <c r="T60" i="38"/>
  <c r="U60" i="38" s="1"/>
  <c r="I59" i="4" s="1"/>
  <c r="T56" i="38"/>
  <c r="U56" i="38" s="1"/>
  <c r="I55" i="4" s="1"/>
  <c r="T12" i="38"/>
  <c r="U12" i="38" s="1"/>
  <c r="I12" i="4" s="1"/>
  <c r="T64" i="38"/>
  <c r="U64" i="38" s="1"/>
  <c r="I63" i="4" s="1"/>
  <c r="T124" i="38"/>
  <c r="U124" i="38" s="1"/>
  <c r="I123" i="4" s="1"/>
  <c r="T108" i="38"/>
  <c r="U108" i="38" s="1"/>
  <c r="I107" i="4" s="1"/>
  <c r="T154" i="38"/>
  <c r="U154" i="38" s="1"/>
  <c r="I153" i="4" s="1"/>
  <c r="T127" i="38"/>
  <c r="U127" i="38" s="1"/>
  <c r="I126" i="4" s="1"/>
  <c r="T116" i="38"/>
  <c r="U116" i="38" s="1"/>
  <c r="I115" i="4" s="1"/>
  <c r="T19" i="38"/>
  <c r="U19" i="38" s="1"/>
  <c r="I17" i="4" s="1"/>
  <c r="T150" i="38"/>
  <c r="U150" i="38" s="1"/>
  <c r="I149" i="4" s="1"/>
  <c r="T138" i="38"/>
  <c r="U138" i="38" s="1"/>
  <c r="I137" i="4" s="1"/>
  <c r="T134" i="38"/>
  <c r="U134" i="38" s="1"/>
  <c r="I133" i="4" s="1"/>
  <c r="T96" i="38"/>
  <c r="U96" i="38" s="1"/>
  <c r="I95" i="4" s="1"/>
  <c r="T146" i="38"/>
  <c r="U146" i="38" s="1"/>
  <c r="I145" i="4" s="1"/>
  <c r="T76" i="38"/>
  <c r="U76" i="38" s="1"/>
  <c r="I75" i="4" s="1"/>
  <c r="T51" i="38"/>
  <c r="U51" i="38" s="1"/>
  <c r="I50" i="4" s="1"/>
  <c r="T20" i="38"/>
  <c r="U20" i="38" s="1"/>
  <c r="I19" i="4" s="1"/>
  <c r="T142" i="38"/>
  <c r="U142" i="38" s="1"/>
  <c r="I141" i="4" s="1"/>
  <c r="T130" i="38"/>
  <c r="U130" i="38" s="1"/>
  <c r="I129" i="4" s="1"/>
  <c r="T32" i="38"/>
  <c r="U32" i="38" s="1"/>
  <c r="I31" i="4" s="1"/>
  <c r="T141" i="38"/>
  <c r="U141" i="38" s="1"/>
  <c r="I140" i="4" s="1"/>
  <c r="T27" i="38"/>
  <c r="U27" i="38" s="1"/>
  <c r="I26" i="4" s="1"/>
  <c r="T149" i="38"/>
  <c r="U149" i="38" s="1"/>
  <c r="I148" i="4" s="1"/>
  <c r="T84" i="38"/>
  <c r="U84" i="38" s="1"/>
  <c r="I83" i="4" s="1"/>
  <c r="T69" i="38"/>
  <c r="U69" i="38" s="1"/>
  <c r="I68" i="4" s="1"/>
  <c r="T48" i="38"/>
  <c r="U48" i="38" s="1"/>
  <c r="I47" i="4" s="1"/>
  <c r="T63" i="38"/>
  <c r="U63" i="38" s="1"/>
  <c r="I62" i="4" s="1"/>
  <c r="T11" i="38"/>
  <c r="U11" i="38" s="1"/>
  <c r="I11" i="4" s="1"/>
  <c r="T38" i="38"/>
  <c r="U38" i="38" s="1"/>
  <c r="I37" i="4" s="1"/>
  <c r="T133" i="38"/>
  <c r="U133" i="38" s="1"/>
  <c r="I132" i="4" s="1"/>
  <c r="T80" i="38"/>
  <c r="U80" i="38" s="1"/>
  <c r="I79" i="4" s="1"/>
  <c r="T77" i="38"/>
  <c r="U77" i="38" s="1"/>
  <c r="I76" i="4" s="1"/>
  <c r="S9" i="38"/>
  <c r="T131" i="38"/>
  <c r="U131" i="38" s="1"/>
  <c r="I130" i="4" s="1"/>
  <c r="T78" i="38"/>
  <c r="U78" i="38" s="1"/>
  <c r="I77" i="4" s="1"/>
  <c r="T62" i="38"/>
  <c r="U62" i="38" s="1"/>
  <c r="I61" i="4" s="1"/>
  <c r="T17" i="38"/>
  <c r="U17" i="38" s="1"/>
  <c r="I15" i="4" s="1"/>
  <c r="T153" i="38"/>
  <c r="U153" i="38" s="1"/>
  <c r="I152" i="4" s="1"/>
  <c r="T148" i="38"/>
  <c r="U148" i="38" s="1"/>
  <c r="I147" i="4" s="1"/>
  <c r="T143" i="38"/>
  <c r="U143" i="38" s="1"/>
  <c r="I142" i="4" s="1"/>
  <c r="T113" i="38"/>
  <c r="U113" i="38" s="1"/>
  <c r="I112" i="4" s="1"/>
  <c r="T110" i="38"/>
  <c r="U110" i="38" s="1"/>
  <c r="I109" i="4" s="1"/>
  <c r="T97" i="38"/>
  <c r="U97" i="38" s="1"/>
  <c r="I96" i="4" s="1"/>
  <c r="T89" i="38"/>
  <c r="U89" i="38" s="1"/>
  <c r="I88" i="4" s="1"/>
  <c r="T86" i="38"/>
  <c r="U86" i="38" s="1"/>
  <c r="I85" i="4" s="1"/>
  <c r="T72" i="38"/>
  <c r="U72" i="38" s="1"/>
  <c r="I71" i="4" s="1"/>
  <c r="T26" i="38"/>
  <c r="U26" i="38" s="1"/>
  <c r="I25" i="4" s="1"/>
  <c r="T21" i="38"/>
  <c r="U21" i="38" s="1"/>
  <c r="I20" i="4" s="1"/>
  <c r="T30" i="38"/>
  <c r="U30" i="38" s="1"/>
  <c r="I29" i="4" s="1"/>
  <c r="T42" i="38"/>
  <c r="U42" i="38" s="1"/>
  <c r="I41" i="4" s="1"/>
  <c r="T145" i="38"/>
  <c r="U145" i="38" s="1"/>
  <c r="I144" i="4" s="1"/>
  <c r="T140" i="38"/>
  <c r="U140" i="38" s="1"/>
  <c r="I139" i="4" s="1"/>
  <c r="T135" i="38"/>
  <c r="U135" i="38" s="1"/>
  <c r="I134" i="4" s="1"/>
  <c r="T125" i="38"/>
  <c r="U125" i="38" s="1"/>
  <c r="I124" i="4" s="1"/>
  <c r="T122" i="38"/>
  <c r="U122" i="38" s="1"/>
  <c r="I121" i="4" s="1"/>
  <c r="T109" i="38"/>
  <c r="U109" i="38" s="1"/>
  <c r="I108" i="4" s="1"/>
  <c r="T106" i="38"/>
  <c r="U106" i="38" s="1"/>
  <c r="I105" i="4" s="1"/>
  <c r="T74" i="38"/>
  <c r="U74" i="38" s="1"/>
  <c r="I73" i="4" s="1"/>
  <c r="T50" i="38"/>
  <c r="U50" i="38" s="1"/>
  <c r="I49" i="4" s="1"/>
  <c r="T36" i="38"/>
  <c r="U36" i="38" s="1"/>
  <c r="I35" i="4" s="1"/>
  <c r="T35" i="38"/>
  <c r="U35" i="38" s="1"/>
  <c r="I34" i="4" s="1"/>
  <c r="T155" i="38"/>
  <c r="U155" i="38" s="1"/>
  <c r="I154" i="4" s="1"/>
  <c r="T157" i="38"/>
  <c r="U157" i="38" s="1"/>
  <c r="I156" i="4" s="1"/>
  <c r="T152" i="38"/>
  <c r="U152" i="38" s="1"/>
  <c r="I151" i="4" s="1"/>
  <c r="T147" i="38"/>
  <c r="U147" i="38" s="1"/>
  <c r="I146" i="4" s="1"/>
  <c r="T115" i="38"/>
  <c r="U115" i="38" s="1"/>
  <c r="I114" i="4" s="1"/>
  <c r="T99" i="38"/>
  <c r="U99" i="38" s="1"/>
  <c r="I98" i="4" s="1"/>
  <c r="T88" i="38"/>
  <c r="U88" i="38" s="1"/>
  <c r="I87" i="4" s="1"/>
  <c r="T82" i="38"/>
  <c r="U82" i="38" s="1"/>
  <c r="I81" i="4" s="1"/>
  <c r="T71" i="38"/>
  <c r="U71" i="38" s="1"/>
  <c r="I70" i="4" s="1"/>
  <c r="T66" i="38"/>
  <c r="U66" i="38" s="1"/>
  <c r="I65" i="4" s="1"/>
  <c r="T58" i="38"/>
  <c r="U58" i="38" s="1"/>
  <c r="I57" i="4" s="1"/>
  <c r="T52" i="38"/>
  <c r="U52" i="38" s="1"/>
  <c r="I51" i="4" s="1"/>
  <c r="T45" i="38"/>
  <c r="U45" i="38" s="1"/>
  <c r="I44" i="4" s="1"/>
  <c r="T41" i="38"/>
  <c r="U41" i="38" s="1"/>
  <c r="I40" i="4" s="1"/>
  <c r="T33" i="38"/>
  <c r="U33" i="38" s="1"/>
  <c r="I32" i="4" s="1"/>
  <c r="T139" i="38"/>
  <c r="U139" i="38" s="1"/>
  <c r="I138" i="4" s="1"/>
  <c r="T90" i="38"/>
  <c r="U90" i="38" s="1"/>
  <c r="I89" i="4" s="1"/>
  <c r="T46" i="38"/>
  <c r="U46" i="38" s="1"/>
  <c r="I45" i="4" s="1"/>
  <c r="T158" i="38"/>
  <c r="U158" i="38" s="1"/>
  <c r="I157" i="4" s="1"/>
  <c r="T94" i="38"/>
  <c r="U94" i="38" s="1"/>
  <c r="I93" i="4" s="1"/>
  <c r="T118" i="38"/>
  <c r="U118" i="38" s="1"/>
  <c r="I117" i="4" s="1"/>
  <c r="T102" i="38"/>
  <c r="U102" i="38" s="1"/>
  <c r="I101" i="4" s="1"/>
  <c r="T22" i="38"/>
  <c r="U22" i="38" s="1"/>
  <c r="I21" i="4" s="1"/>
  <c r="T18" i="38"/>
  <c r="U18" i="38" s="1"/>
  <c r="I16" i="4" s="1"/>
  <c r="T159" i="38"/>
  <c r="U159" i="38" s="1"/>
  <c r="I158" i="4" s="1"/>
  <c r="T156" i="38"/>
  <c r="U156" i="38" s="1"/>
  <c r="I155" i="4" s="1"/>
  <c r="T151" i="38"/>
  <c r="U151" i="38" s="1"/>
  <c r="I150" i="4" s="1"/>
  <c r="T129" i="38"/>
  <c r="U129" i="38" s="1"/>
  <c r="I128" i="4" s="1"/>
  <c r="T126" i="38"/>
  <c r="U126" i="38" s="1"/>
  <c r="I125" i="4" s="1"/>
  <c r="T117" i="38"/>
  <c r="U117" i="38" s="1"/>
  <c r="I116" i="4" s="1"/>
  <c r="T114" i="38"/>
  <c r="U114" i="38" s="1"/>
  <c r="I113" i="4" s="1"/>
  <c r="T101" i="38"/>
  <c r="U101" i="38" s="1"/>
  <c r="I100" i="4" s="1"/>
  <c r="T98" i="38"/>
  <c r="U98" i="38" s="1"/>
  <c r="I97" i="4" s="1"/>
  <c r="T95" i="38"/>
  <c r="U95" i="38" s="1"/>
  <c r="I94" i="4" s="1"/>
  <c r="T57" i="38"/>
  <c r="U57" i="38" s="1"/>
  <c r="I56" i="4" s="1"/>
  <c r="T54" i="38"/>
  <c r="U54" i="38" s="1"/>
  <c r="I53" i="4" s="1"/>
  <c r="T24" i="38"/>
  <c r="U24" i="38" s="1"/>
  <c r="I23" i="4" s="1"/>
  <c r="N9" i="38"/>
  <c r="T119" i="38"/>
  <c r="U119" i="38" s="1"/>
  <c r="I118" i="4" s="1"/>
  <c r="T103" i="38"/>
  <c r="U103" i="38" s="1"/>
  <c r="I102" i="4" s="1"/>
  <c r="T137" i="38"/>
  <c r="U137" i="38" s="1"/>
  <c r="I136" i="4" s="1"/>
  <c r="T144" i="38"/>
  <c r="U144" i="38" s="1"/>
  <c r="I143" i="4" s="1"/>
  <c r="T111" i="38"/>
  <c r="U111" i="38" s="1"/>
  <c r="I110" i="4" s="1"/>
  <c r="T132" i="38"/>
  <c r="U132" i="38" s="1"/>
  <c r="I131" i="4" s="1"/>
  <c r="T136" i="38"/>
  <c r="U136" i="38" s="1"/>
  <c r="I135" i="4" s="1"/>
  <c r="T123" i="38"/>
  <c r="U123" i="38" s="1"/>
  <c r="I122" i="4" s="1"/>
  <c r="T107" i="38"/>
  <c r="U107" i="38" s="1"/>
  <c r="I106" i="4" s="1"/>
  <c r="T73" i="38"/>
  <c r="U73" i="38" s="1"/>
  <c r="I72" i="4" s="1"/>
  <c r="T67" i="38"/>
  <c r="U67" i="38" s="1"/>
  <c r="I66" i="4" s="1"/>
  <c r="T37" i="38"/>
  <c r="U37" i="38" s="1"/>
  <c r="I36" i="4" s="1"/>
  <c r="T31" i="38"/>
  <c r="U31" i="38" s="1"/>
  <c r="I30" i="4" s="1"/>
  <c r="T13" i="38"/>
  <c r="U13" i="38" s="1"/>
  <c r="I13" i="4" s="1"/>
  <c r="T85" i="38"/>
  <c r="U85" i="38" s="1"/>
  <c r="I84" i="4" s="1"/>
  <c r="T79" i="38"/>
  <c r="U79" i="38" s="1"/>
  <c r="I78" i="4" s="1"/>
  <c r="T53" i="38"/>
  <c r="U53" i="38" s="1"/>
  <c r="I52" i="4" s="1"/>
  <c r="T49" i="38"/>
  <c r="U49" i="38" s="1"/>
  <c r="I48" i="4" s="1"/>
  <c r="T43" i="38"/>
  <c r="U43" i="38" s="1"/>
  <c r="I42" i="4" s="1"/>
  <c r="T75" i="38"/>
  <c r="U75" i="38" s="1"/>
  <c r="I74" i="4" s="1"/>
  <c r="I43" i="4"/>
  <c r="T39" i="38"/>
  <c r="U39" i="38" s="1"/>
  <c r="I38" i="4" s="1"/>
  <c r="T10" i="38"/>
  <c r="U10" i="38" s="1"/>
  <c r="I10" i="4" s="1"/>
  <c r="T83" i="38"/>
  <c r="U83" i="38" s="1"/>
  <c r="I82" i="4" s="1"/>
  <c r="T70" i="38"/>
  <c r="U70" i="38" s="1"/>
  <c r="I69" i="4" s="1"/>
  <c r="T47" i="38"/>
  <c r="U47" i="38" s="1"/>
  <c r="I46" i="4" s="1"/>
  <c r="T34" i="38"/>
  <c r="U34" i="38" s="1"/>
  <c r="I33" i="4" s="1"/>
  <c r="T81" i="38"/>
  <c r="U81" i="38" s="1"/>
  <c r="I80" i="4" s="1"/>
  <c r="T93" i="38"/>
  <c r="U93" i="38" s="1"/>
  <c r="I92" i="4" s="1"/>
  <c r="T87" i="38"/>
  <c r="U87" i="38" s="1"/>
  <c r="I86" i="4" s="1"/>
  <c r="T61" i="38"/>
  <c r="U61" i="38" s="1"/>
  <c r="I60" i="4" s="1"/>
  <c r="T55" i="38"/>
  <c r="U55" i="38" s="1"/>
  <c r="I54" i="4" s="1"/>
  <c r="T25" i="38"/>
  <c r="U25" i="38" s="1"/>
  <c r="I24" i="4" s="1"/>
  <c r="T14" i="38"/>
  <c r="U14" i="38" s="1"/>
  <c r="T91" i="38"/>
  <c r="U91" i="38" s="1"/>
  <c r="I90" i="4" s="1"/>
  <c r="T65" i="38"/>
  <c r="U65" i="38" s="1"/>
  <c r="I64" i="4" s="1"/>
  <c r="T59" i="38"/>
  <c r="U59" i="38" s="1"/>
  <c r="I58" i="4" s="1"/>
  <c r="T29" i="38"/>
  <c r="U29" i="38" s="1"/>
  <c r="I28" i="4" s="1"/>
  <c r="T23" i="38"/>
  <c r="U23" i="38" s="1"/>
  <c r="I22" i="4" s="1"/>
  <c r="U15" i="38" l="1"/>
  <c r="I14" i="4" s="1"/>
  <c r="U16" i="38"/>
  <c r="I18" i="4" s="1"/>
  <c r="T9" i="38"/>
  <c r="U9" i="38" s="1"/>
  <c r="I9" i="4" s="1"/>
  <c r="M29" i="5" l="1"/>
  <c r="U8" i="38"/>
  <c r="O8" i="38"/>
  <c r="J8" i="38" l="1"/>
  <c r="Q8" i="38"/>
  <c r="P8" i="38"/>
  <c r="L8" i="38"/>
  <c r="K8" i="38"/>
  <c r="R8" i="38" l="1"/>
  <c r="N8" i="38"/>
  <c r="T8" i="38" l="1"/>
  <c r="J27" i="9" l="1"/>
  <c r="Z18" i="4" l="1"/>
  <c r="T18" i="4"/>
  <c r="Q18" i="4"/>
  <c r="Q14" i="4"/>
  <c r="AM18" i="4"/>
  <c r="AJ18" i="4"/>
  <c r="AF18" i="4"/>
  <c r="AC18" i="4"/>
  <c r="W18" i="4"/>
  <c r="I15" i="8" l="1"/>
  <c r="BF15" i="4" s="1"/>
  <c r="L27" i="9" s="1"/>
  <c r="I18" i="8"/>
  <c r="BF18" i="4" s="1"/>
  <c r="L30" i="9" s="1"/>
  <c r="G27" i="9"/>
  <c r="AS18" i="4" l="1"/>
  <c r="AP18" i="4"/>
  <c r="J18" i="6" l="1"/>
  <c r="AV18" i="4" s="1"/>
  <c r="AX18" i="4" l="1"/>
  <c r="AY18" i="4" s="1"/>
  <c r="J15" i="6"/>
  <c r="AV15" i="4" s="1"/>
  <c r="BK18" i="4" l="1"/>
  <c r="G151" i="5" l="1"/>
  <c r="K88" i="5" l="1"/>
  <c r="K80" i="5"/>
  <c r="K72" i="5"/>
  <c r="K64" i="5"/>
  <c r="M88" i="5"/>
  <c r="M80" i="5"/>
  <c r="M72" i="5"/>
  <c r="M64" i="5"/>
  <c r="M56" i="5"/>
  <c r="K56" i="5"/>
  <c r="K48" i="5"/>
  <c r="M48" i="5"/>
  <c r="M40" i="5"/>
  <c r="M32" i="5"/>
  <c r="G17" i="9" l="1"/>
  <c r="H14" i="4" l="1"/>
  <c r="H18" i="4"/>
  <c r="F27" i="9" l="1"/>
  <c r="N18" i="4" l="1"/>
  <c r="J30" i="7" l="1"/>
  <c r="P30" i="7"/>
  <c r="Q30" i="7" l="1"/>
  <c r="BG30" i="4" s="1"/>
  <c r="H159" i="4" l="1"/>
  <c r="F171" i="9" l="1"/>
  <c r="BP159" i="4" l="1"/>
  <c r="N16" i="4" l="1"/>
  <c r="N15" i="4"/>
  <c r="N14" i="4" l="1"/>
  <c r="H8" i="8" l="1"/>
  <c r="I158" i="8" l="1"/>
  <c r="BF158" i="4" s="1"/>
  <c r="L170" i="9" s="1"/>
  <c r="I157" i="8"/>
  <c r="BF157" i="4" s="1"/>
  <c r="L169" i="9" s="1"/>
  <c r="I156" i="8"/>
  <c r="BF156" i="4" s="1"/>
  <c r="L168" i="9" s="1"/>
  <c r="I155" i="8"/>
  <c r="BF155" i="4" s="1"/>
  <c r="L167" i="9" s="1"/>
  <c r="I154" i="8"/>
  <c r="BF154" i="4" s="1"/>
  <c r="L166" i="9" s="1"/>
  <c r="I153" i="8"/>
  <c r="BF153" i="4" s="1"/>
  <c r="L165" i="9" s="1"/>
  <c r="I152" i="8"/>
  <c r="BF152" i="4" s="1"/>
  <c r="L164" i="9" s="1"/>
  <c r="I151" i="8"/>
  <c r="BF151" i="4" s="1"/>
  <c r="L163" i="9" s="1"/>
  <c r="I150" i="8"/>
  <c r="BF150" i="4" s="1"/>
  <c r="L162" i="9" s="1"/>
  <c r="I149" i="8"/>
  <c r="BF149" i="4" s="1"/>
  <c r="L161" i="9" s="1"/>
  <c r="I148" i="8"/>
  <c r="BF148" i="4" s="1"/>
  <c r="L160" i="9" s="1"/>
  <c r="I147" i="8"/>
  <c r="BF147" i="4" s="1"/>
  <c r="L159" i="9" s="1"/>
  <c r="I146" i="8"/>
  <c r="BF146" i="4" s="1"/>
  <c r="L158" i="9" s="1"/>
  <c r="I145" i="8"/>
  <c r="BF145" i="4" s="1"/>
  <c r="L157" i="9" s="1"/>
  <c r="I144" i="8"/>
  <c r="BF144" i="4" s="1"/>
  <c r="L156" i="9" s="1"/>
  <c r="I143" i="8"/>
  <c r="BF143" i="4" s="1"/>
  <c r="L155" i="9" s="1"/>
  <c r="I142" i="8"/>
  <c r="BF142" i="4" s="1"/>
  <c r="L154" i="9" s="1"/>
  <c r="I141" i="8"/>
  <c r="BF141" i="4" s="1"/>
  <c r="L153" i="9" s="1"/>
  <c r="I140" i="8"/>
  <c r="BF140" i="4" s="1"/>
  <c r="L152" i="9" s="1"/>
  <c r="I139" i="8"/>
  <c r="BF139" i="4" s="1"/>
  <c r="L151" i="9" s="1"/>
  <c r="I138" i="8"/>
  <c r="BF138" i="4" s="1"/>
  <c r="L150" i="9" s="1"/>
  <c r="I137" i="8"/>
  <c r="BF137" i="4" s="1"/>
  <c r="L149" i="9" s="1"/>
  <c r="I136" i="8"/>
  <c r="BF136" i="4" s="1"/>
  <c r="L148" i="9" s="1"/>
  <c r="I135" i="8"/>
  <c r="BF135" i="4" s="1"/>
  <c r="L147" i="9" s="1"/>
  <c r="I134" i="8"/>
  <c r="BF134" i="4" s="1"/>
  <c r="L146" i="9" s="1"/>
  <c r="I133" i="8"/>
  <c r="BF133" i="4" s="1"/>
  <c r="L145" i="9" s="1"/>
  <c r="I132" i="8"/>
  <c r="BF132" i="4" s="1"/>
  <c r="L144" i="9" s="1"/>
  <c r="I131" i="8"/>
  <c r="BF131" i="4" s="1"/>
  <c r="L143" i="9" s="1"/>
  <c r="I130" i="8"/>
  <c r="BF130" i="4" s="1"/>
  <c r="L142" i="9" s="1"/>
  <c r="I129" i="8"/>
  <c r="BF129" i="4" s="1"/>
  <c r="L141" i="9" s="1"/>
  <c r="I128" i="8"/>
  <c r="BF128" i="4" s="1"/>
  <c r="L140" i="9" s="1"/>
  <c r="I127" i="8"/>
  <c r="BF127" i="4" s="1"/>
  <c r="L139" i="9" s="1"/>
  <c r="I126" i="8"/>
  <c r="BF126" i="4" s="1"/>
  <c r="L138" i="9" s="1"/>
  <c r="I125" i="8"/>
  <c r="BF125" i="4" s="1"/>
  <c r="L137" i="9" s="1"/>
  <c r="I124" i="8"/>
  <c r="BF124" i="4" s="1"/>
  <c r="L136" i="9" s="1"/>
  <c r="I123" i="8"/>
  <c r="BF123" i="4" s="1"/>
  <c r="L135" i="9" s="1"/>
  <c r="I122" i="8"/>
  <c r="BF122" i="4" s="1"/>
  <c r="L134" i="9" s="1"/>
  <c r="I121" i="8"/>
  <c r="BF121" i="4" s="1"/>
  <c r="L133" i="9" s="1"/>
  <c r="I120" i="8"/>
  <c r="BF120" i="4" s="1"/>
  <c r="L132" i="9" s="1"/>
  <c r="I119" i="8"/>
  <c r="BF119" i="4" s="1"/>
  <c r="L131" i="9" s="1"/>
  <c r="I118" i="8"/>
  <c r="BF118" i="4" s="1"/>
  <c r="L130" i="9" s="1"/>
  <c r="I117" i="8"/>
  <c r="BF117" i="4" s="1"/>
  <c r="L129" i="9" s="1"/>
  <c r="I116" i="8"/>
  <c r="BF116" i="4" s="1"/>
  <c r="L128" i="9" s="1"/>
  <c r="I115" i="8"/>
  <c r="BF115" i="4" s="1"/>
  <c r="L127" i="9" s="1"/>
  <c r="I114" i="8"/>
  <c r="BF114" i="4" s="1"/>
  <c r="L126" i="9" s="1"/>
  <c r="I113" i="8"/>
  <c r="BF113" i="4" s="1"/>
  <c r="L125" i="9" s="1"/>
  <c r="I112" i="8"/>
  <c r="BF112" i="4" s="1"/>
  <c r="L124" i="9" s="1"/>
  <c r="I111" i="8"/>
  <c r="BF111" i="4" s="1"/>
  <c r="L123" i="9" s="1"/>
  <c r="I110" i="8"/>
  <c r="BF110" i="4" s="1"/>
  <c r="L122" i="9" s="1"/>
  <c r="I109" i="8"/>
  <c r="BF109" i="4" s="1"/>
  <c r="L121" i="9" s="1"/>
  <c r="I108" i="8"/>
  <c r="BF108" i="4" s="1"/>
  <c r="L120" i="9" s="1"/>
  <c r="I107" i="8"/>
  <c r="BF107" i="4" s="1"/>
  <c r="L119" i="9" s="1"/>
  <c r="I106" i="8"/>
  <c r="BF106" i="4" s="1"/>
  <c r="L118" i="9" s="1"/>
  <c r="I105" i="8"/>
  <c r="BF105" i="4" s="1"/>
  <c r="L117" i="9" s="1"/>
  <c r="I104" i="8"/>
  <c r="BF104" i="4" s="1"/>
  <c r="L116" i="9" s="1"/>
  <c r="I103" i="8"/>
  <c r="BF103" i="4" s="1"/>
  <c r="L115" i="9" s="1"/>
  <c r="I102" i="8"/>
  <c r="BF102" i="4" s="1"/>
  <c r="L114" i="9" s="1"/>
  <c r="I101" i="8"/>
  <c r="BF101" i="4" s="1"/>
  <c r="L113" i="9" s="1"/>
  <c r="I100" i="8"/>
  <c r="BF100" i="4" s="1"/>
  <c r="L112" i="9" s="1"/>
  <c r="I99" i="8"/>
  <c r="BF99" i="4" s="1"/>
  <c r="L111" i="9" s="1"/>
  <c r="I98" i="8"/>
  <c r="BF98" i="4" s="1"/>
  <c r="L110" i="9" s="1"/>
  <c r="I97" i="8"/>
  <c r="BF97" i="4" s="1"/>
  <c r="L109" i="9" s="1"/>
  <c r="I96" i="8"/>
  <c r="BF96" i="4" s="1"/>
  <c r="L108" i="9" s="1"/>
  <c r="I95" i="8"/>
  <c r="BF95" i="4" s="1"/>
  <c r="L107" i="9" s="1"/>
  <c r="I94" i="8"/>
  <c r="BF94" i="4" s="1"/>
  <c r="L106" i="9" s="1"/>
  <c r="I93" i="8"/>
  <c r="BF93" i="4" s="1"/>
  <c r="L105" i="9" s="1"/>
  <c r="I92" i="8"/>
  <c r="BF92" i="4" s="1"/>
  <c r="L104" i="9" s="1"/>
  <c r="I91" i="8"/>
  <c r="BF91" i="4" s="1"/>
  <c r="L103" i="9" s="1"/>
  <c r="I90" i="8"/>
  <c r="BF90" i="4" s="1"/>
  <c r="L102" i="9" s="1"/>
  <c r="I89" i="8"/>
  <c r="BF89" i="4" s="1"/>
  <c r="L101" i="9" s="1"/>
  <c r="I88" i="8"/>
  <c r="BF88" i="4" s="1"/>
  <c r="L100" i="9" s="1"/>
  <c r="I87" i="8"/>
  <c r="BF87" i="4" s="1"/>
  <c r="L99" i="9" s="1"/>
  <c r="I86" i="8"/>
  <c r="BF86" i="4" s="1"/>
  <c r="L98" i="9" s="1"/>
  <c r="I85" i="8"/>
  <c r="BF85" i="4" s="1"/>
  <c r="L97" i="9" s="1"/>
  <c r="I84" i="8"/>
  <c r="BF84" i="4" s="1"/>
  <c r="L96" i="9" s="1"/>
  <c r="I83" i="8"/>
  <c r="BF83" i="4" s="1"/>
  <c r="L95" i="9" s="1"/>
  <c r="I82" i="8"/>
  <c r="BF82" i="4" s="1"/>
  <c r="L94" i="9" s="1"/>
  <c r="I81" i="8"/>
  <c r="BF81" i="4" s="1"/>
  <c r="L93" i="9" s="1"/>
  <c r="I80" i="8"/>
  <c r="BF80" i="4" s="1"/>
  <c r="L92" i="9" s="1"/>
  <c r="I79" i="8"/>
  <c r="BF79" i="4" s="1"/>
  <c r="L91" i="9" s="1"/>
  <c r="I78" i="8"/>
  <c r="BF78" i="4" s="1"/>
  <c r="L90" i="9" s="1"/>
  <c r="I76" i="8"/>
  <c r="BF76" i="4" s="1"/>
  <c r="L88" i="9" s="1"/>
  <c r="I75" i="8"/>
  <c r="BF75" i="4" s="1"/>
  <c r="L87" i="9" s="1"/>
  <c r="I74" i="8"/>
  <c r="BF74" i="4" s="1"/>
  <c r="L86" i="9" s="1"/>
  <c r="I73" i="8"/>
  <c r="BF73" i="4" s="1"/>
  <c r="L85" i="9" s="1"/>
  <c r="I72" i="8"/>
  <c r="BF72" i="4" s="1"/>
  <c r="L84" i="9" s="1"/>
  <c r="I71" i="8"/>
  <c r="BF71" i="4" s="1"/>
  <c r="L83" i="9" s="1"/>
  <c r="I70" i="8"/>
  <c r="BF70" i="4" s="1"/>
  <c r="L82" i="9" s="1"/>
  <c r="I69" i="8"/>
  <c r="BF69" i="4" s="1"/>
  <c r="L81" i="9" s="1"/>
  <c r="I68" i="8"/>
  <c r="BF68" i="4" s="1"/>
  <c r="L80" i="9" s="1"/>
  <c r="I67" i="8"/>
  <c r="BF67" i="4" s="1"/>
  <c r="L79" i="9" s="1"/>
  <c r="I66" i="8"/>
  <c r="BF66" i="4" s="1"/>
  <c r="L78" i="9" s="1"/>
  <c r="I65" i="8"/>
  <c r="BF65" i="4" s="1"/>
  <c r="L77" i="9" s="1"/>
  <c r="I64" i="8"/>
  <c r="BF64" i="4" s="1"/>
  <c r="L76" i="9" s="1"/>
  <c r="I63" i="8"/>
  <c r="BF63" i="4" s="1"/>
  <c r="L75" i="9" s="1"/>
  <c r="I62" i="8"/>
  <c r="BF62" i="4" s="1"/>
  <c r="L74" i="9" s="1"/>
  <c r="I61" i="8"/>
  <c r="BF61" i="4" s="1"/>
  <c r="L73" i="9" s="1"/>
  <c r="I60" i="8"/>
  <c r="BF60" i="4" s="1"/>
  <c r="L72" i="9" s="1"/>
  <c r="I59" i="8"/>
  <c r="BF59" i="4" s="1"/>
  <c r="L71" i="9" s="1"/>
  <c r="I58" i="8"/>
  <c r="BF58" i="4" s="1"/>
  <c r="L70" i="9" s="1"/>
  <c r="I57" i="8"/>
  <c r="BF57" i="4" s="1"/>
  <c r="L69" i="9" s="1"/>
  <c r="I56" i="8"/>
  <c r="BF56" i="4" s="1"/>
  <c r="L68" i="9" s="1"/>
  <c r="I55" i="8"/>
  <c r="BF55" i="4" s="1"/>
  <c r="L67" i="9" s="1"/>
  <c r="I54" i="8"/>
  <c r="BF54" i="4" s="1"/>
  <c r="L66" i="9" s="1"/>
  <c r="I53" i="8"/>
  <c r="BF53" i="4" s="1"/>
  <c r="L65" i="9" s="1"/>
  <c r="I52" i="8"/>
  <c r="BF52" i="4" s="1"/>
  <c r="L64" i="9" s="1"/>
  <c r="I51" i="8"/>
  <c r="BF51" i="4" s="1"/>
  <c r="L63" i="9" s="1"/>
  <c r="I50" i="8"/>
  <c r="BF50" i="4" s="1"/>
  <c r="L62" i="9" s="1"/>
  <c r="I49" i="8"/>
  <c r="BF49" i="4" s="1"/>
  <c r="L61" i="9" s="1"/>
  <c r="I48" i="8"/>
  <c r="BF48" i="4" s="1"/>
  <c r="L60" i="9" s="1"/>
  <c r="I47" i="8"/>
  <c r="BF47" i="4" s="1"/>
  <c r="L59" i="9" s="1"/>
  <c r="I46" i="8"/>
  <c r="BF46" i="4" s="1"/>
  <c r="L58" i="9" s="1"/>
  <c r="I45" i="8"/>
  <c r="BF45" i="4" s="1"/>
  <c r="L57" i="9" s="1"/>
  <c r="BF43" i="4"/>
  <c r="L55" i="9" s="1"/>
  <c r="I44" i="8"/>
  <c r="BF44" i="4" s="1"/>
  <c r="L56" i="9" s="1"/>
  <c r="I42" i="8"/>
  <c r="BF42" i="4" s="1"/>
  <c r="L54" i="9" s="1"/>
  <c r="I41" i="8"/>
  <c r="BF41" i="4" s="1"/>
  <c r="L53" i="9" s="1"/>
  <c r="I40" i="8"/>
  <c r="BF40" i="4" s="1"/>
  <c r="L52" i="9" s="1"/>
  <c r="I39" i="8"/>
  <c r="BF39" i="4" s="1"/>
  <c r="L51" i="9" s="1"/>
  <c r="I38" i="8"/>
  <c r="BF38" i="4" s="1"/>
  <c r="L50" i="9" s="1"/>
  <c r="I37" i="8"/>
  <c r="BF37" i="4" s="1"/>
  <c r="L49" i="9" s="1"/>
  <c r="I36" i="8"/>
  <c r="BF36" i="4" s="1"/>
  <c r="L48" i="9" s="1"/>
  <c r="I35" i="8"/>
  <c r="BF35" i="4" s="1"/>
  <c r="L47" i="9" s="1"/>
  <c r="I34" i="8"/>
  <c r="BF34" i="4" s="1"/>
  <c r="L46" i="9" s="1"/>
  <c r="I33" i="8"/>
  <c r="BF33" i="4" s="1"/>
  <c r="L45" i="9" s="1"/>
  <c r="I32" i="8"/>
  <c r="BF32" i="4" s="1"/>
  <c r="L44" i="9" s="1"/>
  <c r="I31" i="8"/>
  <c r="BF31" i="4" s="1"/>
  <c r="L43" i="9" s="1"/>
  <c r="I30" i="8"/>
  <c r="BF30" i="4" s="1"/>
  <c r="L42" i="9" s="1"/>
  <c r="I29" i="8"/>
  <c r="BF29" i="4" s="1"/>
  <c r="L41" i="9" s="1"/>
  <c r="I28" i="8"/>
  <c r="BF28" i="4" s="1"/>
  <c r="L40" i="9" s="1"/>
  <c r="I27" i="8"/>
  <c r="BF27" i="4" s="1"/>
  <c r="L39" i="9" s="1"/>
  <c r="I26" i="8"/>
  <c r="BF26" i="4" s="1"/>
  <c r="L38" i="9" s="1"/>
  <c r="I25" i="8"/>
  <c r="BF25" i="4" s="1"/>
  <c r="L37" i="9" s="1"/>
  <c r="I24" i="8"/>
  <c r="BF24" i="4" s="1"/>
  <c r="L36" i="9" s="1"/>
  <c r="I23" i="8"/>
  <c r="BF23" i="4" s="1"/>
  <c r="L35" i="9" s="1"/>
  <c r="I22" i="8"/>
  <c r="BF22" i="4" s="1"/>
  <c r="L34" i="9" s="1"/>
  <c r="I21" i="8"/>
  <c r="BF21" i="4" s="1"/>
  <c r="L33" i="9" s="1"/>
  <c r="I20" i="8"/>
  <c r="BF20" i="4" s="1"/>
  <c r="L32" i="9" s="1"/>
  <c r="I19" i="8"/>
  <c r="BF19" i="4" s="1"/>
  <c r="L31" i="9" s="1"/>
  <c r="I17" i="8"/>
  <c r="BF17" i="4" s="1"/>
  <c r="L29" i="9" s="1"/>
  <c r="I16" i="8"/>
  <c r="BF16" i="4" s="1"/>
  <c r="L28" i="9" s="1"/>
  <c r="I14" i="8"/>
  <c r="BF14" i="4" s="1"/>
  <c r="L26" i="9" s="1"/>
  <c r="I13" i="8"/>
  <c r="BF13" i="4" s="1"/>
  <c r="L25" i="9" s="1"/>
  <c r="I12" i="8"/>
  <c r="BF12" i="4" s="1"/>
  <c r="L24" i="9" s="1"/>
  <c r="I11" i="8"/>
  <c r="BF11" i="4" s="1"/>
  <c r="L23" i="9" s="1"/>
  <c r="I10" i="8"/>
  <c r="BF10" i="4" s="1"/>
  <c r="L22" i="9" s="1"/>
  <c r="I9" i="8"/>
  <c r="G8" i="8" l="1"/>
  <c r="I77" i="8" l="1"/>
  <c r="BF77" i="4" s="1"/>
  <c r="L89" i="9" s="1"/>
  <c r="BF9" i="4"/>
  <c r="L21" i="9" s="1"/>
  <c r="I8" i="8" l="1"/>
  <c r="L19" i="9" l="1"/>
  <c r="F9" i="4"/>
  <c r="H9" i="4" s="1"/>
  <c r="H34" i="4" l="1"/>
  <c r="H136" i="4"/>
  <c r="H116" i="4"/>
  <c r="H17" i="4"/>
  <c r="H108" i="4"/>
  <c r="H93" i="4"/>
  <c r="H150" i="4"/>
  <c r="H44" i="4"/>
  <c r="H87" i="4"/>
  <c r="H33" i="4"/>
  <c r="H74" i="4"/>
  <c r="H21" i="4"/>
  <c r="H35" i="4"/>
  <c r="H78" i="4"/>
  <c r="H57" i="4"/>
  <c r="H149" i="4"/>
  <c r="H79" i="4"/>
  <c r="H58" i="4"/>
  <c r="H76" i="4"/>
  <c r="H94" i="4"/>
  <c r="H151" i="4"/>
  <c r="H118" i="4"/>
  <c r="H140" i="4"/>
  <c r="H124" i="4"/>
  <c r="H104" i="4"/>
  <c r="H59" i="4"/>
  <c r="H25" i="4"/>
  <c r="H148" i="4"/>
  <c r="H99" i="4"/>
  <c r="H100" i="4"/>
  <c r="H137" i="4"/>
  <c r="H109" i="4"/>
  <c r="H95" i="4"/>
  <c r="H144" i="4"/>
  <c r="H152" i="4"/>
  <c r="H22" i="4"/>
  <c r="H80" i="4"/>
  <c r="H66" i="4"/>
  <c r="H123" i="4"/>
  <c r="H98" i="4"/>
  <c r="H138" i="4"/>
  <c r="H88" i="4"/>
  <c r="H142" i="4"/>
  <c r="H157" i="4"/>
  <c r="H105" i="4"/>
  <c r="H115" i="4"/>
  <c r="H36" i="4"/>
  <c r="H128" i="4"/>
  <c r="H64" i="4"/>
  <c r="H37" i="4"/>
  <c r="H89" i="4"/>
  <c r="H63" i="4"/>
  <c r="H81" i="4"/>
  <c r="H96" i="4"/>
  <c r="H55" i="4"/>
  <c r="H67" i="4"/>
  <c r="H45" i="4"/>
  <c r="H153" i="4"/>
  <c r="H101" i="4"/>
  <c r="H20" i="4"/>
  <c r="H27" i="4"/>
  <c r="H56" i="4"/>
  <c r="H61" i="4"/>
  <c r="H147" i="4"/>
  <c r="H126" i="4"/>
  <c r="H10" i="4"/>
  <c r="H129" i="4"/>
  <c r="H60" i="4"/>
  <c r="H50" i="4"/>
  <c r="H125" i="4"/>
  <c r="H119" i="4"/>
  <c r="H39" i="4"/>
  <c r="H90" i="4"/>
  <c r="H65" i="4"/>
  <c r="H155" i="4"/>
  <c r="H46" i="4"/>
  <c r="H127" i="4"/>
  <c r="H26" i="4"/>
  <c r="H29" i="4"/>
  <c r="H16" i="4"/>
  <c r="H122" i="4"/>
  <c r="H28" i="4"/>
  <c r="H30" i="4"/>
  <c r="H82" i="4"/>
  <c r="H130" i="4"/>
  <c r="H68" i="4"/>
  <c r="H48" i="4"/>
  <c r="H154" i="4"/>
  <c r="H107" i="4"/>
  <c r="H84" i="4"/>
  <c r="H132" i="4"/>
  <c r="H70" i="4"/>
  <c r="H145" i="4"/>
  <c r="H51" i="4"/>
  <c r="H12" i="4"/>
  <c r="H114" i="4"/>
  <c r="H143" i="4"/>
  <c r="H135" i="4"/>
  <c r="H102" i="4"/>
  <c r="H141" i="4"/>
  <c r="H31" i="4"/>
  <c r="H41" i="4"/>
  <c r="H92" i="4"/>
  <c r="H72" i="4"/>
  <c r="H52" i="4"/>
  <c r="H24" i="4"/>
  <c r="H117" i="4"/>
  <c r="H75" i="4"/>
  <c r="H106" i="4"/>
  <c r="H32" i="4"/>
  <c r="H85" i="4"/>
  <c r="H134" i="4"/>
  <c r="H73" i="4"/>
  <c r="H146" i="4"/>
  <c r="H54" i="4"/>
  <c r="H53" i="4"/>
  <c r="H19" i="4"/>
  <c r="H11" i="4"/>
  <c r="H112" i="4"/>
  <c r="H120" i="4"/>
  <c r="H103" i="4"/>
  <c r="H139" i="4"/>
  <c r="H13" i="4"/>
  <c r="H113" i="4"/>
  <c r="H42" i="4"/>
  <c r="H38" i="4"/>
  <c r="H77" i="4"/>
  <c r="H83" i="4"/>
  <c r="H91" i="4"/>
  <c r="H131" i="4"/>
  <c r="H71" i="4"/>
  <c r="H69" i="4"/>
  <c r="H156" i="4"/>
  <c r="H49" i="4"/>
  <c r="H47" i="4"/>
  <c r="H158" i="4"/>
  <c r="H121" i="4"/>
  <c r="H110" i="4"/>
  <c r="H97" i="4"/>
  <c r="H62" i="4"/>
  <c r="H133" i="4"/>
  <c r="H15" i="4"/>
  <c r="H27" i="9" s="1"/>
  <c r="H23" i="4"/>
  <c r="H111" i="4"/>
  <c r="H40" i="4"/>
  <c r="H86" i="4"/>
  <c r="H17" i="9"/>
  <c r="G8" i="4" l="1"/>
  <c r="BH8" i="4"/>
  <c r="J171" i="9" l="1"/>
  <c r="J170" i="9"/>
  <c r="F170" i="9"/>
  <c r="J169" i="9"/>
  <c r="F169" i="9"/>
  <c r="J168" i="9"/>
  <c r="F168" i="9"/>
  <c r="J167" i="9"/>
  <c r="F167" i="9"/>
  <c r="J166" i="9"/>
  <c r="F166" i="9"/>
  <c r="J165" i="9"/>
  <c r="F165" i="9"/>
  <c r="J164" i="9"/>
  <c r="F164" i="9"/>
  <c r="J163" i="9"/>
  <c r="F163" i="9"/>
  <c r="J162" i="9"/>
  <c r="F162" i="9"/>
  <c r="J161" i="9"/>
  <c r="F161" i="9"/>
  <c r="J160" i="9"/>
  <c r="F160" i="9"/>
  <c r="J159" i="9"/>
  <c r="F159" i="9"/>
  <c r="J158" i="9"/>
  <c r="F158" i="9"/>
  <c r="J157" i="9"/>
  <c r="F157" i="9"/>
  <c r="J156" i="9"/>
  <c r="F156" i="9"/>
  <c r="J155" i="9"/>
  <c r="F155" i="9"/>
  <c r="J154" i="9"/>
  <c r="F154" i="9"/>
  <c r="J153" i="9"/>
  <c r="F153" i="9"/>
  <c r="J152" i="9"/>
  <c r="F152" i="9"/>
  <c r="J151" i="9"/>
  <c r="F151" i="9"/>
  <c r="J150" i="9"/>
  <c r="F150" i="9"/>
  <c r="J149" i="9"/>
  <c r="F149" i="9"/>
  <c r="J148" i="9"/>
  <c r="F148" i="9"/>
  <c r="J147" i="9"/>
  <c r="F147" i="9"/>
  <c r="J146" i="9"/>
  <c r="F146" i="9"/>
  <c r="J145" i="9"/>
  <c r="F145" i="9"/>
  <c r="J144" i="9"/>
  <c r="F144" i="9"/>
  <c r="J143" i="9"/>
  <c r="F143" i="9"/>
  <c r="J142" i="9"/>
  <c r="F142" i="9"/>
  <c r="J141" i="9"/>
  <c r="F141" i="9"/>
  <c r="J140" i="9"/>
  <c r="F140" i="9"/>
  <c r="J139" i="9"/>
  <c r="F139" i="9"/>
  <c r="J138" i="9"/>
  <c r="F138" i="9"/>
  <c r="J137" i="9"/>
  <c r="F137" i="9"/>
  <c r="J136" i="9"/>
  <c r="F136" i="9"/>
  <c r="J135" i="9"/>
  <c r="F135" i="9"/>
  <c r="J134" i="9"/>
  <c r="F134" i="9"/>
  <c r="J133" i="9"/>
  <c r="F133" i="9"/>
  <c r="J132" i="9"/>
  <c r="F132" i="9"/>
  <c r="J131" i="9"/>
  <c r="F131" i="9"/>
  <c r="J130" i="9"/>
  <c r="F130" i="9"/>
  <c r="J129" i="9"/>
  <c r="F129" i="9"/>
  <c r="J128" i="9"/>
  <c r="F128" i="9"/>
  <c r="J127" i="9"/>
  <c r="F127" i="9"/>
  <c r="J126" i="9"/>
  <c r="F126" i="9"/>
  <c r="J125" i="9"/>
  <c r="F125" i="9"/>
  <c r="J124" i="9"/>
  <c r="F124" i="9"/>
  <c r="J123" i="9"/>
  <c r="F123" i="9"/>
  <c r="J122" i="9"/>
  <c r="F122" i="9"/>
  <c r="J121" i="9"/>
  <c r="F121" i="9"/>
  <c r="J120" i="9"/>
  <c r="F120" i="9"/>
  <c r="J119" i="9"/>
  <c r="F119" i="9"/>
  <c r="J118" i="9"/>
  <c r="F118" i="9"/>
  <c r="J117" i="9"/>
  <c r="F117" i="9"/>
  <c r="J116" i="9"/>
  <c r="F116" i="9"/>
  <c r="J115" i="9"/>
  <c r="F115" i="9"/>
  <c r="J114" i="9"/>
  <c r="F114" i="9"/>
  <c r="J113" i="9"/>
  <c r="F113" i="9"/>
  <c r="J112" i="9"/>
  <c r="F112" i="9"/>
  <c r="J111" i="9"/>
  <c r="F111" i="9"/>
  <c r="J110" i="9"/>
  <c r="F110" i="9"/>
  <c r="J109" i="9"/>
  <c r="F109" i="9"/>
  <c r="J108" i="9"/>
  <c r="F108" i="9"/>
  <c r="J107" i="9"/>
  <c r="F107" i="9"/>
  <c r="J106" i="9"/>
  <c r="F106" i="9"/>
  <c r="J105" i="9"/>
  <c r="F105" i="9"/>
  <c r="J104" i="9"/>
  <c r="F104" i="9"/>
  <c r="J103" i="9"/>
  <c r="F103" i="9"/>
  <c r="J102" i="9"/>
  <c r="F102" i="9"/>
  <c r="J101" i="9"/>
  <c r="F101" i="9"/>
  <c r="J100" i="9"/>
  <c r="F100" i="9"/>
  <c r="J99" i="9"/>
  <c r="F99" i="9"/>
  <c r="J98" i="9"/>
  <c r="F98" i="9"/>
  <c r="J97" i="9"/>
  <c r="F97" i="9"/>
  <c r="J96" i="9"/>
  <c r="F96" i="9"/>
  <c r="J95" i="9"/>
  <c r="F95" i="9"/>
  <c r="J94" i="9"/>
  <c r="F94" i="9"/>
  <c r="J93" i="9"/>
  <c r="F93" i="9"/>
  <c r="J92" i="9"/>
  <c r="F92" i="9"/>
  <c r="J91" i="9"/>
  <c r="F91" i="9"/>
  <c r="J90" i="9"/>
  <c r="F90" i="9"/>
  <c r="J89" i="9"/>
  <c r="F89" i="9"/>
  <c r="J88" i="9"/>
  <c r="F88" i="9"/>
  <c r="J87" i="9"/>
  <c r="F87" i="9"/>
  <c r="J86" i="9"/>
  <c r="F86" i="9"/>
  <c r="J85" i="9"/>
  <c r="F85" i="9"/>
  <c r="J84" i="9"/>
  <c r="F84" i="9"/>
  <c r="J83" i="9"/>
  <c r="F83" i="9"/>
  <c r="J82" i="9"/>
  <c r="F82" i="9"/>
  <c r="J81" i="9"/>
  <c r="F81" i="9"/>
  <c r="J80" i="9"/>
  <c r="F80" i="9"/>
  <c r="J79" i="9"/>
  <c r="F79" i="9"/>
  <c r="J78" i="9"/>
  <c r="F78" i="9"/>
  <c r="J77" i="9"/>
  <c r="F77" i="9"/>
  <c r="J76" i="9"/>
  <c r="F76" i="9"/>
  <c r="J75" i="9"/>
  <c r="F75" i="9"/>
  <c r="J74" i="9"/>
  <c r="F74" i="9"/>
  <c r="J73" i="9"/>
  <c r="F73" i="9"/>
  <c r="J72" i="9"/>
  <c r="F72" i="9"/>
  <c r="J71" i="9"/>
  <c r="F71" i="9"/>
  <c r="J70" i="9"/>
  <c r="F70" i="9"/>
  <c r="J69" i="9"/>
  <c r="F69" i="9"/>
  <c r="J68" i="9"/>
  <c r="F68" i="9"/>
  <c r="J67" i="9"/>
  <c r="F67" i="9"/>
  <c r="J66" i="9"/>
  <c r="F66" i="9"/>
  <c r="J65" i="9"/>
  <c r="F65" i="9"/>
  <c r="J64" i="9"/>
  <c r="F64" i="9"/>
  <c r="J63" i="9"/>
  <c r="F63" i="9"/>
  <c r="J62" i="9"/>
  <c r="F62" i="9"/>
  <c r="J61" i="9"/>
  <c r="F61" i="9"/>
  <c r="J60" i="9"/>
  <c r="F60" i="9"/>
  <c r="J59" i="9"/>
  <c r="F59" i="9"/>
  <c r="J58" i="9"/>
  <c r="F58" i="9"/>
  <c r="J57" i="9"/>
  <c r="F57" i="9"/>
  <c r="J56" i="9"/>
  <c r="F56" i="9"/>
  <c r="J54" i="9"/>
  <c r="F54" i="9"/>
  <c r="J53" i="9"/>
  <c r="F53" i="9"/>
  <c r="J52" i="9"/>
  <c r="F52" i="9"/>
  <c r="J51" i="9"/>
  <c r="F51" i="9"/>
  <c r="J50" i="9"/>
  <c r="F50" i="9"/>
  <c r="J49" i="9"/>
  <c r="F49" i="9"/>
  <c r="J48" i="9"/>
  <c r="F48" i="9"/>
  <c r="J47" i="9"/>
  <c r="F47" i="9"/>
  <c r="J46" i="9"/>
  <c r="F46" i="9"/>
  <c r="J45" i="9"/>
  <c r="F45" i="9"/>
  <c r="J44" i="9"/>
  <c r="F44" i="9"/>
  <c r="J43" i="9"/>
  <c r="F43" i="9"/>
  <c r="J42" i="9"/>
  <c r="F42" i="9"/>
  <c r="J41" i="9"/>
  <c r="F41" i="9"/>
  <c r="J40" i="9"/>
  <c r="F40" i="9"/>
  <c r="J39" i="9"/>
  <c r="F39" i="9"/>
  <c r="J38" i="9"/>
  <c r="F38" i="9"/>
  <c r="J37" i="9"/>
  <c r="F37" i="9"/>
  <c r="J36" i="9"/>
  <c r="F36" i="9"/>
  <c r="J35" i="9"/>
  <c r="F35" i="9"/>
  <c r="J34" i="9"/>
  <c r="F34" i="9"/>
  <c r="J33" i="9"/>
  <c r="F33" i="9"/>
  <c r="J32" i="9"/>
  <c r="F32" i="9"/>
  <c r="J31" i="9"/>
  <c r="F31" i="9"/>
  <c r="J30" i="9"/>
  <c r="F30" i="9"/>
  <c r="J29" i="9"/>
  <c r="F29" i="9"/>
  <c r="J28" i="9"/>
  <c r="F28" i="9"/>
  <c r="J26" i="9"/>
  <c r="F26" i="9"/>
  <c r="J25" i="9"/>
  <c r="F25" i="9"/>
  <c r="J24" i="9"/>
  <c r="F24" i="9"/>
  <c r="J23" i="9"/>
  <c r="F23" i="9"/>
  <c r="J22" i="9"/>
  <c r="F22" i="9"/>
  <c r="J21" i="9"/>
  <c r="F21" i="9"/>
  <c r="J19" i="9" l="1"/>
  <c r="J159" i="7" l="1"/>
  <c r="P158" i="7"/>
  <c r="J158" i="7"/>
  <c r="J157" i="7"/>
  <c r="P156" i="7"/>
  <c r="J155" i="7"/>
  <c r="P154" i="7"/>
  <c r="J154" i="7"/>
  <c r="P153" i="7"/>
  <c r="P152" i="7"/>
  <c r="J152" i="7"/>
  <c r="P151" i="7"/>
  <c r="J151" i="7"/>
  <c r="P150" i="7"/>
  <c r="J149" i="7"/>
  <c r="P148" i="7"/>
  <c r="J148" i="7"/>
  <c r="P146" i="7"/>
  <c r="J146" i="7"/>
  <c r="P145" i="7"/>
  <c r="J145" i="7"/>
  <c r="J144" i="7"/>
  <c r="P143" i="7"/>
  <c r="J143" i="7"/>
  <c r="P142" i="7"/>
  <c r="J142" i="7"/>
  <c r="P141" i="7"/>
  <c r="J141" i="7"/>
  <c r="P140" i="7"/>
  <c r="J140" i="7"/>
  <c r="P139" i="7"/>
  <c r="P138" i="7"/>
  <c r="J138" i="7"/>
  <c r="P137" i="7"/>
  <c r="P136" i="7"/>
  <c r="J136" i="7"/>
  <c r="P135" i="7"/>
  <c r="J135" i="7"/>
  <c r="J134" i="7"/>
  <c r="P133" i="7"/>
  <c r="J133" i="7"/>
  <c r="P132" i="7"/>
  <c r="P131" i="7"/>
  <c r="P130" i="7"/>
  <c r="J130" i="7"/>
  <c r="P129" i="7"/>
  <c r="P128" i="7"/>
  <c r="J128" i="7"/>
  <c r="P127" i="7"/>
  <c r="J127" i="7"/>
  <c r="P126" i="7"/>
  <c r="J125" i="7"/>
  <c r="P124" i="7"/>
  <c r="P123" i="7"/>
  <c r="P122" i="7"/>
  <c r="J122" i="7"/>
  <c r="P121" i="7"/>
  <c r="P120" i="7"/>
  <c r="J120" i="7"/>
  <c r="P119" i="7"/>
  <c r="J119" i="7"/>
  <c r="J118" i="7"/>
  <c r="P117" i="7"/>
  <c r="J117" i="7"/>
  <c r="P116" i="7"/>
  <c r="J116" i="7"/>
  <c r="P114" i="7"/>
  <c r="J114" i="7"/>
  <c r="P113" i="7"/>
  <c r="J113" i="7"/>
  <c r="J112" i="7"/>
  <c r="P111" i="7"/>
  <c r="J111" i="7"/>
  <c r="P110" i="7"/>
  <c r="J110" i="7"/>
  <c r="J109" i="7"/>
  <c r="P108" i="7"/>
  <c r="J107" i="7"/>
  <c r="P106" i="7"/>
  <c r="J106" i="7"/>
  <c r="P105" i="7"/>
  <c r="P104" i="7"/>
  <c r="J104" i="7"/>
  <c r="P103" i="7"/>
  <c r="J103" i="7"/>
  <c r="P102" i="7"/>
  <c r="P101" i="7"/>
  <c r="J101" i="7"/>
  <c r="P100" i="7"/>
  <c r="J100" i="7"/>
  <c r="P99" i="7"/>
  <c r="P98" i="7"/>
  <c r="J98" i="7"/>
  <c r="P97" i="7"/>
  <c r="J97" i="7"/>
  <c r="J96" i="7"/>
  <c r="P95" i="7"/>
  <c r="J95" i="7"/>
  <c r="P94" i="7"/>
  <c r="J94" i="7"/>
  <c r="P93" i="7"/>
  <c r="J93" i="7"/>
  <c r="P92" i="7"/>
  <c r="J92" i="7"/>
  <c r="J91" i="7"/>
  <c r="P90" i="7"/>
  <c r="J90" i="7"/>
  <c r="P89" i="7"/>
  <c r="J88" i="7"/>
  <c r="P87" i="7"/>
  <c r="J87" i="7"/>
  <c r="P86" i="7"/>
  <c r="P85" i="7"/>
  <c r="J85" i="7"/>
  <c r="P84" i="7"/>
  <c r="J84" i="7"/>
  <c r="P83" i="7"/>
  <c r="J83" i="7"/>
  <c r="P82" i="7"/>
  <c r="J82" i="7"/>
  <c r="P81" i="7"/>
  <c r="J81" i="7"/>
  <c r="J80" i="7"/>
  <c r="P79" i="7"/>
  <c r="J79" i="7"/>
  <c r="J77" i="7"/>
  <c r="P76" i="7"/>
  <c r="J76" i="7"/>
  <c r="J75" i="7"/>
  <c r="P74" i="7"/>
  <c r="J74" i="7"/>
  <c r="P73" i="7"/>
  <c r="J73" i="7"/>
  <c r="J72" i="7"/>
  <c r="P71" i="7"/>
  <c r="J71" i="7"/>
  <c r="J69" i="7"/>
  <c r="P68" i="7"/>
  <c r="P67" i="7"/>
  <c r="P66" i="7"/>
  <c r="J66" i="7"/>
  <c r="P65" i="7"/>
  <c r="P64" i="7"/>
  <c r="J64" i="7"/>
  <c r="P63" i="7"/>
  <c r="J63" i="7"/>
  <c r="P62" i="7"/>
  <c r="J61" i="7"/>
  <c r="P60" i="7"/>
  <c r="P59" i="7"/>
  <c r="P58" i="7"/>
  <c r="J58" i="7"/>
  <c r="P57" i="7"/>
  <c r="P56" i="7"/>
  <c r="J56" i="7"/>
  <c r="P55" i="7"/>
  <c r="J55" i="7"/>
  <c r="J54" i="7"/>
  <c r="P53" i="7"/>
  <c r="J53" i="7"/>
  <c r="P52" i="7"/>
  <c r="J51" i="7"/>
  <c r="P50" i="7"/>
  <c r="J50" i="7"/>
  <c r="P49" i="7"/>
  <c r="J49" i="7"/>
  <c r="J48" i="7"/>
  <c r="P47" i="7"/>
  <c r="J47" i="7"/>
  <c r="P46" i="7"/>
  <c r="J46" i="7"/>
  <c r="P45" i="7"/>
  <c r="J45" i="7"/>
  <c r="J44" i="7"/>
  <c r="P42" i="7"/>
  <c r="J42" i="7"/>
  <c r="P41" i="7"/>
  <c r="P40" i="7"/>
  <c r="J40" i="7"/>
  <c r="P39" i="7"/>
  <c r="J39" i="7"/>
  <c r="P38" i="7"/>
  <c r="P37" i="7"/>
  <c r="J37" i="7"/>
  <c r="P36" i="7"/>
  <c r="J36" i="7"/>
  <c r="J35" i="7"/>
  <c r="P34" i="7"/>
  <c r="J34" i="7"/>
  <c r="P33" i="7"/>
  <c r="J33" i="7"/>
  <c r="J32" i="7"/>
  <c r="P31" i="7"/>
  <c r="J31" i="7"/>
  <c r="P29" i="7"/>
  <c r="J29" i="7"/>
  <c r="P28" i="7"/>
  <c r="J28" i="7"/>
  <c r="J27" i="7"/>
  <c r="P26" i="7"/>
  <c r="J26" i="7"/>
  <c r="P25" i="7"/>
  <c r="J24" i="7"/>
  <c r="P23" i="7"/>
  <c r="J23" i="7"/>
  <c r="P22" i="7"/>
  <c r="P21" i="7"/>
  <c r="J21" i="7"/>
  <c r="P20" i="7"/>
  <c r="J20" i="7"/>
  <c r="P19" i="7"/>
  <c r="J19" i="7"/>
  <c r="P18" i="7"/>
  <c r="J18" i="7"/>
  <c r="P17" i="7"/>
  <c r="J17" i="7"/>
  <c r="G8" i="7"/>
  <c r="P12" i="7"/>
  <c r="J12" i="7"/>
  <c r="P11" i="7"/>
  <c r="J11" i="7"/>
  <c r="J9" i="7"/>
  <c r="J158" i="6"/>
  <c r="J157" i="6"/>
  <c r="J154" i="6"/>
  <c r="J153" i="6"/>
  <c r="J152" i="6"/>
  <c r="J151" i="6"/>
  <c r="J150" i="6"/>
  <c r="J149" i="6"/>
  <c r="J144" i="6"/>
  <c r="J143" i="6"/>
  <c r="J142" i="6"/>
  <c r="J141" i="6"/>
  <c r="J136" i="6"/>
  <c r="J135" i="6"/>
  <c r="H8" i="6"/>
  <c r="J133" i="6"/>
  <c r="J132" i="6"/>
  <c r="J130" i="6"/>
  <c r="J129" i="6"/>
  <c r="J128" i="6"/>
  <c r="J127" i="6"/>
  <c r="J126" i="6"/>
  <c r="J125" i="6"/>
  <c r="J124" i="6"/>
  <c r="J122" i="6"/>
  <c r="J121" i="6"/>
  <c r="J120" i="6"/>
  <c r="J119" i="6"/>
  <c r="J118" i="6"/>
  <c r="J117" i="6"/>
  <c r="J116" i="6"/>
  <c r="J114" i="6"/>
  <c r="J113" i="6"/>
  <c r="J112" i="6"/>
  <c r="J111" i="6"/>
  <c r="J110" i="6"/>
  <c r="J109" i="6"/>
  <c r="J108" i="6"/>
  <c r="J106" i="6"/>
  <c r="J105" i="6"/>
  <c r="J104" i="6"/>
  <c r="J103" i="6"/>
  <c r="J102" i="6"/>
  <c r="J101" i="6"/>
  <c r="J100" i="6"/>
  <c r="J98" i="6"/>
  <c r="J97" i="6"/>
  <c r="J96" i="6"/>
  <c r="J95" i="6"/>
  <c r="J93" i="6"/>
  <c r="J92" i="6"/>
  <c r="J89" i="6"/>
  <c r="J88" i="6"/>
  <c r="J87" i="6"/>
  <c r="J85" i="6"/>
  <c r="J84" i="6"/>
  <c r="J81" i="6"/>
  <c r="J80" i="6"/>
  <c r="J79" i="6"/>
  <c r="J77" i="6"/>
  <c r="J76" i="6"/>
  <c r="J73" i="6"/>
  <c r="J72" i="6"/>
  <c r="J71" i="6"/>
  <c r="J69" i="6"/>
  <c r="J68" i="6"/>
  <c r="J65" i="6"/>
  <c r="J64" i="6"/>
  <c r="J63" i="6"/>
  <c r="J61" i="6"/>
  <c r="J60" i="6"/>
  <c r="J57" i="6"/>
  <c r="J56" i="6"/>
  <c r="J55" i="6"/>
  <c r="J53" i="6"/>
  <c r="J52" i="6"/>
  <c r="J49" i="6"/>
  <c r="J48" i="6"/>
  <c r="J47" i="6"/>
  <c r="J45" i="6"/>
  <c r="AV43" i="4"/>
  <c r="AX43" i="4" s="1"/>
  <c r="J41" i="6"/>
  <c r="J40" i="6"/>
  <c r="J39" i="6"/>
  <c r="J37" i="6"/>
  <c r="J36" i="6"/>
  <c r="J33" i="6"/>
  <c r="J31" i="6"/>
  <c r="J29" i="6"/>
  <c r="J28" i="6"/>
  <c r="J25" i="6"/>
  <c r="J21" i="6"/>
  <c r="J20" i="6"/>
  <c r="AV20" i="4" s="1"/>
  <c r="J12" i="6"/>
  <c r="AV12" i="4" s="1"/>
  <c r="J11" i="6"/>
  <c r="AV11" i="4" s="1"/>
  <c r="I8" i="6"/>
  <c r="F8" i="6"/>
  <c r="L132" i="5"/>
  <c r="F121" i="5"/>
  <c r="F113" i="5"/>
  <c r="F105" i="5"/>
  <c r="F97" i="5"/>
  <c r="F87" i="5"/>
  <c r="F79" i="5"/>
  <c r="F71" i="5"/>
  <c r="F63" i="5"/>
  <c r="F55" i="5"/>
  <c r="F47" i="5"/>
  <c r="F39" i="5"/>
  <c r="C22" i="5"/>
  <c r="K9" i="5"/>
  <c r="G171" i="9"/>
  <c r="AS158" i="4"/>
  <c r="AP158" i="4"/>
  <c r="AM158" i="4"/>
  <c r="AJ158" i="4"/>
  <c r="AF158" i="4"/>
  <c r="AC158" i="4"/>
  <c r="W158" i="4"/>
  <c r="T158" i="4"/>
  <c r="Q158" i="4"/>
  <c r="N158" i="4"/>
  <c r="G170" i="9"/>
  <c r="AS157" i="4"/>
  <c r="AP157" i="4"/>
  <c r="AM157" i="4"/>
  <c r="AJ157" i="4"/>
  <c r="AF157" i="4"/>
  <c r="AC157" i="4"/>
  <c r="Z157" i="4"/>
  <c r="W157" i="4"/>
  <c r="T157" i="4"/>
  <c r="Q157" i="4"/>
  <c r="N157" i="4"/>
  <c r="AS156" i="4"/>
  <c r="AP156" i="4"/>
  <c r="AM156" i="4"/>
  <c r="AJ156" i="4"/>
  <c r="AF156" i="4"/>
  <c r="AC156" i="4"/>
  <c r="Z156" i="4"/>
  <c r="W156" i="4"/>
  <c r="T156" i="4"/>
  <c r="Q156" i="4"/>
  <c r="N156" i="4"/>
  <c r="G168" i="9"/>
  <c r="AS155" i="4"/>
  <c r="AP155" i="4"/>
  <c r="AM155" i="4"/>
  <c r="AJ155" i="4"/>
  <c r="AF155" i="4"/>
  <c r="AC155" i="4"/>
  <c r="Z155" i="4"/>
  <c r="W155" i="4"/>
  <c r="T155" i="4"/>
  <c r="Q155" i="4"/>
  <c r="N155" i="4"/>
  <c r="G167" i="9"/>
  <c r="AS154" i="4"/>
  <c r="AP154" i="4"/>
  <c r="AM154" i="4"/>
  <c r="AJ154" i="4"/>
  <c r="AF154" i="4"/>
  <c r="AC154" i="4"/>
  <c r="Z154" i="4"/>
  <c r="W154" i="4"/>
  <c r="T154" i="4"/>
  <c r="Q154" i="4"/>
  <c r="N154" i="4"/>
  <c r="AS153" i="4"/>
  <c r="AP153" i="4"/>
  <c r="AM153" i="4"/>
  <c r="AJ153" i="4"/>
  <c r="AF153" i="4"/>
  <c r="AC153" i="4"/>
  <c r="Z153" i="4"/>
  <c r="W153" i="4"/>
  <c r="T153" i="4"/>
  <c r="Q153" i="4"/>
  <c r="N153" i="4"/>
  <c r="AP152" i="4"/>
  <c r="AM152" i="4"/>
  <c r="AF152" i="4"/>
  <c r="Z152" i="4"/>
  <c r="W152" i="4"/>
  <c r="N152" i="4"/>
  <c r="AP151" i="4"/>
  <c r="AF151" i="4"/>
  <c r="Z151" i="4"/>
  <c r="Q151" i="4"/>
  <c r="N151" i="4"/>
  <c r="AS150" i="4"/>
  <c r="AJ150" i="4"/>
  <c r="AC150" i="4"/>
  <c r="AM149" i="4"/>
  <c r="AJ149" i="4"/>
  <c r="AF149" i="4"/>
  <c r="W149" i="4"/>
  <c r="Q149" i="4"/>
  <c r="AS148" i="4"/>
  <c r="AP148" i="4"/>
  <c r="AM148" i="4"/>
  <c r="AJ148" i="4"/>
  <c r="AF148" i="4"/>
  <c r="AC148" i="4"/>
  <c r="Z148" i="4"/>
  <c r="W148" i="4"/>
  <c r="T148" i="4"/>
  <c r="Q148" i="4"/>
  <c r="N148" i="4"/>
  <c r="G160" i="9"/>
  <c r="AS147" i="4"/>
  <c r="AM147" i="4"/>
  <c r="AJ147" i="4"/>
  <c r="AF147" i="4"/>
  <c r="AC147" i="4"/>
  <c r="Z147" i="4"/>
  <c r="W147" i="4"/>
  <c r="T147" i="4"/>
  <c r="Q147" i="4"/>
  <c r="N147" i="4"/>
  <c r="G159" i="9"/>
  <c r="AS145" i="4"/>
  <c r="AP145" i="4"/>
  <c r="AM145" i="4"/>
  <c r="AJ145" i="4"/>
  <c r="AF145" i="4"/>
  <c r="AC145" i="4"/>
  <c r="Z145" i="4"/>
  <c r="W145" i="4"/>
  <c r="T145" i="4"/>
  <c r="Q145" i="4"/>
  <c r="N145" i="4"/>
  <c r="G157" i="9"/>
  <c r="AP144" i="4"/>
  <c r="AM144" i="4"/>
  <c r="AJ144" i="4"/>
  <c r="AF144" i="4"/>
  <c r="Z144" i="4"/>
  <c r="W144" i="4"/>
  <c r="T144" i="4"/>
  <c r="N144" i="4"/>
  <c r="AP143" i="4"/>
  <c r="N143" i="4"/>
  <c r="Q143" i="4"/>
  <c r="AS142" i="4"/>
  <c r="AP142" i="4"/>
  <c r="AM142" i="4"/>
  <c r="AJ142" i="4"/>
  <c r="AF142" i="4"/>
  <c r="AC142" i="4"/>
  <c r="Z142" i="4"/>
  <c r="W142" i="4"/>
  <c r="T142" i="4"/>
  <c r="Q142" i="4"/>
  <c r="N142" i="4"/>
  <c r="G154" i="9"/>
  <c r="AS141" i="4"/>
  <c r="AP141" i="4"/>
  <c r="AM141" i="4"/>
  <c r="AJ141" i="4"/>
  <c r="AF141" i="4"/>
  <c r="AC141" i="4"/>
  <c r="Z141" i="4"/>
  <c r="W141" i="4"/>
  <c r="T141" i="4"/>
  <c r="Q141" i="4"/>
  <c r="N141" i="4"/>
  <c r="G153" i="9"/>
  <c r="AP140" i="4"/>
  <c r="AM140" i="4"/>
  <c r="AF140" i="4"/>
  <c r="Z140" i="4"/>
  <c r="W140" i="4"/>
  <c r="Q140" i="4"/>
  <c r="N140" i="4"/>
  <c r="G152" i="9"/>
  <c r="AJ140" i="4"/>
  <c r="AS139" i="4"/>
  <c r="AP139" i="4"/>
  <c r="AJ139" i="4"/>
  <c r="AC139" i="4"/>
  <c r="Z139" i="4"/>
  <c r="T139" i="4"/>
  <c r="Q139" i="4"/>
  <c r="N139" i="4"/>
  <c r="AM138" i="4"/>
  <c r="AJ138" i="4"/>
  <c r="AF138" i="4"/>
  <c r="AC138" i="4"/>
  <c r="T138" i="4"/>
  <c r="Q138" i="4"/>
  <c r="N138" i="4"/>
  <c r="AS137" i="4"/>
  <c r="AP137" i="4"/>
  <c r="AM137" i="4"/>
  <c r="AJ137" i="4"/>
  <c r="AF137" i="4"/>
  <c r="AC137" i="4"/>
  <c r="Z137" i="4"/>
  <c r="W137" i="4"/>
  <c r="T137" i="4"/>
  <c r="Q137" i="4"/>
  <c r="N137" i="4"/>
  <c r="G149" i="9"/>
  <c r="AP136" i="4"/>
  <c r="AM136" i="4"/>
  <c r="Z136" i="4"/>
  <c r="W136" i="4"/>
  <c r="AP135" i="4"/>
  <c r="AM135" i="4"/>
  <c r="AJ135" i="4"/>
  <c r="AF135" i="4"/>
  <c r="Z135" i="4"/>
  <c r="W135" i="4"/>
  <c r="T135" i="4"/>
  <c r="Q135" i="4"/>
  <c r="N135" i="4"/>
  <c r="G147" i="9"/>
  <c r="AS135" i="4"/>
  <c r="AS134" i="4"/>
  <c r="AP134" i="4"/>
  <c r="AM134" i="4"/>
  <c r="AJ134" i="4"/>
  <c r="AF134" i="4"/>
  <c r="AC134" i="4"/>
  <c r="Z134" i="4"/>
  <c r="W134" i="4"/>
  <c r="T134" i="4"/>
  <c r="Q134" i="4"/>
  <c r="N134" i="4"/>
  <c r="G146" i="9"/>
  <c r="AS133" i="4"/>
  <c r="AP133" i="4"/>
  <c r="AM133" i="4"/>
  <c r="AJ133" i="4"/>
  <c r="AF133" i="4"/>
  <c r="AC133" i="4"/>
  <c r="Z133" i="4"/>
  <c r="W133" i="4"/>
  <c r="T133" i="4"/>
  <c r="Q133" i="4"/>
  <c r="N133" i="4"/>
  <c r="AS132" i="4"/>
  <c r="AP132" i="4"/>
  <c r="AM132" i="4"/>
  <c r="AJ132" i="4"/>
  <c r="AF132" i="4"/>
  <c r="AC132" i="4"/>
  <c r="Z132" i="4"/>
  <c r="W132" i="4"/>
  <c r="T132" i="4"/>
  <c r="Q132" i="4"/>
  <c r="N132" i="4"/>
  <c r="G144" i="9"/>
  <c r="AS131" i="4"/>
  <c r="AP131" i="4"/>
  <c r="AM131" i="4"/>
  <c r="AJ131" i="4"/>
  <c r="AF131" i="4"/>
  <c r="AC131" i="4"/>
  <c r="Z131" i="4"/>
  <c r="W131" i="4"/>
  <c r="T131" i="4"/>
  <c r="Q131" i="4"/>
  <c r="N131" i="4"/>
  <c r="G143" i="9"/>
  <c r="AS130" i="4"/>
  <c r="AP130" i="4"/>
  <c r="AM130" i="4"/>
  <c r="AF130" i="4"/>
  <c r="AC130" i="4"/>
  <c r="Z130" i="4"/>
  <c r="W130" i="4"/>
  <c r="Q130" i="4"/>
  <c r="N130" i="4"/>
  <c r="AS129" i="4"/>
  <c r="AP129" i="4"/>
  <c r="AF129" i="4"/>
  <c r="Z129" i="4"/>
  <c r="W129" i="4"/>
  <c r="Q129" i="4"/>
  <c r="AM129" i="4"/>
  <c r="AS128" i="4"/>
  <c r="AP128" i="4"/>
  <c r="AM128" i="4"/>
  <c r="AJ128" i="4"/>
  <c r="AF128" i="4"/>
  <c r="AC128" i="4"/>
  <c r="Z128" i="4"/>
  <c r="W128" i="4"/>
  <c r="T128" i="4"/>
  <c r="Q128" i="4"/>
  <c r="N128" i="4"/>
  <c r="AS127" i="4"/>
  <c r="AP127" i="4"/>
  <c r="AM127" i="4"/>
  <c r="AJ127" i="4"/>
  <c r="AF127" i="4"/>
  <c r="AC127" i="4"/>
  <c r="Z127" i="4"/>
  <c r="W127" i="4"/>
  <c r="T127" i="4"/>
  <c r="Q127" i="4"/>
  <c r="N127" i="4"/>
  <c r="G139" i="9"/>
  <c r="AS126" i="4"/>
  <c r="AP126" i="4"/>
  <c r="AM126" i="4"/>
  <c r="AJ126" i="4"/>
  <c r="AF126" i="4"/>
  <c r="AC126" i="4"/>
  <c r="Z126" i="4"/>
  <c r="W126" i="4"/>
  <c r="T126" i="4"/>
  <c r="Q126" i="4"/>
  <c r="N126" i="4"/>
  <c r="Q125" i="4"/>
  <c r="AS124" i="4"/>
  <c r="AP124" i="4"/>
  <c r="AM124" i="4"/>
  <c r="AJ124" i="4"/>
  <c r="AF124" i="4"/>
  <c r="AC124" i="4"/>
  <c r="Z124" i="4"/>
  <c r="W124" i="4"/>
  <c r="T124" i="4"/>
  <c r="Q124" i="4"/>
  <c r="N124" i="4"/>
  <c r="AS123" i="4"/>
  <c r="AP123" i="4"/>
  <c r="AM123" i="4"/>
  <c r="AJ123" i="4"/>
  <c r="AF123" i="4"/>
  <c r="AC123" i="4"/>
  <c r="Z123" i="4"/>
  <c r="W123" i="4"/>
  <c r="T123" i="4"/>
  <c r="Q123" i="4"/>
  <c r="N123" i="4"/>
  <c r="G135" i="9"/>
  <c r="AS122" i="4"/>
  <c r="AJ122" i="4"/>
  <c r="Z122" i="4"/>
  <c r="W122" i="4"/>
  <c r="N122" i="4"/>
  <c r="AS121" i="4"/>
  <c r="AM121" i="4"/>
  <c r="AF121" i="4"/>
  <c r="W121" i="4"/>
  <c r="Q121" i="4"/>
  <c r="N121" i="4"/>
  <c r="AS120" i="4"/>
  <c r="AP120" i="4"/>
  <c r="AM120" i="4"/>
  <c r="AJ120" i="4"/>
  <c r="AF120" i="4"/>
  <c r="AC120" i="4"/>
  <c r="Z120" i="4"/>
  <c r="W120" i="4"/>
  <c r="T120" i="4"/>
  <c r="Q120" i="4"/>
  <c r="N120" i="4"/>
  <c r="AS119" i="4"/>
  <c r="AP119" i="4"/>
  <c r="AM119" i="4"/>
  <c r="AJ119" i="4"/>
  <c r="Z119" i="4"/>
  <c r="W119" i="4"/>
  <c r="Q119" i="4"/>
  <c r="N119" i="4"/>
  <c r="AS118" i="4"/>
  <c r="AP118" i="4"/>
  <c r="AM118" i="4"/>
  <c r="AJ118" i="4"/>
  <c r="AF118" i="4"/>
  <c r="AC118" i="4"/>
  <c r="Z118" i="4"/>
  <c r="W118" i="4"/>
  <c r="T118" i="4"/>
  <c r="N118" i="4"/>
  <c r="AC117" i="4"/>
  <c r="Q117" i="4"/>
  <c r="AS117" i="4"/>
  <c r="AP115" i="4"/>
  <c r="AM115" i="4"/>
  <c r="AJ115" i="4"/>
  <c r="AF115" i="4"/>
  <c r="Z115" i="4"/>
  <c r="W115" i="4"/>
  <c r="T115" i="4"/>
  <c r="Q115" i="4"/>
  <c r="N115" i="4"/>
  <c r="AS115" i="4"/>
  <c r="AS114" i="4"/>
  <c r="AP114" i="4"/>
  <c r="AM114" i="4"/>
  <c r="AJ114" i="4"/>
  <c r="AF114" i="4"/>
  <c r="AC114" i="4"/>
  <c r="Z114" i="4"/>
  <c r="W114" i="4"/>
  <c r="T114" i="4"/>
  <c r="Q114" i="4"/>
  <c r="N114" i="4"/>
  <c r="G126" i="9"/>
  <c r="AS113" i="4"/>
  <c r="AP113" i="4"/>
  <c r="AM113" i="4"/>
  <c r="AJ113" i="4"/>
  <c r="AF113" i="4"/>
  <c r="AC113" i="4"/>
  <c r="Z113" i="4"/>
  <c r="W113" i="4"/>
  <c r="T113" i="4"/>
  <c r="Q113" i="4"/>
  <c r="N113" i="4"/>
  <c r="G125" i="9"/>
  <c r="AS112" i="4"/>
  <c r="AP112" i="4"/>
  <c r="AM112" i="4"/>
  <c r="AJ112" i="4"/>
  <c r="AF112" i="4"/>
  <c r="AC112" i="4"/>
  <c r="Z112" i="4"/>
  <c r="W112" i="4"/>
  <c r="T112" i="4"/>
  <c r="Q112" i="4"/>
  <c r="N112" i="4"/>
  <c r="G124" i="9"/>
  <c r="AS111" i="4"/>
  <c r="AP111" i="4"/>
  <c r="AM111" i="4"/>
  <c r="AJ111" i="4"/>
  <c r="AF111" i="4"/>
  <c r="AC111" i="4"/>
  <c r="Z111" i="4"/>
  <c r="W111" i="4"/>
  <c r="T111" i="4"/>
  <c r="Q111" i="4"/>
  <c r="N111" i="4"/>
  <c r="G123" i="9"/>
  <c r="AS110" i="4"/>
  <c r="AP110" i="4"/>
  <c r="AM110" i="4"/>
  <c r="AJ110" i="4"/>
  <c r="AC110" i="4"/>
  <c r="Z110" i="4"/>
  <c r="W110" i="4"/>
  <c r="T110" i="4"/>
  <c r="Q110" i="4"/>
  <c r="N110" i="4"/>
  <c r="AS109" i="4"/>
  <c r="AP109" i="4"/>
  <c r="AF109" i="4"/>
  <c r="Z109" i="4"/>
  <c r="W109" i="4"/>
  <c r="Q109" i="4"/>
  <c r="G121" i="9"/>
  <c r="AS108" i="4"/>
  <c r="AP108" i="4"/>
  <c r="AM108" i="4"/>
  <c r="AJ108" i="4"/>
  <c r="AF108" i="4"/>
  <c r="AC108" i="4"/>
  <c r="Z108" i="4"/>
  <c r="W108" i="4"/>
  <c r="T108" i="4"/>
  <c r="Q108" i="4"/>
  <c r="N108" i="4"/>
  <c r="AP107" i="4"/>
  <c r="AF107" i="4"/>
  <c r="Z107" i="4"/>
  <c r="N107" i="4"/>
  <c r="AS106" i="4"/>
  <c r="AP106" i="4"/>
  <c r="AM106" i="4"/>
  <c r="AJ106" i="4"/>
  <c r="AF106" i="4"/>
  <c r="AC106" i="4"/>
  <c r="Z106" i="4"/>
  <c r="W106" i="4"/>
  <c r="T106" i="4"/>
  <c r="Q106" i="4"/>
  <c r="N106" i="4"/>
  <c r="G118" i="9"/>
  <c r="AS105" i="4"/>
  <c r="AP105" i="4"/>
  <c r="AM105" i="4"/>
  <c r="AJ105" i="4"/>
  <c r="AF105" i="4"/>
  <c r="AC105" i="4"/>
  <c r="Z105" i="4"/>
  <c r="W105" i="4"/>
  <c r="T105" i="4"/>
  <c r="N105" i="4"/>
  <c r="Q105" i="4"/>
  <c r="AS104" i="4"/>
  <c r="AP104" i="4"/>
  <c r="AM104" i="4"/>
  <c r="AJ104" i="4"/>
  <c r="AF104" i="4"/>
  <c r="AC104" i="4"/>
  <c r="Z104" i="4"/>
  <c r="W104" i="4"/>
  <c r="T104" i="4"/>
  <c r="Q104" i="4"/>
  <c r="N104" i="4"/>
  <c r="AS103" i="4"/>
  <c r="AP103" i="4"/>
  <c r="AM103" i="4"/>
  <c r="AJ103" i="4"/>
  <c r="AF103" i="4"/>
  <c r="AC103" i="4"/>
  <c r="Z103" i="4"/>
  <c r="W103" i="4"/>
  <c r="T103" i="4"/>
  <c r="Q103" i="4"/>
  <c r="N103" i="4"/>
  <c r="AS102" i="4"/>
  <c r="AM102" i="4"/>
  <c r="AJ102" i="4"/>
  <c r="AF102" i="4"/>
  <c r="AC102" i="4"/>
  <c r="W102" i="4"/>
  <c r="T102" i="4"/>
  <c r="N102" i="4"/>
  <c r="AP102" i="4"/>
  <c r="AP101" i="4"/>
  <c r="AM101" i="4"/>
  <c r="AF101" i="4"/>
  <c r="Z101" i="4"/>
  <c r="W101" i="4"/>
  <c r="Q101" i="4"/>
  <c r="N101" i="4"/>
  <c r="G113" i="9"/>
  <c r="AS101" i="4"/>
  <c r="AS100" i="4"/>
  <c r="AP100" i="4"/>
  <c r="AM100" i="4"/>
  <c r="AJ100" i="4"/>
  <c r="AF100" i="4"/>
  <c r="AC100" i="4"/>
  <c r="Z100" i="4"/>
  <c r="W100" i="4"/>
  <c r="T100" i="4"/>
  <c r="Q100" i="4"/>
  <c r="N100" i="4"/>
  <c r="AM99" i="4"/>
  <c r="W99" i="4"/>
  <c r="N99" i="4"/>
  <c r="AS99" i="4"/>
  <c r="AS98" i="4"/>
  <c r="AP98" i="4"/>
  <c r="AM98" i="4"/>
  <c r="AJ98" i="4"/>
  <c r="AF98" i="4"/>
  <c r="AC98" i="4"/>
  <c r="Z98" i="4"/>
  <c r="W98" i="4"/>
  <c r="T98" i="4"/>
  <c r="Q98" i="4"/>
  <c r="N98" i="4"/>
  <c r="AS97" i="4"/>
  <c r="AP97" i="4"/>
  <c r="AM97" i="4"/>
  <c r="AJ97" i="4"/>
  <c r="AF97" i="4"/>
  <c r="AC97" i="4"/>
  <c r="Z97" i="4"/>
  <c r="W97" i="4"/>
  <c r="T97" i="4"/>
  <c r="N97" i="4"/>
  <c r="AS96" i="4"/>
  <c r="AP96" i="4"/>
  <c r="AM96" i="4"/>
  <c r="AJ96" i="4"/>
  <c r="AF96" i="4"/>
  <c r="AC96" i="4"/>
  <c r="Z96" i="4"/>
  <c r="W96" i="4"/>
  <c r="T96" i="4"/>
  <c r="Q96" i="4"/>
  <c r="N96" i="4"/>
  <c r="AS95" i="4"/>
  <c r="AP95" i="4"/>
  <c r="AM95" i="4"/>
  <c r="AJ95" i="4"/>
  <c r="AF95" i="4"/>
  <c r="AC95" i="4"/>
  <c r="Z95" i="4"/>
  <c r="W95" i="4"/>
  <c r="T95" i="4"/>
  <c r="Q95" i="4"/>
  <c r="N95" i="4"/>
  <c r="AS94" i="4"/>
  <c r="AP94" i="4"/>
  <c r="AF94" i="4"/>
  <c r="Z94" i="4"/>
  <c r="T94" i="4"/>
  <c r="N94" i="4"/>
  <c r="AJ94" i="4"/>
  <c r="AS93" i="4"/>
  <c r="AP93" i="4"/>
  <c r="AM93" i="4"/>
  <c r="AF93" i="4"/>
  <c r="AC93" i="4"/>
  <c r="W93" i="4"/>
  <c r="Q93" i="4"/>
  <c r="N93" i="4"/>
  <c r="AS92" i="4"/>
  <c r="AP92" i="4"/>
  <c r="AM92" i="4"/>
  <c r="AJ92" i="4"/>
  <c r="AF92" i="4"/>
  <c r="AC92" i="4"/>
  <c r="Z92" i="4"/>
  <c r="W92" i="4"/>
  <c r="T92" i="4"/>
  <c r="Q92" i="4"/>
  <c r="N92" i="4"/>
  <c r="AS91" i="4"/>
  <c r="AJ91" i="4"/>
  <c r="AF91" i="4"/>
  <c r="W91" i="4"/>
  <c r="Q91" i="4"/>
  <c r="N91" i="4"/>
  <c r="AM91" i="4"/>
  <c r="AS90" i="4"/>
  <c r="AP90" i="4"/>
  <c r="AM90" i="4"/>
  <c r="AJ90" i="4"/>
  <c r="AF90" i="4"/>
  <c r="Z90" i="4"/>
  <c r="W90" i="4"/>
  <c r="T90" i="4"/>
  <c r="Q90" i="4"/>
  <c r="N90" i="4"/>
  <c r="AS89" i="4"/>
  <c r="AP89" i="4"/>
  <c r="AM89" i="4"/>
  <c r="AJ89" i="4"/>
  <c r="AF89" i="4"/>
  <c r="AC89" i="4"/>
  <c r="Z89" i="4"/>
  <c r="W89" i="4"/>
  <c r="T89" i="4"/>
  <c r="Q89" i="4"/>
  <c r="N89" i="4"/>
  <c r="AM88" i="4"/>
  <c r="AJ88" i="4"/>
  <c r="AF88" i="4"/>
  <c r="W88" i="4"/>
  <c r="T88" i="4"/>
  <c r="N88" i="4"/>
  <c r="AS88" i="4"/>
  <c r="AP87" i="4"/>
  <c r="AM87" i="4"/>
  <c r="AF87" i="4"/>
  <c r="Z87" i="4"/>
  <c r="W87" i="4"/>
  <c r="Q87" i="4"/>
  <c r="N87" i="4"/>
  <c r="AS86" i="4"/>
  <c r="AP86" i="4"/>
  <c r="AM86" i="4"/>
  <c r="AJ86" i="4"/>
  <c r="AC86" i="4"/>
  <c r="Z86" i="4"/>
  <c r="W86" i="4"/>
  <c r="T86" i="4"/>
  <c r="N86" i="4"/>
  <c r="AS85" i="4"/>
  <c r="AP85" i="4"/>
  <c r="AM85" i="4"/>
  <c r="AJ85" i="4"/>
  <c r="AF85" i="4"/>
  <c r="AC85" i="4"/>
  <c r="Z85" i="4"/>
  <c r="W85" i="4"/>
  <c r="T85" i="4"/>
  <c r="Q85" i="4"/>
  <c r="N85" i="4"/>
  <c r="G97" i="9"/>
  <c r="AS84" i="4"/>
  <c r="AP84" i="4"/>
  <c r="AM84" i="4"/>
  <c r="AJ84" i="4"/>
  <c r="AF84" i="4"/>
  <c r="AC84" i="4"/>
  <c r="Z84" i="4"/>
  <c r="W84" i="4"/>
  <c r="T84" i="4"/>
  <c r="Q84" i="4"/>
  <c r="N84" i="4"/>
  <c r="G96" i="9"/>
  <c r="AS83" i="4"/>
  <c r="AP83" i="4"/>
  <c r="AM83" i="4"/>
  <c r="AJ83" i="4"/>
  <c r="AF83" i="4"/>
  <c r="AC83" i="4"/>
  <c r="Z83" i="4"/>
  <c r="W83" i="4"/>
  <c r="T83" i="4"/>
  <c r="N83" i="4"/>
  <c r="AS82" i="4"/>
  <c r="AP82" i="4"/>
  <c r="AM82" i="4"/>
  <c r="AJ82" i="4"/>
  <c r="AF82" i="4"/>
  <c r="AC82" i="4"/>
  <c r="Z82" i="4"/>
  <c r="W82" i="4"/>
  <c r="T82" i="4"/>
  <c r="Q82" i="4"/>
  <c r="N82" i="4"/>
  <c r="AS81" i="4"/>
  <c r="AP81" i="4"/>
  <c r="AM81" i="4"/>
  <c r="AJ81" i="4"/>
  <c r="AF81" i="4"/>
  <c r="AC81" i="4"/>
  <c r="Z81" i="4"/>
  <c r="W81" i="4"/>
  <c r="T81" i="4"/>
  <c r="Q81" i="4"/>
  <c r="N81" i="4"/>
  <c r="G93" i="9"/>
  <c r="AM80" i="4"/>
  <c r="AJ80" i="4"/>
  <c r="W80" i="4"/>
  <c r="T80" i="4"/>
  <c r="N80" i="4"/>
  <c r="AC80" i="4"/>
  <c r="AP79" i="4"/>
  <c r="AM79" i="4"/>
  <c r="AF79" i="4"/>
  <c r="Z79" i="4"/>
  <c r="W79" i="4"/>
  <c r="Q79" i="4"/>
  <c r="N79" i="4"/>
  <c r="G91" i="9"/>
  <c r="AS78" i="4"/>
  <c r="AJ78" i="4"/>
  <c r="T78" i="4"/>
  <c r="AS77" i="4"/>
  <c r="AP77" i="4"/>
  <c r="AM77" i="4"/>
  <c r="AJ77" i="4"/>
  <c r="AF77" i="4"/>
  <c r="AC77" i="4"/>
  <c r="Z77" i="4"/>
  <c r="W77" i="4"/>
  <c r="T77" i="4"/>
  <c r="Q77" i="4"/>
  <c r="N77" i="4"/>
  <c r="AS76" i="4"/>
  <c r="AP76" i="4"/>
  <c r="AM76" i="4"/>
  <c r="AJ76" i="4"/>
  <c r="AF76" i="4"/>
  <c r="AC76" i="4"/>
  <c r="Z76" i="4"/>
  <c r="W76" i="4"/>
  <c r="T76" i="4"/>
  <c r="Q76" i="4"/>
  <c r="N76" i="4"/>
  <c r="G88" i="9"/>
  <c r="AS75" i="4"/>
  <c r="AP75" i="4"/>
  <c r="AM75" i="4"/>
  <c r="AC75" i="4"/>
  <c r="T75" i="4"/>
  <c r="N75" i="4"/>
  <c r="AS74" i="4"/>
  <c r="AP74" i="4"/>
  <c r="AJ74" i="4"/>
  <c r="AF74" i="4"/>
  <c r="AC74" i="4"/>
  <c r="Z74" i="4"/>
  <c r="T74" i="4"/>
  <c r="Q74" i="4"/>
  <c r="AM74" i="4"/>
  <c r="AS73" i="4"/>
  <c r="AP73" i="4"/>
  <c r="AM73" i="4"/>
  <c r="AJ73" i="4"/>
  <c r="AF73" i="4"/>
  <c r="AC73" i="4"/>
  <c r="Z73" i="4"/>
  <c r="W73" i="4"/>
  <c r="T73" i="4"/>
  <c r="Q73" i="4"/>
  <c r="N73" i="4"/>
  <c r="AS72" i="4"/>
  <c r="AP72" i="4"/>
  <c r="AM72" i="4"/>
  <c r="AJ72" i="4"/>
  <c r="AF72" i="4"/>
  <c r="AC72" i="4"/>
  <c r="Z72" i="4"/>
  <c r="T72" i="4"/>
  <c r="Q72" i="4"/>
  <c r="N72" i="4"/>
  <c r="W72" i="4"/>
  <c r="AS71" i="4"/>
  <c r="AP71" i="4"/>
  <c r="AM71" i="4"/>
  <c r="AJ71" i="4"/>
  <c r="AC71" i="4"/>
  <c r="T71" i="4"/>
  <c r="AS70" i="4"/>
  <c r="AP70" i="4"/>
  <c r="AM70" i="4"/>
  <c r="AJ70" i="4"/>
  <c r="AF70" i="4"/>
  <c r="AC70" i="4"/>
  <c r="Z70" i="4"/>
  <c r="W70" i="4"/>
  <c r="T70" i="4"/>
  <c r="Q70" i="4"/>
  <c r="N70" i="4"/>
  <c r="G82" i="9"/>
  <c r="AS69" i="4"/>
  <c r="AP69" i="4"/>
  <c r="AM69" i="4"/>
  <c r="AJ69" i="4"/>
  <c r="AF69" i="4"/>
  <c r="AC69" i="4"/>
  <c r="Z69" i="4"/>
  <c r="W69" i="4"/>
  <c r="T69" i="4"/>
  <c r="Q69" i="4"/>
  <c r="N69" i="4"/>
  <c r="AP68" i="4"/>
  <c r="AM68" i="4"/>
  <c r="AJ68" i="4"/>
  <c r="AF68" i="4"/>
  <c r="Z68" i="4"/>
  <c r="W68" i="4"/>
  <c r="T68" i="4"/>
  <c r="Q68" i="4"/>
  <c r="N68" i="4"/>
  <c r="G80" i="9"/>
  <c r="AS67" i="4"/>
  <c r="AP67" i="4"/>
  <c r="AM67" i="4"/>
  <c r="AJ67" i="4"/>
  <c r="AF67" i="4"/>
  <c r="AC67" i="4"/>
  <c r="Z67" i="4"/>
  <c r="W67" i="4"/>
  <c r="T67" i="4"/>
  <c r="Q67" i="4"/>
  <c r="N67" i="4"/>
  <c r="AS66" i="4"/>
  <c r="AP66" i="4"/>
  <c r="AM66" i="4"/>
  <c r="AJ66" i="4"/>
  <c r="AF66" i="4"/>
  <c r="AC66" i="4"/>
  <c r="Z66" i="4"/>
  <c r="W66" i="4"/>
  <c r="T66" i="4"/>
  <c r="Q66" i="4"/>
  <c r="N66" i="4"/>
  <c r="AS65" i="4"/>
  <c r="AP65" i="4"/>
  <c r="AM65" i="4"/>
  <c r="AJ65" i="4"/>
  <c r="AF65" i="4"/>
  <c r="AC65" i="4"/>
  <c r="Z65" i="4"/>
  <c r="W65" i="4"/>
  <c r="T65" i="4"/>
  <c r="Q65" i="4"/>
  <c r="N65" i="4"/>
  <c r="AP64" i="4"/>
  <c r="AM64" i="4"/>
  <c r="AF64" i="4"/>
  <c r="Z64" i="4"/>
  <c r="W64" i="4"/>
  <c r="Q64" i="4"/>
  <c r="N64" i="4"/>
  <c r="G76" i="9"/>
  <c r="AJ64" i="4"/>
  <c r="AP63" i="4"/>
  <c r="AM63" i="4"/>
  <c r="Z63" i="4"/>
  <c r="W63" i="4"/>
  <c r="N63" i="4"/>
  <c r="G75" i="9"/>
  <c r="AS62" i="4"/>
  <c r="AC62" i="4"/>
  <c r="Z62" i="4"/>
  <c r="AS61" i="4"/>
  <c r="AP61" i="4"/>
  <c r="AM61" i="4"/>
  <c r="AJ61" i="4"/>
  <c r="AF61" i="4"/>
  <c r="AC61" i="4"/>
  <c r="Z61" i="4"/>
  <c r="W61" i="4"/>
  <c r="T61" i="4"/>
  <c r="Q61" i="4"/>
  <c r="N61" i="4"/>
  <c r="G73" i="9"/>
  <c r="AP60" i="4"/>
  <c r="AM60" i="4"/>
  <c r="AJ60" i="4"/>
  <c r="AF60" i="4"/>
  <c r="Z60" i="4"/>
  <c r="W60" i="4"/>
  <c r="T60" i="4"/>
  <c r="Q60" i="4"/>
  <c r="N60" i="4"/>
  <c r="AS59" i="4"/>
  <c r="AP59" i="4"/>
  <c r="AM59" i="4"/>
  <c r="AJ59" i="4"/>
  <c r="AC59" i="4"/>
  <c r="Z59" i="4"/>
  <c r="W59" i="4"/>
  <c r="T59" i="4"/>
  <c r="Q59" i="4"/>
  <c r="N59" i="4"/>
  <c r="AS58" i="4"/>
  <c r="AP58" i="4"/>
  <c r="AM58" i="4"/>
  <c r="AJ58" i="4"/>
  <c r="AF58" i="4"/>
  <c r="AC58" i="4"/>
  <c r="Z58" i="4"/>
  <c r="W58" i="4"/>
  <c r="T58" i="4"/>
  <c r="Q58" i="4"/>
  <c r="N58" i="4"/>
  <c r="G70" i="9"/>
  <c r="AS57" i="4"/>
  <c r="AP57" i="4"/>
  <c r="AM57" i="4"/>
  <c r="AJ57" i="4"/>
  <c r="AF57" i="4"/>
  <c r="AC57" i="4"/>
  <c r="Z57" i="4"/>
  <c r="W57" i="4"/>
  <c r="T57" i="4"/>
  <c r="Q57" i="4"/>
  <c r="N57" i="4"/>
  <c r="AP56" i="4"/>
  <c r="W56" i="4"/>
  <c r="N56" i="4"/>
  <c r="AS56" i="4"/>
  <c r="AS55" i="4"/>
  <c r="AC55" i="4"/>
  <c r="Z55" i="4"/>
  <c r="Q55" i="4"/>
  <c r="AP55" i="4"/>
  <c r="AS54" i="4"/>
  <c r="AP54" i="4"/>
  <c r="AJ54" i="4"/>
  <c r="AC54" i="4"/>
  <c r="Z54" i="4"/>
  <c r="T54" i="4"/>
  <c r="Q54" i="4"/>
  <c r="AF54" i="4"/>
  <c r="AS53" i="4"/>
  <c r="AP53" i="4"/>
  <c r="AM53" i="4"/>
  <c r="AJ53" i="4"/>
  <c r="AF53" i="4"/>
  <c r="Z53" i="4"/>
  <c r="W53" i="4"/>
  <c r="T53" i="4"/>
  <c r="Q53" i="4"/>
  <c r="N53" i="4"/>
  <c r="AM52" i="4"/>
  <c r="AJ52" i="4"/>
  <c r="AF52" i="4"/>
  <c r="Z52" i="4"/>
  <c r="T52" i="4"/>
  <c r="Q52" i="4"/>
  <c r="AS52" i="4"/>
  <c r="AS51" i="4"/>
  <c r="AP51" i="4"/>
  <c r="AM51" i="4"/>
  <c r="AJ51" i="4"/>
  <c r="W51" i="4"/>
  <c r="T51" i="4"/>
  <c r="N51" i="4"/>
  <c r="AS50" i="4"/>
  <c r="AP50" i="4"/>
  <c r="AM50" i="4"/>
  <c r="AJ50" i="4"/>
  <c r="AC50" i="4"/>
  <c r="Z50" i="4"/>
  <c r="W50" i="4"/>
  <c r="T50" i="4"/>
  <c r="N50" i="4"/>
  <c r="AS49" i="4"/>
  <c r="AP49" i="4"/>
  <c r="AM49" i="4"/>
  <c r="AJ49" i="4"/>
  <c r="AF49" i="4"/>
  <c r="AC49" i="4"/>
  <c r="Z49" i="4"/>
  <c r="W49" i="4"/>
  <c r="T49" i="4"/>
  <c r="Q49" i="4"/>
  <c r="N49" i="4"/>
  <c r="G61" i="9"/>
  <c r="AS48" i="4"/>
  <c r="AP48" i="4"/>
  <c r="AM48" i="4"/>
  <c r="AJ48" i="4"/>
  <c r="AF48" i="4"/>
  <c r="AC48" i="4"/>
  <c r="Z48" i="4"/>
  <c r="W48" i="4"/>
  <c r="T48" i="4"/>
  <c r="Q48" i="4"/>
  <c r="N48" i="4"/>
  <c r="G60" i="9"/>
  <c r="AP47" i="4"/>
  <c r="AM47" i="4"/>
  <c r="AF47" i="4"/>
  <c r="Z47" i="4"/>
  <c r="W47" i="4"/>
  <c r="N47" i="4"/>
  <c r="G59" i="9"/>
  <c r="AS46" i="4"/>
  <c r="AP46" i="4"/>
  <c r="AM46" i="4"/>
  <c r="AJ46" i="4"/>
  <c r="AF46" i="4"/>
  <c r="AC46" i="4"/>
  <c r="Z46" i="4"/>
  <c r="W46" i="4"/>
  <c r="T46" i="4"/>
  <c r="Q46" i="4"/>
  <c r="N46" i="4"/>
  <c r="AS45" i="4"/>
  <c r="AP45" i="4"/>
  <c r="AM45" i="4"/>
  <c r="AJ45" i="4"/>
  <c r="AF45" i="4"/>
  <c r="AC45" i="4"/>
  <c r="Z45" i="4"/>
  <c r="W45" i="4"/>
  <c r="T45" i="4"/>
  <c r="N45" i="4"/>
  <c r="Q45" i="4"/>
  <c r="AP44" i="4"/>
  <c r="AM44" i="4"/>
  <c r="AJ44" i="4"/>
  <c r="Z44" i="4"/>
  <c r="W44" i="4"/>
  <c r="T44" i="4"/>
  <c r="Q44" i="4"/>
  <c r="N44" i="4"/>
  <c r="AS42" i="4"/>
  <c r="AP42" i="4"/>
  <c r="AM42" i="4"/>
  <c r="AJ42" i="4"/>
  <c r="AC42" i="4"/>
  <c r="Z42" i="4"/>
  <c r="W42" i="4"/>
  <c r="T42" i="4"/>
  <c r="Q42" i="4"/>
  <c r="N42" i="4"/>
  <c r="AS41" i="4"/>
  <c r="AP41" i="4"/>
  <c r="AM41" i="4"/>
  <c r="AJ41" i="4"/>
  <c r="AF41" i="4"/>
  <c r="AC41" i="4"/>
  <c r="Z41" i="4"/>
  <c r="W41" i="4"/>
  <c r="T41" i="4"/>
  <c r="Q41" i="4"/>
  <c r="N41" i="4"/>
  <c r="G53" i="9"/>
  <c r="AS40" i="4"/>
  <c r="AP40" i="4"/>
  <c r="AM40" i="4"/>
  <c r="AJ40" i="4"/>
  <c r="AF40" i="4"/>
  <c r="AC40" i="4"/>
  <c r="Z40" i="4"/>
  <c r="W40" i="4"/>
  <c r="T40" i="4"/>
  <c r="Q40" i="4"/>
  <c r="N40" i="4"/>
  <c r="AM39" i="4"/>
  <c r="AF39" i="4"/>
  <c r="Z39" i="4"/>
  <c r="W39" i="4"/>
  <c r="Q39" i="4"/>
  <c r="N39" i="4"/>
  <c r="AS39" i="4"/>
  <c r="AS38" i="4"/>
  <c r="AP38" i="4"/>
  <c r="AM38" i="4"/>
  <c r="AJ38" i="4"/>
  <c r="AF38" i="4"/>
  <c r="AC38" i="4"/>
  <c r="Z38" i="4"/>
  <c r="W38" i="4"/>
  <c r="T38" i="4"/>
  <c r="Q38" i="4"/>
  <c r="N38" i="4"/>
  <c r="AJ37" i="4"/>
  <c r="AC37" i="4"/>
  <c r="W37" i="4"/>
  <c r="T37" i="4"/>
  <c r="N37" i="4"/>
  <c r="AM37" i="4"/>
  <c r="AS36" i="4"/>
  <c r="AM36" i="4"/>
  <c r="AP35" i="4"/>
  <c r="AM35" i="4"/>
  <c r="AF35" i="4"/>
  <c r="W35" i="4"/>
  <c r="N35" i="4"/>
  <c r="Z35" i="4"/>
  <c r="AS34" i="4"/>
  <c r="AP34" i="4"/>
  <c r="AJ34" i="4"/>
  <c r="AC34" i="4"/>
  <c r="Z34" i="4"/>
  <c r="W34" i="4"/>
  <c r="T34" i="4"/>
  <c r="Q34" i="4"/>
  <c r="N34" i="4"/>
  <c r="AS33" i="4"/>
  <c r="AM33" i="4"/>
  <c r="AJ33" i="4"/>
  <c r="AF33" i="4"/>
  <c r="AC33" i="4"/>
  <c r="Z33" i="4"/>
  <c r="W33" i="4"/>
  <c r="T33" i="4"/>
  <c r="Q33" i="4"/>
  <c r="N33" i="4"/>
  <c r="AS32" i="4"/>
  <c r="AP32" i="4"/>
  <c r="AM32" i="4"/>
  <c r="AJ32" i="4"/>
  <c r="AF32" i="4"/>
  <c r="AC32" i="4"/>
  <c r="Z32" i="4"/>
  <c r="W32" i="4"/>
  <c r="T32" i="4"/>
  <c r="Q32" i="4"/>
  <c r="N32" i="4"/>
  <c r="AS31" i="4"/>
  <c r="AP31" i="4"/>
  <c r="AM31" i="4"/>
  <c r="AJ31" i="4"/>
  <c r="AF31" i="4"/>
  <c r="AC31" i="4"/>
  <c r="Z31" i="4"/>
  <c r="W31" i="4"/>
  <c r="T31" i="4"/>
  <c r="Q31" i="4"/>
  <c r="N31" i="4"/>
  <c r="AP30" i="4"/>
  <c r="AM30" i="4"/>
  <c r="AF30" i="4"/>
  <c r="Z30" i="4"/>
  <c r="W30" i="4"/>
  <c r="N30" i="4"/>
  <c r="Q30" i="4"/>
  <c r="AS29" i="4"/>
  <c r="AP29" i="4"/>
  <c r="AM29" i="4"/>
  <c r="AJ29" i="4"/>
  <c r="AF29" i="4"/>
  <c r="AC29" i="4"/>
  <c r="Z29" i="4"/>
  <c r="W29" i="4"/>
  <c r="T29" i="4"/>
  <c r="Q29" i="4"/>
  <c r="N29" i="4"/>
  <c r="AS28" i="4"/>
  <c r="AP28" i="4"/>
  <c r="AM28" i="4"/>
  <c r="AJ28" i="4"/>
  <c r="AF28" i="4"/>
  <c r="AC28" i="4"/>
  <c r="Z28" i="4"/>
  <c r="W28" i="4"/>
  <c r="T28" i="4"/>
  <c r="Q28" i="4"/>
  <c r="N28" i="4"/>
  <c r="AS27" i="4"/>
  <c r="AP27" i="4"/>
  <c r="AM27" i="4"/>
  <c r="AJ27" i="4"/>
  <c r="AF27" i="4"/>
  <c r="AC27" i="4"/>
  <c r="Z27" i="4"/>
  <c r="W27" i="4"/>
  <c r="T27" i="4"/>
  <c r="Q27" i="4"/>
  <c r="N27" i="4"/>
  <c r="AP26" i="4"/>
  <c r="AF26" i="4"/>
  <c r="Z26" i="4"/>
  <c r="Q26" i="4"/>
  <c r="N26" i="4"/>
  <c r="AS26" i="4"/>
  <c r="AS25" i="4"/>
  <c r="AP25" i="4"/>
  <c r="AM25" i="4"/>
  <c r="AJ25" i="4"/>
  <c r="AF25" i="4"/>
  <c r="AC25" i="4"/>
  <c r="Z25" i="4"/>
  <c r="W25" i="4"/>
  <c r="T25" i="4"/>
  <c r="Q25" i="4"/>
  <c r="N25" i="4"/>
  <c r="AP24" i="4"/>
  <c r="AM24" i="4"/>
  <c r="AJ24" i="4"/>
  <c r="AF24" i="4"/>
  <c r="Z24" i="4"/>
  <c r="W24" i="4"/>
  <c r="T24" i="4"/>
  <c r="N24" i="4"/>
  <c r="G36" i="9"/>
  <c r="Q24" i="4"/>
  <c r="AS23" i="4"/>
  <c r="AP23" i="4"/>
  <c r="AM23" i="4"/>
  <c r="AJ23" i="4"/>
  <c r="AF23" i="4"/>
  <c r="AC23" i="4"/>
  <c r="Z23" i="4"/>
  <c r="W23" i="4"/>
  <c r="T23" i="4"/>
  <c r="Q23" i="4"/>
  <c r="N23" i="4"/>
  <c r="G35" i="9"/>
  <c r="AP22" i="4"/>
  <c r="Z22" i="4"/>
  <c r="W22" i="4"/>
  <c r="Q22" i="4"/>
  <c r="AS21" i="4"/>
  <c r="AP21" i="4"/>
  <c r="AM21" i="4"/>
  <c r="AJ21" i="4"/>
  <c r="AF21" i="4"/>
  <c r="AC21" i="4"/>
  <c r="Z21" i="4"/>
  <c r="W21" i="4"/>
  <c r="T21" i="4"/>
  <c r="Q21" i="4"/>
  <c r="N21" i="4"/>
  <c r="AS20" i="4"/>
  <c r="AP20" i="4"/>
  <c r="AM20" i="4"/>
  <c r="AJ20" i="4"/>
  <c r="AF20" i="4"/>
  <c r="AC20" i="4"/>
  <c r="Z20" i="4"/>
  <c r="W20" i="4"/>
  <c r="T20" i="4"/>
  <c r="Q20" i="4"/>
  <c r="N20" i="4"/>
  <c r="G32" i="9"/>
  <c r="AS19" i="4"/>
  <c r="AP19" i="4"/>
  <c r="AM19" i="4"/>
  <c r="AF19" i="4"/>
  <c r="AC19" i="4"/>
  <c r="T19" i="4"/>
  <c r="N19" i="4"/>
  <c r="Z19" i="4"/>
  <c r="AC17" i="4"/>
  <c r="Q17" i="4"/>
  <c r="W17" i="4"/>
  <c r="AS16" i="4"/>
  <c r="AP16" i="4"/>
  <c r="AM16" i="4"/>
  <c r="AJ16" i="4"/>
  <c r="AF16" i="4"/>
  <c r="AC16" i="4"/>
  <c r="Z16" i="4"/>
  <c r="W16" i="4"/>
  <c r="T16" i="4"/>
  <c r="Q16" i="4"/>
  <c r="G29" i="9"/>
  <c r="AP15" i="4"/>
  <c r="AM15" i="4"/>
  <c r="AJ15" i="4"/>
  <c r="AF15" i="4"/>
  <c r="AC15" i="4"/>
  <c r="Z15" i="4"/>
  <c r="W15" i="4"/>
  <c r="T15" i="4"/>
  <c r="Q15" i="4"/>
  <c r="G28" i="9"/>
  <c r="AS15" i="4"/>
  <c r="AS14" i="4"/>
  <c r="AP14" i="4"/>
  <c r="AM14" i="4"/>
  <c r="AJ14" i="4"/>
  <c r="AF14" i="4"/>
  <c r="AC14" i="4"/>
  <c r="Z14" i="4"/>
  <c r="W14" i="4"/>
  <c r="T14" i="4"/>
  <c r="AP13" i="4"/>
  <c r="AM13" i="4"/>
  <c r="AJ13" i="4"/>
  <c r="AF13" i="4"/>
  <c r="AC13" i="4"/>
  <c r="T13" i="4"/>
  <c r="Q13" i="4"/>
  <c r="G25" i="9"/>
  <c r="AS12" i="4"/>
  <c r="AP12" i="4"/>
  <c r="AM12" i="4"/>
  <c r="AJ12" i="4"/>
  <c r="AF12" i="4"/>
  <c r="AC12" i="4"/>
  <c r="Z12" i="4"/>
  <c r="W12" i="4"/>
  <c r="T12" i="4"/>
  <c r="Q12" i="4"/>
  <c r="N12" i="4"/>
  <c r="G24" i="9"/>
  <c r="AS11" i="4"/>
  <c r="AM11" i="4"/>
  <c r="AJ11" i="4"/>
  <c r="AC11" i="4"/>
  <c r="Z11" i="4"/>
  <c r="T11" i="4"/>
  <c r="Q11" i="4"/>
  <c r="G23" i="9"/>
  <c r="AJ10" i="4"/>
  <c r="AB8" i="4"/>
  <c r="T10" i="4"/>
  <c r="AS9" i="4"/>
  <c r="AM9" i="4"/>
  <c r="AJ9" i="4"/>
  <c r="AF9" i="4"/>
  <c r="N9" i="4"/>
  <c r="AW8" i="4"/>
  <c r="AR8" i="4"/>
  <c r="AO8" i="4"/>
  <c r="AE8" i="4"/>
  <c r="P8" i="4"/>
  <c r="I8" i="4"/>
  <c r="BK43" i="4" l="1"/>
  <c r="AY43" i="4"/>
  <c r="AV29" i="4"/>
  <c r="AX29" i="4" s="1"/>
  <c r="AY29" i="4" s="1"/>
  <c r="AV56" i="4"/>
  <c r="AX56" i="4" s="1"/>
  <c r="AY56" i="4" s="1"/>
  <c r="AV69" i="4"/>
  <c r="AX69" i="4" s="1"/>
  <c r="AY69" i="4" s="1"/>
  <c r="AV81" i="4"/>
  <c r="AX81" i="4" s="1"/>
  <c r="AY81" i="4" s="1"/>
  <c r="AV95" i="4"/>
  <c r="AX95" i="4" s="1"/>
  <c r="AY95" i="4" s="1"/>
  <c r="AV104" i="4"/>
  <c r="AX104" i="4" s="1"/>
  <c r="AY104" i="4" s="1"/>
  <c r="AV113" i="4"/>
  <c r="AX113" i="4" s="1"/>
  <c r="AY113" i="4" s="1"/>
  <c r="AV122" i="4"/>
  <c r="AX122" i="4" s="1"/>
  <c r="AY122" i="4" s="1"/>
  <c r="AV132" i="4"/>
  <c r="AX132" i="4" s="1"/>
  <c r="AY132" i="4" s="1"/>
  <c r="AV144" i="4"/>
  <c r="AX144" i="4" s="1"/>
  <c r="AY144" i="4" s="1"/>
  <c r="AV158" i="4"/>
  <c r="AX158" i="4" s="1"/>
  <c r="AY158" i="4" s="1"/>
  <c r="AV31" i="4"/>
  <c r="AX31" i="4" s="1"/>
  <c r="AY31" i="4" s="1"/>
  <c r="AV45" i="4"/>
  <c r="AX45" i="4" s="1"/>
  <c r="AY45" i="4" s="1"/>
  <c r="AV57" i="4"/>
  <c r="AX57" i="4" s="1"/>
  <c r="AY57" i="4" s="1"/>
  <c r="AV71" i="4"/>
  <c r="AX71" i="4" s="1"/>
  <c r="AY71" i="4" s="1"/>
  <c r="AV84" i="4"/>
  <c r="AX84" i="4" s="1"/>
  <c r="AY84" i="4" s="1"/>
  <c r="AV96" i="4"/>
  <c r="AX96" i="4" s="1"/>
  <c r="AY96" i="4" s="1"/>
  <c r="AV105" i="4"/>
  <c r="AX105" i="4" s="1"/>
  <c r="AY105" i="4" s="1"/>
  <c r="AV114" i="4"/>
  <c r="AX114" i="4" s="1"/>
  <c r="AY114" i="4" s="1"/>
  <c r="AV124" i="4"/>
  <c r="AX124" i="4" s="1"/>
  <c r="AY124" i="4" s="1"/>
  <c r="AV133" i="4"/>
  <c r="AX133" i="4" s="1"/>
  <c r="AY133" i="4" s="1"/>
  <c r="AV149" i="4"/>
  <c r="AX149" i="4" s="1"/>
  <c r="AY149" i="4" s="1"/>
  <c r="AX11" i="4"/>
  <c r="AY11" i="4" s="1"/>
  <c r="AV33" i="4"/>
  <c r="AX33" i="4" s="1"/>
  <c r="AY33" i="4" s="1"/>
  <c r="AV47" i="4"/>
  <c r="AX47" i="4" s="1"/>
  <c r="AY47" i="4" s="1"/>
  <c r="AV60" i="4"/>
  <c r="AX60" i="4" s="1"/>
  <c r="AY60" i="4" s="1"/>
  <c r="AV72" i="4"/>
  <c r="AX72" i="4" s="1"/>
  <c r="AY72" i="4" s="1"/>
  <c r="AV85" i="4"/>
  <c r="AX85" i="4" s="1"/>
  <c r="AY85" i="4" s="1"/>
  <c r="AV97" i="4"/>
  <c r="AX97" i="4" s="1"/>
  <c r="AY97" i="4" s="1"/>
  <c r="AV106" i="4"/>
  <c r="AX106" i="4" s="1"/>
  <c r="AY106" i="4" s="1"/>
  <c r="AV116" i="4"/>
  <c r="AX116" i="4" s="1"/>
  <c r="AY116" i="4" s="1"/>
  <c r="AV125" i="4"/>
  <c r="AX125" i="4" s="1"/>
  <c r="AY125" i="4" s="1"/>
  <c r="AV150" i="4"/>
  <c r="AX150" i="4" s="1"/>
  <c r="AY150" i="4" s="1"/>
  <c r="AX12" i="4"/>
  <c r="AY12" i="4" s="1"/>
  <c r="AV36" i="4"/>
  <c r="AX36" i="4" s="1"/>
  <c r="AY36" i="4" s="1"/>
  <c r="AV48" i="4"/>
  <c r="AX48" i="4" s="1"/>
  <c r="AY48" i="4" s="1"/>
  <c r="AV61" i="4"/>
  <c r="AX61" i="4" s="1"/>
  <c r="AY61" i="4" s="1"/>
  <c r="AV73" i="4"/>
  <c r="AX73" i="4" s="1"/>
  <c r="AY73" i="4" s="1"/>
  <c r="AV87" i="4"/>
  <c r="AX87" i="4" s="1"/>
  <c r="AY87" i="4" s="1"/>
  <c r="AV98" i="4"/>
  <c r="AX98" i="4" s="1"/>
  <c r="AY98" i="4" s="1"/>
  <c r="AV108" i="4"/>
  <c r="AX108" i="4" s="1"/>
  <c r="AY108" i="4" s="1"/>
  <c r="AV117" i="4"/>
  <c r="AX117" i="4" s="1"/>
  <c r="AY117" i="4" s="1"/>
  <c r="AV126" i="4"/>
  <c r="AX126" i="4" s="1"/>
  <c r="AY126" i="4" s="1"/>
  <c r="AV135" i="4"/>
  <c r="AX135" i="4" s="1"/>
  <c r="AY135" i="4" s="1"/>
  <c r="AV151" i="4"/>
  <c r="AX151" i="4" s="1"/>
  <c r="AY151" i="4" s="1"/>
  <c r="AX20" i="4"/>
  <c r="AY20" i="4" s="1"/>
  <c r="AV37" i="4"/>
  <c r="AX37" i="4" s="1"/>
  <c r="AY37" i="4" s="1"/>
  <c r="AV49" i="4"/>
  <c r="AX49" i="4" s="1"/>
  <c r="AY49" i="4" s="1"/>
  <c r="AV63" i="4"/>
  <c r="AX63" i="4" s="1"/>
  <c r="AY63" i="4" s="1"/>
  <c r="AV76" i="4"/>
  <c r="AX76" i="4" s="1"/>
  <c r="AY76" i="4" s="1"/>
  <c r="AV88" i="4"/>
  <c r="AX88" i="4" s="1"/>
  <c r="AY88" i="4" s="1"/>
  <c r="AV100" i="4"/>
  <c r="AX100" i="4" s="1"/>
  <c r="AY100" i="4" s="1"/>
  <c r="AV109" i="4"/>
  <c r="AX109" i="4" s="1"/>
  <c r="AY109" i="4" s="1"/>
  <c r="AV118" i="4"/>
  <c r="AX118" i="4" s="1"/>
  <c r="AY118" i="4" s="1"/>
  <c r="AV127" i="4"/>
  <c r="AX127" i="4" s="1"/>
  <c r="AY127" i="4" s="1"/>
  <c r="AV136" i="4"/>
  <c r="AX136" i="4" s="1"/>
  <c r="AY136" i="4" s="1"/>
  <c r="AV152" i="4"/>
  <c r="AX152" i="4" s="1"/>
  <c r="AY152" i="4" s="1"/>
  <c r="AV21" i="4"/>
  <c r="AX21" i="4" s="1"/>
  <c r="AY21" i="4" s="1"/>
  <c r="AV39" i="4"/>
  <c r="AX39" i="4" s="1"/>
  <c r="AY39" i="4" s="1"/>
  <c r="AV52" i="4"/>
  <c r="AX52" i="4" s="1"/>
  <c r="AY52" i="4" s="1"/>
  <c r="AV64" i="4"/>
  <c r="AX64" i="4" s="1"/>
  <c r="AY64" i="4" s="1"/>
  <c r="AV77" i="4"/>
  <c r="AX77" i="4" s="1"/>
  <c r="AY77" i="4" s="1"/>
  <c r="AV89" i="4"/>
  <c r="AX89" i="4" s="1"/>
  <c r="AY89" i="4" s="1"/>
  <c r="AV101" i="4"/>
  <c r="AX101" i="4" s="1"/>
  <c r="AY101" i="4" s="1"/>
  <c r="AV110" i="4"/>
  <c r="AX110" i="4" s="1"/>
  <c r="AY110" i="4" s="1"/>
  <c r="AV119" i="4"/>
  <c r="AX119" i="4" s="1"/>
  <c r="AY119" i="4" s="1"/>
  <c r="AV128" i="4"/>
  <c r="AX128" i="4" s="1"/>
  <c r="AY128" i="4" s="1"/>
  <c r="AV141" i="4"/>
  <c r="AX141" i="4" s="1"/>
  <c r="AY141" i="4" s="1"/>
  <c r="AV153" i="4"/>
  <c r="AX153" i="4" s="1"/>
  <c r="AY153" i="4" s="1"/>
  <c r="AV25" i="4"/>
  <c r="AX25" i="4" s="1"/>
  <c r="AY25" i="4" s="1"/>
  <c r="AV40" i="4"/>
  <c r="AX40" i="4" s="1"/>
  <c r="AY40" i="4" s="1"/>
  <c r="AV53" i="4"/>
  <c r="AX53" i="4" s="1"/>
  <c r="AY53" i="4" s="1"/>
  <c r="AV65" i="4"/>
  <c r="AX65" i="4" s="1"/>
  <c r="AY65" i="4" s="1"/>
  <c r="AV79" i="4"/>
  <c r="AX79" i="4" s="1"/>
  <c r="AY79" i="4" s="1"/>
  <c r="AV92" i="4"/>
  <c r="AX92" i="4" s="1"/>
  <c r="AY92" i="4" s="1"/>
  <c r="AV102" i="4"/>
  <c r="AX102" i="4" s="1"/>
  <c r="AY102" i="4" s="1"/>
  <c r="AV111" i="4"/>
  <c r="AX111" i="4" s="1"/>
  <c r="AY111" i="4" s="1"/>
  <c r="AV120" i="4"/>
  <c r="AX120" i="4" s="1"/>
  <c r="AY120" i="4" s="1"/>
  <c r="AV129" i="4"/>
  <c r="AX129" i="4" s="1"/>
  <c r="AY129" i="4" s="1"/>
  <c r="AV142" i="4"/>
  <c r="AX142" i="4" s="1"/>
  <c r="AY142" i="4" s="1"/>
  <c r="AV154" i="4"/>
  <c r="AX154" i="4" s="1"/>
  <c r="AY154" i="4" s="1"/>
  <c r="AV28" i="4"/>
  <c r="AX28" i="4" s="1"/>
  <c r="AY28" i="4" s="1"/>
  <c r="AV41" i="4"/>
  <c r="AX41" i="4" s="1"/>
  <c r="AY41" i="4" s="1"/>
  <c r="AV55" i="4"/>
  <c r="AX55" i="4" s="1"/>
  <c r="AY55" i="4" s="1"/>
  <c r="AV68" i="4"/>
  <c r="AX68" i="4" s="1"/>
  <c r="AY68" i="4" s="1"/>
  <c r="AV80" i="4"/>
  <c r="AX80" i="4" s="1"/>
  <c r="AY80" i="4" s="1"/>
  <c r="AV93" i="4"/>
  <c r="AX93" i="4" s="1"/>
  <c r="AY93" i="4" s="1"/>
  <c r="AV103" i="4"/>
  <c r="AX103" i="4" s="1"/>
  <c r="AY103" i="4" s="1"/>
  <c r="AV112" i="4"/>
  <c r="AX112" i="4" s="1"/>
  <c r="AY112" i="4" s="1"/>
  <c r="AV121" i="4"/>
  <c r="AX121" i="4" s="1"/>
  <c r="AY121" i="4" s="1"/>
  <c r="AV130" i="4"/>
  <c r="AX130" i="4" s="1"/>
  <c r="AY130" i="4" s="1"/>
  <c r="AV143" i="4"/>
  <c r="AX143" i="4" s="1"/>
  <c r="AY143" i="4" s="1"/>
  <c r="AV157" i="4"/>
  <c r="AX157" i="4" s="1"/>
  <c r="AY157" i="4" s="1"/>
  <c r="H24" i="9"/>
  <c r="H135" i="9"/>
  <c r="H125" i="9"/>
  <c r="F27" i="5"/>
  <c r="K151" i="5"/>
  <c r="F151" i="5"/>
  <c r="H151" i="5"/>
  <c r="Q19" i="7"/>
  <c r="Q17" i="7"/>
  <c r="BG17" i="4" s="1"/>
  <c r="I26" i="9"/>
  <c r="Q20" i="7"/>
  <c r="Q40" i="7"/>
  <c r="Q50" i="7"/>
  <c r="Q84" i="7"/>
  <c r="Q23" i="7"/>
  <c r="Q53" i="7"/>
  <c r="Q117" i="7"/>
  <c r="G43" i="9"/>
  <c r="G65" i="9"/>
  <c r="G84" i="9"/>
  <c r="G115" i="9"/>
  <c r="G116" i="9"/>
  <c r="Q34" i="7"/>
  <c r="Q140" i="7"/>
  <c r="G100" i="9"/>
  <c r="G161" i="9"/>
  <c r="G26" i="9"/>
  <c r="G77" i="9"/>
  <c r="Q141" i="7"/>
  <c r="G78" i="9"/>
  <c r="G51" i="9"/>
  <c r="G164" i="9"/>
  <c r="G83" i="9"/>
  <c r="G99" i="9"/>
  <c r="G169" i="9"/>
  <c r="Q58" i="7"/>
  <c r="Q82" i="7"/>
  <c r="Q92" i="7"/>
  <c r="Q101" i="7"/>
  <c r="Q122" i="7"/>
  <c r="G85" i="9"/>
  <c r="G120" i="9"/>
  <c r="G110" i="9"/>
  <c r="G156" i="9"/>
  <c r="G69" i="9"/>
  <c r="G37" i="9"/>
  <c r="Q39" i="7"/>
  <c r="Q83" i="7"/>
  <c r="Q93" i="7"/>
  <c r="Q135" i="7"/>
  <c r="G33" i="9"/>
  <c r="G46" i="9"/>
  <c r="G81" i="9"/>
  <c r="G109" i="9"/>
  <c r="G130" i="9"/>
  <c r="G140" i="9"/>
  <c r="G41" i="9"/>
  <c r="G101" i="9"/>
  <c r="G102" i="9"/>
  <c r="Q114" i="7"/>
  <c r="G94" i="9"/>
  <c r="G50" i="9"/>
  <c r="G40" i="9"/>
  <c r="G92" i="9"/>
  <c r="G105" i="9"/>
  <c r="G112" i="9"/>
  <c r="G145" i="9"/>
  <c r="Q11" i="7"/>
  <c r="G132" i="9"/>
  <c r="G45" i="9"/>
  <c r="G58" i="9"/>
  <c r="G107" i="9"/>
  <c r="G108" i="9"/>
  <c r="G136" i="9"/>
  <c r="G138" i="9"/>
  <c r="G57" i="9"/>
  <c r="G72" i="9"/>
  <c r="G89" i="9"/>
  <c r="G104" i="9"/>
  <c r="G122" i="9"/>
  <c r="G166" i="9"/>
  <c r="Q148" i="7"/>
  <c r="G39" i="9"/>
  <c r="G44" i="9"/>
  <c r="G52" i="9"/>
  <c r="G63" i="9"/>
  <c r="G66" i="9"/>
  <c r="G165" i="9"/>
  <c r="H171" i="9"/>
  <c r="M171" i="9" s="1"/>
  <c r="Q45" i="7"/>
  <c r="Q73" i="7"/>
  <c r="BG73" i="4" s="1"/>
  <c r="Q79" i="7"/>
  <c r="Q98" i="7"/>
  <c r="BG98" i="4" s="1"/>
  <c r="Q103" i="7"/>
  <c r="Q151" i="7"/>
  <c r="Q21" i="7"/>
  <c r="Q18" i="7"/>
  <c r="Q63" i="7"/>
  <c r="Q81" i="7"/>
  <c r="Q85" i="7"/>
  <c r="BG85" i="4" s="1"/>
  <c r="Q100" i="7"/>
  <c r="BG100" i="4" s="1"/>
  <c r="Q116" i="7"/>
  <c r="Q127" i="7"/>
  <c r="Q142" i="7"/>
  <c r="Q36" i="7"/>
  <c r="Q56" i="7"/>
  <c r="Q104" i="7"/>
  <c r="Q146" i="7"/>
  <c r="Q152" i="7"/>
  <c r="Q158" i="7"/>
  <c r="BG158" i="4" s="1"/>
  <c r="Q12" i="7"/>
  <c r="Q28" i="7"/>
  <c r="Q37" i="7"/>
  <c r="Q47" i="7"/>
  <c r="BG47" i="4" s="1"/>
  <c r="Q111" i="7"/>
  <c r="Q120" i="7"/>
  <c r="Q106" i="7"/>
  <c r="Q29" i="7"/>
  <c r="Q87" i="7"/>
  <c r="Q76" i="7"/>
  <c r="V8" i="4"/>
  <c r="W9" i="4"/>
  <c r="AF10" i="4"/>
  <c r="AM10" i="4"/>
  <c r="W10" i="4"/>
  <c r="G22" i="9"/>
  <c r="K9" i="4"/>
  <c r="AP9" i="4"/>
  <c r="Z9" i="4"/>
  <c r="AC10" i="4"/>
  <c r="AP10" i="4"/>
  <c r="AL8" i="4"/>
  <c r="Q9" i="4"/>
  <c r="AC9" i="4"/>
  <c r="Y8" i="4"/>
  <c r="G21" i="9"/>
  <c r="T9" i="4"/>
  <c r="J8" i="4"/>
  <c r="AS10" i="4"/>
  <c r="N10" i="4"/>
  <c r="Z10" i="4"/>
  <c r="E18" i="2"/>
  <c r="M8" i="4"/>
  <c r="Q10" i="4"/>
  <c r="G30" i="9"/>
  <c r="AP17" i="4"/>
  <c r="AF17" i="4"/>
  <c r="W19" i="4"/>
  <c r="N22" i="4"/>
  <c r="AC22" i="4"/>
  <c r="AS22" i="4"/>
  <c r="AS17" i="4"/>
  <c r="AJ19" i="4"/>
  <c r="AF22" i="4"/>
  <c r="S8" i="4"/>
  <c r="AI8" i="4"/>
  <c r="N11" i="4"/>
  <c r="AF11" i="4"/>
  <c r="N13" i="4"/>
  <c r="W13" i="4"/>
  <c r="AS13" i="4"/>
  <c r="N17" i="4"/>
  <c r="G34" i="9"/>
  <c r="AJ22" i="4"/>
  <c r="T22" i="4"/>
  <c r="W11" i="4"/>
  <c r="AP11" i="4"/>
  <c r="Z13" i="4"/>
  <c r="Z17" i="4"/>
  <c r="Q19" i="4"/>
  <c r="G31" i="9"/>
  <c r="AJ17" i="4"/>
  <c r="T17" i="4"/>
  <c r="AM17" i="4"/>
  <c r="AM22" i="4"/>
  <c r="AJ35" i="4"/>
  <c r="T36" i="4"/>
  <c r="AC36" i="4"/>
  <c r="AP37" i="4"/>
  <c r="AC24" i="4"/>
  <c r="AS24" i="4"/>
  <c r="G38" i="9"/>
  <c r="W26" i="4"/>
  <c r="AM26" i="4"/>
  <c r="AF34" i="4"/>
  <c r="T35" i="4"/>
  <c r="AS35" i="4"/>
  <c r="AF37" i="4"/>
  <c r="T30" i="4"/>
  <c r="AJ30" i="4"/>
  <c r="AC35" i="4"/>
  <c r="AC30" i="4"/>
  <c r="AS30" i="4"/>
  <c r="N36" i="4"/>
  <c r="W36" i="4"/>
  <c r="AF36" i="4"/>
  <c r="AS37" i="4"/>
  <c r="AP36" i="4"/>
  <c r="G42" i="9"/>
  <c r="AP33" i="4"/>
  <c r="G48" i="9"/>
  <c r="Q36" i="4"/>
  <c r="Z37" i="4"/>
  <c r="T26" i="4"/>
  <c r="AJ26" i="4"/>
  <c r="G47" i="9"/>
  <c r="Z36" i="4"/>
  <c r="AJ36" i="4"/>
  <c r="AJ39" i="4"/>
  <c r="T39" i="4"/>
  <c r="AC39" i="4"/>
  <c r="AP39" i="4"/>
  <c r="AC26" i="4"/>
  <c r="AM34" i="4"/>
  <c r="Q35" i="4"/>
  <c r="G49" i="9"/>
  <c r="Q37" i="4"/>
  <c r="G54" i="9"/>
  <c r="G62" i="9"/>
  <c r="AC52" i="4"/>
  <c r="AC53" i="4"/>
  <c r="N54" i="4"/>
  <c r="AM54" i="4"/>
  <c r="Q62" i="4"/>
  <c r="AF42" i="4"/>
  <c r="AC44" i="4"/>
  <c r="AS44" i="4"/>
  <c r="Q47" i="4"/>
  <c r="AF50" i="4"/>
  <c r="Q51" i="4"/>
  <c r="Z51" i="4"/>
  <c r="W54" i="4"/>
  <c r="T55" i="4"/>
  <c r="AM55" i="4"/>
  <c r="Q50" i="4"/>
  <c r="N52" i="4"/>
  <c r="W52" i="4"/>
  <c r="AJ56" i="4"/>
  <c r="T56" i="4"/>
  <c r="Z56" i="4"/>
  <c r="G56" i="9"/>
  <c r="W55" i="4"/>
  <c r="AF55" i="4"/>
  <c r="Q56" i="4"/>
  <c r="AF62" i="4"/>
  <c r="AM62" i="4"/>
  <c r="W62" i="4"/>
  <c r="G74" i="9"/>
  <c r="AJ62" i="4"/>
  <c r="T62" i="4"/>
  <c r="AP62" i="4"/>
  <c r="AF44" i="4"/>
  <c r="T47" i="4"/>
  <c r="AJ47" i="4"/>
  <c r="AC51" i="4"/>
  <c r="G64" i="9"/>
  <c r="AP52" i="4"/>
  <c r="N55" i="4"/>
  <c r="G68" i="9"/>
  <c r="AC56" i="4"/>
  <c r="AM56" i="4"/>
  <c r="AC47" i="4"/>
  <c r="AS47" i="4"/>
  <c r="G67" i="9"/>
  <c r="AF56" i="4"/>
  <c r="AF51" i="4"/>
  <c r="AJ55" i="4"/>
  <c r="N62" i="4"/>
  <c r="AF63" i="4"/>
  <c r="AC64" i="4"/>
  <c r="AS64" i="4"/>
  <c r="N78" i="4"/>
  <c r="AM78" i="4"/>
  <c r="AF80" i="4"/>
  <c r="Q63" i="4"/>
  <c r="AP78" i="4"/>
  <c r="AF78" i="4"/>
  <c r="G90" i="9"/>
  <c r="Q78" i="4"/>
  <c r="AC78" i="4"/>
  <c r="G71" i="9"/>
  <c r="G79" i="9"/>
  <c r="W71" i="4"/>
  <c r="AF75" i="4"/>
  <c r="AF59" i="4"/>
  <c r="AC60" i="4"/>
  <c r="AS60" i="4"/>
  <c r="T63" i="4"/>
  <c r="AJ63" i="4"/>
  <c r="AC68" i="4"/>
  <c r="AS68" i="4"/>
  <c r="N71" i="4"/>
  <c r="AF71" i="4"/>
  <c r="N74" i="4"/>
  <c r="AC63" i="4"/>
  <c r="AS63" i="4"/>
  <c r="W74" i="4"/>
  <c r="W75" i="4"/>
  <c r="Q71" i="4"/>
  <c r="Z71" i="4"/>
  <c r="W78" i="4"/>
  <c r="T64" i="4"/>
  <c r="G86" i="9"/>
  <c r="G87" i="9"/>
  <c r="Q75" i="4"/>
  <c r="Z75" i="4"/>
  <c r="AJ75" i="4"/>
  <c r="Z78" i="4"/>
  <c r="AP80" i="4"/>
  <c r="Z80" i="4"/>
  <c r="Q80" i="4"/>
  <c r="AS80" i="4"/>
  <c r="G95" i="9"/>
  <c r="AP91" i="4"/>
  <c r="AC99" i="4"/>
  <c r="T79" i="4"/>
  <c r="AJ79" i="4"/>
  <c r="G98" i="9"/>
  <c r="T87" i="4"/>
  <c r="AJ87" i="4"/>
  <c r="Q88" i="4"/>
  <c r="AC90" i="4"/>
  <c r="G103" i="9"/>
  <c r="AJ93" i="4"/>
  <c r="T93" i="4"/>
  <c r="Z93" i="4"/>
  <c r="W94" i="4"/>
  <c r="Q97" i="4"/>
  <c r="AC79" i="4"/>
  <c r="AS79" i="4"/>
  <c r="Q83" i="4"/>
  <c r="AF86" i="4"/>
  <c r="AC87" i="4"/>
  <c r="AS87" i="4"/>
  <c r="Z88" i="4"/>
  <c r="AP88" i="4"/>
  <c r="Z91" i="4"/>
  <c r="AF99" i="4"/>
  <c r="Q86" i="4"/>
  <c r="AM94" i="4"/>
  <c r="Q99" i="4"/>
  <c r="G111" i="9"/>
  <c r="AJ99" i="4"/>
  <c r="T99" i="4"/>
  <c r="AC88" i="4"/>
  <c r="T91" i="4"/>
  <c r="AC91" i="4"/>
  <c r="Q94" i="4"/>
  <c r="G106" i="9"/>
  <c r="AC94" i="4"/>
  <c r="Z99" i="4"/>
  <c r="AP99" i="4"/>
  <c r="T107" i="4"/>
  <c r="AJ107" i="4"/>
  <c r="AP116" i="4"/>
  <c r="Z116" i="4"/>
  <c r="G128" i="9"/>
  <c r="AJ116" i="4"/>
  <c r="AC107" i="4"/>
  <c r="AS107" i="4"/>
  <c r="W116" i="4"/>
  <c r="AF117" i="4"/>
  <c r="AF110" i="4"/>
  <c r="AM116" i="4"/>
  <c r="G119" i="9"/>
  <c r="W107" i="4"/>
  <c r="AM107" i="4"/>
  <c r="AM117" i="4"/>
  <c r="W117" i="4"/>
  <c r="G129" i="9"/>
  <c r="AJ117" i="4"/>
  <c r="T117" i="4"/>
  <c r="G114" i="9"/>
  <c r="AJ109" i="4"/>
  <c r="G117" i="9"/>
  <c r="Q107" i="4"/>
  <c r="T109" i="4"/>
  <c r="AC109" i="4"/>
  <c r="N116" i="4"/>
  <c r="AC116" i="4"/>
  <c r="T101" i="4"/>
  <c r="AJ101" i="4"/>
  <c r="Q102" i="4"/>
  <c r="Q116" i="4"/>
  <c r="AS116" i="4"/>
  <c r="Z117" i="4"/>
  <c r="AC101" i="4"/>
  <c r="Z102" i="4"/>
  <c r="N109" i="4"/>
  <c r="AM109" i="4"/>
  <c r="T116" i="4"/>
  <c r="AF116" i="4"/>
  <c r="N117" i="4"/>
  <c r="AP117" i="4"/>
  <c r="G127" i="9"/>
  <c r="G131" i="9"/>
  <c r="AJ121" i="4"/>
  <c r="T121" i="4"/>
  <c r="Z121" i="4"/>
  <c r="G137" i="9"/>
  <c r="AJ125" i="4"/>
  <c r="T125" i="4"/>
  <c r="G133" i="9"/>
  <c r="AC121" i="4"/>
  <c r="AM122" i="4"/>
  <c r="W125" i="4"/>
  <c r="AM125" i="4"/>
  <c r="Q118" i="4"/>
  <c r="Q122" i="4"/>
  <c r="G134" i="9"/>
  <c r="AC122" i="4"/>
  <c r="Z125" i="4"/>
  <c r="AP125" i="4"/>
  <c r="T119" i="4"/>
  <c r="AC119" i="4"/>
  <c r="AP121" i="4"/>
  <c r="AP122" i="4"/>
  <c r="T122" i="4"/>
  <c r="AF122" i="4"/>
  <c r="N125" i="4"/>
  <c r="AC125" i="4"/>
  <c r="AS125" i="4"/>
  <c r="AC115" i="4"/>
  <c r="AF119" i="4"/>
  <c r="AF125" i="4"/>
  <c r="G141" i="9"/>
  <c r="AJ130" i="4"/>
  <c r="G142" i="9"/>
  <c r="N136" i="4"/>
  <c r="T129" i="4"/>
  <c r="AC129" i="4"/>
  <c r="T130" i="4"/>
  <c r="AJ129" i="4"/>
  <c r="N129" i="4"/>
  <c r="AC136" i="4"/>
  <c r="T136" i="4"/>
  <c r="AS136" i="4"/>
  <c r="AJ136" i="4"/>
  <c r="Q136" i="4"/>
  <c r="G148" i="9"/>
  <c r="AP146" i="4"/>
  <c r="G158" i="9"/>
  <c r="T146" i="4"/>
  <c r="AM146" i="4"/>
  <c r="AF136" i="4"/>
  <c r="W143" i="4"/>
  <c r="W146" i="4"/>
  <c r="AP138" i="4"/>
  <c r="Z138" i="4"/>
  <c r="W138" i="4"/>
  <c r="AS138" i="4"/>
  <c r="Z143" i="4"/>
  <c r="AM143" i="4"/>
  <c r="Z146" i="4"/>
  <c r="G150" i="9"/>
  <c r="AC143" i="4"/>
  <c r="AC135" i="4"/>
  <c r="AS143" i="4"/>
  <c r="N146" i="4"/>
  <c r="AF146" i="4"/>
  <c r="AM139" i="4"/>
  <c r="W139" i="4"/>
  <c r="G151" i="9"/>
  <c r="AF139" i="4"/>
  <c r="Q146" i="4"/>
  <c r="AJ146" i="4"/>
  <c r="AF143" i="4"/>
  <c r="G155" i="9"/>
  <c r="AJ143" i="4"/>
  <c r="T143" i="4"/>
  <c r="AC140" i="4"/>
  <c r="AS140" i="4"/>
  <c r="Q144" i="4"/>
  <c r="AC146" i="4"/>
  <c r="T149" i="4"/>
  <c r="AJ151" i="4"/>
  <c r="T151" i="4"/>
  <c r="AM151" i="4"/>
  <c r="W151" i="4"/>
  <c r="G163" i="9"/>
  <c r="AC151" i="4"/>
  <c r="N150" i="4"/>
  <c r="AC144" i="4"/>
  <c r="AS144" i="4"/>
  <c r="AM150" i="4"/>
  <c r="W150" i="4"/>
  <c r="G162" i="9"/>
  <c r="AP150" i="4"/>
  <c r="Z150" i="4"/>
  <c r="Q150" i="4"/>
  <c r="AS151" i="4"/>
  <c r="AS146" i="4"/>
  <c r="AP149" i="4"/>
  <c r="Z149" i="4"/>
  <c r="AS149" i="4"/>
  <c r="AC149" i="4"/>
  <c r="N149" i="4"/>
  <c r="T150" i="4"/>
  <c r="T140" i="4"/>
  <c r="AP147" i="4"/>
  <c r="AF150" i="4"/>
  <c r="T152" i="4"/>
  <c r="AJ152" i="4"/>
  <c r="J10" i="6"/>
  <c r="AV10" i="4" s="1"/>
  <c r="J19" i="6"/>
  <c r="AV19" i="4" s="1"/>
  <c r="J27" i="6"/>
  <c r="J35" i="6"/>
  <c r="J44" i="6"/>
  <c r="J51" i="6"/>
  <c r="J59" i="6"/>
  <c r="J67" i="6"/>
  <c r="J75" i="6"/>
  <c r="J83" i="6"/>
  <c r="J91" i="6"/>
  <c r="J99" i="6"/>
  <c r="J107" i="6"/>
  <c r="J115" i="6"/>
  <c r="J123" i="6"/>
  <c r="J131" i="6"/>
  <c r="I8" i="7"/>
  <c r="AC152" i="4"/>
  <c r="AS152" i="4"/>
  <c r="J24" i="6"/>
  <c r="J32" i="6"/>
  <c r="E8" i="6"/>
  <c r="J17" i="6"/>
  <c r="AV17" i="4" s="1"/>
  <c r="J26" i="6"/>
  <c r="J34" i="6"/>
  <c r="J42" i="6"/>
  <c r="J50" i="6"/>
  <c r="J58" i="6"/>
  <c r="J66" i="6"/>
  <c r="J74" i="6"/>
  <c r="J82" i="6"/>
  <c r="J90" i="6"/>
  <c r="F132" i="5"/>
  <c r="J23" i="6"/>
  <c r="Q152" i="4"/>
  <c r="G8" i="6"/>
  <c r="J16" i="6"/>
  <c r="Z158" i="4"/>
  <c r="J13" i="6"/>
  <c r="AV13" i="4" s="1"/>
  <c r="J22" i="6"/>
  <c r="J30" i="6"/>
  <c r="J38" i="6"/>
  <c r="J46" i="6"/>
  <c r="J54" i="6"/>
  <c r="J62" i="6"/>
  <c r="J70" i="6"/>
  <c r="J78" i="6"/>
  <c r="J86" i="6"/>
  <c r="J94" i="6"/>
  <c r="J139" i="6"/>
  <c r="J147" i="6"/>
  <c r="J155" i="6"/>
  <c r="J13" i="7"/>
  <c r="P24" i="7"/>
  <c r="Q24" i="7" s="1"/>
  <c r="J60" i="7"/>
  <c r="Q60" i="7" s="1"/>
  <c r="P70" i="7"/>
  <c r="Q71" i="7"/>
  <c r="J78" i="7"/>
  <c r="P88" i="7"/>
  <c r="Q88" i="7" s="1"/>
  <c r="J124" i="7"/>
  <c r="Q124" i="7" s="1"/>
  <c r="J150" i="7"/>
  <c r="Q150" i="7" s="1"/>
  <c r="H8" i="7"/>
  <c r="J10" i="7"/>
  <c r="F8" i="7"/>
  <c r="P44" i="7"/>
  <c r="Q44" i="7" s="1"/>
  <c r="Q46" i="7"/>
  <c r="J57" i="7"/>
  <c r="Q57" i="7" s="1"/>
  <c r="P61" i="7"/>
  <c r="Q61" i="7" s="1"/>
  <c r="Q64" i="7"/>
  <c r="P107" i="7"/>
  <c r="Q107" i="7" s="1"/>
  <c r="Q110" i="7"/>
  <c r="J115" i="7"/>
  <c r="J121" i="7"/>
  <c r="Q121" i="7" s="1"/>
  <c r="P125" i="7"/>
  <c r="Q125" i="7" s="1"/>
  <c r="Q128" i="7"/>
  <c r="J137" i="7"/>
  <c r="Q137" i="7" s="1"/>
  <c r="Q138" i="7"/>
  <c r="J147" i="7"/>
  <c r="P155" i="7"/>
  <c r="Q155" i="7" s="1"/>
  <c r="E8" i="8"/>
  <c r="J138" i="6"/>
  <c r="J146" i="6"/>
  <c r="P9" i="7"/>
  <c r="K8" i="7"/>
  <c r="P16" i="7"/>
  <c r="J52" i="7"/>
  <c r="Q52" i="7" s="1"/>
  <c r="J67" i="7"/>
  <c r="Q67" i="7" s="1"/>
  <c r="J70" i="7"/>
  <c r="Q74" i="7"/>
  <c r="P77" i="7"/>
  <c r="Q77" i="7" s="1"/>
  <c r="P80" i="7"/>
  <c r="Q80" i="7" s="1"/>
  <c r="J131" i="7"/>
  <c r="Q131" i="7" s="1"/>
  <c r="P149" i="7"/>
  <c r="Q149" i="7" s="1"/>
  <c r="Q33" i="7"/>
  <c r="Q97" i="7"/>
  <c r="J140" i="6"/>
  <c r="J148" i="6"/>
  <c r="J156" i="6"/>
  <c r="P10" i="7"/>
  <c r="P13" i="7"/>
  <c r="M8" i="7"/>
  <c r="J22" i="7"/>
  <c r="Q22" i="7" s="1"/>
  <c r="J25" i="7"/>
  <c r="Q25" i="7" s="1"/>
  <c r="Q26" i="7"/>
  <c r="P32" i="7"/>
  <c r="Q32" i="7" s="1"/>
  <c r="P35" i="7"/>
  <c r="Q35" i="7" s="1"/>
  <c r="J68" i="7"/>
  <c r="Q68" i="7" s="1"/>
  <c r="P75" i="7"/>
  <c r="Q75" i="7" s="1"/>
  <c r="P78" i="7"/>
  <c r="J86" i="7"/>
  <c r="J89" i="7"/>
  <c r="Q89" i="7" s="1"/>
  <c r="Q90" i="7"/>
  <c r="P96" i="7"/>
  <c r="Q96" i="7" s="1"/>
  <c r="J132" i="7"/>
  <c r="Q132" i="7" s="1"/>
  <c r="Q133" i="7"/>
  <c r="Q136" i="7"/>
  <c r="Q143" i="7"/>
  <c r="F8" i="8"/>
  <c r="J137" i="6"/>
  <c r="J145" i="6"/>
  <c r="L8" i="7"/>
  <c r="J16" i="7"/>
  <c r="E8" i="7"/>
  <c r="BG43" i="4"/>
  <c r="Q49" i="7"/>
  <c r="P51" i="7"/>
  <c r="Q51" i="7" s="1"/>
  <c r="P54" i="7"/>
  <c r="Q54" i="7" s="1"/>
  <c r="Q55" i="7"/>
  <c r="J59" i="7"/>
  <c r="Q59" i="7" s="1"/>
  <c r="J62" i="7"/>
  <c r="Q62" i="7" s="1"/>
  <c r="J65" i="7"/>
  <c r="Q65" i="7" s="1"/>
  <c r="Q66" i="7"/>
  <c r="P69" i="7"/>
  <c r="Q69" i="7" s="1"/>
  <c r="P72" i="7"/>
  <c r="Q72" i="7" s="1"/>
  <c r="J108" i="7"/>
  <c r="Q108" i="7" s="1"/>
  <c r="Q113" i="7"/>
  <c r="P115" i="7"/>
  <c r="P118" i="7"/>
  <c r="Q118" i="7" s="1"/>
  <c r="Q119" i="7"/>
  <c r="J123" i="7"/>
  <c r="Q123" i="7" s="1"/>
  <c r="J126" i="7"/>
  <c r="Q126" i="7" s="1"/>
  <c r="J129" i="7"/>
  <c r="Q129" i="7" s="1"/>
  <c r="Q130" i="7"/>
  <c r="J139" i="7"/>
  <c r="Q139" i="7" s="1"/>
  <c r="Q145" i="7"/>
  <c r="P147" i="7"/>
  <c r="J156" i="7"/>
  <c r="Q156" i="7" s="1"/>
  <c r="P157" i="7"/>
  <c r="Q157" i="7" s="1"/>
  <c r="J134" i="6"/>
  <c r="P27" i="7"/>
  <c r="Q27" i="7" s="1"/>
  <c r="Q31" i="7"/>
  <c r="J38" i="7"/>
  <c r="Q38" i="7" s="1"/>
  <c r="J41" i="7"/>
  <c r="Q41" i="7" s="1"/>
  <c r="Q42" i="7"/>
  <c r="P48" i="7"/>
  <c r="Q48" i="7" s="1"/>
  <c r="P91" i="7"/>
  <c r="Q91" i="7" s="1"/>
  <c r="Q94" i="7"/>
  <c r="Q95" i="7"/>
  <c r="J99" i="7"/>
  <c r="Q99" i="7" s="1"/>
  <c r="J102" i="7"/>
  <c r="Q102" i="7" s="1"/>
  <c r="J105" i="7"/>
  <c r="Q105" i="7" s="1"/>
  <c r="P109" i="7"/>
  <c r="Q109" i="7" s="1"/>
  <c r="P112" i="7"/>
  <c r="Q112" i="7" s="1"/>
  <c r="P134" i="7"/>
  <c r="Q134" i="7" s="1"/>
  <c r="P144" i="7"/>
  <c r="Q144" i="7" s="1"/>
  <c r="J153" i="7"/>
  <c r="Q153" i="7" s="1"/>
  <c r="Q154" i="7"/>
  <c r="BI43" i="4" l="1"/>
  <c r="K55" i="9" s="1"/>
  <c r="I55" i="9"/>
  <c r="AX15" i="4"/>
  <c r="AV16" i="4"/>
  <c r="BG89" i="4"/>
  <c r="I101" i="9" s="1"/>
  <c r="BG60" i="4"/>
  <c r="I72" i="9" s="1"/>
  <c r="BG93" i="4"/>
  <c r="I105" i="9" s="1"/>
  <c r="BG95" i="4"/>
  <c r="I107" i="9" s="1"/>
  <c r="BG129" i="4"/>
  <c r="I141" i="9" s="1"/>
  <c r="BG72" i="4"/>
  <c r="I84" i="9" s="1"/>
  <c r="BG51" i="4"/>
  <c r="I63" i="9" s="1"/>
  <c r="BG22" i="4"/>
  <c r="I34" i="9" s="1"/>
  <c r="BG33" i="4"/>
  <c r="I45" i="9" s="1"/>
  <c r="BG52" i="4"/>
  <c r="I64" i="9" s="1"/>
  <c r="BG107" i="4"/>
  <c r="BI107" i="4" s="1"/>
  <c r="K119" i="9" s="1"/>
  <c r="BG24" i="4"/>
  <c r="I36" i="9" s="1"/>
  <c r="BG76" i="4"/>
  <c r="I88" i="9" s="1"/>
  <c r="BG28" i="4"/>
  <c r="I40" i="9" s="1"/>
  <c r="BG142" i="4"/>
  <c r="I154" i="9" s="1"/>
  <c r="BG21" i="4"/>
  <c r="I33" i="9" s="1"/>
  <c r="BG83" i="4"/>
  <c r="I95" i="9" s="1"/>
  <c r="BG122" i="4"/>
  <c r="I134" i="9" s="1"/>
  <c r="BG140" i="4"/>
  <c r="BI140" i="4" s="1"/>
  <c r="K152" i="9" s="1"/>
  <c r="BG53" i="4"/>
  <c r="I65" i="9" s="1"/>
  <c r="BG19" i="4"/>
  <c r="I31" i="9" s="1"/>
  <c r="BG31" i="4"/>
  <c r="I43" i="9" s="1"/>
  <c r="BG25" i="4"/>
  <c r="I37" i="9" s="1"/>
  <c r="BG110" i="4"/>
  <c r="I122" i="9" s="1"/>
  <c r="BG18" i="4"/>
  <c r="BI18" i="4" s="1"/>
  <c r="BG153" i="4"/>
  <c r="I165" i="9" s="1"/>
  <c r="BG27" i="4"/>
  <c r="I39" i="9" s="1"/>
  <c r="BG144" i="4"/>
  <c r="I156" i="9" s="1"/>
  <c r="BG94" i="4"/>
  <c r="I106" i="9" s="1"/>
  <c r="BG126" i="4"/>
  <c r="I138" i="9" s="1"/>
  <c r="BG69" i="4"/>
  <c r="I81" i="9" s="1"/>
  <c r="BG49" i="4"/>
  <c r="I61" i="9" s="1"/>
  <c r="BG143" i="4"/>
  <c r="I155" i="9" s="1"/>
  <c r="BG149" i="4"/>
  <c r="I161" i="9" s="1"/>
  <c r="BG138" i="4"/>
  <c r="BI138" i="4" s="1"/>
  <c r="K150" i="9" s="1"/>
  <c r="BG64" i="4"/>
  <c r="I76" i="9" s="1"/>
  <c r="BG150" i="4"/>
  <c r="I162" i="9" s="1"/>
  <c r="BG87" i="4"/>
  <c r="I99" i="9" s="1"/>
  <c r="BG12" i="4"/>
  <c r="I24" i="9" s="1"/>
  <c r="BG127" i="4"/>
  <c r="I139" i="9" s="1"/>
  <c r="BG151" i="4"/>
  <c r="I163" i="9" s="1"/>
  <c r="BG39" i="4"/>
  <c r="I51" i="9" s="1"/>
  <c r="BG101" i="4"/>
  <c r="BI101" i="4" s="1"/>
  <c r="K113" i="9" s="1"/>
  <c r="BG34" i="4"/>
  <c r="BI34" i="4" s="1"/>
  <c r="K46" i="9" s="1"/>
  <c r="BG23" i="4"/>
  <c r="BI23" i="4" s="1"/>
  <c r="K35" i="9" s="1"/>
  <c r="BG154" i="4"/>
  <c r="I166" i="9" s="1"/>
  <c r="BG130" i="4"/>
  <c r="I142" i="9" s="1"/>
  <c r="BG97" i="4"/>
  <c r="I109" i="9" s="1"/>
  <c r="BG37" i="4"/>
  <c r="I49" i="9" s="1"/>
  <c r="BG91" i="4"/>
  <c r="I103" i="9" s="1"/>
  <c r="BG157" i="4"/>
  <c r="I169" i="9" s="1"/>
  <c r="BG123" i="4"/>
  <c r="I135" i="9" s="1"/>
  <c r="BG66" i="4"/>
  <c r="I78" i="9" s="1"/>
  <c r="BG136" i="4"/>
  <c r="I148" i="9" s="1"/>
  <c r="BG75" i="4"/>
  <c r="I87" i="9" s="1"/>
  <c r="BG131" i="4"/>
  <c r="I143" i="9" s="1"/>
  <c r="BG137" i="4"/>
  <c r="I149" i="9" s="1"/>
  <c r="BG61" i="4"/>
  <c r="BI61" i="4" s="1"/>
  <c r="K73" i="9" s="1"/>
  <c r="BG124" i="4"/>
  <c r="I136" i="9" s="1"/>
  <c r="BG29" i="4"/>
  <c r="I41" i="9" s="1"/>
  <c r="BG116" i="4"/>
  <c r="I128" i="9" s="1"/>
  <c r="BG103" i="4"/>
  <c r="BI103" i="4" s="1"/>
  <c r="K115" i="9" s="1"/>
  <c r="BG92" i="4"/>
  <c r="BI92" i="4" s="1"/>
  <c r="K104" i="9" s="1"/>
  <c r="BG84" i="4"/>
  <c r="I96" i="9" s="1"/>
  <c r="BG112" i="4"/>
  <c r="I124" i="9" s="1"/>
  <c r="BG48" i="4"/>
  <c r="BI48" i="4" s="1"/>
  <c r="K60" i="9" s="1"/>
  <c r="BG156" i="4"/>
  <c r="I168" i="9" s="1"/>
  <c r="BG119" i="4"/>
  <c r="I131" i="9" s="1"/>
  <c r="BG65" i="4"/>
  <c r="BI65" i="4" s="1"/>
  <c r="K77" i="9" s="1"/>
  <c r="BG133" i="4"/>
  <c r="BI133" i="4" s="1"/>
  <c r="K145" i="9" s="1"/>
  <c r="BG68" i="4"/>
  <c r="BI68" i="4" s="1"/>
  <c r="K80" i="9" s="1"/>
  <c r="BG80" i="4"/>
  <c r="I92" i="9" s="1"/>
  <c r="BG128" i="4"/>
  <c r="I140" i="9" s="1"/>
  <c r="BG57" i="4"/>
  <c r="BI57" i="4" s="1"/>
  <c r="K69" i="9" s="1"/>
  <c r="BG88" i="4"/>
  <c r="BI88" i="4" s="1"/>
  <c r="K100" i="9" s="1"/>
  <c r="BG106" i="4"/>
  <c r="I118" i="9" s="1"/>
  <c r="BG152" i="4"/>
  <c r="I164" i="9" s="1"/>
  <c r="BG82" i="4"/>
  <c r="BI82" i="4" s="1"/>
  <c r="K94" i="9" s="1"/>
  <c r="BG141" i="4"/>
  <c r="I153" i="9" s="1"/>
  <c r="BG50" i="4"/>
  <c r="I62" i="9" s="1"/>
  <c r="BG108" i="4"/>
  <c r="I120" i="9" s="1"/>
  <c r="BG155" i="4"/>
  <c r="I167" i="9" s="1"/>
  <c r="BG117" i="4"/>
  <c r="BI117" i="4" s="1"/>
  <c r="K129" i="9" s="1"/>
  <c r="BG134" i="4"/>
  <c r="I146" i="9" s="1"/>
  <c r="BG109" i="4"/>
  <c r="BI109" i="4" s="1"/>
  <c r="K121" i="9" s="1"/>
  <c r="BG42" i="4"/>
  <c r="BI42" i="4" s="1"/>
  <c r="K54" i="9" s="1"/>
  <c r="BG118" i="4"/>
  <c r="I130" i="9" s="1"/>
  <c r="BG62" i="4"/>
  <c r="I74" i="9" s="1"/>
  <c r="BG132" i="4"/>
  <c r="I144" i="9" s="1"/>
  <c r="BG35" i="4"/>
  <c r="I47" i="9" s="1"/>
  <c r="BG77" i="4"/>
  <c r="I89" i="9" s="1"/>
  <c r="BG125" i="4"/>
  <c r="I137" i="9" s="1"/>
  <c r="BG46" i="4"/>
  <c r="I58" i="9" s="1"/>
  <c r="BG120" i="4"/>
  <c r="BI120" i="4" s="1"/>
  <c r="K132" i="9" s="1"/>
  <c r="BG146" i="4"/>
  <c r="BI146" i="4" s="1"/>
  <c r="K158" i="9" s="1"/>
  <c r="BG79" i="4"/>
  <c r="I91" i="9" s="1"/>
  <c r="BG11" i="4"/>
  <c r="I23" i="9" s="1"/>
  <c r="BG114" i="4"/>
  <c r="I126" i="9" s="1"/>
  <c r="BG58" i="4"/>
  <c r="I70" i="9" s="1"/>
  <c r="BG40" i="4"/>
  <c r="BI40" i="4" s="1"/>
  <c r="K52" i="9" s="1"/>
  <c r="BG54" i="4"/>
  <c r="BI54" i="4" s="1"/>
  <c r="K66" i="9" s="1"/>
  <c r="BG41" i="4"/>
  <c r="BI41" i="4" s="1"/>
  <c r="K53" i="9" s="1"/>
  <c r="BG96" i="4"/>
  <c r="I108" i="9" s="1"/>
  <c r="BG32" i="4"/>
  <c r="I44" i="9" s="1"/>
  <c r="BG74" i="4"/>
  <c r="I86" i="9" s="1"/>
  <c r="BG121" i="4"/>
  <c r="BI121" i="4" s="1"/>
  <c r="K133" i="9" s="1"/>
  <c r="BG44" i="4"/>
  <c r="I56" i="9" s="1"/>
  <c r="BG71" i="4"/>
  <c r="I83" i="9" s="1"/>
  <c r="BG111" i="4"/>
  <c r="I123" i="9" s="1"/>
  <c r="BG104" i="4"/>
  <c r="I116" i="9" s="1"/>
  <c r="BG81" i="4"/>
  <c r="I93" i="9" s="1"/>
  <c r="BG20" i="4"/>
  <c r="I32" i="9" s="1"/>
  <c r="BG99" i="4"/>
  <c r="I111" i="9" s="1"/>
  <c r="BG67" i="4"/>
  <c r="BI67" i="4" s="1"/>
  <c r="K79" i="9" s="1"/>
  <c r="BG36" i="4"/>
  <c r="BI36" i="4" s="1"/>
  <c r="K48" i="9" s="1"/>
  <c r="BG105" i="4"/>
  <c r="I117" i="9" s="1"/>
  <c r="BG145" i="4"/>
  <c r="BI145" i="4" s="1"/>
  <c r="K157" i="9" s="1"/>
  <c r="BG59" i="4"/>
  <c r="BI59" i="4" s="1"/>
  <c r="K71" i="9" s="1"/>
  <c r="BG102" i="4"/>
  <c r="BI102" i="4" s="1"/>
  <c r="K114" i="9" s="1"/>
  <c r="BG38" i="4"/>
  <c r="I50" i="9" s="1"/>
  <c r="BG139" i="4"/>
  <c r="I151" i="9" s="1"/>
  <c r="BG113" i="4"/>
  <c r="I125" i="9" s="1"/>
  <c r="BG55" i="4"/>
  <c r="I67" i="9" s="1"/>
  <c r="BG90" i="4"/>
  <c r="I102" i="9" s="1"/>
  <c r="BG26" i="4"/>
  <c r="I38" i="9" s="1"/>
  <c r="BG56" i="4"/>
  <c r="BI56" i="4" s="1"/>
  <c r="K68" i="9" s="1"/>
  <c r="BG63" i="4"/>
  <c r="I75" i="9" s="1"/>
  <c r="BG45" i="4"/>
  <c r="I57" i="9" s="1"/>
  <c r="BG148" i="4"/>
  <c r="BI148" i="4" s="1"/>
  <c r="K160" i="9" s="1"/>
  <c r="BG135" i="4"/>
  <c r="BI135" i="4" s="1"/>
  <c r="K147" i="9" s="1"/>
  <c r="I29" i="9"/>
  <c r="AY15" i="4"/>
  <c r="BK15" i="4"/>
  <c r="BK89" i="4"/>
  <c r="BK11" i="4"/>
  <c r="BK80" i="4"/>
  <c r="BK120" i="4"/>
  <c r="BK25" i="4"/>
  <c r="BK77" i="4"/>
  <c r="BK118" i="4"/>
  <c r="BK20" i="4"/>
  <c r="BK73" i="4"/>
  <c r="BK106" i="4"/>
  <c r="BK149" i="4"/>
  <c r="BK57" i="4"/>
  <c r="BK104" i="4"/>
  <c r="BK113" i="4"/>
  <c r="BK157" i="4"/>
  <c r="BK68" i="4"/>
  <c r="BK111" i="4"/>
  <c r="BK153" i="4"/>
  <c r="BK64" i="4"/>
  <c r="BK109" i="4"/>
  <c r="BK151" i="4"/>
  <c r="BK61" i="4"/>
  <c r="BK97" i="4"/>
  <c r="BK133" i="4"/>
  <c r="BK45" i="4"/>
  <c r="BK95" i="4"/>
  <c r="BK129" i="4"/>
  <c r="BK71" i="4"/>
  <c r="BK143" i="4"/>
  <c r="BK55" i="4"/>
  <c r="BK102" i="4"/>
  <c r="BK141" i="4"/>
  <c r="BK52" i="4"/>
  <c r="BK100" i="4"/>
  <c r="BK135" i="4"/>
  <c r="BK48" i="4"/>
  <c r="BK85" i="4"/>
  <c r="BK124" i="4"/>
  <c r="BK31" i="4"/>
  <c r="BK81" i="4"/>
  <c r="BK116" i="4"/>
  <c r="BK130" i="4"/>
  <c r="BK41" i="4"/>
  <c r="BK92" i="4"/>
  <c r="BK128" i="4"/>
  <c r="BK39" i="4"/>
  <c r="BK88" i="4"/>
  <c r="BK126" i="4"/>
  <c r="BK36" i="4"/>
  <c r="BK72" i="4"/>
  <c r="BK114" i="4"/>
  <c r="BK158" i="4"/>
  <c r="BK69" i="4"/>
  <c r="BK40" i="4"/>
  <c r="BK37" i="4"/>
  <c r="BK121" i="4"/>
  <c r="BK28" i="4"/>
  <c r="BK79" i="4"/>
  <c r="BK119" i="4"/>
  <c r="BK21" i="4"/>
  <c r="BK76" i="4"/>
  <c r="BK117" i="4"/>
  <c r="BK12" i="4"/>
  <c r="BK60" i="4"/>
  <c r="BK105" i="4"/>
  <c r="BK144" i="4"/>
  <c r="BK56" i="4"/>
  <c r="BK127" i="4"/>
  <c r="BK112" i="4"/>
  <c r="BK154" i="4"/>
  <c r="BK65" i="4"/>
  <c r="BK110" i="4"/>
  <c r="BK152" i="4"/>
  <c r="BK63" i="4"/>
  <c r="BK108" i="4"/>
  <c r="BK150" i="4"/>
  <c r="BK47" i="4"/>
  <c r="BK96" i="4"/>
  <c r="BK132" i="4"/>
  <c r="BK93" i="4"/>
  <c r="BK87" i="4"/>
  <c r="BK103" i="4"/>
  <c r="BK142" i="4"/>
  <c r="BK53" i="4"/>
  <c r="BK101" i="4"/>
  <c r="BK136" i="4"/>
  <c r="BK49" i="4"/>
  <c r="BK98" i="4"/>
  <c r="BK125" i="4"/>
  <c r="BK33" i="4"/>
  <c r="BK84" i="4"/>
  <c r="BK122" i="4"/>
  <c r="BK29" i="4"/>
  <c r="I42" i="9"/>
  <c r="AV155" i="4"/>
  <c r="AX155" i="4" s="1"/>
  <c r="AY155" i="4" s="1"/>
  <c r="AV24" i="4"/>
  <c r="AX24" i="4" s="1"/>
  <c r="AY24" i="4" s="1"/>
  <c r="AV70" i="4"/>
  <c r="AX70" i="4" s="1"/>
  <c r="AY70" i="4" s="1"/>
  <c r="AV50" i="4"/>
  <c r="AX50" i="4" s="1"/>
  <c r="AY50" i="4" s="1"/>
  <c r="AV134" i="4"/>
  <c r="AX134" i="4" s="1"/>
  <c r="AY134" i="4" s="1"/>
  <c r="AV62" i="4"/>
  <c r="AX62" i="4" s="1"/>
  <c r="AY62" i="4" s="1"/>
  <c r="AX14" i="4"/>
  <c r="AY14" i="4" s="1"/>
  <c r="AV42" i="4"/>
  <c r="AX42" i="4" s="1"/>
  <c r="AY42" i="4" s="1"/>
  <c r="AV32" i="4"/>
  <c r="AX32" i="4" s="1"/>
  <c r="AY32" i="4" s="1"/>
  <c r="AV123" i="4"/>
  <c r="AX123" i="4" s="1"/>
  <c r="AY123" i="4" s="1"/>
  <c r="AV59" i="4"/>
  <c r="AX59" i="4" s="1"/>
  <c r="AY59" i="4" s="1"/>
  <c r="AV115" i="4"/>
  <c r="AX115" i="4" s="1"/>
  <c r="AY115" i="4" s="1"/>
  <c r="AV51" i="4"/>
  <c r="AX51" i="4" s="1"/>
  <c r="AY51" i="4" s="1"/>
  <c r="AV147" i="4"/>
  <c r="AX147" i="4" s="1"/>
  <c r="AY147" i="4" s="1"/>
  <c r="AV46" i="4"/>
  <c r="AX46" i="4" s="1"/>
  <c r="AY46" i="4" s="1"/>
  <c r="AX16" i="4"/>
  <c r="AY16" i="4" s="1"/>
  <c r="AV90" i="4"/>
  <c r="AX90" i="4" s="1"/>
  <c r="AY90" i="4" s="1"/>
  <c r="AV26" i="4"/>
  <c r="AX26" i="4" s="1"/>
  <c r="AY26" i="4" s="1"/>
  <c r="AV107" i="4"/>
  <c r="AX107" i="4" s="1"/>
  <c r="AY107" i="4" s="1"/>
  <c r="AV44" i="4"/>
  <c r="AX44" i="4" s="1"/>
  <c r="AY44" i="4" s="1"/>
  <c r="AV146" i="4"/>
  <c r="AX146" i="4" s="1"/>
  <c r="AY146" i="4" s="1"/>
  <c r="AV139" i="4"/>
  <c r="AX139" i="4" s="1"/>
  <c r="AY139" i="4" s="1"/>
  <c r="AV38" i="4"/>
  <c r="AX38" i="4" s="1"/>
  <c r="AY38" i="4" s="1"/>
  <c r="AV82" i="4"/>
  <c r="AX82" i="4" s="1"/>
  <c r="AY82" i="4" s="1"/>
  <c r="AX17" i="4"/>
  <c r="AY17" i="4" s="1"/>
  <c r="AV99" i="4"/>
  <c r="AX99" i="4" s="1"/>
  <c r="AY99" i="4" s="1"/>
  <c r="AV156" i="4"/>
  <c r="AX156" i="4" s="1"/>
  <c r="AY156" i="4" s="1"/>
  <c r="AV35" i="4"/>
  <c r="AX35" i="4" s="1"/>
  <c r="AY35" i="4" s="1"/>
  <c r="AV148" i="4"/>
  <c r="AX148" i="4" s="1"/>
  <c r="AY148" i="4" s="1"/>
  <c r="AV138" i="4"/>
  <c r="AX138" i="4" s="1"/>
  <c r="AY138" i="4" s="1"/>
  <c r="AV94" i="4"/>
  <c r="AX94" i="4" s="1"/>
  <c r="AY94" i="4" s="1"/>
  <c r="AV30" i="4"/>
  <c r="AX30" i="4" s="1"/>
  <c r="AY30" i="4" s="1"/>
  <c r="AV74" i="4"/>
  <c r="AX74" i="4" s="1"/>
  <c r="AY74" i="4" s="1"/>
  <c r="AV91" i="4"/>
  <c r="AX91" i="4" s="1"/>
  <c r="AY91" i="4" s="1"/>
  <c r="AV27" i="4"/>
  <c r="AX27" i="4" s="1"/>
  <c r="AY27" i="4" s="1"/>
  <c r="AV54" i="4"/>
  <c r="AX54" i="4" s="1"/>
  <c r="AY54" i="4" s="1"/>
  <c r="AV34" i="4"/>
  <c r="AX34" i="4" s="1"/>
  <c r="AY34" i="4" s="1"/>
  <c r="AV145" i="4"/>
  <c r="AX145" i="4" s="1"/>
  <c r="AY145" i="4" s="1"/>
  <c r="AX19" i="4"/>
  <c r="AY19" i="4" s="1"/>
  <c r="AV140" i="4"/>
  <c r="AX140" i="4" s="1"/>
  <c r="AY140" i="4" s="1"/>
  <c r="AV86" i="4"/>
  <c r="AX86" i="4" s="1"/>
  <c r="AY86" i="4" s="1"/>
  <c r="AV22" i="4"/>
  <c r="AX22" i="4" s="1"/>
  <c r="AY22" i="4" s="1"/>
  <c r="AV66" i="4"/>
  <c r="AX66" i="4" s="1"/>
  <c r="AY66" i="4" s="1"/>
  <c r="AV83" i="4"/>
  <c r="AX83" i="4" s="1"/>
  <c r="AY83" i="4" s="1"/>
  <c r="AV137" i="4"/>
  <c r="AX137" i="4" s="1"/>
  <c r="AY137" i="4" s="1"/>
  <c r="AV78" i="4"/>
  <c r="AX78" i="4" s="1"/>
  <c r="AY78" i="4" s="1"/>
  <c r="AX13" i="4"/>
  <c r="AY13" i="4" s="1"/>
  <c r="AV58" i="4"/>
  <c r="AX58" i="4" s="1"/>
  <c r="AY58" i="4" s="1"/>
  <c r="AV75" i="4"/>
  <c r="AX75" i="4" s="1"/>
  <c r="AY75" i="4" s="1"/>
  <c r="AX10" i="4"/>
  <c r="AY10" i="4" s="1"/>
  <c r="AV23" i="4"/>
  <c r="AX23" i="4" s="1"/>
  <c r="AY23" i="4" s="1"/>
  <c r="AV131" i="4"/>
  <c r="AX131" i="4" s="1"/>
  <c r="AY131" i="4" s="1"/>
  <c r="AV67" i="4"/>
  <c r="AX67" i="4" s="1"/>
  <c r="AY67" i="4" s="1"/>
  <c r="H26" i="9"/>
  <c r="H80" i="9"/>
  <c r="H25" i="9"/>
  <c r="H77" i="9"/>
  <c r="H70" i="9"/>
  <c r="H59" i="9"/>
  <c r="H118" i="9"/>
  <c r="H44" i="9"/>
  <c r="H122" i="9"/>
  <c r="H53" i="9"/>
  <c r="H108" i="9"/>
  <c r="H132" i="9"/>
  <c r="H105" i="9"/>
  <c r="H94" i="9"/>
  <c r="H81" i="9"/>
  <c r="H110" i="9"/>
  <c r="H83" i="9"/>
  <c r="H60" i="9"/>
  <c r="H84" i="9"/>
  <c r="H144" i="9"/>
  <c r="H170" i="9"/>
  <c r="H159" i="9"/>
  <c r="H35" i="9"/>
  <c r="H140" i="9"/>
  <c r="H157" i="9"/>
  <c r="H76" i="9"/>
  <c r="H78" i="9"/>
  <c r="H28" i="9"/>
  <c r="H29" i="9"/>
  <c r="H72" i="9"/>
  <c r="H152" i="9"/>
  <c r="H23" i="9"/>
  <c r="H36" i="9"/>
  <c r="H66" i="9"/>
  <c r="H39" i="9"/>
  <c r="H104" i="9"/>
  <c r="H57" i="9"/>
  <c r="H107" i="9"/>
  <c r="H92" i="9"/>
  <c r="H46" i="9"/>
  <c r="H37" i="9"/>
  <c r="H65" i="9"/>
  <c r="H147" i="9"/>
  <c r="H100" i="9"/>
  <c r="H168" i="9"/>
  <c r="H143" i="9"/>
  <c r="H88" i="9"/>
  <c r="H96" i="9"/>
  <c r="H145" i="9"/>
  <c r="H102" i="9"/>
  <c r="H130" i="9"/>
  <c r="H120" i="9"/>
  <c r="H164" i="9"/>
  <c r="H160" i="9"/>
  <c r="H116" i="9"/>
  <c r="H61" i="9"/>
  <c r="H126" i="9"/>
  <c r="H63" i="9"/>
  <c r="H167" i="9"/>
  <c r="H138" i="9"/>
  <c r="H58" i="9"/>
  <c r="H113" i="9"/>
  <c r="H40" i="9"/>
  <c r="H33" i="9"/>
  <c r="H69" i="9"/>
  <c r="H169" i="9"/>
  <c r="H154" i="9"/>
  <c r="H121" i="9"/>
  <c r="H43" i="9"/>
  <c r="H153" i="9"/>
  <c r="H146" i="9"/>
  <c r="H139" i="9"/>
  <c r="H123" i="9"/>
  <c r="H97" i="9"/>
  <c r="H89" i="9"/>
  <c r="H101" i="9"/>
  <c r="H109" i="9"/>
  <c r="H85" i="9"/>
  <c r="H93" i="9"/>
  <c r="H161" i="9"/>
  <c r="H115" i="9"/>
  <c r="H73" i="9"/>
  <c r="H165" i="9"/>
  <c r="H41" i="9"/>
  <c r="H124" i="9"/>
  <c r="H75" i="9"/>
  <c r="H32" i="9"/>
  <c r="H52" i="9"/>
  <c r="H166" i="9"/>
  <c r="H136" i="9"/>
  <c r="H45" i="9"/>
  <c r="H112" i="9"/>
  <c r="H50" i="9"/>
  <c r="H82" i="9"/>
  <c r="H156" i="9"/>
  <c r="H99" i="9"/>
  <c r="H51" i="9"/>
  <c r="H91" i="9"/>
  <c r="H149" i="9"/>
  <c r="AV9" i="4"/>
  <c r="AX9" i="4" s="1"/>
  <c r="AY9" i="4" s="1"/>
  <c r="M151" i="5"/>
  <c r="K175" i="5" s="1"/>
  <c r="H156" i="5"/>
  <c r="Q86" i="7"/>
  <c r="J8" i="7"/>
  <c r="F19" i="5"/>
  <c r="BI19" i="4"/>
  <c r="K31" i="9" s="1"/>
  <c r="BF8" i="4"/>
  <c r="BI14" i="4"/>
  <c r="K26" i="9" s="1"/>
  <c r="N8" i="7"/>
  <c r="O8" i="7"/>
  <c r="Q147" i="7"/>
  <c r="I35" i="9"/>
  <c r="Q10" i="7"/>
  <c r="BI45" i="4"/>
  <c r="K57" i="9" s="1"/>
  <c r="Q78" i="7"/>
  <c r="BI53" i="4"/>
  <c r="K65" i="9" s="1"/>
  <c r="I160" i="9"/>
  <c r="Q13" i="7"/>
  <c r="BI79" i="4"/>
  <c r="K91" i="9" s="1"/>
  <c r="Q115" i="7"/>
  <c r="K132" i="5"/>
  <c r="BI122" i="4"/>
  <c r="K134" i="9" s="1"/>
  <c r="BI83" i="4"/>
  <c r="K95" i="9" s="1"/>
  <c r="BI158" i="4"/>
  <c r="K170" i="9" s="1"/>
  <c r="I170" i="9"/>
  <c r="BI100" i="4"/>
  <c r="K112" i="9" s="1"/>
  <c r="I112" i="9"/>
  <c r="BI98" i="4"/>
  <c r="K110" i="9" s="1"/>
  <c r="I110" i="9"/>
  <c r="BI85" i="4"/>
  <c r="K97" i="9" s="1"/>
  <c r="I97" i="9"/>
  <c r="BI73" i="4"/>
  <c r="K85" i="9" s="1"/>
  <c r="I85" i="9"/>
  <c r="BI47" i="4"/>
  <c r="K59" i="9" s="1"/>
  <c r="I59" i="9"/>
  <c r="BI37" i="4"/>
  <c r="K49" i="9" s="1"/>
  <c r="BI17" i="4"/>
  <c r="BI151" i="4"/>
  <c r="K163" i="9" s="1"/>
  <c r="BI76" i="4"/>
  <c r="K88" i="9" s="1"/>
  <c r="BI139" i="4"/>
  <c r="K151" i="9" s="1"/>
  <c r="BI108" i="4"/>
  <c r="K120" i="9" s="1"/>
  <c r="BI129" i="4"/>
  <c r="K141" i="9" s="1"/>
  <c r="BI52" i="4"/>
  <c r="K64" i="9" s="1"/>
  <c r="BI153" i="4"/>
  <c r="K165" i="9" s="1"/>
  <c r="BI89" i="4"/>
  <c r="K101" i="9" s="1"/>
  <c r="BI30" i="4"/>
  <c r="K42" i="9" s="1"/>
  <c r="BI128" i="4"/>
  <c r="K140" i="9" s="1"/>
  <c r="BI94" i="4"/>
  <c r="K106" i="9" s="1"/>
  <c r="AJ8" i="4"/>
  <c r="Q8" i="4"/>
  <c r="BI33" i="4"/>
  <c r="K45" i="9" s="1"/>
  <c r="BI60" i="4"/>
  <c r="K72" i="9" s="1"/>
  <c r="F156" i="5"/>
  <c r="H6" i="5"/>
  <c r="F10" i="5"/>
  <c r="BI130" i="4"/>
  <c r="K142" i="9" s="1"/>
  <c r="BI72" i="4"/>
  <c r="K84" i="9" s="1"/>
  <c r="BI51" i="4"/>
  <c r="K63" i="9" s="1"/>
  <c r="Q16" i="7"/>
  <c r="BG16" i="4" s="1"/>
  <c r="BI16" i="4" s="1"/>
  <c r="BI25" i="4"/>
  <c r="K37" i="9" s="1"/>
  <c r="BI157" i="4"/>
  <c r="K169" i="9" s="1"/>
  <c r="BI66" i="4"/>
  <c r="K78" i="9" s="1"/>
  <c r="BI150" i="4"/>
  <c r="K162" i="9" s="1"/>
  <c r="BI74" i="4"/>
  <c r="K86" i="9" s="1"/>
  <c r="J8" i="6"/>
  <c r="BI112" i="4"/>
  <c r="K124" i="9" s="1"/>
  <c r="BI143" i="4"/>
  <c r="K155" i="9" s="1"/>
  <c r="BI137" i="4"/>
  <c r="K149" i="9" s="1"/>
  <c r="Q9" i="7"/>
  <c r="BG9" i="4" s="1"/>
  <c r="Q70" i="7"/>
  <c r="T8" i="4"/>
  <c r="W8" i="4"/>
  <c r="AM8" i="4"/>
  <c r="AS8" i="4"/>
  <c r="Z8" i="4"/>
  <c r="AP8" i="4"/>
  <c r="AC8" i="4"/>
  <c r="K8" i="4"/>
  <c r="N8" i="4"/>
  <c r="AF8" i="4"/>
  <c r="BI26" i="4" l="1"/>
  <c r="K38" i="9" s="1"/>
  <c r="BI134" i="4"/>
  <c r="K146" i="9" s="1"/>
  <c r="BI124" i="4"/>
  <c r="K136" i="9" s="1"/>
  <c r="BI156" i="4"/>
  <c r="K168" i="9" s="1"/>
  <c r="BI149" i="4"/>
  <c r="K161" i="9" s="1"/>
  <c r="BI44" i="4"/>
  <c r="K56" i="9" s="1"/>
  <c r="BI35" i="4"/>
  <c r="K47" i="9" s="1"/>
  <c r="BI105" i="4"/>
  <c r="K117" i="9" s="1"/>
  <c r="I147" i="9"/>
  <c r="BI24" i="4"/>
  <c r="K36" i="9" s="1"/>
  <c r="BI123" i="4"/>
  <c r="K135" i="9" s="1"/>
  <c r="BI55" i="4"/>
  <c r="K67" i="9" s="1"/>
  <c r="BI64" i="4"/>
  <c r="K76" i="9" s="1"/>
  <c r="BI80" i="4"/>
  <c r="K92" i="9" s="1"/>
  <c r="BI144" i="4"/>
  <c r="K156" i="9" s="1"/>
  <c r="BI71" i="4"/>
  <c r="K83" i="9" s="1"/>
  <c r="BI27" i="4"/>
  <c r="K39" i="9" s="1"/>
  <c r="BI95" i="4"/>
  <c r="K107" i="9" s="1"/>
  <c r="BI62" i="4"/>
  <c r="K74" i="9" s="1"/>
  <c r="BI39" i="4"/>
  <c r="K51" i="9" s="1"/>
  <c r="BI119" i="4"/>
  <c r="K131" i="9" s="1"/>
  <c r="BI91" i="4"/>
  <c r="K103" i="9" s="1"/>
  <c r="BI31" i="4"/>
  <c r="K43" i="9" s="1"/>
  <c r="BI142" i="4"/>
  <c r="K154" i="9" s="1"/>
  <c r="BI69" i="4"/>
  <c r="K81" i="9" s="1"/>
  <c r="BI154" i="4"/>
  <c r="K166" i="9" s="1"/>
  <c r="BI116" i="4"/>
  <c r="K128" i="9" s="1"/>
  <c r="BI28" i="4"/>
  <c r="K40" i="9" s="1"/>
  <c r="BI46" i="4"/>
  <c r="K58" i="9" s="1"/>
  <c r="BI126" i="4"/>
  <c r="K138" i="9" s="1"/>
  <c r="BI81" i="4"/>
  <c r="K93" i="9" s="1"/>
  <c r="BI75" i="4"/>
  <c r="K87" i="9" s="1"/>
  <c r="BI87" i="4"/>
  <c r="K99" i="9" s="1"/>
  <c r="BI118" i="4"/>
  <c r="K130" i="9" s="1"/>
  <c r="BI49" i="4"/>
  <c r="K61" i="9" s="1"/>
  <c r="BI21" i="4"/>
  <c r="K33" i="9" s="1"/>
  <c r="BI96" i="4"/>
  <c r="K108" i="9" s="1"/>
  <c r="BI110" i="4"/>
  <c r="K122" i="9" s="1"/>
  <c r="BI127" i="4"/>
  <c r="K139" i="9" s="1"/>
  <c r="BI97" i="4"/>
  <c r="K109" i="9" s="1"/>
  <c r="BI22" i="4"/>
  <c r="K34" i="9" s="1"/>
  <c r="BI141" i="4"/>
  <c r="K153" i="9" s="1"/>
  <c r="BI63" i="4"/>
  <c r="K75" i="9" s="1"/>
  <c r="BG78" i="4"/>
  <c r="BI78" i="4" s="1"/>
  <c r="K90" i="9" s="1"/>
  <c r="BG10" i="4"/>
  <c r="I22" i="9" s="1"/>
  <c r="BI77" i="4"/>
  <c r="K89" i="9" s="1"/>
  <c r="BI113" i="4"/>
  <c r="K125" i="9" s="1"/>
  <c r="BI136" i="4"/>
  <c r="K148" i="9" s="1"/>
  <c r="BI99" i="4"/>
  <c r="K111" i="9" s="1"/>
  <c r="BI131" i="4"/>
  <c r="K143" i="9" s="1"/>
  <c r="BI38" i="4"/>
  <c r="K50" i="9" s="1"/>
  <c r="BI104" i="4"/>
  <c r="K116" i="9" s="1"/>
  <c r="BI93" i="4"/>
  <c r="K105" i="9" s="1"/>
  <c r="BI11" i="4"/>
  <c r="K23" i="9" s="1"/>
  <c r="BI58" i="4"/>
  <c r="K70" i="9" s="1"/>
  <c r="I114" i="9"/>
  <c r="I48" i="9"/>
  <c r="I158" i="9"/>
  <c r="I129" i="9"/>
  <c r="I100" i="9"/>
  <c r="I80" i="9"/>
  <c r="I104" i="9"/>
  <c r="I46" i="9"/>
  <c r="BI90" i="4"/>
  <c r="K102" i="9" s="1"/>
  <c r="BI155" i="4"/>
  <c r="K167" i="9" s="1"/>
  <c r="BI132" i="4"/>
  <c r="K144" i="9" s="1"/>
  <c r="BI12" i="4"/>
  <c r="K24" i="9" s="1"/>
  <c r="BI111" i="4"/>
  <c r="K123" i="9" s="1"/>
  <c r="BI114" i="4"/>
  <c r="K126" i="9" s="1"/>
  <c r="BI84" i="4"/>
  <c r="K96" i="9" s="1"/>
  <c r="BG147" i="4"/>
  <c r="I159" i="9" s="1"/>
  <c r="BG86" i="4"/>
  <c r="I98" i="9" s="1"/>
  <c r="I68" i="9"/>
  <c r="I71" i="9"/>
  <c r="I79" i="9"/>
  <c r="I133" i="9"/>
  <c r="I53" i="9"/>
  <c r="I132" i="9"/>
  <c r="I54" i="9"/>
  <c r="I94" i="9"/>
  <c r="I69" i="9"/>
  <c r="I145" i="9"/>
  <c r="I60" i="9"/>
  <c r="I115" i="9"/>
  <c r="I73" i="9"/>
  <c r="I113" i="9"/>
  <c r="I150" i="9"/>
  <c r="I152" i="9"/>
  <c r="I119" i="9"/>
  <c r="BG70" i="4"/>
  <c r="I82" i="9" s="1"/>
  <c r="BI32" i="4"/>
  <c r="K44" i="9" s="1"/>
  <c r="BI125" i="4"/>
  <c r="K137" i="9" s="1"/>
  <c r="BI152" i="4"/>
  <c r="K164" i="9" s="1"/>
  <c r="BG13" i="4"/>
  <c r="BI13" i="4" s="1"/>
  <c r="K25" i="9" s="1"/>
  <c r="BI50" i="4"/>
  <c r="K62" i="9" s="1"/>
  <c r="I157" i="9"/>
  <c r="I66" i="9"/>
  <c r="I121" i="9"/>
  <c r="I77" i="9"/>
  <c r="BG115" i="4"/>
  <c r="I127" i="9" s="1"/>
  <c r="BI106" i="4"/>
  <c r="K118" i="9" s="1"/>
  <c r="BI29" i="4"/>
  <c r="K41" i="9" s="1"/>
  <c r="I52" i="9"/>
  <c r="BI20" i="4"/>
  <c r="K32" i="9" s="1"/>
  <c r="I30" i="9"/>
  <c r="I28" i="9"/>
  <c r="I27" i="9"/>
  <c r="K30" i="9"/>
  <c r="I21" i="9"/>
  <c r="BI9" i="4"/>
  <c r="K21" i="9" s="1"/>
  <c r="E19" i="2"/>
  <c r="BK22" i="4"/>
  <c r="BK99" i="4"/>
  <c r="BK26" i="4"/>
  <c r="BK24" i="4"/>
  <c r="BK75" i="4"/>
  <c r="BK74" i="4"/>
  <c r="BK17" i="4"/>
  <c r="BK90" i="4"/>
  <c r="BK32" i="4"/>
  <c r="BK155" i="4"/>
  <c r="BK10" i="4"/>
  <c r="BK91" i="4"/>
  <c r="BK123" i="4"/>
  <c r="BK86" i="4"/>
  <c r="BK58" i="4"/>
  <c r="BK140" i="4"/>
  <c r="BK30" i="4"/>
  <c r="BK82" i="4"/>
  <c r="BK16" i="4"/>
  <c r="BK42" i="4"/>
  <c r="BK19" i="4"/>
  <c r="BK13" i="4"/>
  <c r="BK14" i="4"/>
  <c r="BK78" i="4"/>
  <c r="BK145" i="4"/>
  <c r="BK138" i="4"/>
  <c r="BK139" i="4"/>
  <c r="BK147" i="4"/>
  <c r="BK62" i="4"/>
  <c r="BK38" i="4"/>
  <c r="BK67" i="4"/>
  <c r="BK137" i="4"/>
  <c r="BK34" i="4"/>
  <c r="BK148" i="4"/>
  <c r="BK146" i="4"/>
  <c r="BK51" i="4"/>
  <c r="BK134" i="4"/>
  <c r="BK46" i="4"/>
  <c r="BK131" i="4"/>
  <c r="BK83" i="4"/>
  <c r="BK54" i="4"/>
  <c r="BK35" i="4"/>
  <c r="BK44" i="4"/>
  <c r="BK115" i="4"/>
  <c r="BK50" i="4"/>
  <c r="BK94" i="4"/>
  <c r="BK23" i="4"/>
  <c r="BK66" i="4"/>
  <c r="BK27" i="4"/>
  <c r="BK156" i="4"/>
  <c r="BK107" i="4"/>
  <c r="BK59" i="4"/>
  <c r="BK70" i="4"/>
  <c r="H68" i="9"/>
  <c r="H47" i="9"/>
  <c r="H74" i="9"/>
  <c r="H71" i="9"/>
  <c r="H162" i="9"/>
  <c r="H79" i="9"/>
  <c r="H87" i="9"/>
  <c r="H67" i="9"/>
  <c r="H127" i="9"/>
  <c r="H141" i="9"/>
  <c r="H133" i="9"/>
  <c r="H62" i="9"/>
  <c r="H22" i="9"/>
  <c r="H117" i="9"/>
  <c r="H98" i="9"/>
  <c r="H95" i="9"/>
  <c r="H54" i="9"/>
  <c r="H31" i="9"/>
  <c r="H38" i="9"/>
  <c r="H137" i="9"/>
  <c r="H155" i="9"/>
  <c r="H142" i="9"/>
  <c r="H90" i="9"/>
  <c r="H134" i="9"/>
  <c r="H56" i="9"/>
  <c r="H150" i="9"/>
  <c r="H148" i="9"/>
  <c r="H114" i="9"/>
  <c r="H151" i="9"/>
  <c r="H111" i="9"/>
  <c r="H129" i="9"/>
  <c r="H34" i="9"/>
  <c r="H119" i="9"/>
  <c r="H30" i="9"/>
  <c r="H64" i="9"/>
  <c r="H49" i="9"/>
  <c r="H163" i="9"/>
  <c r="H21" i="9"/>
  <c r="H86" i="9"/>
  <c r="H106" i="9"/>
  <c r="H128" i="9"/>
  <c r="H103" i="9"/>
  <c r="H48" i="9"/>
  <c r="H158" i="9"/>
  <c r="H131" i="9"/>
  <c r="H42" i="9"/>
  <c r="P159" i="7"/>
  <c r="H8" i="4"/>
  <c r="F9" i="5"/>
  <c r="AV8" i="4"/>
  <c r="F61" i="5"/>
  <c r="BI15" i="4"/>
  <c r="K28" i="9" s="1"/>
  <c r="F93" i="5"/>
  <c r="F45" i="5"/>
  <c r="F77" i="5"/>
  <c r="F53" i="5"/>
  <c r="F37" i="5"/>
  <c r="F127" i="5"/>
  <c r="F103" i="5"/>
  <c r="F111" i="5"/>
  <c r="M132" i="5"/>
  <c r="H101" i="5"/>
  <c r="H91" i="5"/>
  <c r="H83" i="5"/>
  <c r="H75" i="5"/>
  <c r="H67" i="5"/>
  <c r="H59" i="5"/>
  <c r="H51" i="5"/>
  <c r="H43" i="5"/>
  <c r="H117" i="5"/>
  <c r="H35" i="5"/>
  <c r="K27" i="5"/>
  <c r="M27" i="5" s="1"/>
  <c r="H125" i="5"/>
  <c r="H109" i="5"/>
  <c r="F119" i="5"/>
  <c r="F85" i="5"/>
  <c r="F69" i="5"/>
  <c r="BI147" i="4" l="1"/>
  <c r="K159" i="9" s="1"/>
  <c r="BI86" i="4"/>
  <c r="K98" i="9" s="1"/>
  <c r="BI70" i="4"/>
  <c r="K82" i="9" s="1"/>
  <c r="BI115" i="4"/>
  <c r="K127" i="9" s="1"/>
  <c r="BI10" i="4"/>
  <c r="K22" i="9" s="1"/>
  <c r="I25" i="9"/>
  <c r="I90" i="9"/>
  <c r="K156" i="5"/>
  <c r="K159" i="5" s="1"/>
  <c r="M159" i="5" s="1"/>
  <c r="M165" i="5" s="1"/>
  <c r="M175" i="5" s="1"/>
  <c r="K27" i="9"/>
  <c r="K29" i="9"/>
  <c r="Q159" i="7"/>
  <c r="P8" i="7"/>
  <c r="F21" i="5"/>
  <c r="H19" i="9"/>
  <c r="H20" i="9" s="1"/>
  <c r="H175" i="5"/>
  <c r="BK9" i="4"/>
  <c r="E17" i="2"/>
  <c r="BG159" i="4" l="1"/>
  <c r="I171" i="9" s="1"/>
  <c r="E16" i="2"/>
  <c r="BI159" i="4" l="1"/>
  <c r="K171" i="9" s="1"/>
  <c r="N171" i="9" s="1"/>
  <c r="BQ159" i="4"/>
  <c r="E26" i="2"/>
  <c r="E30" i="2"/>
  <c r="E31" i="2"/>
  <c r="E29" i="2"/>
  <c r="E28" i="2"/>
  <c r="E27" i="2"/>
  <c r="E25" i="2"/>
  <c r="BJ159" i="4" l="1"/>
  <c r="AN8" i="4"/>
  <c r="AQ8" i="4"/>
  <c r="AT8" i="4"/>
  <c r="AG8" i="4"/>
  <c r="AK8" i="4"/>
  <c r="O8" i="4"/>
  <c r="L8" i="4"/>
  <c r="L43" i="4" s="1"/>
  <c r="AK58" i="4"/>
  <c r="AK39" i="4"/>
  <c r="AK53" i="4"/>
  <c r="AK149" i="4"/>
  <c r="AK63" i="4"/>
  <c r="AK34" i="4"/>
  <c r="AK57" i="4"/>
  <c r="AK112" i="4"/>
  <c r="AN93" i="4"/>
  <c r="AN10" i="4"/>
  <c r="AN107" i="4"/>
  <c r="AN49" i="4"/>
  <c r="AN88" i="4"/>
  <c r="AN31" i="4"/>
  <c r="AN100" i="4"/>
  <c r="AN118" i="4"/>
  <c r="AN157" i="4"/>
  <c r="AN45" i="4"/>
  <c r="AN98" i="4"/>
  <c r="AN115" i="4"/>
  <c r="AN50" i="4"/>
  <c r="AN19" i="4"/>
  <c r="AN83" i="4"/>
  <c r="AN63" i="4"/>
  <c r="AN37" i="4"/>
  <c r="AN29" i="4"/>
  <c r="AN46" i="4"/>
  <c r="AN76" i="4"/>
  <c r="AN56" i="4"/>
  <c r="AN30" i="4"/>
  <c r="AN32" i="4"/>
  <c r="AN150" i="4"/>
  <c r="AN134" i="4"/>
  <c r="AN41" i="4"/>
  <c r="AN20" i="4"/>
  <c r="AN151" i="4"/>
  <c r="AN137" i="4"/>
  <c r="AN27" i="4"/>
  <c r="AN67" i="4"/>
  <c r="AN139" i="4"/>
  <c r="AN33" i="4"/>
  <c r="AN40" i="4"/>
  <c r="AN25" i="4"/>
  <c r="AN28" i="4"/>
  <c r="AN52" i="4"/>
  <c r="AN149" i="4"/>
  <c r="AN48" i="4"/>
  <c r="AN26" i="4"/>
  <c r="AN13" i="4"/>
  <c r="AN142" i="4"/>
  <c r="AN122" i="4"/>
  <c r="AN51" i="4"/>
  <c r="AN69" i="4"/>
  <c r="AN119" i="4"/>
  <c r="AN101" i="4"/>
  <c r="AN92" i="4"/>
  <c r="AN102" i="4"/>
  <c r="AN39" i="4"/>
  <c r="AN42" i="4"/>
  <c r="AN128" i="4"/>
  <c r="AN103" i="4"/>
  <c r="AN22" i="4"/>
  <c r="AN86" i="4"/>
  <c r="AN116" i="4"/>
  <c r="AN47" i="4"/>
  <c r="AN14" i="4"/>
  <c r="AN62" i="4"/>
  <c r="AN90" i="4"/>
  <c r="AN85" i="4"/>
  <c r="AN16" i="4"/>
  <c r="AN36" i="4"/>
  <c r="AN113" i="4"/>
  <c r="AN138" i="4"/>
  <c r="AN148" i="4"/>
  <c r="AN59" i="4"/>
  <c r="AN72" i="4"/>
  <c r="AN73" i="4"/>
  <c r="AN144" i="4"/>
  <c r="AN91" i="4"/>
  <c r="AN55" i="4"/>
  <c r="AN44" i="4"/>
  <c r="AN84" i="4"/>
  <c r="AN70" i="4"/>
  <c r="AN95" i="4"/>
  <c r="AN112" i="4"/>
  <c r="AN135" i="4"/>
  <c r="AN132" i="4"/>
  <c r="AN9" i="4"/>
  <c r="AN11" i="4"/>
  <c r="AN77" i="4"/>
  <c r="AN156" i="4"/>
  <c r="AN108" i="4"/>
  <c r="AN111" i="4"/>
  <c r="AN64" i="4"/>
  <c r="AN147" i="4"/>
  <c r="AN110" i="4"/>
  <c r="AN61" i="4"/>
  <c r="AN129" i="4"/>
  <c r="AN57" i="4"/>
  <c r="AN152" i="4"/>
  <c r="AN60" i="4"/>
  <c r="AN80" i="4"/>
  <c r="AN121" i="4"/>
  <c r="AN82" i="4"/>
  <c r="AN68" i="4"/>
  <c r="AN58" i="4"/>
  <c r="AN133" i="4"/>
  <c r="AN117" i="4"/>
  <c r="AN66" i="4"/>
  <c r="AN12" i="4"/>
  <c r="AN109" i="4"/>
  <c r="AN17" i="4"/>
  <c r="AN105" i="4"/>
  <c r="AN125" i="4"/>
  <c r="AN54" i="4"/>
  <c r="AN24" i="4"/>
  <c r="AN53" i="4"/>
  <c r="AN123" i="4"/>
  <c r="AN140" i="4"/>
  <c r="AN74" i="4"/>
  <c r="AN131" i="4"/>
  <c r="AN34" i="4"/>
  <c r="AN89" i="4"/>
  <c r="AN145" i="4"/>
  <c r="AN23" i="4"/>
  <c r="AN87" i="4"/>
  <c r="AN21" i="4"/>
  <c r="AN96" i="4"/>
  <c r="AN153" i="4"/>
  <c r="AN78" i="4"/>
  <c r="AQ67" i="4"/>
  <c r="AQ81" i="4"/>
  <c r="AQ61" i="4"/>
  <c r="AQ22" i="4"/>
  <c r="AQ46" i="4"/>
  <c r="AQ57" i="4"/>
  <c r="AQ152" i="4"/>
  <c r="AQ16" i="4"/>
  <c r="AQ23" i="4"/>
  <c r="AQ74" i="4"/>
  <c r="AQ86" i="4"/>
  <c r="AQ139" i="4"/>
  <c r="AQ96" i="4"/>
  <c r="AQ35" i="4"/>
  <c r="AQ156" i="4"/>
  <c r="AQ117" i="4"/>
  <c r="AQ65" i="4"/>
  <c r="AQ34" i="4"/>
  <c r="AQ64" i="4"/>
  <c r="AQ104" i="4"/>
  <c r="AQ10" i="4"/>
  <c r="AQ116" i="4"/>
  <c r="AQ136" i="4"/>
  <c r="AQ94" i="4"/>
  <c r="AQ53" i="4"/>
  <c r="AQ12" i="4"/>
  <c r="AQ145" i="4"/>
  <c r="AQ70" i="4"/>
  <c r="AQ153" i="4"/>
  <c r="AQ119" i="4"/>
  <c r="AQ29" i="4"/>
  <c r="AQ142" i="4"/>
  <c r="AQ121" i="4"/>
  <c r="AQ60" i="4"/>
  <c r="AQ110" i="4"/>
  <c r="AQ154" i="4"/>
  <c r="AQ30" i="4"/>
  <c r="AQ82" i="4"/>
  <c r="AQ99" i="4"/>
  <c r="AQ101" i="4"/>
  <c r="AQ84" i="4"/>
  <c r="AQ125" i="4"/>
  <c r="AQ148" i="4"/>
  <c r="AQ69" i="4"/>
  <c r="AQ88" i="4"/>
  <c r="AQ141" i="4"/>
  <c r="AQ91" i="4"/>
  <c r="AQ58" i="4"/>
  <c r="AQ24" i="4"/>
  <c r="AQ25" i="4"/>
  <c r="AQ56" i="4"/>
  <c r="AQ103" i="4"/>
  <c r="AQ48" i="4"/>
  <c r="AQ15" i="4"/>
  <c r="AQ97" i="4"/>
  <c r="AQ123" i="4"/>
  <c r="AQ106" i="4"/>
  <c r="AQ102" i="4"/>
  <c r="AQ137" i="4"/>
  <c r="AQ98" i="4"/>
  <c r="AQ133" i="4"/>
  <c r="AQ68" i="4"/>
  <c r="AQ126" i="4"/>
  <c r="AQ44" i="4"/>
  <c r="AQ114" i="4"/>
  <c r="AQ32" i="4"/>
  <c r="AQ155" i="4"/>
  <c r="AQ130" i="4"/>
  <c r="AQ138" i="4"/>
  <c r="AQ111" i="4"/>
  <c r="AQ47" i="4"/>
  <c r="AQ93" i="4"/>
  <c r="AQ131" i="4"/>
  <c r="AQ77" i="4"/>
  <c r="AQ38" i="4"/>
  <c r="AQ73" i="4"/>
  <c r="AQ20" i="4"/>
  <c r="AQ54" i="4"/>
  <c r="AQ31" i="4"/>
  <c r="AQ113" i="4"/>
  <c r="AQ19" i="4"/>
  <c r="AQ11" i="4"/>
  <c r="AQ49" i="4"/>
  <c r="AQ112" i="4"/>
  <c r="AQ157" i="4"/>
  <c r="AQ17" i="4"/>
  <c r="AQ42" i="4"/>
  <c r="AQ79" i="4"/>
  <c r="AQ128" i="4"/>
  <c r="AQ108" i="4"/>
  <c r="AQ27" i="4"/>
  <c r="AQ109" i="4"/>
  <c r="AQ21" i="4"/>
  <c r="AQ135" i="4"/>
  <c r="AQ50" i="4"/>
  <c r="AQ151" i="4"/>
  <c r="AQ45" i="4"/>
  <c r="AQ72" i="4"/>
  <c r="AQ75" i="4"/>
  <c r="AQ124" i="4"/>
  <c r="AQ37" i="4"/>
  <c r="AQ52" i="4"/>
  <c r="AQ132" i="4"/>
  <c r="K118" i="5"/>
  <c r="AQ149" i="4"/>
  <c r="AQ129" i="4"/>
  <c r="AQ36" i="4"/>
  <c r="AQ51" i="4"/>
  <c r="AQ144" i="4"/>
  <c r="AQ13" i="4"/>
  <c r="AQ100" i="4"/>
  <c r="AQ95" i="4"/>
  <c r="AQ63" i="4"/>
  <c r="AQ71" i="4"/>
  <c r="AQ143" i="4"/>
  <c r="AQ62" i="4"/>
  <c r="AQ40" i="4"/>
  <c r="AQ146" i="4"/>
  <c r="AQ115" i="4"/>
  <c r="AQ105" i="4"/>
  <c r="AQ140" i="4"/>
  <c r="AQ66" i="4"/>
  <c r="AQ150" i="4"/>
  <c r="AQ107" i="4"/>
  <c r="AQ28" i="4"/>
  <c r="AQ122" i="4"/>
  <c r="AQ41" i="4"/>
  <c r="AQ127" i="4"/>
  <c r="AQ147" i="4"/>
  <c r="AQ134" i="4"/>
  <c r="AQ9" i="4"/>
  <c r="AQ89" i="4"/>
  <c r="AQ39" i="4"/>
  <c r="AQ26" i="4"/>
  <c r="AQ59" i="4"/>
  <c r="AQ92" i="4"/>
  <c r="AQ118" i="4"/>
  <c r="AQ85" i="4"/>
  <c r="AQ83" i="4"/>
  <c r="AQ76" i="4"/>
  <c r="AQ33" i="4"/>
  <c r="AQ14" i="4"/>
  <c r="AQ90" i="4"/>
  <c r="AQ158" i="4"/>
  <c r="AQ120" i="4"/>
  <c r="AQ80" i="4"/>
  <c r="AQ87" i="4"/>
  <c r="AQ55" i="4"/>
  <c r="E32" i="2"/>
  <c r="R8" i="4"/>
  <c r="R43" i="4" s="1"/>
  <c r="U8" i="4"/>
  <c r="U43" i="4" s="1"/>
  <c r="AD8" i="4"/>
  <c r="AD43" i="4" s="1"/>
  <c r="X8" i="4"/>
  <c r="X43" i="4" s="1"/>
  <c r="AA8" i="4"/>
  <c r="AA43" i="4" s="1"/>
  <c r="AT11" i="4"/>
  <c r="AT28" i="4"/>
  <c r="AT109" i="4"/>
  <c r="AT97" i="4"/>
  <c r="AT118" i="4"/>
  <c r="AT110" i="4"/>
  <c r="AT66" i="4"/>
  <c r="AT153" i="4"/>
  <c r="AT137" i="4"/>
  <c r="AT84" i="4"/>
  <c r="AT17" i="4"/>
  <c r="AT106" i="4"/>
  <c r="AT155" i="4"/>
  <c r="AT79" i="4"/>
  <c r="AT40" i="4"/>
  <c r="AT87" i="4"/>
  <c r="AT54" i="4"/>
  <c r="AT20" i="4"/>
  <c r="AT41" i="4"/>
  <c r="AT129" i="4"/>
  <c r="AT145" i="4"/>
  <c r="AT29" i="4"/>
  <c r="AT98" i="4"/>
  <c r="AT116" i="4"/>
  <c r="AT32" i="4"/>
  <c r="AT139" i="4"/>
  <c r="AT35" i="4"/>
  <c r="AT46" i="4"/>
  <c r="AT50" i="4"/>
  <c r="AT22" i="4"/>
  <c r="AT70" i="4"/>
  <c r="AT77" i="4"/>
  <c r="AT61" i="4"/>
  <c r="AT135" i="4"/>
  <c r="AT149" i="4"/>
  <c r="AT120" i="4"/>
  <c r="AT157" i="4"/>
  <c r="AT103" i="4"/>
  <c r="AT156" i="4"/>
  <c r="AT39" i="4"/>
  <c r="AT112" i="4"/>
  <c r="AT134" i="4"/>
  <c r="AT147" i="4"/>
  <c r="AT88" i="4"/>
  <c r="AT119" i="4"/>
  <c r="AT73" i="4"/>
  <c r="AT136" i="4"/>
  <c r="AT56" i="4"/>
  <c r="AT44" i="4"/>
  <c r="AT91" i="4"/>
  <c r="AT57" i="4"/>
  <c r="AT67" i="4"/>
  <c r="AT10" i="4"/>
  <c r="AT30" i="4"/>
  <c r="AT74" i="4"/>
  <c r="AT58" i="4"/>
  <c r="AT125" i="4"/>
  <c r="AT63" i="4"/>
  <c r="AT138" i="4"/>
  <c r="AT151" i="4"/>
  <c r="AT108" i="4"/>
  <c r="AT114" i="4"/>
  <c r="AT65" i="4"/>
  <c r="AT100" i="4"/>
  <c r="AT85" i="4"/>
  <c r="AT80" i="4"/>
  <c r="AT19" i="4"/>
  <c r="AT142" i="4"/>
  <c r="AT14" i="4"/>
  <c r="AT140" i="4"/>
  <c r="AT23" i="4"/>
  <c r="AT130" i="4"/>
  <c r="AT64" i="4"/>
  <c r="AT24" i="4"/>
  <c r="AT45" i="4"/>
  <c r="AT101" i="4"/>
  <c r="AT75" i="4"/>
  <c r="AT132" i="4"/>
  <c r="AT148" i="4"/>
  <c r="AT127" i="4"/>
  <c r="AT93" i="4"/>
  <c r="AT86" i="4"/>
  <c r="AT33" i="4"/>
  <c r="AT105" i="4"/>
  <c r="AT48" i="4"/>
  <c r="AT69" i="4"/>
  <c r="AT31" i="4"/>
  <c r="AT47" i="4"/>
  <c r="AT144" i="4"/>
  <c r="AT154" i="4"/>
  <c r="AT12" i="4"/>
  <c r="AT95" i="4"/>
  <c r="AT124" i="4"/>
  <c r="AT131" i="4"/>
  <c r="AT72" i="4"/>
  <c r="AT60" i="4"/>
  <c r="AT21" i="4"/>
  <c r="AT111" i="4"/>
  <c r="AT94" i="4"/>
  <c r="AT26" i="4"/>
  <c r="AT150" i="4"/>
  <c r="AT92" i="4"/>
  <c r="AT90" i="4"/>
  <c r="AT53" i="4"/>
  <c r="AT71" i="4"/>
  <c r="AT62" i="4"/>
  <c r="AT15" i="4"/>
  <c r="AT16" i="4"/>
  <c r="AT152" i="4"/>
  <c r="AT36" i="4"/>
  <c r="AT104" i="4"/>
  <c r="AT51" i="4"/>
  <c r="AT89" i="4"/>
  <c r="AT76" i="4"/>
  <c r="AT68" i="4"/>
  <c r="AT133" i="4"/>
  <c r="AT52" i="4"/>
  <c r="AT107" i="4"/>
  <c r="AT158" i="4"/>
  <c r="AT117" i="4"/>
  <c r="AT13" i="4"/>
  <c r="AT128" i="4"/>
  <c r="AT141" i="4"/>
  <c r="AT126" i="4"/>
  <c r="AT122" i="4"/>
  <c r="AT99" i="4"/>
  <c r="AT27" i="4"/>
  <c r="AT81" i="4"/>
  <c r="AT59" i="4"/>
  <c r="AT38" i="4"/>
  <c r="AT123" i="4"/>
  <c r="AT42" i="4"/>
  <c r="AT37" i="4"/>
  <c r="AT49" i="4"/>
  <c r="AT9" i="4"/>
  <c r="AT121" i="4"/>
  <c r="AT146" i="4"/>
  <c r="AT25" i="4"/>
  <c r="AT96" i="4"/>
  <c r="AT83" i="4"/>
  <c r="AT82" i="4"/>
  <c r="AT143" i="4"/>
  <c r="AT115" i="4"/>
  <c r="AT34" i="4"/>
  <c r="AT113" i="4"/>
  <c r="AT55" i="4"/>
  <c r="AT102" i="4"/>
  <c r="O18" i="4" l="1"/>
  <c r="O43" i="4"/>
  <c r="AK143" i="4"/>
  <c r="AK43" i="4"/>
  <c r="AG72" i="4"/>
  <c r="AG43" i="4"/>
  <c r="AH43" i="4" s="1"/>
  <c r="AK151" i="4"/>
  <c r="AK117" i="4"/>
  <c r="AK110" i="4"/>
  <c r="AT18" i="4"/>
  <c r="AT43" i="4"/>
  <c r="AK114" i="4"/>
  <c r="AK50" i="4"/>
  <c r="AK46" i="4"/>
  <c r="AQ18" i="4"/>
  <c r="AQ43" i="4"/>
  <c r="AU43" i="4" s="1"/>
  <c r="AZ43" i="4" s="1"/>
  <c r="BA43" i="4" s="1"/>
  <c r="AK104" i="4"/>
  <c r="AK119" i="4"/>
  <c r="AK88" i="4"/>
  <c r="AN18" i="4"/>
  <c r="AN43" i="4"/>
  <c r="AK92" i="4"/>
  <c r="AK122" i="4"/>
  <c r="AN75" i="4"/>
  <c r="AN126" i="4"/>
  <c r="AN155" i="4"/>
  <c r="AN158" i="4"/>
  <c r="AN143" i="4"/>
  <c r="AN141" i="4"/>
  <c r="AK140" i="4"/>
  <c r="AK36" i="4"/>
  <c r="K110" i="5"/>
  <c r="AK18" i="4"/>
  <c r="O46" i="4"/>
  <c r="AK28" i="4"/>
  <c r="AK97" i="4"/>
  <c r="AK44" i="4"/>
  <c r="AK47" i="4"/>
  <c r="AK96" i="4"/>
  <c r="AK64" i="4"/>
  <c r="AK129" i="4"/>
  <c r="AK86" i="4"/>
  <c r="AK31" i="4"/>
  <c r="AK22" i="4"/>
  <c r="AK89" i="4"/>
  <c r="AK32" i="4"/>
  <c r="AK134" i="4"/>
  <c r="AK45" i="4"/>
  <c r="AK99" i="4"/>
  <c r="O57" i="4"/>
  <c r="O38" i="4"/>
  <c r="O118" i="4"/>
  <c r="O21" i="4"/>
  <c r="AG46" i="4"/>
  <c r="AK93" i="4"/>
  <c r="AK107" i="4"/>
  <c r="AK85" i="4"/>
  <c r="AK126" i="4"/>
  <c r="AK131" i="4"/>
  <c r="O133" i="4"/>
  <c r="O53" i="4"/>
  <c r="O16" i="4"/>
  <c r="O70" i="4"/>
  <c r="O74" i="4"/>
  <c r="O98" i="4"/>
  <c r="O31" i="4"/>
  <c r="O42" i="4"/>
  <c r="O13" i="4"/>
  <c r="O68" i="4"/>
  <c r="AK84" i="4"/>
  <c r="AK21" i="4"/>
  <c r="AG30" i="4"/>
  <c r="O136" i="4"/>
  <c r="O117" i="4"/>
  <c r="O34" i="4"/>
  <c r="AK66" i="4"/>
  <c r="AK133" i="4"/>
  <c r="AK113" i="4"/>
  <c r="AT78" i="4"/>
  <c r="M126" i="5" s="1"/>
  <c r="O127" i="4"/>
  <c r="O87" i="4"/>
  <c r="O155" i="4"/>
  <c r="AK78" i="4"/>
  <c r="AK26" i="4"/>
  <c r="AK145" i="4"/>
  <c r="AK130" i="4"/>
  <c r="AK137" i="4"/>
  <c r="AK105" i="4"/>
  <c r="AK71" i="4"/>
  <c r="M118" i="5"/>
  <c r="AK29" i="4"/>
  <c r="AK38" i="4"/>
  <c r="M110" i="5"/>
  <c r="AK101" i="4"/>
  <c r="AK9" i="4"/>
  <c r="AK106" i="4"/>
  <c r="AK136" i="4"/>
  <c r="AK60" i="4"/>
  <c r="AQ78" i="4"/>
  <c r="AK95" i="4"/>
  <c r="K102" i="5"/>
  <c r="AK24" i="4"/>
  <c r="AK33" i="4"/>
  <c r="AK51" i="4"/>
  <c r="AK25" i="4"/>
  <c r="AK27" i="4"/>
  <c r="AK74" i="4"/>
  <c r="AK35" i="4"/>
  <c r="AK135" i="4"/>
  <c r="AK54" i="4"/>
  <c r="AK40" i="4"/>
  <c r="AK146" i="4"/>
  <c r="AK67" i="4"/>
  <c r="AK23" i="4"/>
  <c r="AK91" i="4"/>
  <c r="AK56" i="4"/>
  <c r="AK79" i="4"/>
  <c r="AK147" i="4"/>
  <c r="AK87" i="4"/>
  <c r="AK82" i="4"/>
  <c r="AK108" i="4"/>
  <c r="AK75" i="4"/>
  <c r="AK90" i="4"/>
  <c r="AK157" i="4"/>
  <c r="AK121" i="4"/>
  <c r="AK16" i="4"/>
  <c r="AK70" i="4"/>
  <c r="AK72" i="4"/>
  <c r="AK118" i="4"/>
  <c r="AK142" i="4"/>
  <c r="AK11" i="4"/>
  <c r="AK65" i="4"/>
  <c r="AK98" i="4"/>
  <c r="AK141" i="4"/>
  <c r="AN15" i="4"/>
  <c r="AN120" i="4"/>
  <c r="AN38" i="4"/>
  <c r="AN97" i="4"/>
  <c r="AN130" i="4"/>
  <c r="AN136" i="4"/>
  <c r="AN114" i="4"/>
  <c r="AN106" i="4"/>
  <c r="AN94" i="4"/>
  <c r="AN154" i="4"/>
  <c r="AN81" i="4"/>
  <c r="AN146" i="4"/>
  <c r="AN65" i="4"/>
  <c r="AN124" i="4"/>
  <c r="AN35" i="4"/>
  <c r="AK124" i="4"/>
  <c r="AN71" i="4"/>
  <c r="AN104" i="4"/>
  <c r="AN79" i="4"/>
  <c r="AN127" i="4"/>
  <c r="AN99" i="4"/>
  <c r="AK144" i="4"/>
  <c r="AK94" i="4"/>
  <c r="AK116" i="4"/>
  <c r="AK139" i="4"/>
  <c r="AK19" i="4"/>
  <c r="AG135" i="4"/>
  <c r="O19" i="4"/>
  <c r="O71" i="4"/>
  <c r="O17" i="4"/>
  <c r="O156" i="4"/>
  <c r="O100" i="4"/>
  <c r="O99" i="4"/>
  <c r="O108" i="4"/>
  <c r="O122" i="4"/>
  <c r="O75" i="4"/>
  <c r="AG16" i="4"/>
  <c r="O15" i="4"/>
  <c r="O157" i="4"/>
  <c r="O96" i="4"/>
  <c r="O149" i="4"/>
  <c r="O103" i="4"/>
  <c r="O126" i="4"/>
  <c r="O150" i="4"/>
  <c r="O32" i="4"/>
  <c r="O141" i="4"/>
  <c r="O120" i="4"/>
  <c r="AG120" i="4"/>
  <c r="O116" i="4"/>
  <c r="O89" i="4"/>
  <c r="O104" i="4"/>
  <c r="O72" i="4"/>
  <c r="O105" i="4"/>
  <c r="O107" i="4"/>
  <c r="O147" i="4"/>
  <c r="O93" i="4"/>
  <c r="O114" i="4"/>
  <c r="O62" i="4"/>
  <c r="O139" i="4"/>
  <c r="O91" i="4"/>
  <c r="O130" i="4"/>
  <c r="O144" i="4"/>
  <c r="O146" i="4"/>
  <c r="O115" i="4"/>
  <c r="O35" i="4"/>
  <c r="O58" i="4"/>
  <c r="O113" i="4"/>
  <c r="O77" i="4"/>
  <c r="AG45" i="4"/>
  <c r="O78" i="4"/>
  <c r="O148" i="4"/>
  <c r="O151" i="4"/>
  <c r="O41" i="4"/>
  <c r="O49" i="4"/>
  <c r="O11" i="4"/>
  <c r="O110" i="4"/>
  <c r="O51" i="4"/>
  <c r="O112" i="4"/>
  <c r="O47" i="4"/>
  <c r="O84" i="4"/>
  <c r="AK69" i="4"/>
  <c r="AK41" i="4"/>
  <c r="AG107" i="4"/>
  <c r="O119" i="4"/>
  <c r="O61" i="4"/>
  <c r="O95" i="4"/>
  <c r="O45" i="4"/>
  <c r="O134" i="4"/>
  <c r="O40" i="4"/>
  <c r="O83" i="4"/>
  <c r="O154" i="4"/>
  <c r="O101" i="4"/>
  <c r="O109" i="4"/>
  <c r="AK155" i="4"/>
  <c r="AG62" i="4"/>
  <c r="O9" i="4"/>
  <c r="AK68" i="4"/>
  <c r="AG116" i="4"/>
  <c r="AK61" i="4"/>
  <c r="AG49" i="4"/>
  <c r="AG140" i="4"/>
  <c r="AG36" i="4"/>
  <c r="AG89" i="4"/>
  <c r="AG103" i="4"/>
  <c r="AG50" i="4"/>
  <c r="AG88" i="4"/>
  <c r="K44" i="5"/>
  <c r="AG124" i="4"/>
  <c r="AG67" i="4"/>
  <c r="AG68" i="4"/>
  <c r="AG10" i="4"/>
  <c r="AG118" i="4"/>
  <c r="AG154" i="4"/>
  <c r="AG9" i="4"/>
  <c r="AG128" i="4"/>
  <c r="AG114" i="4"/>
  <c r="AG11" i="4"/>
  <c r="O50" i="4"/>
  <c r="O92" i="4"/>
  <c r="O20" i="4"/>
  <c r="O81" i="4"/>
  <c r="O36" i="4"/>
  <c r="O55" i="4"/>
  <c r="O76" i="4"/>
  <c r="O39" i="4"/>
  <c r="O60" i="4"/>
  <c r="O65" i="4"/>
  <c r="O125" i="4"/>
  <c r="O69" i="4"/>
  <c r="O132" i="4"/>
  <c r="AG55" i="4"/>
  <c r="O124" i="4"/>
  <c r="O85" i="4"/>
  <c r="O64" i="4"/>
  <c r="O129" i="4"/>
  <c r="O82" i="4"/>
  <c r="O152" i="4"/>
  <c r="O153" i="4"/>
  <c r="O135" i="4"/>
  <c r="AG90" i="4"/>
  <c r="O12" i="4"/>
  <c r="O111" i="4"/>
  <c r="O59" i="4"/>
  <c r="O14" i="4"/>
  <c r="M44" i="5" s="1"/>
  <c r="O37" i="4"/>
  <c r="O88" i="4"/>
  <c r="O27" i="4"/>
  <c r="O29" i="4"/>
  <c r="O54" i="4"/>
  <c r="O10" i="4"/>
  <c r="O80" i="4"/>
  <c r="O63" i="4"/>
  <c r="O23" i="4"/>
  <c r="O158" i="4"/>
  <c r="O143" i="4"/>
  <c r="O25" i="4"/>
  <c r="O86" i="4"/>
  <c r="O52" i="4"/>
  <c r="O26" i="4"/>
  <c r="O56" i="4"/>
  <c r="O123" i="4"/>
  <c r="O131" i="4"/>
  <c r="O145" i="4"/>
  <c r="AG122" i="4"/>
  <c r="AG19" i="4"/>
  <c r="AG86" i="4"/>
  <c r="AG23" i="4"/>
  <c r="AG40" i="4"/>
  <c r="O73" i="4"/>
  <c r="O128" i="4"/>
  <c r="O90" i="4"/>
  <c r="O48" i="4"/>
  <c r="O30" i="4"/>
  <c r="O67" i="4"/>
  <c r="O138" i="4"/>
  <c r="O137" i="4"/>
  <c r="O142" i="4"/>
  <c r="O44" i="4"/>
  <c r="O94" i="4"/>
  <c r="O102" i="4"/>
  <c r="O140" i="4"/>
  <c r="O22" i="4"/>
  <c r="O79" i="4"/>
  <c r="O24" i="4"/>
  <c r="O33" i="4"/>
  <c r="O121" i="4"/>
  <c r="O66" i="4"/>
  <c r="O28" i="4"/>
  <c r="O106" i="4"/>
  <c r="O97" i="4"/>
  <c r="AG95" i="4"/>
  <c r="AG100" i="4"/>
  <c r="AG93" i="4"/>
  <c r="AG70" i="4"/>
  <c r="K126" i="5"/>
  <c r="AK15" i="4"/>
  <c r="AK100" i="4"/>
  <c r="AK48" i="4"/>
  <c r="AK156" i="4"/>
  <c r="AK158" i="4"/>
  <c r="AK49" i="4"/>
  <c r="AK128" i="4"/>
  <c r="AK111" i="4"/>
  <c r="AK81" i="4"/>
  <c r="AK55" i="4"/>
  <c r="AK62" i="4"/>
  <c r="AK10" i="4"/>
  <c r="AK20" i="4"/>
  <c r="AK148" i="4"/>
  <c r="AK150" i="4"/>
  <c r="AK14" i="4"/>
  <c r="M102" i="5" s="1"/>
  <c r="AK17" i="4"/>
  <c r="AG78" i="4"/>
  <c r="AG41" i="4"/>
  <c r="AG47" i="4"/>
  <c r="AG71" i="4"/>
  <c r="AG142" i="4"/>
  <c r="AG20" i="4"/>
  <c r="AG83" i="4"/>
  <c r="AG77" i="4"/>
  <c r="AG127" i="4"/>
  <c r="AG17" i="4"/>
  <c r="AG75" i="4"/>
  <c r="AG29" i="4"/>
  <c r="AG28" i="4"/>
  <c r="AG98" i="4"/>
  <c r="AG145" i="4"/>
  <c r="AG134" i="4"/>
  <c r="AG108" i="4"/>
  <c r="AG63" i="4"/>
  <c r="AG32" i="4"/>
  <c r="AG15" i="4"/>
  <c r="AK102" i="4"/>
  <c r="AK76" i="4"/>
  <c r="AK132" i="4"/>
  <c r="AK13" i="4"/>
  <c r="AK77" i="4"/>
  <c r="AK153" i="4"/>
  <c r="AK154" i="4"/>
  <c r="AK12" i="4"/>
  <c r="AK115" i="4"/>
  <c r="AK127" i="4"/>
  <c r="AK83" i="4"/>
  <c r="AK59" i="4"/>
  <c r="AK30" i="4"/>
  <c r="AK138" i="4"/>
  <c r="AK37" i="4"/>
  <c r="AG125" i="4"/>
  <c r="AG69" i="4"/>
  <c r="AG155" i="4"/>
  <c r="AG74" i="4"/>
  <c r="AG101" i="4"/>
  <c r="AG150" i="4"/>
  <c r="AG82" i="4"/>
  <c r="AG24" i="4"/>
  <c r="AG109" i="4"/>
  <c r="AG156" i="4"/>
  <c r="AG35" i="4"/>
  <c r="AG26" i="4"/>
  <c r="AG117" i="4"/>
  <c r="AG52" i="4"/>
  <c r="AG57" i="4"/>
  <c r="AG64" i="4"/>
  <c r="AG138" i="4"/>
  <c r="AG31" i="4"/>
  <c r="AG81" i="4"/>
  <c r="AG18" i="4"/>
  <c r="AK152" i="4"/>
  <c r="AK73" i="4"/>
  <c r="AK103" i="4"/>
  <c r="AK125" i="4"/>
  <c r="AK42" i="4"/>
  <c r="AK52" i="4"/>
  <c r="AK120" i="4"/>
  <c r="AG137" i="4"/>
  <c r="AG146" i="4"/>
  <c r="AG130" i="4"/>
  <c r="AG60" i="4"/>
  <c r="AG121" i="4"/>
  <c r="AG147" i="4"/>
  <c r="AG139" i="4"/>
  <c r="AG104" i="4"/>
  <c r="AG158" i="4"/>
  <c r="AG27" i="4"/>
  <c r="AG96" i="4"/>
  <c r="AG53" i="4"/>
  <c r="AG59" i="4"/>
  <c r="AG126" i="4"/>
  <c r="AG157" i="4"/>
  <c r="AG110" i="4"/>
  <c r="AG56" i="4"/>
  <c r="AG97" i="4"/>
  <c r="K92" i="5"/>
  <c r="AK109" i="4"/>
  <c r="AK80" i="4"/>
  <c r="AK123" i="4"/>
  <c r="AG84" i="4"/>
  <c r="AG153" i="4"/>
  <c r="AG85" i="4"/>
  <c r="AG33" i="4"/>
  <c r="AG80" i="4"/>
  <c r="AG42" i="4"/>
  <c r="AG21" i="4"/>
  <c r="AG119" i="4"/>
  <c r="AG143" i="4"/>
  <c r="AG38" i="4"/>
  <c r="AG92" i="4"/>
  <c r="AG94" i="4"/>
  <c r="AG22" i="4"/>
  <c r="AG14" i="4"/>
  <c r="M92" i="5" s="1"/>
  <c r="AG37" i="4"/>
  <c r="AG102" i="4"/>
  <c r="AG152" i="4"/>
  <c r="AG13" i="4"/>
  <c r="AG141" i="4"/>
  <c r="AG12" i="4"/>
  <c r="AG91" i="4"/>
  <c r="AG113" i="4"/>
  <c r="AG65" i="4"/>
  <c r="AG79" i="4"/>
  <c r="AG66" i="4"/>
  <c r="AG73" i="4"/>
  <c r="AG133" i="4"/>
  <c r="AG136" i="4"/>
  <c r="AG48" i="4"/>
  <c r="AG51" i="4"/>
  <c r="AG132" i="4"/>
  <c r="AG129" i="4"/>
  <c r="AG148" i="4"/>
  <c r="AG76" i="4"/>
  <c r="AG149" i="4"/>
  <c r="AG44" i="4"/>
  <c r="AG58" i="4"/>
  <c r="AG61" i="4"/>
  <c r="AG151" i="4"/>
  <c r="AG144" i="4"/>
  <c r="AG105" i="4"/>
  <c r="AG112" i="4"/>
  <c r="AG87" i="4"/>
  <c r="AG54" i="4"/>
  <c r="AG106" i="4"/>
  <c r="AG99" i="4"/>
  <c r="AG34" i="4"/>
  <c r="AG39" i="4"/>
  <c r="AG25" i="4"/>
  <c r="AG115" i="4"/>
  <c r="AG123" i="4"/>
  <c r="AG131" i="4"/>
  <c r="AG111" i="4"/>
  <c r="L146" i="4"/>
  <c r="L157" i="4"/>
  <c r="L21" i="4"/>
  <c r="L136" i="4"/>
  <c r="L110" i="4"/>
  <c r="L87" i="4"/>
  <c r="L13" i="4"/>
  <c r="L61" i="4"/>
  <c r="L78" i="4"/>
  <c r="L55" i="4"/>
  <c r="L60" i="4"/>
  <c r="L32" i="4"/>
  <c r="L148" i="4"/>
  <c r="L72" i="4"/>
  <c r="L73" i="4"/>
  <c r="L140" i="4"/>
  <c r="L59" i="4"/>
  <c r="L154" i="4"/>
  <c r="L104" i="4"/>
  <c r="L57" i="4"/>
  <c r="L91" i="4"/>
  <c r="L118" i="4"/>
  <c r="L123" i="4"/>
  <c r="L68" i="4"/>
  <c r="L30" i="4"/>
  <c r="L12" i="4"/>
  <c r="L112" i="4"/>
  <c r="L36" i="4"/>
  <c r="L141" i="4"/>
  <c r="L116" i="4"/>
  <c r="L27" i="4"/>
  <c r="L109" i="4"/>
  <c r="L125" i="4"/>
  <c r="L53" i="4"/>
  <c r="L51" i="4"/>
  <c r="L95" i="4"/>
  <c r="L65" i="4"/>
  <c r="L16" i="4"/>
  <c r="L133" i="4"/>
  <c r="L45" i="4"/>
  <c r="L76" i="4"/>
  <c r="L134" i="4"/>
  <c r="L145" i="4"/>
  <c r="L139" i="4"/>
  <c r="L29" i="4"/>
  <c r="L153" i="4"/>
  <c r="L113" i="4"/>
  <c r="L75" i="4"/>
  <c r="L50" i="4"/>
  <c r="L124" i="4"/>
  <c r="L39" i="4"/>
  <c r="L44" i="4"/>
  <c r="L126" i="4"/>
  <c r="L18" i="4"/>
  <c r="L38" i="4"/>
  <c r="L15" i="4"/>
  <c r="L105" i="4"/>
  <c r="L79" i="4"/>
  <c r="L142" i="4"/>
  <c r="L119" i="4"/>
  <c r="L58" i="4"/>
  <c r="L56" i="4"/>
  <c r="L96" i="4"/>
  <c r="L90" i="4"/>
  <c r="L144" i="4"/>
  <c r="L102" i="4"/>
  <c r="L64" i="4"/>
  <c r="L111" i="4"/>
  <c r="L83" i="4"/>
  <c r="L66" i="4"/>
  <c r="L138" i="4"/>
  <c r="L74" i="4"/>
  <c r="L84" i="4"/>
  <c r="L89" i="4"/>
  <c r="L147" i="4"/>
  <c r="L150" i="4"/>
  <c r="L158" i="4"/>
  <c r="L33" i="4"/>
  <c r="L135" i="4"/>
  <c r="L81" i="4"/>
  <c r="L121" i="4"/>
  <c r="L115" i="4"/>
  <c r="L52" i="4"/>
  <c r="L100" i="4"/>
  <c r="L62" i="4"/>
  <c r="L54" i="4"/>
  <c r="L19" i="4"/>
  <c r="L31" i="4"/>
  <c r="L117" i="4"/>
  <c r="L22" i="4"/>
  <c r="L129" i="4"/>
  <c r="L85" i="4"/>
  <c r="L71" i="4"/>
  <c r="L103" i="4"/>
  <c r="L88" i="4"/>
  <c r="L24" i="4"/>
  <c r="L77" i="4"/>
  <c r="L41" i="4"/>
  <c r="L40" i="4"/>
  <c r="L149" i="4"/>
  <c r="L108" i="4"/>
  <c r="L80" i="4"/>
  <c r="L107" i="4"/>
  <c r="L10" i="4"/>
  <c r="L20" i="4"/>
  <c r="L23" i="4"/>
  <c r="L114" i="4"/>
  <c r="L37" i="4"/>
  <c r="L143" i="4"/>
  <c r="L17" i="4"/>
  <c r="L82" i="4"/>
  <c r="L156" i="4"/>
  <c r="L35" i="4"/>
  <c r="L46" i="4"/>
  <c r="L98" i="4"/>
  <c r="L137" i="4"/>
  <c r="L127" i="4"/>
  <c r="L97" i="4"/>
  <c r="L67" i="4"/>
  <c r="L151" i="4"/>
  <c r="L101" i="4"/>
  <c r="L69" i="4"/>
  <c r="L128" i="4"/>
  <c r="L122" i="4"/>
  <c r="L26" i="4"/>
  <c r="L25" i="4"/>
  <c r="L106" i="4"/>
  <c r="L86" i="4"/>
  <c r="L49" i="4"/>
  <c r="L93" i="4"/>
  <c r="L130" i="4"/>
  <c r="L47" i="4"/>
  <c r="L155" i="4"/>
  <c r="L131" i="4"/>
  <c r="L99" i="4"/>
  <c r="L70" i="4"/>
  <c r="L48" i="4"/>
  <c r="L132" i="4"/>
  <c r="L94" i="4"/>
  <c r="L34" i="4"/>
  <c r="L63" i="4"/>
  <c r="L152" i="4"/>
  <c r="L92" i="4"/>
  <c r="L120" i="4"/>
  <c r="L14" i="4"/>
  <c r="L28" i="4"/>
  <c r="L42" i="4"/>
  <c r="L11" i="4"/>
  <c r="K84" i="5"/>
  <c r="AD18" i="4"/>
  <c r="K60" i="5"/>
  <c r="U18" i="4"/>
  <c r="K52" i="5"/>
  <c r="R18" i="4"/>
  <c r="K76" i="5"/>
  <c r="AA18" i="4"/>
  <c r="K68" i="5"/>
  <c r="X18" i="4"/>
  <c r="L9" i="4"/>
  <c r="K36" i="5"/>
  <c r="F16" i="5"/>
  <c r="AA29" i="4"/>
  <c r="AA40" i="4"/>
  <c r="AA157" i="4"/>
  <c r="AA23" i="4"/>
  <c r="AA149" i="4"/>
  <c r="AA142" i="4"/>
  <c r="AA152" i="4"/>
  <c r="AA44" i="4"/>
  <c r="AA32" i="4"/>
  <c r="AA70" i="4"/>
  <c r="AA26" i="4"/>
  <c r="AA107" i="4"/>
  <c r="AA117" i="4"/>
  <c r="AA22" i="4"/>
  <c r="AA77" i="4"/>
  <c r="AA122" i="4"/>
  <c r="AA73" i="4"/>
  <c r="AA108" i="4"/>
  <c r="AA137" i="4"/>
  <c r="AA139" i="4"/>
  <c r="AA85" i="4"/>
  <c r="AA13" i="4"/>
  <c r="AA19" i="4"/>
  <c r="AA11" i="4"/>
  <c r="AA154" i="4"/>
  <c r="AA15" i="4"/>
  <c r="AA126" i="4"/>
  <c r="AA21" i="4"/>
  <c r="AA135" i="4"/>
  <c r="AA74" i="4"/>
  <c r="AA35" i="4"/>
  <c r="AA75" i="4"/>
  <c r="AA151" i="4"/>
  <c r="AA97" i="4"/>
  <c r="AA56" i="4"/>
  <c r="AA41" i="4"/>
  <c r="AA106" i="4"/>
  <c r="AA155" i="4"/>
  <c r="AA31" i="4"/>
  <c r="AA114" i="4"/>
  <c r="AA33" i="4"/>
  <c r="AA123" i="4"/>
  <c r="AA79" i="4"/>
  <c r="AA88" i="4"/>
  <c r="AA132" i="4"/>
  <c r="AA124" i="4"/>
  <c r="AA80" i="4"/>
  <c r="AA53" i="4"/>
  <c r="AA49" i="4"/>
  <c r="AA128" i="4"/>
  <c r="AA28" i="4"/>
  <c r="AA148" i="4"/>
  <c r="AA120" i="4"/>
  <c r="AA34" i="4"/>
  <c r="AA10" i="4"/>
  <c r="AA62" i="4"/>
  <c r="AA119" i="4"/>
  <c r="AA46" i="4"/>
  <c r="AA89" i="4"/>
  <c r="AA115" i="4"/>
  <c r="AA42" i="4"/>
  <c r="AA146" i="4"/>
  <c r="AA25" i="4"/>
  <c r="AA131" i="4"/>
  <c r="AA86" i="4"/>
  <c r="AA55" i="4"/>
  <c r="AA116" i="4"/>
  <c r="AA20" i="4"/>
  <c r="AA63" i="4"/>
  <c r="AA118" i="4"/>
  <c r="AA141" i="4"/>
  <c r="AA109" i="4"/>
  <c r="AA82" i="4"/>
  <c r="AA153" i="4"/>
  <c r="AA9" i="4"/>
  <c r="AA101" i="4"/>
  <c r="AA133" i="4"/>
  <c r="AA144" i="4"/>
  <c r="AA158" i="4"/>
  <c r="AA147" i="4"/>
  <c r="AA83" i="4"/>
  <c r="AA60" i="4"/>
  <c r="AA45" i="4"/>
  <c r="AA48" i="4"/>
  <c r="AA94" i="4"/>
  <c r="AA134" i="4"/>
  <c r="AA92" i="4"/>
  <c r="AA39" i="4"/>
  <c r="AA65" i="4"/>
  <c r="AA61" i="4"/>
  <c r="AA38" i="4"/>
  <c r="AA112" i="4"/>
  <c r="AA98" i="4"/>
  <c r="AA100" i="4"/>
  <c r="AA145" i="4"/>
  <c r="AA90" i="4"/>
  <c r="AA110" i="4"/>
  <c r="AA58" i="4"/>
  <c r="AA113" i="4"/>
  <c r="AA130" i="4"/>
  <c r="AA59" i="4"/>
  <c r="AA102" i="4"/>
  <c r="AA121" i="4"/>
  <c r="AA17" i="4"/>
  <c r="AA104" i="4"/>
  <c r="AA127" i="4"/>
  <c r="AA105" i="4"/>
  <c r="AA36" i="4"/>
  <c r="AA50" i="4"/>
  <c r="AA111" i="4"/>
  <c r="AA96" i="4"/>
  <c r="AA14" i="4"/>
  <c r="AA136" i="4"/>
  <c r="AA140" i="4"/>
  <c r="AA54" i="4"/>
  <c r="AA66" i="4"/>
  <c r="AA84" i="4"/>
  <c r="AA51" i="4"/>
  <c r="AA143" i="4"/>
  <c r="AA37" i="4"/>
  <c r="AA47" i="4"/>
  <c r="AA129" i="4"/>
  <c r="AA99" i="4"/>
  <c r="AA24" i="4"/>
  <c r="AA125" i="4"/>
  <c r="AA16" i="4"/>
  <c r="AA78" i="4"/>
  <c r="AA12" i="4"/>
  <c r="AA95" i="4"/>
  <c r="AA71" i="4"/>
  <c r="AA64" i="4"/>
  <c r="AA150" i="4"/>
  <c r="AA93" i="4"/>
  <c r="AA76" i="4"/>
  <c r="AA67" i="4"/>
  <c r="AA72" i="4"/>
  <c r="AA138" i="4"/>
  <c r="AA69" i="4"/>
  <c r="AA156" i="4"/>
  <c r="AA52" i="4"/>
  <c r="AA27" i="4"/>
  <c r="AA68" i="4"/>
  <c r="AA30" i="4"/>
  <c r="AA103" i="4"/>
  <c r="AA91" i="4"/>
  <c r="AA87" i="4"/>
  <c r="AA57" i="4"/>
  <c r="AA81" i="4"/>
  <c r="R102" i="4"/>
  <c r="R37" i="4"/>
  <c r="R39" i="4"/>
  <c r="R158" i="4"/>
  <c r="R79" i="4"/>
  <c r="R16" i="4"/>
  <c r="R77" i="4"/>
  <c r="R57" i="4"/>
  <c r="R121" i="4"/>
  <c r="R125" i="4"/>
  <c r="R80" i="4"/>
  <c r="R129" i="4"/>
  <c r="R61" i="4"/>
  <c r="R24" i="4"/>
  <c r="R19" i="4"/>
  <c r="R44" i="4"/>
  <c r="R104" i="4"/>
  <c r="R126" i="4"/>
  <c r="R105" i="4"/>
  <c r="R110" i="4"/>
  <c r="R106" i="4"/>
  <c r="R152" i="4"/>
  <c r="R90" i="4"/>
  <c r="R21" i="4"/>
  <c r="R9" i="4"/>
  <c r="R63" i="4"/>
  <c r="R118" i="4"/>
  <c r="R84" i="4"/>
  <c r="R65" i="4"/>
  <c r="R29" i="4"/>
  <c r="R34" i="4"/>
  <c r="R11" i="4"/>
  <c r="R107" i="4"/>
  <c r="R58" i="4"/>
  <c r="R117" i="4"/>
  <c r="R149" i="4"/>
  <c r="R81" i="4"/>
  <c r="R94" i="4"/>
  <c r="R113" i="4"/>
  <c r="R23" i="4"/>
  <c r="R103" i="4"/>
  <c r="R114" i="4"/>
  <c r="R85" i="4"/>
  <c r="R131" i="4"/>
  <c r="R27" i="4"/>
  <c r="R47" i="4"/>
  <c r="R56" i="4"/>
  <c r="R145" i="4"/>
  <c r="R146" i="4"/>
  <c r="R36" i="4"/>
  <c r="R140" i="4"/>
  <c r="R32" i="4"/>
  <c r="R73" i="4"/>
  <c r="R10" i="4"/>
  <c r="R52" i="4"/>
  <c r="R148" i="4"/>
  <c r="R116" i="4"/>
  <c r="R119" i="4"/>
  <c r="R155" i="4"/>
  <c r="R139" i="4"/>
  <c r="R135" i="4"/>
  <c r="R45" i="4"/>
  <c r="R108" i="4"/>
  <c r="R132" i="4"/>
  <c r="R55" i="4"/>
  <c r="R14" i="4"/>
  <c r="R120" i="4"/>
  <c r="R48" i="4"/>
  <c r="R20" i="4"/>
  <c r="R124" i="4"/>
  <c r="R68" i="4"/>
  <c r="R130" i="4"/>
  <c r="R136" i="4"/>
  <c r="R78" i="4"/>
  <c r="R92" i="4"/>
  <c r="R127" i="4"/>
  <c r="R123" i="4"/>
  <c r="R22" i="4"/>
  <c r="R88" i="4"/>
  <c r="R151" i="4"/>
  <c r="R115" i="4"/>
  <c r="R153" i="4"/>
  <c r="R31" i="4"/>
  <c r="R141" i="4"/>
  <c r="R64" i="4"/>
  <c r="R144" i="4"/>
  <c r="R156" i="4"/>
  <c r="R83" i="4"/>
  <c r="R82" i="4"/>
  <c r="R42" i="4"/>
  <c r="R137" i="4"/>
  <c r="R91" i="4"/>
  <c r="R51" i="4"/>
  <c r="R101" i="4"/>
  <c r="R15" i="4"/>
  <c r="R142" i="4"/>
  <c r="R150" i="4"/>
  <c r="R33" i="4"/>
  <c r="R69" i="4"/>
  <c r="R95" i="4"/>
  <c r="R133" i="4"/>
  <c r="R122" i="4"/>
  <c r="R50" i="4"/>
  <c r="R72" i="4"/>
  <c r="R60" i="4"/>
  <c r="R157" i="4"/>
  <c r="R128" i="4"/>
  <c r="R134" i="4"/>
  <c r="R74" i="4"/>
  <c r="R41" i="4"/>
  <c r="R143" i="4"/>
  <c r="R154" i="4"/>
  <c r="R93" i="4"/>
  <c r="R17" i="4"/>
  <c r="R49" i="4"/>
  <c r="R75" i="4"/>
  <c r="R26" i="4"/>
  <c r="R89" i="4"/>
  <c r="R12" i="4"/>
  <c r="R97" i="4"/>
  <c r="R96" i="4"/>
  <c r="R62" i="4"/>
  <c r="R30" i="4"/>
  <c r="R147" i="4"/>
  <c r="R70" i="4"/>
  <c r="R28" i="4"/>
  <c r="R53" i="4"/>
  <c r="R54" i="4"/>
  <c r="R100" i="4"/>
  <c r="R13" i="4"/>
  <c r="R40" i="4"/>
  <c r="R87" i="4"/>
  <c r="R35" i="4"/>
  <c r="R46" i="4"/>
  <c r="R59" i="4"/>
  <c r="R76" i="4"/>
  <c r="R111" i="4"/>
  <c r="R99" i="4"/>
  <c r="R86" i="4"/>
  <c r="R66" i="4"/>
  <c r="R138" i="4"/>
  <c r="R112" i="4"/>
  <c r="R67" i="4"/>
  <c r="R109" i="4"/>
  <c r="R98" i="4"/>
  <c r="R25" i="4"/>
  <c r="R38" i="4"/>
  <c r="R71" i="4"/>
  <c r="F15" i="5"/>
  <c r="X139" i="4"/>
  <c r="X82" i="4"/>
  <c r="X120" i="4"/>
  <c r="X124" i="4"/>
  <c r="X16" i="4"/>
  <c r="X133" i="4"/>
  <c r="X98" i="4"/>
  <c r="X61" i="4"/>
  <c r="X117" i="4"/>
  <c r="X152" i="4"/>
  <c r="X28" i="4"/>
  <c r="X150" i="4"/>
  <c r="X65" i="4"/>
  <c r="X51" i="4"/>
  <c r="X125" i="4"/>
  <c r="X78" i="4"/>
  <c r="X103" i="4"/>
  <c r="X37" i="4"/>
  <c r="X151" i="4"/>
  <c r="X42" i="4"/>
  <c r="X88" i="4"/>
  <c r="X72" i="4"/>
  <c r="X55" i="4"/>
  <c r="X39" i="4"/>
  <c r="X92" i="4"/>
  <c r="X52" i="4"/>
  <c r="X81" i="4"/>
  <c r="X115" i="4"/>
  <c r="X17" i="4"/>
  <c r="X135" i="4"/>
  <c r="X40" i="4"/>
  <c r="X26" i="4"/>
  <c r="X109" i="4"/>
  <c r="X93" i="4"/>
  <c r="X59" i="4"/>
  <c r="X76" i="4"/>
  <c r="X116" i="4"/>
  <c r="X41" i="4"/>
  <c r="X136" i="4"/>
  <c r="X74" i="4"/>
  <c r="X146" i="4"/>
  <c r="X34" i="4"/>
  <c r="X9" i="4"/>
  <c r="X12" i="4"/>
  <c r="X132" i="4"/>
  <c r="X33" i="4"/>
  <c r="X54" i="4"/>
  <c r="X121" i="4"/>
  <c r="X66" i="4"/>
  <c r="X79" i="4"/>
  <c r="X153" i="4"/>
  <c r="X142" i="4"/>
  <c r="X137" i="4"/>
  <c r="X97" i="4"/>
  <c r="X156" i="4"/>
  <c r="X77" i="4"/>
  <c r="X154" i="4"/>
  <c r="X49" i="4"/>
  <c r="X71" i="4"/>
  <c r="X35" i="4"/>
  <c r="X38" i="4"/>
  <c r="X112" i="4"/>
  <c r="X56" i="4"/>
  <c r="X45" i="4"/>
  <c r="X50" i="4"/>
  <c r="X80" i="4"/>
  <c r="X75" i="4"/>
  <c r="X119" i="4"/>
  <c r="X70" i="4"/>
  <c r="X67" i="4"/>
  <c r="X10" i="4"/>
  <c r="X111" i="4"/>
  <c r="X84" i="4"/>
  <c r="X105" i="4"/>
  <c r="X32" i="4"/>
  <c r="X143" i="4"/>
  <c r="X11" i="4"/>
  <c r="X73" i="4"/>
  <c r="X123" i="4"/>
  <c r="X108" i="4"/>
  <c r="X68" i="4"/>
  <c r="X107" i="4"/>
  <c r="X106" i="4"/>
  <c r="X87" i="4"/>
  <c r="X19" i="4"/>
  <c r="X27" i="4"/>
  <c r="X15" i="4"/>
  <c r="X69" i="4"/>
  <c r="X90" i="4"/>
  <c r="X63" i="4"/>
  <c r="X58" i="4"/>
  <c r="X31" i="4"/>
  <c r="X60" i="4"/>
  <c r="X101" i="4"/>
  <c r="X14" i="4"/>
  <c r="X104" i="4"/>
  <c r="X131" i="4"/>
  <c r="X113" i="4"/>
  <c r="X141" i="4"/>
  <c r="X134" i="4"/>
  <c r="X155" i="4"/>
  <c r="X83" i="4"/>
  <c r="X128" i="4"/>
  <c r="X44" i="4"/>
  <c r="X110" i="4"/>
  <c r="X22" i="4"/>
  <c r="X36" i="4"/>
  <c r="X127" i="4"/>
  <c r="X140" i="4"/>
  <c r="X86" i="4"/>
  <c r="X48" i="4"/>
  <c r="X47" i="4"/>
  <c r="X157" i="4"/>
  <c r="X62" i="4"/>
  <c r="X147" i="4"/>
  <c r="X96" i="4"/>
  <c r="X23" i="4"/>
  <c r="X138" i="4"/>
  <c r="X130" i="4"/>
  <c r="X148" i="4"/>
  <c r="X158" i="4"/>
  <c r="X144" i="4"/>
  <c r="X100" i="4"/>
  <c r="X145" i="4"/>
  <c r="X89" i="4"/>
  <c r="X29" i="4"/>
  <c r="X114" i="4"/>
  <c r="X64" i="4"/>
  <c r="X85" i="4"/>
  <c r="X13" i="4"/>
  <c r="X129" i="4"/>
  <c r="X24" i="4"/>
  <c r="X149" i="4"/>
  <c r="X95" i="4"/>
  <c r="X21" i="4"/>
  <c r="X25" i="4"/>
  <c r="X91" i="4"/>
  <c r="X122" i="4"/>
  <c r="X53" i="4"/>
  <c r="X30" i="4"/>
  <c r="X94" i="4"/>
  <c r="X102" i="4"/>
  <c r="X126" i="4"/>
  <c r="X57" i="4"/>
  <c r="X20" i="4"/>
  <c r="X46" i="4"/>
  <c r="X118" i="4"/>
  <c r="X99" i="4"/>
  <c r="AD52" i="4"/>
  <c r="AD45" i="4"/>
  <c r="AD92" i="4"/>
  <c r="AD9" i="4"/>
  <c r="AD73" i="4"/>
  <c r="AD115" i="4"/>
  <c r="AD46" i="4"/>
  <c r="AD109" i="4"/>
  <c r="AD55" i="4"/>
  <c r="AD156" i="4"/>
  <c r="AD94" i="4"/>
  <c r="AD12" i="4"/>
  <c r="AD147" i="4"/>
  <c r="AD80" i="4"/>
  <c r="AD103" i="4"/>
  <c r="AD75" i="4"/>
  <c r="AD129" i="4"/>
  <c r="AD58" i="4"/>
  <c r="AD126" i="4"/>
  <c r="AD93" i="4"/>
  <c r="AD123" i="4"/>
  <c r="AD106" i="4"/>
  <c r="AD96" i="4"/>
  <c r="AD155" i="4"/>
  <c r="AD57" i="4"/>
  <c r="AD120" i="4"/>
  <c r="AD74" i="4"/>
  <c r="AD13" i="4"/>
  <c r="AD32" i="4"/>
  <c r="AD44" i="4"/>
  <c r="AD77" i="4"/>
  <c r="AD146" i="4"/>
  <c r="AD62" i="4"/>
  <c r="AD139" i="4"/>
  <c r="AD63" i="4"/>
  <c r="AD25" i="4"/>
  <c r="AD121" i="4"/>
  <c r="AD133" i="4"/>
  <c r="AD54" i="4"/>
  <c r="AD79" i="4"/>
  <c r="AD114" i="4"/>
  <c r="AD150" i="4"/>
  <c r="AD153" i="4"/>
  <c r="AD72" i="4"/>
  <c r="AD60" i="4"/>
  <c r="AD128" i="4"/>
  <c r="AD15" i="4"/>
  <c r="AD138" i="4"/>
  <c r="AD66" i="4"/>
  <c r="AD20" i="4"/>
  <c r="AD125" i="4"/>
  <c r="AD78" i="4"/>
  <c r="AD140" i="4"/>
  <c r="AD56" i="4"/>
  <c r="AD142" i="4"/>
  <c r="AD21" i="4"/>
  <c r="AD84" i="4"/>
  <c r="AD145" i="4"/>
  <c r="AD17" i="4"/>
  <c r="AD107" i="4"/>
  <c r="AD16" i="4"/>
  <c r="AD98" i="4"/>
  <c r="AD130" i="4"/>
  <c r="AD100" i="4"/>
  <c r="AD110" i="4"/>
  <c r="AD23" i="4"/>
  <c r="AD41" i="4"/>
  <c r="AD67" i="4"/>
  <c r="AD61" i="4"/>
  <c r="AD47" i="4"/>
  <c r="AD127" i="4"/>
  <c r="AD118" i="4"/>
  <c r="AD68" i="4"/>
  <c r="AD29" i="4"/>
  <c r="AD88" i="4"/>
  <c r="AD59" i="4"/>
  <c r="AD14" i="4"/>
  <c r="AD105" i="4"/>
  <c r="AD31" i="4"/>
  <c r="AD101" i="4"/>
  <c r="AD70" i="4"/>
  <c r="AD37" i="4"/>
  <c r="AD143" i="4"/>
  <c r="AD141" i="4"/>
  <c r="AD90" i="4"/>
  <c r="AD117" i="4"/>
  <c r="AD131" i="4"/>
  <c r="AD151" i="4"/>
  <c r="AD27" i="4"/>
  <c r="AD134" i="4"/>
  <c r="AD89" i="4"/>
  <c r="AD22" i="4"/>
  <c r="AD33" i="4"/>
  <c r="AD137" i="4"/>
  <c r="AD65" i="4"/>
  <c r="AD102" i="4"/>
  <c r="AD99" i="4"/>
  <c r="AD69" i="4"/>
  <c r="AD149" i="4"/>
  <c r="AD19" i="4"/>
  <c r="AD157" i="4"/>
  <c r="AD26" i="4"/>
  <c r="AD104" i="4"/>
  <c r="AD42" i="4"/>
  <c r="AD64" i="4"/>
  <c r="AD40" i="4"/>
  <c r="AD116" i="4"/>
  <c r="AD82" i="4"/>
  <c r="AD144" i="4"/>
  <c r="AD154" i="4"/>
  <c r="AD91" i="4"/>
  <c r="AD76" i="4"/>
  <c r="AD132" i="4"/>
  <c r="AD36" i="4"/>
  <c r="AD71" i="4"/>
  <c r="AD39" i="4"/>
  <c r="AD38" i="4"/>
  <c r="AD30" i="4"/>
  <c r="AD86" i="4"/>
  <c r="AD49" i="4"/>
  <c r="AD81" i="4"/>
  <c r="AD108" i="4"/>
  <c r="AD51" i="4"/>
  <c r="AD34" i="4"/>
  <c r="AD113" i="4"/>
  <c r="AD122" i="4"/>
  <c r="AD152" i="4"/>
  <c r="AD35" i="4"/>
  <c r="AD95" i="4"/>
  <c r="AD28" i="4"/>
  <c r="AD53" i="4"/>
  <c r="AD119" i="4"/>
  <c r="AD48" i="4"/>
  <c r="AD158" i="4"/>
  <c r="AD87" i="4"/>
  <c r="AD83" i="4"/>
  <c r="AD50" i="4"/>
  <c r="AD124" i="4"/>
  <c r="AD11" i="4"/>
  <c r="AD85" i="4"/>
  <c r="AD135" i="4"/>
  <c r="AD136" i="4"/>
  <c r="AD10" i="4"/>
  <c r="AD97" i="4"/>
  <c r="AD112" i="4"/>
  <c r="AD111" i="4"/>
  <c r="AD24" i="4"/>
  <c r="AD148" i="4"/>
  <c r="U117" i="4"/>
  <c r="U123" i="4"/>
  <c r="U139" i="4"/>
  <c r="U98" i="4"/>
  <c r="U74" i="4"/>
  <c r="U49" i="4"/>
  <c r="U100" i="4"/>
  <c r="U31" i="4"/>
  <c r="U78" i="4"/>
  <c r="U30" i="4"/>
  <c r="U39" i="4"/>
  <c r="U147" i="4"/>
  <c r="U84" i="4"/>
  <c r="U142" i="4"/>
  <c r="U32" i="4"/>
  <c r="U25" i="4"/>
  <c r="U132" i="4"/>
  <c r="U94" i="4"/>
  <c r="U72" i="4"/>
  <c r="U70" i="4"/>
  <c r="U36" i="4"/>
  <c r="U26" i="4"/>
  <c r="U154" i="4"/>
  <c r="U155" i="4"/>
  <c r="U93" i="4"/>
  <c r="U73" i="4"/>
  <c r="U157" i="4"/>
  <c r="U99" i="4"/>
  <c r="U45" i="4"/>
  <c r="U104" i="4"/>
  <c r="U60" i="4"/>
  <c r="U23" i="4"/>
  <c r="U63" i="4"/>
  <c r="U86" i="4"/>
  <c r="U153" i="4"/>
  <c r="U148" i="4"/>
  <c r="U90" i="4"/>
  <c r="U12" i="4"/>
  <c r="U109" i="4"/>
  <c r="U89" i="4"/>
  <c r="U58" i="4"/>
  <c r="U34" i="4"/>
  <c r="U33" i="4"/>
  <c r="U15" i="4"/>
  <c r="U92" i="4"/>
  <c r="U87" i="4"/>
  <c r="U28" i="4"/>
  <c r="U126" i="4"/>
  <c r="U52" i="4"/>
  <c r="U64" i="4"/>
  <c r="U50" i="4"/>
  <c r="U14" i="4"/>
  <c r="U150" i="4"/>
  <c r="U53" i="4"/>
  <c r="U19" i="4"/>
  <c r="U96" i="4"/>
  <c r="U156" i="4"/>
  <c r="U67" i="4"/>
  <c r="U55" i="4"/>
  <c r="U27" i="4"/>
  <c r="U71" i="4"/>
  <c r="U57" i="4"/>
  <c r="U120" i="4"/>
  <c r="U46" i="4"/>
  <c r="U68" i="4"/>
  <c r="U77" i="4"/>
  <c r="U112" i="4"/>
  <c r="U20" i="4"/>
  <c r="U44" i="4"/>
  <c r="U131" i="4"/>
  <c r="U82" i="4"/>
  <c r="U11" i="4"/>
  <c r="U97" i="4"/>
  <c r="U79" i="4"/>
  <c r="U83" i="4"/>
  <c r="U101" i="4"/>
  <c r="U91" i="4"/>
  <c r="U134" i="4"/>
  <c r="U29" i="4"/>
  <c r="U16" i="4"/>
  <c r="U102" i="4"/>
  <c r="U140" i="4"/>
  <c r="U10" i="4"/>
  <c r="U137" i="4"/>
  <c r="U24" i="4"/>
  <c r="U136" i="4"/>
  <c r="U124" i="4"/>
  <c r="U48" i="4"/>
  <c r="U122" i="4"/>
  <c r="U127" i="4"/>
  <c r="U95" i="4"/>
  <c r="U35" i="4"/>
  <c r="U17" i="4"/>
  <c r="U41" i="4"/>
  <c r="U146" i="4"/>
  <c r="U75" i="4"/>
  <c r="U81" i="4"/>
  <c r="U66" i="4"/>
  <c r="U113" i="4"/>
  <c r="U119" i="4"/>
  <c r="U152" i="4"/>
  <c r="U158" i="4"/>
  <c r="U47" i="4"/>
  <c r="U88" i="4"/>
  <c r="U61" i="4"/>
  <c r="U141" i="4"/>
  <c r="U138" i="4"/>
  <c r="U80" i="4"/>
  <c r="U54" i="4"/>
  <c r="U56" i="4"/>
  <c r="U130" i="4"/>
  <c r="U151" i="4"/>
  <c r="U149" i="4"/>
  <c r="U144" i="4"/>
  <c r="U118" i="4"/>
  <c r="U105" i="4"/>
  <c r="U114" i="4"/>
  <c r="U69" i="4"/>
  <c r="U115" i="4"/>
  <c r="U103" i="4"/>
  <c r="U9" i="4"/>
  <c r="U128" i="4"/>
  <c r="U145" i="4"/>
  <c r="U37" i="4"/>
  <c r="U62" i="4"/>
  <c r="U107" i="4"/>
  <c r="U85" i="4"/>
  <c r="U110" i="4"/>
  <c r="U76" i="4"/>
  <c r="U116" i="4"/>
  <c r="U21" i="4"/>
  <c r="U129" i="4"/>
  <c r="U108" i="4"/>
  <c r="U143" i="4"/>
  <c r="U106" i="4"/>
  <c r="U59" i="4"/>
  <c r="U42" i="4"/>
  <c r="U51" i="4"/>
  <c r="U13" i="4"/>
  <c r="U133" i="4"/>
  <c r="U22" i="4"/>
  <c r="U38" i="4"/>
  <c r="U125" i="4"/>
  <c r="U121" i="4"/>
  <c r="U111" i="4"/>
  <c r="U40" i="4"/>
  <c r="U135" i="4"/>
  <c r="U65" i="4"/>
  <c r="BL43" i="4" l="1"/>
  <c r="BM43" i="4" s="1"/>
  <c r="BB43" i="4"/>
  <c r="BC43" i="4"/>
  <c r="F17" i="5"/>
  <c r="M84" i="5"/>
  <c r="M68" i="5"/>
  <c r="M52" i="5"/>
  <c r="M36" i="5"/>
  <c r="M60" i="5"/>
  <c r="M76" i="5"/>
  <c r="F12" i="5"/>
  <c r="F14" i="5"/>
  <c r="F11" i="5"/>
  <c r="AH18" i="4"/>
  <c r="AU18" i="4" s="1"/>
  <c r="AH47" i="4"/>
  <c r="AU47" i="4" s="1"/>
  <c r="AH40" i="4"/>
  <c r="AU40" i="4" s="1"/>
  <c r="AH97" i="4"/>
  <c r="AU97" i="4" s="1"/>
  <c r="AH131" i="4"/>
  <c r="AU131" i="4" s="1"/>
  <c r="AH127" i="4"/>
  <c r="AU127" i="4" s="1"/>
  <c r="AH128" i="4"/>
  <c r="AU128" i="4" s="1"/>
  <c r="AH55" i="4"/>
  <c r="AU55" i="4" s="1"/>
  <c r="AH154" i="4"/>
  <c r="AU154" i="4" s="1"/>
  <c r="AH145" i="4"/>
  <c r="AU145" i="4" s="1"/>
  <c r="AH9" i="4"/>
  <c r="AU9" i="4" s="1"/>
  <c r="AH49" i="4"/>
  <c r="AU49" i="4" s="1"/>
  <c r="AH107" i="4"/>
  <c r="AU107" i="4" s="1"/>
  <c r="AH67" i="4"/>
  <c r="AU67" i="4" s="1"/>
  <c r="AH30" i="4"/>
  <c r="AU30" i="4" s="1"/>
  <c r="AZ30" i="4" s="1"/>
  <c r="BA30" i="4" s="1"/>
  <c r="AH110" i="4"/>
  <c r="AU110" i="4" s="1"/>
  <c r="AH29" i="4"/>
  <c r="AU29" i="4" s="1"/>
  <c r="AH83" i="4"/>
  <c r="AU83" i="4" s="1"/>
  <c r="AH85" i="4"/>
  <c r="AU85" i="4" s="1"/>
  <c r="AH115" i="4"/>
  <c r="AU115" i="4" s="1"/>
  <c r="AH75" i="4"/>
  <c r="AU75" i="4" s="1"/>
  <c r="AH46" i="4"/>
  <c r="AU46" i="4" s="1"/>
  <c r="AH113" i="4"/>
  <c r="AU113" i="4" s="1"/>
  <c r="AH100" i="4"/>
  <c r="AU100" i="4" s="1"/>
  <c r="AH24" i="4"/>
  <c r="AU24" i="4" s="1"/>
  <c r="AH11" i="4"/>
  <c r="AU11" i="4" s="1"/>
  <c r="AH51" i="4"/>
  <c r="AU51" i="4" s="1"/>
  <c r="AH71" i="4"/>
  <c r="AU71" i="4" s="1"/>
  <c r="AH19" i="4"/>
  <c r="AU19" i="4" s="1"/>
  <c r="AH141" i="4"/>
  <c r="AU141" i="4" s="1"/>
  <c r="AH14" i="4"/>
  <c r="AH60" i="4"/>
  <c r="AU60" i="4" s="1"/>
  <c r="AH32" i="4"/>
  <c r="AU32" i="4" s="1"/>
  <c r="AH147" i="4"/>
  <c r="AU147" i="4" s="1"/>
  <c r="AH105" i="4"/>
  <c r="AU105" i="4" s="1"/>
  <c r="AH65" i="4"/>
  <c r="AU65" i="4" s="1"/>
  <c r="AH118" i="4"/>
  <c r="AU118" i="4" s="1"/>
  <c r="AH138" i="4"/>
  <c r="AU138" i="4" s="1"/>
  <c r="AH137" i="4"/>
  <c r="AU137" i="4" s="1"/>
  <c r="AH99" i="4"/>
  <c r="AU99" i="4" s="1"/>
  <c r="AH70" i="4"/>
  <c r="AU70" i="4" s="1"/>
  <c r="AH44" i="4"/>
  <c r="AU44" i="4" s="1"/>
  <c r="AH150" i="4"/>
  <c r="AU150" i="4" s="1"/>
  <c r="AH144" i="4"/>
  <c r="AU144" i="4" s="1"/>
  <c r="AH48" i="4"/>
  <c r="AU48" i="4" s="1"/>
  <c r="AH26" i="4"/>
  <c r="AU26" i="4" s="1"/>
  <c r="AH98" i="4"/>
  <c r="AU98" i="4" s="1"/>
  <c r="AH53" i="4"/>
  <c r="AU53" i="4" s="1"/>
  <c r="AH22" i="4"/>
  <c r="AU22" i="4" s="1"/>
  <c r="AH61" i="4"/>
  <c r="AU61" i="4" s="1"/>
  <c r="AH16" i="4"/>
  <c r="AU16" i="4" s="1"/>
  <c r="AH121" i="4"/>
  <c r="AU121" i="4" s="1"/>
  <c r="AH123" i="4"/>
  <c r="AU123" i="4" s="1"/>
  <c r="AH50" i="4"/>
  <c r="AU50" i="4" s="1"/>
  <c r="AH59" i="4"/>
  <c r="AU59" i="4" s="1"/>
  <c r="AH132" i="4"/>
  <c r="AU132" i="4" s="1"/>
  <c r="AH12" i="4"/>
  <c r="AU12" i="4" s="1"/>
  <c r="AH39" i="4"/>
  <c r="AU39" i="4" s="1"/>
  <c r="AH158" i="4"/>
  <c r="AU158" i="4" s="1"/>
  <c r="AH31" i="4"/>
  <c r="AU31" i="4" s="1"/>
  <c r="AH140" i="4"/>
  <c r="AU140" i="4" s="1"/>
  <c r="AH34" i="4"/>
  <c r="AU34" i="4" s="1"/>
  <c r="AH73" i="4"/>
  <c r="AU73" i="4" s="1"/>
  <c r="AH38" i="4"/>
  <c r="AU38" i="4" s="1"/>
  <c r="AH117" i="4"/>
  <c r="AU117" i="4" s="1"/>
  <c r="AH130" i="4"/>
  <c r="AU130" i="4" s="1"/>
  <c r="AH142" i="4"/>
  <c r="AU142" i="4" s="1"/>
  <c r="AH77" i="4"/>
  <c r="AU77" i="4" s="1"/>
  <c r="AH96" i="4"/>
  <c r="AU96" i="4" s="1"/>
  <c r="AH103" i="4"/>
  <c r="AU103" i="4" s="1"/>
  <c r="AH119" i="4"/>
  <c r="AU119" i="4" s="1"/>
  <c r="AH157" i="4"/>
  <c r="AU157" i="4" s="1"/>
  <c r="AH33" i="4"/>
  <c r="AU33" i="4" s="1"/>
  <c r="AH56" i="4"/>
  <c r="AU56" i="4" s="1"/>
  <c r="AH133" i="4"/>
  <c r="AU133" i="4" s="1"/>
  <c r="AH80" i="4"/>
  <c r="AU80" i="4" s="1"/>
  <c r="AH148" i="4"/>
  <c r="AU148" i="4" s="1"/>
  <c r="AH146" i="4"/>
  <c r="AU146" i="4" s="1"/>
  <c r="AH139" i="4"/>
  <c r="AU139" i="4" s="1"/>
  <c r="AH23" i="4"/>
  <c r="AU23" i="4" s="1"/>
  <c r="AH111" i="4"/>
  <c r="AU111" i="4" s="1"/>
  <c r="AH124" i="4"/>
  <c r="AU124" i="4" s="1"/>
  <c r="AH28" i="4"/>
  <c r="AU28" i="4" s="1"/>
  <c r="AH108" i="4"/>
  <c r="AU108" i="4" s="1"/>
  <c r="AH36" i="4"/>
  <c r="AU36" i="4" s="1"/>
  <c r="AH116" i="4"/>
  <c r="AU116" i="4" s="1"/>
  <c r="AH149" i="4"/>
  <c r="AU149" i="4" s="1"/>
  <c r="AH89" i="4"/>
  <c r="AU89" i="4" s="1"/>
  <c r="AH143" i="4"/>
  <c r="AU143" i="4" s="1"/>
  <c r="AH72" i="4"/>
  <c r="AU72" i="4" s="1"/>
  <c r="AH25" i="4"/>
  <c r="AU25" i="4" s="1"/>
  <c r="AH13" i="4"/>
  <c r="AU13" i="4" s="1"/>
  <c r="AH93" i="4"/>
  <c r="AU93" i="4" s="1"/>
  <c r="AH112" i="4"/>
  <c r="AU112" i="4" s="1"/>
  <c r="AH95" i="4"/>
  <c r="AU95" i="4" s="1"/>
  <c r="AH81" i="4"/>
  <c r="AU81" i="4" s="1"/>
  <c r="AH69" i="4"/>
  <c r="AU69" i="4" s="1"/>
  <c r="AH134" i="4"/>
  <c r="AU134" i="4" s="1"/>
  <c r="AH37" i="4"/>
  <c r="AU37" i="4" s="1"/>
  <c r="AH88" i="4"/>
  <c r="AU88" i="4" s="1"/>
  <c r="AH41" i="4"/>
  <c r="AU41" i="4" s="1"/>
  <c r="AH17" i="4"/>
  <c r="AU17" i="4" s="1"/>
  <c r="AH125" i="4"/>
  <c r="AU125" i="4" s="1"/>
  <c r="AH153" i="4"/>
  <c r="AU153" i="4" s="1"/>
  <c r="AH63" i="4"/>
  <c r="AU63" i="4" s="1"/>
  <c r="AH74" i="4"/>
  <c r="AU74" i="4" s="1"/>
  <c r="AH126" i="4"/>
  <c r="AU126" i="4" s="1"/>
  <c r="AH94" i="4"/>
  <c r="AU94" i="4" s="1"/>
  <c r="AH92" i="4"/>
  <c r="AU92" i="4" s="1"/>
  <c r="AH54" i="4"/>
  <c r="AU54" i="4" s="1"/>
  <c r="AH79" i="4"/>
  <c r="AU79" i="4" s="1"/>
  <c r="AH78" i="4"/>
  <c r="AH90" i="4"/>
  <c r="AU90" i="4" s="1"/>
  <c r="AH45" i="4"/>
  <c r="AU45" i="4" s="1"/>
  <c r="AH35" i="4"/>
  <c r="AU35" i="4" s="1"/>
  <c r="AH64" i="4"/>
  <c r="AU64" i="4" s="1"/>
  <c r="AH156" i="4"/>
  <c r="AU156" i="4" s="1"/>
  <c r="AH135" i="4"/>
  <c r="AU135" i="4" s="1"/>
  <c r="AH21" i="4"/>
  <c r="AU21" i="4" s="1"/>
  <c r="AH27" i="4"/>
  <c r="AU27" i="4" s="1"/>
  <c r="AH15" i="4"/>
  <c r="AU15" i="4" s="1"/>
  <c r="AH10" i="4"/>
  <c r="AU10" i="4" s="1"/>
  <c r="AH87" i="4"/>
  <c r="AU87" i="4" s="1"/>
  <c r="AH152" i="4"/>
  <c r="AU152" i="4" s="1"/>
  <c r="AH86" i="4"/>
  <c r="AU86" i="4" s="1"/>
  <c r="AH76" i="4"/>
  <c r="AU76" i="4" s="1"/>
  <c r="AH42" i="4"/>
  <c r="AU42" i="4" s="1"/>
  <c r="AH102" i="4"/>
  <c r="AU102" i="4" s="1"/>
  <c r="AH151" i="4"/>
  <c r="AU151" i="4" s="1"/>
  <c r="AH101" i="4"/>
  <c r="AU101" i="4" s="1"/>
  <c r="AH68" i="4"/>
  <c r="AU68" i="4" s="1"/>
  <c r="AH84" i="4"/>
  <c r="AU84" i="4" s="1"/>
  <c r="AH66" i="4"/>
  <c r="AU66" i="4" s="1"/>
  <c r="AH114" i="4"/>
  <c r="AU114" i="4" s="1"/>
  <c r="AH62" i="4"/>
  <c r="AU62" i="4" s="1"/>
  <c r="AH57" i="4"/>
  <c r="AU57" i="4" s="1"/>
  <c r="AH129" i="4"/>
  <c r="AU129" i="4" s="1"/>
  <c r="AH52" i="4"/>
  <c r="AU52" i="4" s="1"/>
  <c r="AH58" i="4"/>
  <c r="AU58" i="4" s="1"/>
  <c r="AH106" i="4"/>
  <c r="AU106" i="4" s="1"/>
  <c r="AH136" i="4"/>
  <c r="AU136" i="4" s="1"/>
  <c r="AH91" i="4"/>
  <c r="AU91" i="4" s="1"/>
  <c r="AH104" i="4"/>
  <c r="AU104" i="4" s="1"/>
  <c r="AH155" i="4"/>
  <c r="AU155" i="4" s="1"/>
  <c r="AH109" i="4"/>
  <c r="AU109" i="4" s="1"/>
  <c r="AH20" i="4"/>
  <c r="AU20" i="4" s="1"/>
  <c r="AH122" i="4"/>
  <c r="AU122" i="4" s="1"/>
  <c r="AH120" i="4"/>
  <c r="AU120" i="4" s="1"/>
  <c r="AH82" i="4"/>
  <c r="AU82" i="4" s="1"/>
  <c r="BD43" i="4" l="1"/>
  <c r="BE43" i="4" s="1"/>
  <c r="BJ43" i="4" s="1"/>
  <c r="BO43" i="4"/>
  <c r="BN43" i="4"/>
  <c r="E55" i="9" s="1"/>
  <c r="AU14" i="4"/>
  <c r="M95" i="5"/>
  <c r="BB30" i="4"/>
  <c r="BL30" i="4"/>
  <c r="BM30" i="4" s="1"/>
  <c r="AZ122" i="4"/>
  <c r="BA122" i="4" s="1"/>
  <c r="AZ68" i="4"/>
  <c r="BA68" i="4" s="1"/>
  <c r="AZ155" i="4"/>
  <c r="BA155" i="4" s="1"/>
  <c r="AZ102" i="4"/>
  <c r="BA102" i="4" s="1"/>
  <c r="AZ153" i="4"/>
  <c r="BA153" i="4" s="1"/>
  <c r="AZ89" i="4"/>
  <c r="BA89" i="4" s="1"/>
  <c r="BC89" i="4" s="1"/>
  <c r="AZ157" i="4"/>
  <c r="BA157" i="4" s="1"/>
  <c r="AZ12" i="4"/>
  <c r="BA12" i="4" s="1"/>
  <c r="AZ32" i="4"/>
  <c r="BA32" i="4" s="1"/>
  <c r="AZ24" i="4"/>
  <c r="BA24" i="4" s="1"/>
  <c r="BC24" i="4" s="1"/>
  <c r="AZ154" i="4"/>
  <c r="BA154" i="4" s="1"/>
  <c r="AZ135" i="4"/>
  <c r="BA135" i="4" s="1"/>
  <c r="AZ87" i="4"/>
  <c r="BA87" i="4" s="1"/>
  <c r="BC87" i="4" s="1"/>
  <c r="AZ57" i="4"/>
  <c r="BA57" i="4" s="1"/>
  <c r="AZ27" i="4"/>
  <c r="BA27" i="4" s="1"/>
  <c r="AZ81" i="4"/>
  <c r="BA81" i="4" s="1"/>
  <c r="AZ23" i="4"/>
  <c r="BA23" i="4" s="1"/>
  <c r="AZ38" i="4"/>
  <c r="BA38" i="4" s="1"/>
  <c r="BC38" i="4" s="1"/>
  <c r="AZ22" i="4"/>
  <c r="BA22" i="4" s="1"/>
  <c r="AZ70" i="4"/>
  <c r="BA70" i="4" s="1"/>
  <c r="AZ29" i="4"/>
  <c r="BA29" i="4" s="1"/>
  <c r="AZ104" i="4"/>
  <c r="BA104" i="4" s="1"/>
  <c r="BC104" i="4" s="1"/>
  <c r="AZ62" i="4"/>
  <c r="BA62" i="4" s="1"/>
  <c r="AZ42" i="4"/>
  <c r="BA42" i="4" s="1"/>
  <c r="AZ21" i="4"/>
  <c r="BA21" i="4" s="1"/>
  <c r="AZ79" i="4"/>
  <c r="BA79" i="4" s="1"/>
  <c r="AZ125" i="4"/>
  <c r="BA125" i="4" s="1"/>
  <c r="AZ95" i="4"/>
  <c r="BA95" i="4" s="1"/>
  <c r="AZ149" i="4"/>
  <c r="BA149" i="4" s="1"/>
  <c r="BC149" i="4" s="1"/>
  <c r="AZ139" i="4"/>
  <c r="BA139" i="4" s="1"/>
  <c r="AZ119" i="4"/>
  <c r="BA119" i="4" s="1"/>
  <c r="AZ73" i="4"/>
  <c r="BA73" i="4" s="1"/>
  <c r="AZ132" i="4"/>
  <c r="BA132" i="4" s="1"/>
  <c r="AZ53" i="4"/>
  <c r="BA53" i="4" s="1"/>
  <c r="AZ99" i="4"/>
  <c r="BA99" i="4" s="1"/>
  <c r="AZ60" i="4"/>
  <c r="BA60" i="4" s="1"/>
  <c r="AZ100" i="4"/>
  <c r="BA100" i="4" s="1"/>
  <c r="AZ110" i="4"/>
  <c r="BA110" i="4" s="1"/>
  <c r="AZ55" i="4"/>
  <c r="BA55" i="4" s="1"/>
  <c r="AZ76" i="4"/>
  <c r="BA76" i="4" s="1"/>
  <c r="AZ54" i="4"/>
  <c r="BA54" i="4" s="1"/>
  <c r="AZ112" i="4"/>
  <c r="BA112" i="4" s="1"/>
  <c r="AZ116" i="4"/>
  <c r="BA116" i="4" s="1"/>
  <c r="AZ146" i="4"/>
  <c r="BA146" i="4" s="1"/>
  <c r="AZ103" i="4"/>
  <c r="BA103" i="4" s="1"/>
  <c r="AZ34" i="4"/>
  <c r="BA34" i="4" s="1"/>
  <c r="AZ59" i="4"/>
  <c r="BA59" i="4" s="1"/>
  <c r="AZ98" i="4"/>
  <c r="BA98" i="4" s="1"/>
  <c r="AZ137" i="4"/>
  <c r="BA137" i="4" s="1"/>
  <c r="AZ113" i="4"/>
  <c r="BA113" i="4" s="1"/>
  <c r="AZ128" i="4"/>
  <c r="BA128" i="4" s="1"/>
  <c r="AZ47" i="4"/>
  <c r="BA47" i="4" s="1"/>
  <c r="AZ114" i="4"/>
  <c r="BA114" i="4" s="1"/>
  <c r="AZ17" i="4"/>
  <c r="BA17" i="4" s="1"/>
  <c r="AZ82" i="4"/>
  <c r="BA82" i="4" s="1"/>
  <c r="AZ136" i="4"/>
  <c r="BA136" i="4" s="1"/>
  <c r="AZ66" i="4"/>
  <c r="BA66" i="4" s="1"/>
  <c r="AZ86" i="4"/>
  <c r="BA86" i="4" s="1"/>
  <c r="AZ156" i="4"/>
  <c r="BA156" i="4" s="1"/>
  <c r="AZ92" i="4"/>
  <c r="BA92" i="4" s="1"/>
  <c r="AZ41" i="4"/>
  <c r="BA41" i="4" s="1"/>
  <c r="AZ93" i="4"/>
  <c r="BA93" i="4" s="1"/>
  <c r="AZ36" i="4"/>
  <c r="BA36" i="4" s="1"/>
  <c r="AZ148" i="4"/>
  <c r="BA148" i="4" s="1"/>
  <c r="AZ96" i="4"/>
  <c r="BA96" i="4" s="1"/>
  <c r="AZ140" i="4"/>
  <c r="BA140" i="4" s="1"/>
  <c r="AZ50" i="4"/>
  <c r="BA50" i="4" s="1"/>
  <c r="AZ138" i="4"/>
  <c r="BA138" i="4" s="1"/>
  <c r="AZ26" i="4"/>
  <c r="BA26" i="4" s="1"/>
  <c r="AZ141" i="4"/>
  <c r="BA141" i="4" s="1"/>
  <c r="AZ46" i="4"/>
  <c r="BA46" i="4" s="1"/>
  <c r="AZ67" i="4"/>
  <c r="BA67" i="4" s="1"/>
  <c r="AZ127" i="4"/>
  <c r="BA127" i="4" s="1"/>
  <c r="AZ120" i="4"/>
  <c r="BA120" i="4" s="1"/>
  <c r="AZ106" i="4"/>
  <c r="BA106" i="4" s="1"/>
  <c r="AZ84" i="4"/>
  <c r="BA84" i="4" s="1"/>
  <c r="AZ152" i="4"/>
  <c r="BA152" i="4" s="1"/>
  <c r="AZ64" i="4"/>
  <c r="BA64" i="4" s="1"/>
  <c r="AZ94" i="4"/>
  <c r="BA94" i="4" s="1"/>
  <c r="AZ88" i="4"/>
  <c r="BA88" i="4" s="1"/>
  <c r="AZ13" i="4"/>
  <c r="BA13" i="4" s="1"/>
  <c r="AZ108" i="4"/>
  <c r="BA108" i="4" s="1"/>
  <c r="AZ80" i="4"/>
  <c r="BA80" i="4" s="1"/>
  <c r="AZ77" i="4"/>
  <c r="BA77" i="4" s="1"/>
  <c r="AZ123" i="4"/>
  <c r="BA123" i="4" s="1"/>
  <c r="AZ48" i="4"/>
  <c r="BA48" i="4" s="1"/>
  <c r="AZ118" i="4"/>
  <c r="BA118" i="4" s="1"/>
  <c r="AZ19" i="4"/>
  <c r="BA19" i="4" s="1"/>
  <c r="AZ75" i="4"/>
  <c r="BA75" i="4" s="1"/>
  <c r="AZ107" i="4"/>
  <c r="BA107" i="4" s="1"/>
  <c r="AZ131" i="4"/>
  <c r="BA131" i="4" s="1"/>
  <c r="AZ35" i="4"/>
  <c r="BA35" i="4" s="1"/>
  <c r="AZ25" i="4"/>
  <c r="BA25" i="4" s="1"/>
  <c r="AZ133" i="4"/>
  <c r="BA133" i="4" s="1"/>
  <c r="AZ142" i="4"/>
  <c r="BA142" i="4" s="1"/>
  <c r="AZ121" i="4"/>
  <c r="BA121" i="4" s="1"/>
  <c r="AZ65" i="4"/>
  <c r="BA65" i="4" s="1"/>
  <c r="AZ71" i="4"/>
  <c r="BA71" i="4" s="1"/>
  <c r="AZ115" i="4"/>
  <c r="BA115" i="4" s="1"/>
  <c r="AZ49" i="4"/>
  <c r="BA49" i="4" s="1"/>
  <c r="AZ97" i="4"/>
  <c r="BA97" i="4" s="1"/>
  <c r="AZ91" i="4"/>
  <c r="BA91" i="4" s="1"/>
  <c r="AZ58" i="4"/>
  <c r="BA58" i="4" s="1"/>
  <c r="AZ126" i="4"/>
  <c r="BA126" i="4" s="1"/>
  <c r="AZ37" i="4"/>
  <c r="BA37" i="4" s="1"/>
  <c r="AZ28" i="4"/>
  <c r="BA28" i="4" s="1"/>
  <c r="AZ31" i="4"/>
  <c r="BA31" i="4" s="1"/>
  <c r="AZ20" i="4"/>
  <c r="BA20" i="4" s="1"/>
  <c r="AZ101" i="4"/>
  <c r="BA101" i="4" s="1"/>
  <c r="AZ45" i="4"/>
  <c r="BA45" i="4" s="1"/>
  <c r="AZ134" i="4"/>
  <c r="BA134" i="4" s="1"/>
  <c r="AZ124" i="4"/>
  <c r="BA124" i="4" s="1"/>
  <c r="AZ56" i="4"/>
  <c r="BA56" i="4" s="1"/>
  <c r="AZ158" i="4"/>
  <c r="BA158" i="4" s="1"/>
  <c r="AZ51" i="4"/>
  <c r="BA51" i="4" s="1"/>
  <c r="AZ144" i="4"/>
  <c r="BA144" i="4" s="1"/>
  <c r="AZ52" i="4"/>
  <c r="BA52" i="4" s="1"/>
  <c r="AZ10" i="4"/>
  <c r="BA10" i="4" s="1"/>
  <c r="AZ74" i="4"/>
  <c r="BA74" i="4" s="1"/>
  <c r="AZ72" i="4"/>
  <c r="BA72" i="4" s="1"/>
  <c r="AZ130" i="4"/>
  <c r="BA130" i="4" s="1"/>
  <c r="AZ16" i="4"/>
  <c r="BA16" i="4" s="1"/>
  <c r="AZ150" i="4"/>
  <c r="BA150" i="4" s="1"/>
  <c r="AZ105" i="4"/>
  <c r="BA105" i="4" s="1"/>
  <c r="AZ85" i="4"/>
  <c r="BA85" i="4" s="1"/>
  <c r="AZ40" i="4"/>
  <c r="BA40" i="4" s="1"/>
  <c r="AZ18" i="4"/>
  <c r="BA18" i="4" s="1"/>
  <c r="AZ109" i="4"/>
  <c r="BA109" i="4" s="1"/>
  <c r="AZ129" i="4"/>
  <c r="BA129" i="4" s="1"/>
  <c r="AZ151" i="4"/>
  <c r="BA151" i="4" s="1"/>
  <c r="AZ15" i="4"/>
  <c r="BA15" i="4" s="1"/>
  <c r="AZ90" i="4"/>
  <c r="BA90" i="4" s="1"/>
  <c r="AZ63" i="4"/>
  <c r="BA63" i="4" s="1"/>
  <c r="AZ69" i="4"/>
  <c r="BA69" i="4" s="1"/>
  <c r="AZ143" i="4"/>
  <c r="BA143" i="4" s="1"/>
  <c r="AZ111" i="4"/>
  <c r="BA111" i="4" s="1"/>
  <c r="AZ33" i="4"/>
  <c r="BA33" i="4" s="1"/>
  <c r="AZ117" i="4"/>
  <c r="BA117" i="4" s="1"/>
  <c r="AZ39" i="4"/>
  <c r="BA39" i="4" s="1"/>
  <c r="AZ61" i="4"/>
  <c r="BA61" i="4" s="1"/>
  <c r="AZ44" i="4"/>
  <c r="BA44" i="4" s="1"/>
  <c r="AZ147" i="4"/>
  <c r="BA147" i="4" s="1"/>
  <c r="AZ11" i="4"/>
  <c r="BA11" i="4" s="1"/>
  <c r="AZ83" i="4"/>
  <c r="BA83" i="4" s="1"/>
  <c r="AZ145" i="4"/>
  <c r="BA145" i="4" s="1"/>
  <c r="AZ9" i="4"/>
  <c r="BA9" i="4" s="1"/>
  <c r="BB9" i="4" s="1"/>
  <c r="F13" i="5"/>
  <c r="AU78" i="4"/>
  <c r="AH8" i="4"/>
  <c r="BC30" i="4"/>
  <c r="N55" i="9" l="1"/>
  <c r="M55" i="9"/>
  <c r="BQ43" i="4"/>
  <c r="BP43" i="4"/>
  <c r="M129" i="5"/>
  <c r="F135" i="5" s="1"/>
  <c r="M135" i="5" s="1"/>
  <c r="M138" i="5" s="1"/>
  <c r="F171" i="5" s="1"/>
  <c r="AZ14" i="4"/>
  <c r="BA14" i="4" s="1"/>
  <c r="BB14" i="4" s="1"/>
  <c r="BB129" i="4"/>
  <c r="BL129" i="4"/>
  <c r="BB37" i="4"/>
  <c r="BL37" i="4"/>
  <c r="BM37" i="4" s="1"/>
  <c r="BB64" i="4"/>
  <c r="BL64" i="4"/>
  <c r="BM64" i="4" s="1"/>
  <c r="BB119" i="4"/>
  <c r="BL119" i="4"/>
  <c r="BM119" i="4" s="1"/>
  <c r="BB33" i="4"/>
  <c r="BL33" i="4"/>
  <c r="BM33" i="4" s="1"/>
  <c r="BB56" i="4"/>
  <c r="BL56" i="4"/>
  <c r="BM56" i="4" s="1"/>
  <c r="BB75" i="4"/>
  <c r="BL75" i="4"/>
  <c r="BM75" i="4" s="1"/>
  <c r="BB140" i="4"/>
  <c r="BL140" i="4"/>
  <c r="BM140" i="4" s="1"/>
  <c r="BB59" i="4"/>
  <c r="BL59" i="4"/>
  <c r="BB154" i="4"/>
  <c r="BL154" i="4"/>
  <c r="BM154" i="4" s="1"/>
  <c r="BB83" i="4"/>
  <c r="BL83" i="4"/>
  <c r="BM83" i="4" s="1"/>
  <c r="BB61" i="4"/>
  <c r="BL61" i="4"/>
  <c r="BM61" i="4" s="1"/>
  <c r="BB111" i="4"/>
  <c r="BL111" i="4"/>
  <c r="BM111" i="4" s="1"/>
  <c r="BB90" i="4"/>
  <c r="BL90" i="4"/>
  <c r="BM90" i="4" s="1"/>
  <c r="BB109" i="4"/>
  <c r="BL109" i="4"/>
  <c r="BM109" i="4" s="1"/>
  <c r="BB105" i="4"/>
  <c r="BL105" i="4"/>
  <c r="BM105" i="4" s="1"/>
  <c r="BB72" i="4"/>
  <c r="BL72" i="4"/>
  <c r="BM72" i="4" s="1"/>
  <c r="BB144" i="4"/>
  <c r="BL144" i="4"/>
  <c r="BM144" i="4" s="1"/>
  <c r="BB124" i="4"/>
  <c r="BL124" i="4"/>
  <c r="BM124" i="4" s="1"/>
  <c r="BB20" i="4"/>
  <c r="BL20" i="4"/>
  <c r="BM20" i="4" s="1"/>
  <c r="BB126" i="4"/>
  <c r="BL126" i="4"/>
  <c r="BM126" i="4" s="1"/>
  <c r="BB49" i="4"/>
  <c r="BL49" i="4"/>
  <c r="BM49" i="4" s="1"/>
  <c r="BB121" i="4"/>
  <c r="BL121" i="4"/>
  <c r="BM121" i="4" s="1"/>
  <c r="BB35" i="4"/>
  <c r="BL35" i="4"/>
  <c r="BM35" i="4" s="1"/>
  <c r="BB19" i="4"/>
  <c r="BL19" i="4"/>
  <c r="BM19" i="4" s="1"/>
  <c r="BB13" i="4"/>
  <c r="BL13" i="4"/>
  <c r="BB152" i="4"/>
  <c r="BL152" i="4"/>
  <c r="BM152" i="4" s="1"/>
  <c r="BB127" i="4"/>
  <c r="BL127" i="4"/>
  <c r="BM127" i="4" s="1"/>
  <c r="BB26" i="4"/>
  <c r="BL26" i="4"/>
  <c r="BM26" i="4" s="1"/>
  <c r="BB96" i="4"/>
  <c r="BL96" i="4"/>
  <c r="BM96" i="4" s="1"/>
  <c r="BB41" i="4"/>
  <c r="BL41" i="4"/>
  <c r="BM41" i="4" s="1"/>
  <c r="BB66" i="4"/>
  <c r="BL66" i="4"/>
  <c r="BB114" i="4"/>
  <c r="BL114" i="4"/>
  <c r="BB34" i="4"/>
  <c r="BL34" i="4"/>
  <c r="BM34" i="4" s="1"/>
  <c r="BB112" i="4"/>
  <c r="BL112" i="4"/>
  <c r="BM112" i="4" s="1"/>
  <c r="BB110" i="4"/>
  <c r="BL110" i="4"/>
  <c r="BB53" i="4"/>
  <c r="BL53" i="4"/>
  <c r="BM53" i="4" s="1"/>
  <c r="BB139" i="4"/>
  <c r="BL139" i="4"/>
  <c r="BM139" i="4" s="1"/>
  <c r="BB79" i="4"/>
  <c r="BL79" i="4"/>
  <c r="BB104" i="4"/>
  <c r="BD104" i="4" s="1"/>
  <c r="BL104" i="4"/>
  <c r="BM104" i="4" s="1"/>
  <c r="BB38" i="4"/>
  <c r="BD38" i="4" s="1"/>
  <c r="BL38" i="4"/>
  <c r="BM38" i="4" s="1"/>
  <c r="BB57" i="4"/>
  <c r="BL57" i="4"/>
  <c r="BM57" i="4" s="1"/>
  <c r="BB24" i="4"/>
  <c r="BD24" i="4" s="1"/>
  <c r="BL24" i="4"/>
  <c r="BM24" i="4" s="1"/>
  <c r="BB89" i="4"/>
  <c r="BD89" i="4" s="1"/>
  <c r="BL89" i="4"/>
  <c r="BM89" i="4" s="1"/>
  <c r="BB68" i="4"/>
  <c r="BL68" i="4"/>
  <c r="BM68" i="4" s="1"/>
  <c r="BB52" i="4"/>
  <c r="BL52" i="4"/>
  <c r="BM52" i="4" s="1"/>
  <c r="BB141" i="4"/>
  <c r="BL141" i="4"/>
  <c r="BB63" i="4"/>
  <c r="BL63" i="4"/>
  <c r="BM63" i="4" s="1"/>
  <c r="BB101" i="4"/>
  <c r="BL101" i="4"/>
  <c r="BB25" i="4"/>
  <c r="BL25" i="4"/>
  <c r="BM25" i="4" s="1"/>
  <c r="BB120" i="4"/>
  <c r="BL120" i="4"/>
  <c r="BM120" i="4" s="1"/>
  <c r="BB17" i="4"/>
  <c r="BL17" i="4"/>
  <c r="BM17" i="4" s="1"/>
  <c r="BB55" i="4"/>
  <c r="BL55" i="4"/>
  <c r="BM55" i="4" s="1"/>
  <c r="BB62" i="4"/>
  <c r="BL62" i="4"/>
  <c r="BM62" i="4" s="1"/>
  <c r="BB27" i="4"/>
  <c r="BL27" i="4"/>
  <c r="BM27" i="4" s="1"/>
  <c r="BB11" i="4"/>
  <c r="BL11" i="4"/>
  <c r="BM11" i="4" s="1"/>
  <c r="BB39" i="4"/>
  <c r="BL39" i="4"/>
  <c r="BB143" i="4"/>
  <c r="BL143" i="4"/>
  <c r="BM143" i="4" s="1"/>
  <c r="BB15" i="4"/>
  <c r="BL15" i="4"/>
  <c r="BB18" i="4"/>
  <c r="BL18" i="4"/>
  <c r="BM18" i="4" s="1"/>
  <c r="BB150" i="4"/>
  <c r="BL150" i="4"/>
  <c r="BM150" i="4" s="1"/>
  <c r="BB74" i="4"/>
  <c r="BL74" i="4"/>
  <c r="BM74" i="4" s="1"/>
  <c r="BB51" i="4"/>
  <c r="BL51" i="4"/>
  <c r="BM51" i="4" s="1"/>
  <c r="BB134" i="4"/>
  <c r="BL134" i="4"/>
  <c r="BM134" i="4" s="1"/>
  <c r="BB31" i="4"/>
  <c r="BL31" i="4"/>
  <c r="BM31" i="4" s="1"/>
  <c r="BB58" i="4"/>
  <c r="BL58" i="4"/>
  <c r="BM58" i="4" s="1"/>
  <c r="BB115" i="4"/>
  <c r="BL115" i="4"/>
  <c r="BB142" i="4"/>
  <c r="BL142" i="4"/>
  <c r="BB131" i="4"/>
  <c r="BL131" i="4"/>
  <c r="BM131" i="4" s="1"/>
  <c r="BB118" i="4"/>
  <c r="BL118" i="4"/>
  <c r="BM118" i="4" s="1"/>
  <c r="BB77" i="4"/>
  <c r="BL77" i="4"/>
  <c r="BM77" i="4" s="1"/>
  <c r="BB88" i="4"/>
  <c r="BL88" i="4"/>
  <c r="BM88" i="4" s="1"/>
  <c r="BB84" i="4"/>
  <c r="BL84" i="4"/>
  <c r="BM84" i="4" s="1"/>
  <c r="BB67" i="4"/>
  <c r="BL67" i="4"/>
  <c r="BM67" i="4" s="1"/>
  <c r="BB138" i="4"/>
  <c r="BL138" i="4"/>
  <c r="BM138" i="4" s="1"/>
  <c r="BB148" i="4"/>
  <c r="BL148" i="4"/>
  <c r="BM148" i="4" s="1"/>
  <c r="BB92" i="4"/>
  <c r="BL92" i="4"/>
  <c r="BM92" i="4" s="1"/>
  <c r="BB136" i="4"/>
  <c r="BL136" i="4"/>
  <c r="BM136" i="4" s="1"/>
  <c r="BB47" i="4"/>
  <c r="BL47" i="4"/>
  <c r="BB137" i="4"/>
  <c r="BL137" i="4"/>
  <c r="BM137" i="4" s="1"/>
  <c r="BB103" i="4"/>
  <c r="BL103" i="4"/>
  <c r="BM103" i="4" s="1"/>
  <c r="BB54" i="4"/>
  <c r="BL54" i="4"/>
  <c r="BM54" i="4" s="1"/>
  <c r="BB100" i="4"/>
  <c r="BL100" i="4"/>
  <c r="BM100" i="4" s="1"/>
  <c r="BB132" i="4"/>
  <c r="BL132" i="4"/>
  <c r="BM132" i="4" s="1"/>
  <c r="BB149" i="4"/>
  <c r="BD149" i="4" s="1"/>
  <c r="BL149" i="4"/>
  <c r="BM149" i="4" s="1"/>
  <c r="BB21" i="4"/>
  <c r="BL21" i="4"/>
  <c r="BM21" i="4" s="1"/>
  <c r="BB29" i="4"/>
  <c r="BL29" i="4"/>
  <c r="BM29" i="4" s="1"/>
  <c r="BB23" i="4"/>
  <c r="BL23" i="4"/>
  <c r="BM23" i="4" s="1"/>
  <c r="BB87" i="4"/>
  <c r="BD87" i="4" s="1"/>
  <c r="BL87" i="4"/>
  <c r="BB32" i="4"/>
  <c r="BL32" i="4"/>
  <c r="BM32" i="4" s="1"/>
  <c r="BB153" i="4"/>
  <c r="BL153" i="4"/>
  <c r="BM153" i="4" s="1"/>
  <c r="BB122" i="4"/>
  <c r="BL122" i="4"/>
  <c r="BM122" i="4" s="1"/>
  <c r="BB145" i="4"/>
  <c r="BL145" i="4"/>
  <c r="BB85" i="4"/>
  <c r="BL85" i="4"/>
  <c r="BM85" i="4" s="1"/>
  <c r="BB97" i="4"/>
  <c r="BL97" i="4"/>
  <c r="BM97" i="4" s="1"/>
  <c r="BB123" i="4"/>
  <c r="BL123" i="4"/>
  <c r="BM123" i="4" s="1"/>
  <c r="BB86" i="4"/>
  <c r="BL86" i="4"/>
  <c r="BM86" i="4" s="1"/>
  <c r="BB116" i="4"/>
  <c r="BL116" i="4"/>
  <c r="BM116" i="4" s="1"/>
  <c r="BB125" i="4"/>
  <c r="BL125" i="4"/>
  <c r="BM125" i="4" s="1"/>
  <c r="BB157" i="4"/>
  <c r="BL157" i="4"/>
  <c r="BM157" i="4" s="1"/>
  <c r="BB44" i="4"/>
  <c r="BL44" i="4"/>
  <c r="BM44" i="4" s="1"/>
  <c r="BB130" i="4"/>
  <c r="BL130" i="4"/>
  <c r="BM130" i="4" s="1"/>
  <c r="BB65" i="4"/>
  <c r="BL65" i="4"/>
  <c r="BM65" i="4" s="1"/>
  <c r="BB108" i="4"/>
  <c r="BL108" i="4"/>
  <c r="BM108" i="4" s="1"/>
  <c r="BB93" i="4"/>
  <c r="BL93" i="4"/>
  <c r="BM93" i="4" s="1"/>
  <c r="BB113" i="4"/>
  <c r="BL113" i="4"/>
  <c r="BM113" i="4" s="1"/>
  <c r="BB99" i="4"/>
  <c r="BL99" i="4"/>
  <c r="BM99" i="4" s="1"/>
  <c r="BB22" i="4"/>
  <c r="BL22" i="4"/>
  <c r="BB155" i="4"/>
  <c r="BL155" i="4"/>
  <c r="BM155" i="4" s="1"/>
  <c r="BB147" i="4"/>
  <c r="BL147" i="4"/>
  <c r="BM147" i="4" s="1"/>
  <c r="BB117" i="4"/>
  <c r="BL117" i="4"/>
  <c r="BM117" i="4" s="1"/>
  <c r="BB69" i="4"/>
  <c r="BL69" i="4"/>
  <c r="BB151" i="4"/>
  <c r="BL151" i="4"/>
  <c r="BM151" i="4" s="1"/>
  <c r="BB40" i="4"/>
  <c r="BL40" i="4"/>
  <c r="BM40" i="4" s="1"/>
  <c r="BB16" i="4"/>
  <c r="BL16" i="4"/>
  <c r="BM16" i="4" s="1"/>
  <c r="BB10" i="4"/>
  <c r="BL10" i="4"/>
  <c r="BM10" i="4" s="1"/>
  <c r="BB158" i="4"/>
  <c r="BL158" i="4"/>
  <c r="BM158" i="4" s="1"/>
  <c r="BB45" i="4"/>
  <c r="BL45" i="4"/>
  <c r="BM45" i="4" s="1"/>
  <c r="BB28" i="4"/>
  <c r="BL28" i="4"/>
  <c r="BM28" i="4" s="1"/>
  <c r="BB91" i="4"/>
  <c r="BL91" i="4"/>
  <c r="BM91" i="4" s="1"/>
  <c r="BB71" i="4"/>
  <c r="BL71" i="4"/>
  <c r="BM71" i="4" s="1"/>
  <c r="BB133" i="4"/>
  <c r="BL133" i="4"/>
  <c r="BM133" i="4" s="1"/>
  <c r="BB107" i="4"/>
  <c r="BL107" i="4"/>
  <c r="BM107" i="4" s="1"/>
  <c r="BB48" i="4"/>
  <c r="BL48" i="4"/>
  <c r="BM48" i="4" s="1"/>
  <c r="BB80" i="4"/>
  <c r="BL80" i="4"/>
  <c r="BM80" i="4" s="1"/>
  <c r="BB94" i="4"/>
  <c r="BL94" i="4"/>
  <c r="BM94" i="4" s="1"/>
  <c r="BB106" i="4"/>
  <c r="BL106" i="4"/>
  <c r="BM106" i="4" s="1"/>
  <c r="BB46" i="4"/>
  <c r="BL46" i="4"/>
  <c r="BM46" i="4" s="1"/>
  <c r="BB50" i="4"/>
  <c r="BL50" i="4"/>
  <c r="BM50" i="4" s="1"/>
  <c r="BB36" i="4"/>
  <c r="BL36" i="4"/>
  <c r="BM36" i="4" s="1"/>
  <c r="BB156" i="4"/>
  <c r="BL156" i="4"/>
  <c r="BM156" i="4" s="1"/>
  <c r="BB82" i="4"/>
  <c r="BL82" i="4"/>
  <c r="BM82" i="4" s="1"/>
  <c r="BB128" i="4"/>
  <c r="BL128" i="4"/>
  <c r="BM128" i="4" s="1"/>
  <c r="BB98" i="4"/>
  <c r="BL98" i="4"/>
  <c r="BM98" i="4" s="1"/>
  <c r="BB146" i="4"/>
  <c r="BL146" i="4"/>
  <c r="BM146" i="4" s="1"/>
  <c r="BB76" i="4"/>
  <c r="BL76" i="4"/>
  <c r="BM76" i="4" s="1"/>
  <c r="BB60" i="4"/>
  <c r="BL60" i="4"/>
  <c r="BM60" i="4" s="1"/>
  <c r="BB73" i="4"/>
  <c r="BL73" i="4"/>
  <c r="BM73" i="4" s="1"/>
  <c r="BB95" i="4"/>
  <c r="BL95" i="4"/>
  <c r="BM95" i="4" s="1"/>
  <c r="BB42" i="4"/>
  <c r="BL42" i="4"/>
  <c r="BM42" i="4" s="1"/>
  <c r="BB70" i="4"/>
  <c r="BL70" i="4"/>
  <c r="BB81" i="4"/>
  <c r="BL81" i="4"/>
  <c r="BM81" i="4" s="1"/>
  <c r="BB135" i="4"/>
  <c r="BL135" i="4"/>
  <c r="BM135" i="4" s="1"/>
  <c r="BB12" i="4"/>
  <c r="BL12" i="4"/>
  <c r="BM12" i="4" s="1"/>
  <c r="BB102" i="4"/>
  <c r="BL102" i="4"/>
  <c r="BM102" i="4" s="1"/>
  <c r="BC152" i="4"/>
  <c r="BC47" i="4"/>
  <c r="BC103" i="4"/>
  <c r="BC153" i="4"/>
  <c r="BC68" i="4"/>
  <c r="BC148" i="4"/>
  <c r="BC150" i="4"/>
  <c r="BD150" i="4" s="1"/>
  <c r="BC139" i="4"/>
  <c r="BC39" i="4"/>
  <c r="BC138" i="4"/>
  <c r="BC74" i="4"/>
  <c r="BC126" i="4"/>
  <c r="BC51" i="4"/>
  <c r="BC90" i="4"/>
  <c r="BC26" i="4"/>
  <c r="BC41" i="4"/>
  <c r="BC53" i="4"/>
  <c r="BC72" i="4"/>
  <c r="BC19" i="4"/>
  <c r="BC49" i="4"/>
  <c r="BC127" i="4"/>
  <c r="BC79" i="4"/>
  <c r="BC105" i="4"/>
  <c r="BC121" i="4"/>
  <c r="BC115" i="4"/>
  <c r="BC136" i="4"/>
  <c r="BC92" i="4"/>
  <c r="BC142" i="4"/>
  <c r="BC83" i="4"/>
  <c r="BC145" i="4"/>
  <c r="BC22" i="4"/>
  <c r="BC56" i="4"/>
  <c r="BC120" i="4"/>
  <c r="BC55" i="4"/>
  <c r="BC27" i="4"/>
  <c r="BD27" i="4" s="1"/>
  <c r="BC75" i="4"/>
  <c r="BC17" i="4"/>
  <c r="BD17" i="4" s="1"/>
  <c r="BC130" i="4"/>
  <c r="BC131" i="4"/>
  <c r="BC67" i="4"/>
  <c r="BC58" i="4"/>
  <c r="BC137" i="4"/>
  <c r="BC88" i="4"/>
  <c r="BC73" i="4"/>
  <c r="BC37" i="4"/>
  <c r="BC64" i="4"/>
  <c r="BC62" i="4"/>
  <c r="BC108" i="4"/>
  <c r="BC40" i="4"/>
  <c r="BC76" i="4"/>
  <c r="BC94" i="4"/>
  <c r="BC36" i="4"/>
  <c r="BC95" i="4"/>
  <c r="BC151" i="4"/>
  <c r="BC28" i="4"/>
  <c r="BC46" i="4"/>
  <c r="BC82" i="4"/>
  <c r="AZ78" i="4"/>
  <c r="BA78" i="4" s="1"/>
  <c r="BC61" i="4"/>
  <c r="BC109" i="4"/>
  <c r="BC102" i="4"/>
  <c r="BC60" i="4"/>
  <c r="BC42" i="4"/>
  <c r="BC10" i="4"/>
  <c r="BC158" i="4"/>
  <c r="BC133" i="4"/>
  <c r="BC48" i="4"/>
  <c r="BC128" i="4"/>
  <c r="BC135" i="4"/>
  <c r="BC80" i="4"/>
  <c r="BC70" i="4"/>
  <c r="BC25" i="4"/>
  <c r="BC50" i="4"/>
  <c r="BC125" i="4"/>
  <c r="BC146" i="4"/>
  <c r="BC91" i="4"/>
  <c r="BC23" i="4"/>
  <c r="BD23" i="4" s="1"/>
  <c r="BC81" i="4"/>
  <c r="BC114" i="4"/>
  <c r="BC155" i="4"/>
  <c r="BC116" i="4"/>
  <c r="BC132" i="4"/>
  <c r="BC107" i="4"/>
  <c r="BC113" i="4"/>
  <c r="BC71" i="4"/>
  <c r="BC140" i="4"/>
  <c r="BC106" i="4"/>
  <c r="BC112" i="4"/>
  <c r="BC86" i="4"/>
  <c r="BC129" i="4"/>
  <c r="BC57" i="4"/>
  <c r="BC45" i="4"/>
  <c r="BC156" i="4"/>
  <c r="BC99" i="4"/>
  <c r="BC122" i="4"/>
  <c r="BC33" i="4"/>
  <c r="BC15" i="4"/>
  <c r="BC117" i="4"/>
  <c r="BC32" i="4"/>
  <c r="BC98" i="4"/>
  <c r="BC65" i="4"/>
  <c r="BC13" i="4"/>
  <c r="BC118" i="4"/>
  <c r="BC100" i="4"/>
  <c r="BC34" i="4"/>
  <c r="BC63" i="4"/>
  <c r="BC110" i="4"/>
  <c r="BC147" i="4"/>
  <c r="BC44" i="4"/>
  <c r="BC59" i="4"/>
  <c r="BC12" i="4"/>
  <c r="BC97" i="4"/>
  <c r="BC93" i="4"/>
  <c r="BC77" i="4"/>
  <c r="BC85" i="4"/>
  <c r="BC141" i="4"/>
  <c r="BC134" i="4"/>
  <c r="BC157" i="4"/>
  <c r="BC18" i="4"/>
  <c r="BC84" i="4"/>
  <c r="BC20" i="4"/>
  <c r="BC69" i="4"/>
  <c r="BC119" i="4"/>
  <c r="BC29" i="4"/>
  <c r="BC11" i="4"/>
  <c r="BC123" i="4"/>
  <c r="BC52" i="4"/>
  <c r="BC143" i="4"/>
  <c r="BC35" i="4"/>
  <c r="BC31" i="4"/>
  <c r="BC54" i="4"/>
  <c r="BC111" i="4"/>
  <c r="BC96" i="4"/>
  <c r="BC144" i="4"/>
  <c r="BC21" i="4"/>
  <c r="BC101" i="4"/>
  <c r="BC66" i="4"/>
  <c r="BC154" i="4"/>
  <c r="BC124" i="4"/>
  <c r="BC16" i="4"/>
  <c r="AU8" i="4"/>
  <c r="BD30" i="4"/>
  <c r="BC9" i="4"/>
  <c r="BL9" i="4"/>
  <c r="BM9" i="4" s="1"/>
  <c r="BO30" i="4"/>
  <c r="BN30" i="4"/>
  <c r="E42" i="9" s="1"/>
  <c r="BC14" i="4" l="1"/>
  <c r="BD14" i="4" s="1"/>
  <c r="BD19" i="4"/>
  <c r="BE19" i="4" s="1"/>
  <c r="BJ19" i="4" s="1"/>
  <c r="BM69" i="4"/>
  <c r="BO69" i="4" s="1"/>
  <c r="BM22" i="4"/>
  <c r="BN22" i="4" s="1"/>
  <c r="BM142" i="4"/>
  <c r="BO142" i="4" s="1"/>
  <c r="BM110" i="4"/>
  <c r="BN110" i="4" s="1"/>
  <c r="BM66" i="4"/>
  <c r="BO66" i="4" s="1"/>
  <c r="BM13" i="4"/>
  <c r="BO13" i="4" s="1"/>
  <c r="BM59" i="4"/>
  <c r="BO59" i="4" s="1"/>
  <c r="BM129" i="4"/>
  <c r="BO129" i="4" s="1"/>
  <c r="BM70" i="4"/>
  <c r="BO70" i="4" s="1"/>
  <c r="BM145" i="4"/>
  <c r="BO145" i="4" s="1"/>
  <c r="BM87" i="4"/>
  <c r="BO87" i="4" s="1"/>
  <c r="BM47" i="4"/>
  <c r="BO47" i="4" s="1"/>
  <c r="BM115" i="4"/>
  <c r="BO115" i="4" s="1"/>
  <c r="BM15" i="4"/>
  <c r="BN15" i="4" s="1"/>
  <c r="BM39" i="4"/>
  <c r="BO39" i="4" s="1"/>
  <c r="BM101" i="4"/>
  <c r="BO101" i="4" s="1"/>
  <c r="BM141" i="4"/>
  <c r="BO141" i="4" s="1"/>
  <c r="BM79" i="4"/>
  <c r="BN79" i="4" s="1"/>
  <c r="BM114" i="4"/>
  <c r="BO114" i="4" s="1"/>
  <c r="BD144" i="4"/>
  <c r="BE144" i="4" s="1"/>
  <c r="BJ144" i="4" s="1"/>
  <c r="BD10" i="4"/>
  <c r="BE10" i="4" s="1"/>
  <c r="BJ10" i="4" s="1"/>
  <c r="BD108" i="4"/>
  <c r="BE108" i="4" s="1"/>
  <c r="BJ108" i="4" s="1"/>
  <c r="BD56" i="4"/>
  <c r="BE56" i="4" s="1"/>
  <c r="BJ56" i="4" s="1"/>
  <c r="BD37" i="4"/>
  <c r="BE37" i="4" s="1"/>
  <c r="BJ37" i="4" s="1"/>
  <c r="BL14" i="4"/>
  <c r="BM14" i="4" s="1"/>
  <c r="BD15" i="4"/>
  <c r="BE15" i="4" s="1"/>
  <c r="BJ15" i="4" s="1"/>
  <c r="BD111" i="4"/>
  <c r="BE111" i="4" s="1"/>
  <c r="BJ111" i="4" s="1"/>
  <c r="BD125" i="4"/>
  <c r="BE125" i="4" s="1"/>
  <c r="BJ125" i="4" s="1"/>
  <c r="BD72" i="4"/>
  <c r="BE72" i="4" s="1"/>
  <c r="BJ72" i="4" s="1"/>
  <c r="BD138" i="4"/>
  <c r="BE138" i="4" s="1"/>
  <c r="BJ138" i="4" s="1"/>
  <c r="BD47" i="4"/>
  <c r="BE47" i="4" s="1"/>
  <c r="BJ47" i="4" s="1"/>
  <c r="BD90" i="4"/>
  <c r="BE90" i="4" s="1"/>
  <c r="BJ90" i="4" s="1"/>
  <c r="BD154" i="4"/>
  <c r="BE154" i="4" s="1"/>
  <c r="BJ154" i="4" s="1"/>
  <c r="BD63" i="4"/>
  <c r="BE63" i="4" s="1"/>
  <c r="BJ63" i="4" s="1"/>
  <c r="BD157" i="4"/>
  <c r="BE157" i="4" s="1"/>
  <c r="BJ157" i="4" s="1"/>
  <c r="BD26" i="4"/>
  <c r="BE26" i="4" s="1"/>
  <c r="BJ26" i="4" s="1"/>
  <c r="BD148" i="4"/>
  <c r="BE148" i="4" s="1"/>
  <c r="BJ148" i="4" s="1"/>
  <c r="BD142" i="4"/>
  <c r="BE142" i="4" s="1"/>
  <c r="BJ142" i="4" s="1"/>
  <c r="BD49" i="4"/>
  <c r="BE49" i="4" s="1"/>
  <c r="BJ49" i="4" s="1"/>
  <c r="BD88" i="4"/>
  <c r="BE88" i="4" s="1"/>
  <c r="BJ88" i="4" s="1"/>
  <c r="BD137" i="4"/>
  <c r="BE137" i="4" s="1"/>
  <c r="BJ137" i="4" s="1"/>
  <c r="BD112" i="4"/>
  <c r="BE112" i="4" s="1"/>
  <c r="BJ112" i="4" s="1"/>
  <c r="BD79" i="4"/>
  <c r="BE79" i="4" s="1"/>
  <c r="BJ79" i="4" s="1"/>
  <c r="BD126" i="4"/>
  <c r="BE126" i="4" s="1"/>
  <c r="BJ126" i="4" s="1"/>
  <c r="BD124" i="4"/>
  <c r="BE124" i="4" s="1"/>
  <c r="BJ124" i="4" s="1"/>
  <c r="BD103" i="4"/>
  <c r="BE103" i="4" s="1"/>
  <c r="BJ103" i="4" s="1"/>
  <c r="BD76" i="4"/>
  <c r="BE76" i="4" s="1"/>
  <c r="BJ76" i="4" s="1"/>
  <c r="BD12" i="4"/>
  <c r="BE12" i="4" s="1"/>
  <c r="BJ12" i="4" s="1"/>
  <c r="BD82" i="4"/>
  <c r="BE82" i="4" s="1"/>
  <c r="BJ82" i="4" s="1"/>
  <c r="BD46" i="4"/>
  <c r="BE46" i="4" s="1"/>
  <c r="BJ46" i="4" s="1"/>
  <c r="BD42" i="4"/>
  <c r="BE42" i="4" s="1"/>
  <c r="BJ42" i="4" s="1"/>
  <c r="BD22" i="4"/>
  <c r="BE22" i="4" s="1"/>
  <c r="BJ22" i="4" s="1"/>
  <c r="BD48" i="4"/>
  <c r="BE48" i="4" s="1"/>
  <c r="BJ48" i="4" s="1"/>
  <c r="BD120" i="4"/>
  <c r="BE120" i="4" s="1"/>
  <c r="BJ120" i="4" s="1"/>
  <c r="BD106" i="4"/>
  <c r="BE106" i="4" s="1"/>
  <c r="BJ106" i="4" s="1"/>
  <c r="BD99" i="4"/>
  <c r="BE99" i="4" s="1"/>
  <c r="BJ99" i="4" s="1"/>
  <c r="BD28" i="4"/>
  <c r="BE28" i="4" s="1"/>
  <c r="BJ28" i="4" s="1"/>
  <c r="BD77" i="4"/>
  <c r="BE77" i="4" s="1"/>
  <c r="BJ77" i="4" s="1"/>
  <c r="BD156" i="4"/>
  <c r="BE156" i="4" s="1"/>
  <c r="BJ156" i="4" s="1"/>
  <c r="BD135" i="4"/>
  <c r="BE135" i="4" s="1"/>
  <c r="BJ135" i="4" s="1"/>
  <c r="BD97" i="4"/>
  <c r="BE97" i="4" s="1"/>
  <c r="BJ97" i="4" s="1"/>
  <c r="BD153" i="4"/>
  <c r="BE153" i="4" s="1"/>
  <c r="BJ153" i="4" s="1"/>
  <c r="BN103" i="4"/>
  <c r="BD115" i="4"/>
  <c r="BE115" i="4" s="1"/>
  <c r="BJ115" i="4" s="1"/>
  <c r="BD145" i="4"/>
  <c r="BE145" i="4" s="1"/>
  <c r="BJ145" i="4" s="1"/>
  <c r="BD107" i="4"/>
  <c r="BE107" i="4" s="1"/>
  <c r="BJ107" i="4" s="1"/>
  <c r="BD95" i="4"/>
  <c r="BE95" i="4" s="1"/>
  <c r="BJ95" i="4" s="1"/>
  <c r="BD127" i="4"/>
  <c r="BE127" i="4" s="1"/>
  <c r="BJ127" i="4" s="1"/>
  <c r="BD51" i="4"/>
  <c r="BE51" i="4" s="1"/>
  <c r="BJ51" i="4" s="1"/>
  <c r="BD84" i="4"/>
  <c r="BE84" i="4" s="1"/>
  <c r="BJ84" i="4" s="1"/>
  <c r="BD39" i="4"/>
  <c r="BE39" i="4" s="1"/>
  <c r="BJ39" i="4" s="1"/>
  <c r="BO132" i="4"/>
  <c r="BO122" i="4"/>
  <c r="BD128" i="4"/>
  <c r="BD109" i="4"/>
  <c r="BE109" i="4" s="1"/>
  <c r="BJ109" i="4" s="1"/>
  <c r="BD121" i="4"/>
  <c r="BD155" i="4"/>
  <c r="BD50" i="4"/>
  <c r="BD158" i="4"/>
  <c r="BD83" i="4"/>
  <c r="BD80" i="4"/>
  <c r="BD60" i="4"/>
  <c r="BD55" i="4"/>
  <c r="BE55" i="4" s="1"/>
  <c r="BJ55" i="4" s="1"/>
  <c r="BD68" i="4"/>
  <c r="BN122" i="4"/>
  <c r="BD96" i="4"/>
  <c r="BD64" i="4"/>
  <c r="BD131" i="4"/>
  <c r="BD31" i="4"/>
  <c r="BD75" i="4"/>
  <c r="BE75" i="4" s="1"/>
  <c r="BJ75" i="4" s="1"/>
  <c r="BD70" i="4"/>
  <c r="BE70" i="4" s="1"/>
  <c r="BJ70" i="4" s="1"/>
  <c r="BD92" i="4"/>
  <c r="BD86" i="4"/>
  <c r="BD102" i="4"/>
  <c r="BD151" i="4"/>
  <c r="BD53" i="4"/>
  <c r="BN132" i="4"/>
  <c r="BD152" i="4"/>
  <c r="BD52" i="4"/>
  <c r="BD118" i="4"/>
  <c r="BD45" i="4"/>
  <c r="BD116" i="4"/>
  <c r="BD139" i="4"/>
  <c r="BD94" i="4"/>
  <c r="BD58" i="4"/>
  <c r="BD143" i="4"/>
  <c r="BD57" i="4"/>
  <c r="BD67" i="4"/>
  <c r="BD54" i="4"/>
  <c r="BD85" i="4"/>
  <c r="BD40" i="4"/>
  <c r="BD136" i="4"/>
  <c r="BD130" i="4"/>
  <c r="BD133" i="4"/>
  <c r="BD73" i="4"/>
  <c r="BD41" i="4"/>
  <c r="BD74" i="4"/>
  <c r="BD81" i="4"/>
  <c r="BD61" i="4"/>
  <c r="BD36" i="4"/>
  <c r="BD62" i="4"/>
  <c r="BD105" i="4"/>
  <c r="BD21" i="4"/>
  <c r="BD35" i="4"/>
  <c r="BD34" i="4"/>
  <c r="BE34" i="4" s="1"/>
  <c r="BJ34" i="4" s="1"/>
  <c r="BD32" i="4"/>
  <c r="BD140" i="4"/>
  <c r="BB78" i="4"/>
  <c r="BB8" i="4" s="1"/>
  <c r="BL78" i="4"/>
  <c r="BM78" i="4" s="1"/>
  <c r="BO29" i="4"/>
  <c r="BN29" i="4"/>
  <c r="BO11" i="4"/>
  <c r="BN130" i="4"/>
  <c r="BN51" i="4"/>
  <c r="BN11" i="4"/>
  <c r="BN20" i="4"/>
  <c r="BO20" i="4"/>
  <c r="BO113" i="4"/>
  <c r="BN60" i="4"/>
  <c r="BO71" i="4"/>
  <c r="BO98" i="4"/>
  <c r="BO18" i="4"/>
  <c r="BN102" i="4"/>
  <c r="BN18" i="4"/>
  <c r="BO155" i="4"/>
  <c r="BO123" i="4"/>
  <c r="BN123" i="4"/>
  <c r="BO33" i="4"/>
  <c r="BN71" i="4"/>
  <c r="BN55" i="4"/>
  <c r="BN151" i="4"/>
  <c r="BN146" i="4"/>
  <c r="BO25" i="4"/>
  <c r="BO146" i="4"/>
  <c r="BO44" i="4"/>
  <c r="BN76" i="4"/>
  <c r="BN25" i="4"/>
  <c r="BN44" i="4"/>
  <c r="BO147" i="4"/>
  <c r="BO91" i="4"/>
  <c r="BN80" i="4"/>
  <c r="BN33" i="4"/>
  <c r="BO117" i="4"/>
  <c r="BN147" i="4"/>
  <c r="BN98" i="4"/>
  <c r="BC78" i="4"/>
  <c r="BO50" i="4"/>
  <c r="BO152" i="4"/>
  <c r="BN149" i="4"/>
  <c r="BO149" i="4"/>
  <c r="BD25" i="4"/>
  <c r="BN50" i="4"/>
  <c r="BD132" i="4"/>
  <c r="BO106" i="4"/>
  <c r="BN152" i="4"/>
  <c r="BO26" i="4"/>
  <c r="BD91" i="4"/>
  <c r="BN155" i="4"/>
  <c r="BD146" i="4"/>
  <c r="BN26" i="4"/>
  <c r="BN81" i="4"/>
  <c r="BN91" i="4"/>
  <c r="BO65" i="4"/>
  <c r="BO86" i="4"/>
  <c r="BN99" i="4"/>
  <c r="BO107" i="4"/>
  <c r="BN24" i="4"/>
  <c r="BO24" i="4"/>
  <c r="BD117" i="4"/>
  <c r="BD114" i="4"/>
  <c r="BO99" i="4"/>
  <c r="BO76" i="4"/>
  <c r="BD113" i="4"/>
  <c r="BN106" i="4"/>
  <c r="BD71" i="4"/>
  <c r="BN150" i="4"/>
  <c r="BN95" i="4"/>
  <c r="BO154" i="4"/>
  <c r="BN89" i="4"/>
  <c r="BO150" i="4"/>
  <c r="BO95" i="4"/>
  <c r="BN113" i="4"/>
  <c r="BN140" i="4"/>
  <c r="BO89" i="4"/>
  <c r="BO81" i="4"/>
  <c r="BN45" i="4"/>
  <c r="BO32" i="4"/>
  <c r="BN107" i="4"/>
  <c r="BD129" i="4"/>
  <c r="BN86" i="4"/>
  <c r="BO100" i="4"/>
  <c r="BN116" i="4"/>
  <c r="BN92" i="4"/>
  <c r="BO92" i="4"/>
  <c r="BO116" i="4"/>
  <c r="BN125" i="4"/>
  <c r="BN65" i="4"/>
  <c r="BO125" i="4"/>
  <c r="BN100" i="4"/>
  <c r="BO127" i="4"/>
  <c r="BN156" i="4"/>
  <c r="BN127" i="4"/>
  <c r="BO156" i="4"/>
  <c r="BN19" i="4"/>
  <c r="BO19" i="4"/>
  <c r="BN32" i="4"/>
  <c r="BN117" i="4"/>
  <c r="BO140" i="4"/>
  <c r="BO102" i="4"/>
  <c r="BD147" i="4"/>
  <c r="BO45" i="4"/>
  <c r="BO103" i="4"/>
  <c r="BO60" i="4"/>
  <c r="BD13" i="4"/>
  <c r="BD33" i="4"/>
  <c r="BD100" i="4"/>
  <c r="BO51" i="4"/>
  <c r="BN28" i="4"/>
  <c r="BN108" i="4"/>
  <c r="BD122" i="4"/>
  <c r="BN57" i="4"/>
  <c r="BO28" i="4"/>
  <c r="BO108" i="4"/>
  <c r="BO57" i="4"/>
  <c r="BO151" i="4"/>
  <c r="BN67" i="4"/>
  <c r="BN56" i="4"/>
  <c r="BN82" i="4"/>
  <c r="BO80" i="4"/>
  <c r="BO17" i="4"/>
  <c r="BO67" i="4"/>
  <c r="BO56" i="4"/>
  <c r="BO82" i="4"/>
  <c r="BN46" i="4"/>
  <c r="BN121" i="4"/>
  <c r="BD98" i="4"/>
  <c r="BN23" i="4"/>
  <c r="BO55" i="4"/>
  <c r="BN62" i="4"/>
  <c r="BO130" i="4"/>
  <c r="BO23" i="4"/>
  <c r="BO62" i="4"/>
  <c r="BN75" i="4"/>
  <c r="BO74" i="4"/>
  <c r="BO75" i="4"/>
  <c r="BO12" i="4"/>
  <c r="BD110" i="4"/>
  <c r="BN12" i="4"/>
  <c r="BN17" i="4"/>
  <c r="BO46" i="4"/>
  <c r="BO121" i="4"/>
  <c r="BN74" i="4"/>
  <c r="BN73" i="4"/>
  <c r="BN34" i="4"/>
  <c r="BN128" i="4"/>
  <c r="BO73" i="4"/>
  <c r="BN158" i="4"/>
  <c r="BO34" i="4"/>
  <c r="BO128" i="4"/>
  <c r="BO158" i="4"/>
  <c r="BN40" i="4"/>
  <c r="BD65" i="4"/>
  <c r="BO139" i="4"/>
  <c r="BD59" i="4"/>
  <c r="BN139" i="4"/>
  <c r="BO40" i="4"/>
  <c r="BN58" i="4"/>
  <c r="BO58" i="4"/>
  <c r="BN93" i="4"/>
  <c r="BD44" i="4"/>
  <c r="BN131" i="4"/>
  <c r="BN27" i="4"/>
  <c r="BO131" i="4"/>
  <c r="BO137" i="4"/>
  <c r="BN135" i="4"/>
  <c r="BD141" i="4"/>
  <c r="BO135" i="4"/>
  <c r="BD93" i="4"/>
  <c r="BO104" i="4"/>
  <c r="BN63" i="4"/>
  <c r="BO63" i="4"/>
  <c r="BN77" i="4"/>
  <c r="BD123" i="4"/>
  <c r="BN133" i="4"/>
  <c r="BO134" i="4"/>
  <c r="BN120" i="4"/>
  <c r="BO120" i="4"/>
  <c r="BN118" i="4"/>
  <c r="BO118" i="4"/>
  <c r="BN104" i="4"/>
  <c r="BN134" i="4"/>
  <c r="BO97" i="4"/>
  <c r="BN53" i="4"/>
  <c r="BN97" i="4"/>
  <c r="BO53" i="4"/>
  <c r="BD134" i="4"/>
  <c r="BO77" i="4"/>
  <c r="BN37" i="4"/>
  <c r="BN64" i="4"/>
  <c r="BO93" i="4"/>
  <c r="BO37" i="4"/>
  <c r="BD18" i="4"/>
  <c r="BN85" i="4"/>
  <c r="BO85" i="4"/>
  <c r="BD20" i="4"/>
  <c r="BD69" i="4"/>
  <c r="BO38" i="4"/>
  <c r="BN84" i="4"/>
  <c r="BO84" i="4"/>
  <c r="BN105" i="4"/>
  <c r="BN38" i="4"/>
  <c r="BO54" i="4"/>
  <c r="BO105" i="4"/>
  <c r="BO96" i="4"/>
  <c r="BO138" i="4"/>
  <c r="BO31" i="4"/>
  <c r="BN157" i="4"/>
  <c r="BN68" i="4"/>
  <c r="BO68" i="4"/>
  <c r="BD66" i="4"/>
  <c r="BO153" i="4"/>
  <c r="BN16" i="4"/>
  <c r="BN41" i="4"/>
  <c r="BO157" i="4"/>
  <c r="BN119" i="4"/>
  <c r="BO41" i="4"/>
  <c r="BO119" i="4"/>
  <c r="BN137" i="4"/>
  <c r="BN153" i="4"/>
  <c r="BO27" i="4"/>
  <c r="BO124" i="4"/>
  <c r="BD29" i="4"/>
  <c r="BO36" i="4"/>
  <c r="BN54" i="4"/>
  <c r="BD11" i="4"/>
  <c r="BN52" i="4"/>
  <c r="BO133" i="4"/>
  <c r="BO143" i="4"/>
  <c r="BO109" i="4"/>
  <c r="BN21" i="4"/>
  <c r="BN42" i="4"/>
  <c r="BD119" i="4"/>
  <c r="BO21" i="4"/>
  <c r="BO42" i="4"/>
  <c r="BD101" i="4"/>
  <c r="BN148" i="4"/>
  <c r="BN72" i="4"/>
  <c r="BN143" i="4"/>
  <c r="BO148" i="4"/>
  <c r="BO72" i="4"/>
  <c r="BN36" i="4"/>
  <c r="BD16" i="4"/>
  <c r="BN109" i="4"/>
  <c r="BN88" i="4"/>
  <c r="BO52" i="4"/>
  <c r="BN35" i="4"/>
  <c r="BE23" i="4"/>
  <c r="BJ23" i="4" s="1"/>
  <c r="BE38" i="4"/>
  <c r="BJ38" i="4" s="1"/>
  <c r="BO88" i="4"/>
  <c r="BO35" i="4"/>
  <c r="BN48" i="4"/>
  <c r="BN126" i="4"/>
  <c r="BE149" i="4"/>
  <c r="BJ149" i="4" s="1"/>
  <c r="BO126" i="4"/>
  <c r="BE89" i="4"/>
  <c r="BJ89" i="4" s="1"/>
  <c r="BE17" i="4"/>
  <c r="BJ17" i="4" s="1"/>
  <c r="BE24" i="4"/>
  <c r="BJ24" i="4" s="1"/>
  <c r="BE87" i="4"/>
  <c r="BJ87" i="4" s="1"/>
  <c r="BN31" i="4"/>
  <c r="BE150" i="4"/>
  <c r="BJ150" i="4" s="1"/>
  <c r="BE104" i="4"/>
  <c r="BJ104" i="4" s="1"/>
  <c r="BE27" i="4"/>
  <c r="BJ27" i="4" s="1"/>
  <c r="BN83" i="4"/>
  <c r="BO83" i="4"/>
  <c r="BO111" i="4"/>
  <c r="BE30" i="4"/>
  <c r="BJ30" i="4" s="1"/>
  <c r="BN111" i="4"/>
  <c r="BN90" i="4"/>
  <c r="BO16" i="4"/>
  <c r="BO48" i="4"/>
  <c r="BO64" i="4"/>
  <c r="BN94" i="4"/>
  <c r="BO136" i="4"/>
  <c r="BN144" i="4"/>
  <c r="BN136" i="4"/>
  <c r="BN138" i="4"/>
  <c r="BO61" i="4"/>
  <c r="BO90" i="4"/>
  <c r="BN96" i="4"/>
  <c r="BO94" i="4"/>
  <c r="BO144" i="4"/>
  <c r="BN124" i="4"/>
  <c r="BN112" i="4"/>
  <c r="BO49" i="4"/>
  <c r="BO112" i="4"/>
  <c r="BN49" i="4"/>
  <c r="BN61" i="4"/>
  <c r="BN154" i="4"/>
  <c r="BP30" i="4"/>
  <c r="BQ30" i="4"/>
  <c r="F141" i="5"/>
  <c r="M141" i="5" s="1"/>
  <c r="BO9" i="4"/>
  <c r="BN9" i="4"/>
  <c r="E21" i="9" s="1"/>
  <c r="BD9" i="4"/>
  <c r="BN66" i="4" l="1"/>
  <c r="BN70" i="4"/>
  <c r="BN69" i="4"/>
  <c r="BP69" i="4" s="1"/>
  <c r="BP35" i="4"/>
  <c r="E47" i="9"/>
  <c r="N47" i="9" s="1"/>
  <c r="BQ53" i="4"/>
  <c r="E65" i="9"/>
  <c r="BQ34" i="4"/>
  <c r="E46" i="9"/>
  <c r="BQ100" i="4"/>
  <c r="E112" i="9"/>
  <c r="BP76" i="4"/>
  <c r="E88" i="9"/>
  <c r="M88" i="9" s="1"/>
  <c r="BP122" i="4"/>
  <c r="E134" i="9"/>
  <c r="M134" i="9" s="1"/>
  <c r="BP41" i="4"/>
  <c r="E53" i="9"/>
  <c r="M53" i="9" s="1"/>
  <c r="BP66" i="4"/>
  <c r="E78" i="9"/>
  <c r="M78" i="9" s="1"/>
  <c r="BQ88" i="4"/>
  <c r="E100" i="9"/>
  <c r="BP134" i="4"/>
  <c r="E146" i="9"/>
  <c r="M146" i="9" s="1"/>
  <c r="BQ80" i="4"/>
  <c r="E92" i="9"/>
  <c r="BP136" i="4"/>
  <c r="E148" i="9"/>
  <c r="N148" i="9" s="1"/>
  <c r="BP48" i="4"/>
  <c r="E60" i="9"/>
  <c r="M60" i="9" s="1"/>
  <c r="BQ109" i="4"/>
  <c r="E121" i="9"/>
  <c r="BP153" i="4"/>
  <c r="E165" i="9"/>
  <c r="M165" i="9" s="1"/>
  <c r="BP37" i="4"/>
  <c r="E49" i="9"/>
  <c r="N49" i="9" s="1"/>
  <c r="BQ104" i="4"/>
  <c r="E116" i="9"/>
  <c r="BP77" i="4"/>
  <c r="E89" i="9"/>
  <c r="M89" i="9" s="1"/>
  <c r="BP75" i="4"/>
  <c r="E87" i="9"/>
  <c r="M87" i="9" s="1"/>
  <c r="BQ121" i="4"/>
  <c r="E133" i="9"/>
  <c r="BQ56" i="4"/>
  <c r="E68" i="9"/>
  <c r="BP108" i="4"/>
  <c r="E120" i="9"/>
  <c r="M120" i="9" s="1"/>
  <c r="BP19" i="4"/>
  <c r="E31" i="9"/>
  <c r="M31" i="9" s="1"/>
  <c r="BP125" i="4"/>
  <c r="E137" i="9"/>
  <c r="N137" i="9" s="1"/>
  <c r="BQ107" i="4"/>
  <c r="E119" i="9"/>
  <c r="BP143" i="4"/>
  <c r="E155" i="9"/>
  <c r="M155" i="9" s="1"/>
  <c r="BQ140" i="4"/>
  <c r="E152" i="9"/>
  <c r="BQ15" i="4"/>
  <c r="E27" i="9"/>
  <c r="BP84" i="4"/>
  <c r="E96" i="9"/>
  <c r="M96" i="9" s="1"/>
  <c r="BP23" i="4"/>
  <c r="E35" i="9"/>
  <c r="M35" i="9" s="1"/>
  <c r="BP32" i="4"/>
  <c r="E44" i="9"/>
  <c r="M44" i="9" s="1"/>
  <c r="BP113" i="4"/>
  <c r="E125" i="9"/>
  <c r="N125" i="9" s="1"/>
  <c r="BQ123" i="4"/>
  <c r="E135" i="9"/>
  <c r="BP90" i="4"/>
  <c r="E102" i="9"/>
  <c r="N102" i="9" s="1"/>
  <c r="BP64" i="4"/>
  <c r="E76" i="9"/>
  <c r="M76" i="9" s="1"/>
  <c r="BP82" i="4"/>
  <c r="E94" i="9"/>
  <c r="N94" i="9" s="1"/>
  <c r="BP149" i="4"/>
  <c r="E161" i="9"/>
  <c r="N161" i="9" s="1"/>
  <c r="BP29" i="4"/>
  <c r="E41" i="9"/>
  <c r="M41" i="9" s="1"/>
  <c r="BP111" i="4"/>
  <c r="E123" i="9"/>
  <c r="N123" i="9" s="1"/>
  <c r="BQ124" i="4"/>
  <c r="E136" i="9"/>
  <c r="BP144" i="4"/>
  <c r="E156" i="9"/>
  <c r="M156" i="9" s="1"/>
  <c r="BQ52" i="4"/>
  <c r="E64" i="9"/>
  <c r="BP137" i="4"/>
  <c r="E149" i="9"/>
  <c r="N149" i="9" s="1"/>
  <c r="BQ139" i="4"/>
  <c r="E151" i="9"/>
  <c r="BQ46" i="4"/>
  <c r="E58" i="9"/>
  <c r="BQ67" i="4"/>
  <c r="E79" i="9"/>
  <c r="BP28" i="4"/>
  <c r="E40" i="9"/>
  <c r="N40" i="9" s="1"/>
  <c r="BQ89" i="4"/>
  <c r="E101" i="9"/>
  <c r="BP152" i="4"/>
  <c r="E164" i="9"/>
  <c r="M164" i="9" s="1"/>
  <c r="E81" i="9"/>
  <c r="M81" i="9" s="1"/>
  <c r="BP146" i="4"/>
  <c r="E158" i="9"/>
  <c r="M158" i="9" s="1"/>
  <c r="BP18" i="4"/>
  <c r="E30" i="9"/>
  <c r="BP20" i="4"/>
  <c r="E32" i="9"/>
  <c r="M32" i="9" s="1"/>
  <c r="BP132" i="4"/>
  <c r="E144" i="9"/>
  <c r="N144" i="9" s="1"/>
  <c r="BP79" i="4"/>
  <c r="E91" i="9"/>
  <c r="N91" i="9" s="1"/>
  <c r="BQ22" i="4"/>
  <c r="E34" i="9"/>
  <c r="BP93" i="4"/>
  <c r="E105" i="9"/>
  <c r="N105" i="9" s="1"/>
  <c r="BP133" i="4"/>
  <c r="E145" i="9"/>
  <c r="M145" i="9" s="1"/>
  <c r="BP70" i="4"/>
  <c r="E82" i="9"/>
  <c r="N82" i="9" s="1"/>
  <c r="BP86" i="4"/>
  <c r="E98" i="9"/>
  <c r="M98" i="9" s="1"/>
  <c r="BP33" i="4"/>
  <c r="E45" i="9"/>
  <c r="N45" i="9" s="1"/>
  <c r="BP60" i="4"/>
  <c r="E72" i="9"/>
  <c r="M72" i="9" s="1"/>
  <c r="BP126" i="4"/>
  <c r="E138" i="9"/>
  <c r="M138" i="9" s="1"/>
  <c r="BQ16" i="4"/>
  <c r="E28" i="9"/>
  <c r="BP135" i="4"/>
  <c r="E147" i="9"/>
  <c r="M147" i="9" s="1"/>
  <c r="BP65" i="4"/>
  <c r="E77" i="9"/>
  <c r="N77" i="9" s="1"/>
  <c r="BQ99" i="4"/>
  <c r="E111" i="9"/>
  <c r="BP110" i="4"/>
  <c r="E122" i="9"/>
  <c r="M122" i="9" s="1"/>
  <c r="BP112" i="4"/>
  <c r="E124" i="9"/>
  <c r="N124" i="9" s="1"/>
  <c r="BQ31" i="4"/>
  <c r="E43" i="9"/>
  <c r="BP36" i="4"/>
  <c r="E48" i="9"/>
  <c r="N48" i="9" s="1"/>
  <c r="BP118" i="4"/>
  <c r="E130" i="9"/>
  <c r="M130" i="9" s="1"/>
  <c r="BP63" i="4"/>
  <c r="E75" i="9"/>
  <c r="M75" i="9" s="1"/>
  <c r="BP27" i="4"/>
  <c r="E39" i="9"/>
  <c r="M39" i="9" s="1"/>
  <c r="BP158" i="4"/>
  <c r="E170" i="9"/>
  <c r="N170" i="9" s="1"/>
  <c r="BP17" i="4"/>
  <c r="E29" i="9"/>
  <c r="BP127" i="4"/>
  <c r="E139" i="9"/>
  <c r="M139" i="9" s="1"/>
  <c r="BP45" i="4"/>
  <c r="E57" i="9"/>
  <c r="M57" i="9" s="1"/>
  <c r="BP91" i="4"/>
  <c r="E103" i="9"/>
  <c r="N103" i="9" s="1"/>
  <c r="BQ151" i="4"/>
  <c r="E163" i="9"/>
  <c r="BP102" i="4"/>
  <c r="E114" i="9"/>
  <c r="M114" i="9" s="1"/>
  <c r="BQ11" i="4"/>
  <c r="E23" i="9"/>
  <c r="BP49" i="4"/>
  <c r="E61" i="9"/>
  <c r="N61" i="9" s="1"/>
  <c r="BP24" i="4"/>
  <c r="E36" i="9"/>
  <c r="M36" i="9" s="1"/>
  <c r="BP72" i="4"/>
  <c r="E84" i="9"/>
  <c r="M84" i="9" s="1"/>
  <c r="BP73" i="4"/>
  <c r="E85" i="9"/>
  <c r="N85" i="9" s="1"/>
  <c r="BP155" i="4"/>
  <c r="E167" i="9"/>
  <c r="M167" i="9" s="1"/>
  <c r="BQ74" i="4"/>
  <c r="E86" i="9"/>
  <c r="BP68" i="4"/>
  <c r="E80" i="9"/>
  <c r="M80" i="9" s="1"/>
  <c r="BP85" i="4"/>
  <c r="E97" i="9"/>
  <c r="N97" i="9" s="1"/>
  <c r="BP131" i="4"/>
  <c r="E143" i="9"/>
  <c r="N143" i="9" s="1"/>
  <c r="BP12" i="4"/>
  <c r="E24" i="9"/>
  <c r="N24" i="9" s="1"/>
  <c r="BQ156" i="4"/>
  <c r="E168" i="9"/>
  <c r="BP92" i="4"/>
  <c r="E104" i="9"/>
  <c r="N104" i="9" s="1"/>
  <c r="BQ95" i="4"/>
  <c r="E107" i="9"/>
  <c r="BP81" i="4"/>
  <c r="E93" i="9"/>
  <c r="M93" i="9" s="1"/>
  <c r="BQ98" i="4"/>
  <c r="E110" i="9"/>
  <c r="BP44" i="4"/>
  <c r="E56" i="9"/>
  <c r="M56" i="9" s="1"/>
  <c r="BP55" i="4"/>
  <c r="E67" i="9"/>
  <c r="N67" i="9" s="1"/>
  <c r="BQ51" i="4"/>
  <c r="E63" i="9"/>
  <c r="BP103" i="4"/>
  <c r="E115" i="9"/>
  <c r="M115" i="9" s="1"/>
  <c r="BQ21" i="4"/>
  <c r="E33" i="9"/>
  <c r="BP117" i="4"/>
  <c r="E129" i="9"/>
  <c r="N129" i="9" s="1"/>
  <c r="BP40" i="4"/>
  <c r="E52" i="9"/>
  <c r="M52" i="9" s="1"/>
  <c r="BQ57" i="4"/>
  <c r="E69" i="9"/>
  <c r="BP106" i="4"/>
  <c r="E118" i="9"/>
  <c r="N118" i="9" s="1"/>
  <c r="BQ138" i="4"/>
  <c r="E150" i="9"/>
  <c r="BP148" i="4"/>
  <c r="E160" i="9"/>
  <c r="M160" i="9" s="1"/>
  <c r="BQ58" i="4"/>
  <c r="E70" i="9"/>
  <c r="BP154" i="4"/>
  <c r="E166" i="9"/>
  <c r="N166" i="9" s="1"/>
  <c r="BP94" i="4"/>
  <c r="E106" i="9"/>
  <c r="N106" i="9" s="1"/>
  <c r="BP54" i="4"/>
  <c r="E66" i="9"/>
  <c r="M66" i="9" s="1"/>
  <c r="BP38" i="4"/>
  <c r="E50" i="9"/>
  <c r="N50" i="9" s="1"/>
  <c r="BP61" i="4"/>
  <c r="E73" i="9"/>
  <c r="N73" i="9" s="1"/>
  <c r="BP96" i="4"/>
  <c r="E108" i="9"/>
  <c r="N108" i="9" s="1"/>
  <c r="BP83" i="4"/>
  <c r="E95" i="9"/>
  <c r="M95" i="9" s="1"/>
  <c r="BQ42" i="4"/>
  <c r="E54" i="9"/>
  <c r="BP119" i="4"/>
  <c r="E131" i="9"/>
  <c r="N131" i="9" s="1"/>
  <c r="BP157" i="4"/>
  <c r="E169" i="9"/>
  <c r="N169" i="9" s="1"/>
  <c r="BP105" i="4"/>
  <c r="E117" i="9"/>
  <c r="N117" i="9" s="1"/>
  <c r="BP97" i="4"/>
  <c r="E109" i="9"/>
  <c r="M109" i="9" s="1"/>
  <c r="BP120" i="4"/>
  <c r="E132" i="9"/>
  <c r="N132" i="9" s="1"/>
  <c r="BP128" i="4"/>
  <c r="E140" i="9"/>
  <c r="M140" i="9" s="1"/>
  <c r="BP62" i="4"/>
  <c r="E74" i="9"/>
  <c r="M74" i="9" s="1"/>
  <c r="BP116" i="4"/>
  <c r="E128" i="9"/>
  <c r="N128" i="9" s="1"/>
  <c r="BP150" i="4"/>
  <c r="E162" i="9"/>
  <c r="N162" i="9" s="1"/>
  <c r="BQ26" i="4"/>
  <c r="E38" i="9"/>
  <c r="BQ50" i="4"/>
  <c r="E62" i="9"/>
  <c r="BP147" i="4"/>
  <c r="E159" i="9"/>
  <c r="N159" i="9" s="1"/>
  <c r="BP25" i="4"/>
  <c r="E37" i="9"/>
  <c r="M37" i="9" s="1"/>
  <c r="BP71" i="4"/>
  <c r="E83" i="9"/>
  <c r="M83" i="9" s="1"/>
  <c r="BP130" i="4"/>
  <c r="E142" i="9"/>
  <c r="M142" i="9" s="1"/>
  <c r="BC8" i="4"/>
  <c r="BQ9" i="4"/>
  <c r="BP9" i="4"/>
  <c r="BN141" i="4"/>
  <c r="BN115" i="4"/>
  <c r="BN13" i="4"/>
  <c r="BN87" i="4"/>
  <c r="BN114" i="4"/>
  <c r="BN142" i="4"/>
  <c r="BN39" i="4"/>
  <c r="BN59" i="4"/>
  <c r="BN47" i="4"/>
  <c r="BN101" i="4"/>
  <c r="BN145" i="4"/>
  <c r="BN129" i="4"/>
  <c r="BO79" i="4"/>
  <c r="BO15" i="4"/>
  <c r="BO110" i="4"/>
  <c r="BO22" i="4"/>
  <c r="BQ103" i="4"/>
  <c r="BQ132" i="4"/>
  <c r="BE92" i="4"/>
  <c r="BJ92" i="4" s="1"/>
  <c r="BE128" i="4"/>
  <c r="BJ128" i="4" s="1"/>
  <c r="BE60" i="4"/>
  <c r="BJ60" i="4" s="1"/>
  <c r="BE152" i="4"/>
  <c r="BJ152" i="4" s="1"/>
  <c r="BE68" i="4"/>
  <c r="BJ68" i="4" s="1"/>
  <c r="BE67" i="4"/>
  <c r="BJ67" i="4" s="1"/>
  <c r="BE121" i="4"/>
  <c r="BJ121" i="4" s="1"/>
  <c r="BE118" i="4"/>
  <c r="BJ118" i="4" s="1"/>
  <c r="BE74" i="4"/>
  <c r="BJ74" i="4" s="1"/>
  <c r="BE155" i="4"/>
  <c r="BJ155" i="4" s="1"/>
  <c r="BQ122" i="4"/>
  <c r="BE45" i="4"/>
  <c r="BJ45" i="4" s="1"/>
  <c r="BE139" i="4"/>
  <c r="BJ139" i="4" s="1"/>
  <c r="BE96" i="4"/>
  <c r="BJ96" i="4" s="1"/>
  <c r="BE102" i="4"/>
  <c r="BJ102" i="4" s="1"/>
  <c r="BE83" i="4"/>
  <c r="BJ83" i="4" s="1"/>
  <c r="BE131" i="4"/>
  <c r="BJ131" i="4" s="1"/>
  <c r="BE53" i="4"/>
  <c r="BJ53" i="4" s="1"/>
  <c r="BE80" i="4"/>
  <c r="BJ80" i="4" s="1"/>
  <c r="BE116" i="4"/>
  <c r="BJ116" i="4" s="1"/>
  <c r="BE31" i="4"/>
  <c r="BJ31" i="4" s="1"/>
  <c r="BE140" i="4"/>
  <c r="BJ140" i="4" s="1"/>
  <c r="BE158" i="4"/>
  <c r="BJ158" i="4" s="1"/>
  <c r="BE50" i="4"/>
  <c r="BJ50" i="4" s="1"/>
  <c r="BE64" i="4"/>
  <c r="BJ64" i="4" s="1"/>
  <c r="BE151" i="4"/>
  <c r="BJ151" i="4" s="1"/>
  <c r="BE52" i="4"/>
  <c r="BJ52" i="4" s="1"/>
  <c r="BE54" i="4"/>
  <c r="BJ54" i="4" s="1"/>
  <c r="BE57" i="4"/>
  <c r="BJ57" i="4" s="1"/>
  <c r="BE86" i="4"/>
  <c r="BJ86" i="4" s="1"/>
  <c r="BE94" i="4"/>
  <c r="BJ94" i="4" s="1"/>
  <c r="BE36" i="4"/>
  <c r="BJ36" i="4" s="1"/>
  <c r="BE136" i="4"/>
  <c r="BJ136" i="4" s="1"/>
  <c r="BE40" i="4"/>
  <c r="BJ40" i="4" s="1"/>
  <c r="BE61" i="4"/>
  <c r="BJ61" i="4" s="1"/>
  <c r="BE58" i="4"/>
  <c r="BJ58" i="4" s="1"/>
  <c r="BE130" i="4"/>
  <c r="BJ130" i="4" s="1"/>
  <c r="BE62" i="4"/>
  <c r="BJ62" i="4" s="1"/>
  <c r="BE143" i="4"/>
  <c r="BJ143" i="4" s="1"/>
  <c r="BE133" i="4"/>
  <c r="BJ133" i="4" s="1"/>
  <c r="BE105" i="4"/>
  <c r="BJ105" i="4" s="1"/>
  <c r="BP51" i="4"/>
  <c r="BE41" i="4"/>
  <c r="BJ41" i="4" s="1"/>
  <c r="BE35" i="4"/>
  <c r="BJ35" i="4" s="1"/>
  <c r="BE32" i="4"/>
  <c r="BJ32" i="4" s="1"/>
  <c r="BE81" i="4"/>
  <c r="BJ81" i="4" s="1"/>
  <c r="BE85" i="4"/>
  <c r="BJ85" i="4" s="1"/>
  <c r="BE21" i="4"/>
  <c r="BJ21" i="4" s="1"/>
  <c r="BE73" i="4"/>
  <c r="BJ73" i="4" s="1"/>
  <c r="BQ29" i="4"/>
  <c r="BQ66" i="4"/>
  <c r="BP123" i="4"/>
  <c r="BQ130" i="4"/>
  <c r="BP11" i="4"/>
  <c r="BQ60" i="4"/>
  <c r="BQ20" i="4"/>
  <c r="BQ25" i="4"/>
  <c r="BQ102" i="4"/>
  <c r="BQ71" i="4"/>
  <c r="BQ55" i="4"/>
  <c r="BP98" i="4"/>
  <c r="N110" i="9" s="1"/>
  <c r="BP80" i="4"/>
  <c r="BQ33" i="4"/>
  <c r="BP151" i="4"/>
  <c r="BQ146" i="4"/>
  <c r="BQ18" i="4"/>
  <c r="BQ69" i="4"/>
  <c r="BQ76" i="4"/>
  <c r="BQ44" i="4"/>
  <c r="BQ147" i="4"/>
  <c r="BQ149" i="4"/>
  <c r="BP50" i="4"/>
  <c r="BE132" i="4"/>
  <c r="BJ132" i="4" s="1"/>
  <c r="BQ91" i="4"/>
  <c r="BQ155" i="4"/>
  <c r="BE25" i="4"/>
  <c r="BJ25" i="4" s="1"/>
  <c r="BP26" i="4"/>
  <c r="BQ152" i="4"/>
  <c r="BE91" i="4"/>
  <c r="BJ91" i="4" s="1"/>
  <c r="BE146" i="4"/>
  <c r="BJ146" i="4" s="1"/>
  <c r="BP99" i="4"/>
  <c r="N111" i="9" s="1"/>
  <c r="BQ81" i="4"/>
  <c r="BQ150" i="4"/>
  <c r="BP156" i="4"/>
  <c r="N42" i="9"/>
  <c r="BP95" i="4"/>
  <c r="BQ24" i="4"/>
  <c r="BQ106" i="4"/>
  <c r="BE114" i="4"/>
  <c r="BJ114" i="4" s="1"/>
  <c r="BE71" i="4"/>
  <c r="BJ71" i="4" s="1"/>
  <c r="BE113" i="4"/>
  <c r="BJ113" i="4" s="1"/>
  <c r="BQ70" i="4"/>
  <c r="BE117" i="4"/>
  <c r="BJ117" i="4" s="1"/>
  <c r="BQ45" i="4"/>
  <c r="BP89" i="4"/>
  <c r="BQ116" i="4"/>
  <c r="BP140" i="4"/>
  <c r="BQ113" i="4"/>
  <c r="BP100" i="4"/>
  <c r="BP107" i="4"/>
  <c r="BE129" i="4"/>
  <c r="BJ129" i="4" s="1"/>
  <c r="BQ117" i="4"/>
  <c r="BQ86" i="4"/>
  <c r="BQ127" i="4"/>
  <c r="BE33" i="4"/>
  <c r="BJ33" i="4" s="1"/>
  <c r="BQ65" i="4"/>
  <c r="BQ158" i="4"/>
  <c r="BQ79" i="4"/>
  <c r="BQ92" i="4"/>
  <c r="BE147" i="4"/>
  <c r="BJ147" i="4" s="1"/>
  <c r="BQ32" i="4"/>
  <c r="BQ125" i="4"/>
  <c r="BP67" i="4"/>
  <c r="BQ19" i="4"/>
  <c r="BQ17" i="4"/>
  <c r="BQ93" i="4"/>
  <c r="BP22" i="4"/>
  <c r="BE100" i="4"/>
  <c r="BJ100" i="4" s="1"/>
  <c r="BE13" i="4"/>
  <c r="BJ13" i="4" s="1"/>
  <c r="BP74" i="4"/>
  <c r="BP53" i="4"/>
  <c r="BE66" i="4"/>
  <c r="BJ66" i="4" s="1"/>
  <c r="BE98" i="4"/>
  <c r="BJ98" i="4" s="1"/>
  <c r="BP88" i="4"/>
  <c r="BQ133" i="4"/>
  <c r="BQ12" i="4"/>
  <c r="BE122" i="4"/>
  <c r="BJ122" i="4" s="1"/>
  <c r="BE44" i="4"/>
  <c r="BJ44" i="4" s="1"/>
  <c r="BQ153" i="4"/>
  <c r="BE59" i="4"/>
  <c r="BJ59" i="4" s="1"/>
  <c r="BE18" i="4"/>
  <c r="BJ18" i="4" s="1"/>
  <c r="BP52" i="4"/>
  <c r="BP57" i="4"/>
  <c r="BP104" i="4"/>
  <c r="N116" i="9" s="1"/>
  <c r="BQ28" i="4"/>
  <c r="BP15" i="4"/>
  <c r="BP34" i="4"/>
  <c r="BP121" i="4"/>
  <c r="BP56" i="4"/>
  <c r="BQ97" i="4"/>
  <c r="BQ110" i="4"/>
  <c r="BP46" i="4"/>
  <c r="N58" i="9" s="1"/>
  <c r="BP16" i="4"/>
  <c r="BQ131" i="4"/>
  <c r="BQ120" i="4"/>
  <c r="BQ84" i="4"/>
  <c r="BQ75" i="4"/>
  <c r="BQ82" i="4"/>
  <c r="BP139" i="4"/>
  <c r="BQ108" i="4"/>
  <c r="BQ23" i="4"/>
  <c r="BQ73" i="4"/>
  <c r="BE65" i="4"/>
  <c r="BJ65" i="4" s="1"/>
  <c r="BQ128" i="4"/>
  <c r="BQ62" i="4"/>
  <c r="BE110" i="4"/>
  <c r="BJ110" i="4" s="1"/>
  <c r="BQ40" i="4"/>
  <c r="BE93" i="4"/>
  <c r="BJ93" i="4" s="1"/>
  <c r="BQ77" i="4"/>
  <c r="BQ37" i="4"/>
  <c r="BP58" i="4"/>
  <c r="BE69" i="4"/>
  <c r="BJ69" i="4" s="1"/>
  <c r="BQ83" i="4"/>
  <c r="BQ54" i="4"/>
  <c r="BQ135" i="4"/>
  <c r="BE123" i="4"/>
  <c r="BJ123" i="4" s="1"/>
  <c r="BE141" i="4"/>
  <c r="BJ141" i="4" s="1"/>
  <c r="BP124" i="4"/>
  <c r="BQ27" i="4"/>
  <c r="BE134" i="4"/>
  <c r="BJ134" i="4" s="1"/>
  <c r="BQ63" i="4"/>
  <c r="BQ118" i="4"/>
  <c r="BQ144" i="4"/>
  <c r="BQ85" i="4"/>
  <c r="BQ157" i="4"/>
  <c r="BP31" i="4"/>
  <c r="BQ105" i="4"/>
  <c r="BQ38" i="4"/>
  <c r="BQ134" i="4"/>
  <c r="BP42" i="4"/>
  <c r="BQ64" i="4"/>
  <c r="BQ72" i="4"/>
  <c r="BQ35" i="4"/>
  <c r="BQ68" i="4"/>
  <c r="BE20" i="4"/>
  <c r="BJ20" i="4" s="1"/>
  <c r="BP21" i="4"/>
  <c r="BQ90" i="4"/>
  <c r="BQ136" i="4"/>
  <c r="BQ143" i="4"/>
  <c r="BQ119" i="4"/>
  <c r="BQ126" i="4"/>
  <c r="BQ154" i="4"/>
  <c r="BQ41" i="4"/>
  <c r="BE29" i="4"/>
  <c r="BJ29" i="4" s="1"/>
  <c r="BQ148" i="4"/>
  <c r="BQ137" i="4"/>
  <c r="BQ36" i="4"/>
  <c r="BQ96" i="4"/>
  <c r="BQ94" i="4"/>
  <c r="BP109" i="4"/>
  <c r="BE11" i="4"/>
  <c r="BJ11" i="4" s="1"/>
  <c r="BE119" i="4"/>
  <c r="BJ119" i="4" s="1"/>
  <c r="BP138" i="4"/>
  <c r="BE101" i="4"/>
  <c r="BJ101" i="4" s="1"/>
  <c r="BE14" i="4"/>
  <c r="BJ14" i="4" s="1"/>
  <c r="BQ48" i="4"/>
  <c r="BQ111" i="4"/>
  <c r="BE16" i="4"/>
  <c r="BJ16" i="4" s="1"/>
  <c r="BQ61" i="4"/>
  <c r="BQ112" i="4"/>
  <c r="BQ49" i="4"/>
  <c r="BO14" i="4"/>
  <c r="BO10" i="4"/>
  <c r="BN10" i="4"/>
  <c r="BN14" i="4"/>
  <c r="E26" i="9" s="1"/>
  <c r="N36" i="9"/>
  <c r="BD78" i="4"/>
  <c r="M144" i="5"/>
  <c r="K171" i="5" s="1"/>
  <c r="M171" i="5" s="1"/>
  <c r="F175" i="5" s="1"/>
  <c r="M178" i="5" s="1"/>
  <c r="BE9" i="4"/>
  <c r="N136" i="9" l="1"/>
  <c r="N54" i="9"/>
  <c r="M47" i="9"/>
  <c r="N88" i="9"/>
  <c r="N96" i="9"/>
  <c r="N60" i="9"/>
  <c r="N134" i="9"/>
  <c r="N155" i="9"/>
  <c r="N121" i="9"/>
  <c r="N65" i="9"/>
  <c r="N64" i="9"/>
  <c r="N79" i="9"/>
  <c r="N32" i="9"/>
  <c r="N114" i="9"/>
  <c r="M161" i="9"/>
  <c r="N164" i="9"/>
  <c r="N152" i="9"/>
  <c r="N158" i="9"/>
  <c r="N139" i="9"/>
  <c r="N35" i="9"/>
  <c r="N89" i="9"/>
  <c r="N81" i="9"/>
  <c r="M102" i="9"/>
  <c r="M105" i="9"/>
  <c r="N156" i="9"/>
  <c r="M43" i="9"/>
  <c r="N41" i="9"/>
  <c r="N142" i="9"/>
  <c r="M132" i="9"/>
  <c r="M123" i="9"/>
  <c r="M77" i="9"/>
  <c r="N165" i="9"/>
  <c r="N53" i="9"/>
  <c r="N31" i="9"/>
  <c r="N68" i="9"/>
  <c r="N100" i="9"/>
  <c r="N119" i="9"/>
  <c r="M135" i="9"/>
  <c r="M149" i="9"/>
  <c r="N120" i="9"/>
  <c r="N130" i="9"/>
  <c r="N44" i="9"/>
  <c r="N146" i="9"/>
  <c r="N76" i="9"/>
  <c r="N122" i="9"/>
  <c r="M24" i="9"/>
  <c r="N87" i="9"/>
  <c r="N72" i="9"/>
  <c r="N109" i="9"/>
  <c r="M73" i="9"/>
  <c r="N95" i="9"/>
  <c r="N98" i="9"/>
  <c r="M124" i="9"/>
  <c r="N57" i="9"/>
  <c r="M104" i="9"/>
  <c r="N75" i="9"/>
  <c r="N39" i="9"/>
  <c r="N66" i="9"/>
  <c r="N29" i="9"/>
  <c r="N86" i="9"/>
  <c r="N62" i="9"/>
  <c r="N163" i="9"/>
  <c r="N140" i="9"/>
  <c r="N145" i="9"/>
  <c r="N160" i="9"/>
  <c r="N52" i="9"/>
  <c r="N56" i="9"/>
  <c r="N167" i="9"/>
  <c r="M117" i="9"/>
  <c r="N80" i="9"/>
  <c r="N93" i="9"/>
  <c r="N147" i="9"/>
  <c r="N115" i="9"/>
  <c r="N37" i="9"/>
  <c r="N74" i="9"/>
  <c r="N84" i="9"/>
  <c r="N83" i="9"/>
  <c r="M108" i="9"/>
  <c r="N138" i="9"/>
  <c r="N101" i="9"/>
  <c r="M129" i="9"/>
  <c r="M61" i="9"/>
  <c r="M48" i="9"/>
  <c r="M166" i="9"/>
  <c r="M94" i="9"/>
  <c r="M162" i="9"/>
  <c r="M97" i="9"/>
  <c r="M143" i="9"/>
  <c r="N151" i="9"/>
  <c r="M69" i="9"/>
  <c r="N107" i="9"/>
  <c r="N92" i="9"/>
  <c r="N23" i="9"/>
  <c r="BP59" i="4"/>
  <c r="E71" i="9"/>
  <c r="N71" i="9" s="1"/>
  <c r="BP145" i="4"/>
  <c r="E157" i="9"/>
  <c r="N157" i="9" s="1"/>
  <c r="N34" i="9"/>
  <c r="BP13" i="4"/>
  <c r="E25" i="9"/>
  <c r="M25" i="9" s="1"/>
  <c r="BP101" i="4"/>
  <c r="E113" i="9"/>
  <c r="M113" i="9" s="1"/>
  <c r="BP47" i="4"/>
  <c r="E59" i="9"/>
  <c r="M59" i="9" s="1"/>
  <c r="BP39" i="4"/>
  <c r="E51" i="9"/>
  <c r="N51" i="9" s="1"/>
  <c r="M85" i="9"/>
  <c r="M159" i="9"/>
  <c r="M106" i="9"/>
  <c r="M148" i="9"/>
  <c r="M67" i="9"/>
  <c r="M103" i="9"/>
  <c r="M131" i="9"/>
  <c r="M50" i="9"/>
  <c r="M144" i="9"/>
  <c r="M91" i="9"/>
  <c r="M170" i="9"/>
  <c r="M49" i="9"/>
  <c r="M128" i="9"/>
  <c r="M40" i="9"/>
  <c r="M125" i="9"/>
  <c r="M118" i="9"/>
  <c r="M45" i="9"/>
  <c r="M82" i="9"/>
  <c r="M137" i="9"/>
  <c r="M169" i="9"/>
  <c r="N150" i="9"/>
  <c r="M168" i="9"/>
  <c r="BP142" i="4"/>
  <c r="E154" i="9"/>
  <c r="M154" i="9" s="1"/>
  <c r="BP115" i="4"/>
  <c r="E127" i="9"/>
  <c r="N127" i="9" s="1"/>
  <c r="N78" i="9"/>
  <c r="BP10" i="4"/>
  <c r="E22" i="9"/>
  <c r="M22" i="9" s="1"/>
  <c r="N33" i="9"/>
  <c r="N133" i="9"/>
  <c r="BP141" i="4"/>
  <c r="E153" i="9"/>
  <c r="M153" i="9" s="1"/>
  <c r="N38" i="9"/>
  <c r="N112" i="9"/>
  <c r="BQ114" i="4"/>
  <c r="E126" i="9"/>
  <c r="N70" i="9"/>
  <c r="M46" i="9"/>
  <c r="M63" i="9"/>
  <c r="BQ129" i="4"/>
  <c r="E141" i="9"/>
  <c r="BQ87" i="4"/>
  <c r="E99" i="9"/>
  <c r="BP114" i="4"/>
  <c r="BQ115" i="4"/>
  <c r="M28" i="9"/>
  <c r="BQ141" i="4"/>
  <c r="BQ142" i="4"/>
  <c r="BP87" i="4"/>
  <c r="BQ13" i="4"/>
  <c r="BQ39" i="4"/>
  <c r="BQ145" i="4"/>
  <c r="BQ101" i="4"/>
  <c r="BQ47" i="4"/>
  <c r="BQ59" i="4"/>
  <c r="BP129" i="4"/>
  <c r="N63" i="9"/>
  <c r="N135" i="9"/>
  <c r="M23" i="9"/>
  <c r="M92" i="9"/>
  <c r="M163" i="9"/>
  <c r="M110" i="9"/>
  <c r="M62" i="9"/>
  <c r="M111" i="9"/>
  <c r="M38" i="9"/>
  <c r="M107" i="9"/>
  <c r="N168" i="9"/>
  <c r="M42" i="9"/>
  <c r="M101" i="9"/>
  <c r="M119" i="9"/>
  <c r="M152" i="9"/>
  <c r="M112" i="9"/>
  <c r="M79" i="9"/>
  <c r="M29" i="9"/>
  <c r="N46" i="9"/>
  <c r="M34" i="9"/>
  <c r="M86" i="9"/>
  <c r="M116" i="9"/>
  <c r="M64" i="9"/>
  <c r="N69" i="9"/>
  <c r="M65" i="9"/>
  <c r="M33" i="9"/>
  <c r="M100" i="9"/>
  <c r="M133" i="9"/>
  <c r="M68" i="9"/>
  <c r="M151" i="9"/>
  <c r="M58" i="9"/>
  <c r="M136" i="9"/>
  <c r="M70" i="9"/>
  <c r="N43" i="9"/>
  <c r="M54" i="9"/>
  <c r="M121" i="9"/>
  <c r="M150" i="9"/>
  <c r="F18" i="5"/>
  <c r="BN78" i="4"/>
  <c r="BQ10" i="4"/>
  <c r="BP14" i="4"/>
  <c r="BQ14" i="4"/>
  <c r="BO78" i="4"/>
  <c r="BE78" i="4"/>
  <c r="BJ78" i="4" s="1"/>
  <c r="BD8" i="4"/>
  <c r="E20" i="2" s="1"/>
  <c r="BJ9" i="4"/>
  <c r="M147" i="5"/>
  <c r="M153" i="5" s="1"/>
  <c r="N154" i="9" l="1"/>
  <c r="M51" i="9"/>
  <c r="N113" i="9"/>
  <c r="N99" i="9"/>
  <c r="M126" i="9"/>
  <c r="N25" i="9"/>
  <c r="N153" i="9"/>
  <c r="BQ78" i="4"/>
  <c r="BQ8" i="4" s="1"/>
  <c r="E90" i="9"/>
  <c r="N141" i="9"/>
  <c r="M127" i="9"/>
  <c r="M157" i="9"/>
  <c r="N59" i="9"/>
  <c r="N22" i="9"/>
  <c r="M71" i="9"/>
  <c r="N126" i="9"/>
  <c r="N28" i="9"/>
  <c r="M27" i="9"/>
  <c r="N27" i="9"/>
  <c r="M30" i="9"/>
  <c r="N30" i="9"/>
  <c r="F20" i="5"/>
  <c r="M21" i="9"/>
  <c r="N21" i="9"/>
  <c r="M99" i="9"/>
  <c r="M141" i="9"/>
  <c r="BN8" i="4"/>
  <c r="BP78" i="4"/>
  <c r="M26" i="9"/>
  <c r="N26" i="9"/>
  <c r="C18" i="5"/>
  <c r="C21" i="5"/>
  <c r="C16" i="5"/>
  <c r="C17" i="5"/>
  <c r="C14" i="5"/>
  <c r="C11" i="5"/>
  <c r="C15" i="5"/>
  <c r="C12" i="5"/>
  <c r="BJ8" i="4"/>
  <c r="BE8" i="4"/>
  <c r="M168" i="5"/>
  <c r="C9" i="5"/>
  <c r="C20" i="5"/>
  <c r="C13" i="5"/>
  <c r="C10" i="5"/>
  <c r="F23" i="5" l="1"/>
  <c r="F22" i="5"/>
  <c r="C19" i="5"/>
  <c r="P20" i="5"/>
  <c r="O20" i="5" s="1"/>
  <c r="P19" i="5"/>
  <c r="O19" i="5" s="1"/>
  <c r="P11" i="5"/>
  <c r="O11" i="5" s="1"/>
  <c r="P14" i="5"/>
  <c r="O14" i="5" s="1"/>
  <c r="P12" i="5"/>
  <c r="O12" i="5" s="1"/>
  <c r="P18" i="5"/>
  <c r="O18" i="5" s="1"/>
  <c r="P16" i="5"/>
  <c r="O16" i="5" s="1"/>
  <c r="P15" i="5"/>
  <c r="O15" i="5" s="1"/>
  <c r="P13" i="5"/>
  <c r="O13" i="5" s="1"/>
  <c r="P17" i="5"/>
  <c r="O17" i="5" s="1"/>
  <c r="P21" i="5"/>
  <c r="O21" i="5" s="1"/>
  <c r="N90" i="9"/>
  <c r="BP8" i="4"/>
  <c r="E21" i="2"/>
  <c r="N19" i="9" l="1"/>
  <c r="N20" i="9" s="1"/>
  <c r="P22" i="5"/>
  <c r="E19" i="9"/>
  <c r="M90" i="9"/>
  <c r="M19" i="9" l="1"/>
  <c r="M20" i="9" s="1"/>
</calcChain>
</file>

<file path=xl/sharedStrings.xml><?xml version="1.0" encoding="utf-8"?>
<sst xmlns="http://schemas.openxmlformats.org/spreadsheetml/2006/main" count="2566" uniqueCount="552">
  <si>
    <t>High Needs National Funding Formula - allocations to local authorities (LAs)</t>
  </si>
  <si>
    <t>What this spreadsheet shows</t>
  </si>
  <si>
    <t></t>
  </si>
  <si>
    <t>https://www.gov.uk/contact-dfe</t>
  </si>
  <si>
    <t>Contents</t>
  </si>
  <si>
    <t>The contents of each sheet in this workbook are as follows:</t>
  </si>
  <si>
    <t>Glossary</t>
  </si>
  <si>
    <t>The following terms and abbreviations are used in this workbook;</t>
  </si>
  <si>
    <t>ACA</t>
  </si>
  <si>
    <t>Area cost adjustment</t>
  </si>
  <si>
    <t>AY</t>
  </si>
  <si>
    <t>Academic year</t>
  </si>
  <si>
    <t>DLA</t>
  </si>
  <si>
    <t>Disability living allowance</t>
  </si>
  <si>
    <t>ESFA</t>
  </si>
  <si>
    <t>Education and Skills Funding Agency</t>
  </si>
  <si>
    <t>FE institutions</t>
  </si>
  <si>
    <t>Post-16 institutions that are not schools or academies, i.e. further education (FE) colleges, sixth form colleges and commercial and charitable providers (CCPs); not school sixth forms. Although this definition normally includes special post-16 institutions, in this workbook we have excluded these from this category of provider.</t>
  </si>
  <si>
    <t>FSM</t>
  </si>
  <si>
    <t>Free school meals</t>
  </si>
  <si>
    <t>FY</t>
  </si>
  <si>
    <t>Financial year</t>
  </si>
  <si>
    <t>HN</t>
  </si>
  <si>
    <t>High needs</t>
  </si>
  <si>
    <t>IDACI</t>
  </si>
  <si>
    <t>Income deprivation affecting children index</t>
  </si>
  <si>
    <t>KS2</t>
  </si>
  <si>
    <t>Key stage two</t>
  </si>
  <si>
    <t>KS4</t>
  </si>
  <si>
    <t>Key stage four</t>
  </si>
  <si>
    <t>LA</t>
  </si>
  <si>
    <t>Local authority</t>
  </si>
  <si>
    <t>ND[x]</t>
  </si>
  <si>
    <t>Item [x] in the 'National Details' sheet.</t>
  </si>
  <si>
    <t>NFF</t>
  </si>
  <si>
    <t>National funding formula</t>
  </si>
  <si>
    <t>NMSS</t>
  </si>
  <si>
    <t>Non-maintained special school</t>
  </si>
  <si>
    <t>ONS</t>
  </si>
  <si>
    <t>Office for National Statistics</t>
  </si>
  <si>
    <t>Provider LA</t>
  </si>
  <si>
    <t>The local authority from whose high needs funding allocation the costs of the high needs place funding are met, usually the authority in whose area the provider (e.g. school or college) is located.</t>
  </si>
  <si>
    <t>Resident LA</t>
  </si>
  <si>
    <t>SPI</t>
  </si>
  <si>
    <t>Special post-16 institution</t>
  </si>
  <si>
    <t>This page explains:</t>
  </si>
  <si>
    <t>- how the funding is distributed through the high needs NFF factors</t>
  </si>
  <si>
    <t>Explanation of amounts and calculations</t>
  </si>
  <si>
    <t>Funding held back for later adjustments and elements funded outside the NFF
[b]</t>
  </si>
  <si>
    <t>Total high needs funding available for provisional allocations through the NFF
[c] = [a] - [b]</t>
  </si>
  <si>
    <t>Total High Needs National Funding Formula funding
[d] = [c]</t>
  </si>
  <si>
    <t>This is the total quantum of funding for the high needs NFF that is used for these provisional allocations to local authorities.</t>
  </si>
  <si>
    <t>Provisional allocation of basic entitlement
[e]</t>
  </si>
  <si>
    <t>Historic spend factor funding
[f]</t>
  </si>
  <si>
    <t>This is the total funding allocated through the historic spend factor.</t>
  </si>
  <si>
    <t>Funding through the funding floor factor for those LAs on the floor
[h]</t>
  </si>
  <si>
    <t>Funding available through the limit on gains under the formula
[i]</t>
  </si>
  <si>
    <t>Remaining funding to be distributed through proxy factors
[j] = [d] - [e] - [f] - [g] - [h] - [i]</t>
  </si>
  <si>
    <t>This is the total funding remaining to be distributed through the other proxy factors, as detailed below.</t>
  </si>
  <si>
    <t>Factor</t>
  </si>
  <si>
    <t>Weight</t>
  </si>
  <si>
    <t>Factor total</t>
  </si>
  <si>
    <r>
      <rPr>
        <b/>
        <sz val="12"/>
        <color rgb="FF000000"/>
        <rFont val="Arial"/>
        <family val="2"/>
      </rPr>
      <t xml:space="preserve">Description of measure used </t>
    </r>
    <r>
      <rPr>
        <sz val="12"/>
        <color rgb="FF000000"/>
        <rFont val="Arial"/>
        <family val="2"/>
      </rPr>
      <t xml:space="preserve">
See technical note for further details</t>
    </r>
  </si>
  <si>
    <t>Population
[k] = 50% * [j]</t>
  </si>
  <si>
    <t>Deprivation factor:
FSM
[l] = 10% * [j]</t>
  </si>
  <si>
    <t>Deprivation factor:
IDACI
[m] = 10% * [j]</t>
  </si>
  <si>
    <t>Health and disability factor: Children in bad health
[n] = 7.5% * [j]</t>
  </si>
  <si>
    <t>The number of children in each local authority identified in the 2011 population census as having bad or very bad health.</t>
  </si>
  <si>
    <t>Health and disability factor:
Disability
[o] = 7.5% * [j]</t>
  </si>
  <si>
    <t>Low attainment factor:
KS2 low attainment
[p] = 7.5% * [j]</t>
  </si>
  <si>
    <t>Low attainment factor:
KS4 low attainment
[q] = 7.5% * [j]</t>
  </si>
  <si>
    <t>Total of above proxy factors
[r] (= [j]) = [k] + [l] + [m] + [n] + [o] + [p] + [q]</t>
  </si>
  <si>
    <t>The table sets out:</t>
  </si>
  <si>
    <t xml:space="preserve">
Region
(alphabetical order)</t>
  </si>
  <si>
    <t xml:space="preserve">
LA number</t>
  </si>
  <si>
    <t xml:space="preserve">
LA name 
(alphabetical order within region)</t>
  </si>
  <si>
    <t>Number of pupils in special schools/academies*</t>
  </si>
  <si>
    <t>Additional funding for new and growing special free schools*</t>
  </si>
  <si>
    <t>Import/export adjustments (£6,000 per pupil/student), including adjustments in relation to new and growing special free schools*</t>
  </si>
  <si>
    <t>[a]</t>
  </si>
  <si>
    <t>[b]*</t>
  </si>
  <si>
    <t>[c]</t>
  </si>
  <si>
    <t>[d] = [b] x [c]*</t>
  </si>
  <si>
    <t>[e]*</t>
  </si>
  <si>
    <t>[f]*</t>
  </si>
  <si>
    <t>[g] = [e] x £6,000 + [f]</t>
  </si>
  <si>
    <t>England total</t>
  </si>
  <si>
    <t>Total excluding ESFA</t>
  </si>
  <si>
    <t xml:space="preserve">EAST MIDLANDS </t>
  </si>
  <si>
    <t>Derby</t>
  </si>
  <si>
    <t>Derbyshire</t>
  </si>
  <si>
    <t>Leicester</t>
  </si>
  <si>
    <t>Leicestershire</t>
  </si>
  <si>
    <t>Lincolnshire</t>
  </si>
  <si>
    <t>Northamptonshire</t>
  </si>
  <si>
    <t>Nottingham</t>
  </si>
  <si>
    <t>Nottinghamshire</t>
  </si>
  <si>
    <t>Rutland</t>
  </si>
  <si>
    <t xml:space="preserve">EAST OF ENGLAND </t>
  </si>
  <si>
    <t>Cambridgeshire</t>
  </si>
  <si>
    <t>Central Bedfordshire</t>
  </si>
  <si>
    <t>Essex</t>
  </si>
  <si>
    <t>Hertfordshire</t>
  </si>
  <si>
    <t>Luton</t>
  </si>
  <si>
    <t>Norfolk</t>
  </si>
  <si>
    <t>Peterborough</t>
  </si>
  <si>
    <t>Southend-on-Sea</t>
  </si>
  <si>
    <t>Suffolk</t>
  </si>
  <si>
    <t>Thurrock</t>
  </si>
  <si>
    <t xml:space="preserve">INNER LONDON </t>
  </si>
  <si>
    <t>Camden</t>
  </si>
  <si>
    <t>Hackney</t>
  </si>
  <si>
    <t>Hammersmith and Fulham</t>
  </si>
  <si>
    <t>Haringey</t>
  </si>
  <si>
    <t>Islington</t>
  </si>
  <si>
    <t>Kensington and Chelsea</t>
  </si>
  <si>
    <t>Lambeth</t>
  </si>
  <si>
    <t>Lewisham</t>
  </si>
  <si>
    <t>Newham</t>
  </si>
  <si>
    <t>Southwark</t>
  </si>
  <si>
    <t>Tower Hamlets</t>
  </si>
  <si>
    <t>Wandsworth</t>
  </si>
  <si>
    <t>Westminster</t>
  </si>
  <si>
    <t xml:space="preserve">NORTH EAST </t>
  </si>
  <si>
    <t>Darlington</t>
  </si>
  <si>
    <t>Gateshead</t>
  </si>
  <si>
    <t>Hartlepool</t>
  </si>
  <si>
    <t>Middlesbrough</t>
  </si>
  <si>
    <t>Newcastle upon Tyne</t>
  </si>
  <si>
    <t>North Tyneside</t>
  </si>
  <si>
    <t>Northumberland</t>
  </si>
  <si>
    <t>Redcar and Cleveland</t>
  </si>
  <si>
    <t>South Tyneside</t>
  </si>
  <si>
    <t>Stockton-on-Tees</t>
  </si>
  <si>
    <t>Sunderland</t>
  </si>
  <si>
    <t xml:space="preserve">NORTH WEST </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</si>
  <si>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</si>
  <si>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</si>
  <si>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</si>
  <si>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</si>
  <si>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</si>
  <si>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</si>
  <si>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</si>
  <si>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</si>
  <si>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</si>
  <si>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</si>
  <si>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</si>
  <si>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</si>
  <si>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</si>
  <si>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</si>
  <si>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</si>
  <si>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</si>
  <si>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Stockport</t>
  </si>
  <si>
    <t>Tameside</t>
  </si>
  <si>
    <t>Trafford</t>
  </si>
  <si>
    <t>Warrington</t>
  </si>
  <si>
    <t>Wigan</t>
  </si>
  <si>
    <t>Wirral</t>
  </si>
  <si>
    <t xml:space="preserve">OUTER LONDON </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</si>
  <si>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</si>
  <si>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</si>
  <si>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</si>
  <si>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</si>
  <si>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</si>
  <si>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</si>
  <si>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</si>
  <si>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</si>
  <si>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</si>
  <si>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</si>
  <si>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</si>
  <si>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</si>
  <si>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</si>
  <si>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</si>
  <si>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</si>
  <si>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</si>
  <si>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</si>
  <si>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</si>
  <si>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</si>
  <si>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 xml:space="preserve">SOUTH EAST </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</si>
  <si>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</si>
  <si>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</si>
  <si>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</si>
  <si>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</si>
  <si>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</si>
  <si>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</si>
  <si>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</si>
  <si>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</si>
  <si>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</si>
  <si>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</si>
  <si>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</si>
  <si>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</si>
  <si>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</si>
  <si>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</si>
  <si>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</si>
  <si>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</si>
  <si>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</si>
  <si>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</si>
  <si>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</si>
  <si>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 xml:space="preserve">SOUTH WEST </t>
  </si>
  <si>
    <t>Bath and North East Somerset</t>
  </si>
  <si>
    <t>Bristol, City of</t>
  </si>
  <si>
    <t>Cornwall</t>
  </si>
  <si>
    <t>Devon</t>
  </si>
  <si>
    <t>Dorset</t>
  </si>
  <si>
    <t>Gloucestershire</t>
  </si>
  <si>
    <t>North Somerset</t>
  </si>
  <si>
    <t>Plymouth</t>
  </si>
  <si>
    <t>Somerset</t>
  </si>
  <si>
    <t>South Gloucestershire</t>
  </si>
  <si>
    <t>Swindon</t>
  </si>
  <si>
    <t>Torbay</t>
  </si>
  <si>
    <t>Wiltshire</t>
  </si>
  <si>
    <t xml:space="preserve">WEST MIDLANDS </t>
  </si>
  <si>
    <t>Birmingham</t>
  </si>
  <si>
    <t>Coventry</t>
  </si>
  <si>
    <t>Dudley</t>
  </si>
  <si>
    <t>Sandwell</t>
  </si>
  <si>
    <t>Shropshire</t>
  </si>
  <si>
    <t>Solihull</t>
  </si>
  <si>
    <t>Staffordshire</t>
  </si>
  <si>
    <t>Stoke-on-Trent</t>
  </si>
  <si>
    <t>Telford and Wrekin</t>
  </si>
  <si>
    <t>Walsall</t>
  </si>
  <si>
    <t>Warwickshire</t>
  </si>
  <si>
    <t>Wolverhampton</t>
  </si>
  <si>
    <t>Worcestershire</t>
  </si>
  <si>
    <t xml:space="preserve">YORKSHIRE AND THE HUMBER </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</si>
  <si>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</si>
  <si>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</si>
  <si>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</si>
  <si>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</si>
  <si>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</si>
  <si>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</si>
  <si>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</si>
  <si>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</si>
  <si>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</si>
  <si>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</si>
  <si>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</si>
  <si>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</si>
  <si>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</si>
  <si>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</si>
  <si>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</si>
  <si>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High Needs National Funding Formula - step by step allocation for an individual local authority (LA)</t>
  </si>
  <si>
    <t>Step-by-step guide for LAs to understand the calculation of their high needs block provisional allocations</t>
  </si>
  <si>
    <t>Select LA name</t>
  </si>
  <si>
    <t>Area cost adjustment ('ACA')</t>
  </si>
  <si>
    <t>Region</t>
  </si>
  <si>
    <t>LA code</t>
  </si>
  <si>
    <t>Average LA formula split</t>
  </si>
  <si>
    <t>(A) Basic entitlement factor</t>
  </si>
  <si>
    <t>(B) Historic spend factor</t>
  </si>
  <si>
    <t>(C) Population factor</t>
  </si>
  <si>
    <t>(D) FSM factor</t>
  </si>
  <si>
    <t>(E) IDACI factor</t>
  </si>
  <si>
    <t>(F) Bad health factor</t>
  </si>
  <si>
    <t>(G) Disability factor</t>
  </si>
  <si>
    <t>(H) KS2 low attainment factor</t>
  </si>
  <si>
    <t>(I) KS4 low attainment factor</t>
  </si>
  <si>
    <t>(J) Funding floor factor</t>
  </si>
  <si>
    <t>Number of pupils in special schools/academies</t>
  </si>
  <si>
    <t>x</t>
  </si>
  <si>
    <t>Basic entitlement unit rate</t>
  </si>
  <si>
    <t>=</t>
  </si>
  <si>
    <t>Population factor funding</t>
  </si>
  <si>
    <t>Total of ACA-weighted population</t>
  </si>
  <si>
    <t>(</t>
  </si>
  <si>
    <t>)</t>
  </si>
  <si>
    <t xml:space="preserve">                                                                                                                                                                           </t>
  </si>
  <si>
    <t>FSM factor funding</t>
  </si>
  <si>
    <t>Total of ACA-weighted FSM population</t>
  </si>
  <si>
    <t>IDACI band F factor</t>
  </si>
  <si>
    <t>Total of ACA-weighted IDACI band F population</t>
  </si>
  <si>
    <t>IDACI band E factor</t>
  </si>
  <si>
    <t>Total of ACA-weighted IDACI band E population</t>
  </si>
  <si>
    <t>IDACI band D factor</t>
  </si>
  <si>
    <t>Total of ACA-weighted IDACI band D population</t>
  </si>
  <si>
    <t>IDACI band C factor</t>
  </si>
  <si>
    <t>Total of ACA-weighted IDACI band C population</t>
  </si>
  <si>
    <t>IDACI band B factor</t>
  </si>
  <si>
    <t>Total of ACA-weighted IDACI band B population</t>
  </si>
  <si>
    <t>IDACI band A factor</t>
  </si>
  <si>
    <t>Total of ACA-weighted IDACI band A population</t>
  </si>
  <si>
    <t>Bad health factor funding</t>
  </si>
  <si>
    <t>Total of ACA-weighted bad health population</t>
  </si>
  <si>
    <t>Disability factor funding</t>
  </si>
  <si>
    <t>Total of ACA-weighted DLA children</t>
  </si>
  <si>
    <t>KS2 factor funding</t>
  </si>
  <si>
    <t>Total of ACA-weighted low KS2 attainers</t>
  </si>
  <si>
    <t>KS4 factor funding</t>
  </si>
  <si>
    <t>Total of ACA-weighted low KS4 attainers</t>
  </si>
  <si>
    <t>Total historic and other proxy factor allocation (sum of (B) - (I))</t>
  </si>
  <si>
    <t>/</t>
  </si>
  <si>
    <t>Total historic spend and other proxy factors allocation (sum of (B) - (I))</t>
  </si>
  <si>
    <t>Per head rate for the purpose of the funding floor</t>
  </si>
  <si>
    <t>Total per head funding floor factor</t>
  </si>
  <si>
    <t>Absolute funding floor factor</t>
  </si>
  <si>
    <t>Total funding floor factor</t>
  </si>
  <si>
    <t xml:space="preserve"> </t>
  </si>
  <si>
    <t>NFF allocation before provisional import/export adjustment</t>
  </si>
  <si>
    <t>(L) Import/export adjustment (provisional)</t>
  </si>
  <si>
    <t>Net imported pupils/students</t>
  </si>
  <si>
    <t>–</t>
  </si>
  <si>
    <t>Additional entitlement unit rate</t>
  </si>
  <si>
    <t>Import/export adjustment</t>
  </si>
  <si>
    <t>Additional funding for new and growing special free schools</t>
  </si>
  <si>
    <t>Total import/export adjustment</t>
  </si>
  <si>
    <t>(L) Import/export adjustment</t>
  </si>
  <si>
    <t>+</t>
  </si>
  <si>
    <t>Step-by-step guide for LAs to understand the calculation of the high needs block allocations</t>
  </si>
  <si>
    <t>These columns set out identifying information for LAs</t>
  </si>
  <si>
    <t>LA name</t>
  </si>
  <si>
    <t>High Needs National Funding Formula - provisional import/export adjustments data</t>
  </si>
  <si>
    <t>Step-by-step guide for LAs to understand the calculation of the high needs block provisional allocations</t>
  </si>
  <si>
    <t>Total of specialist and mainstream provider pupil/student numbers split by resident LA
[f] = [a] + [b] + [c] + [d] + [e]</t>
  </si>
  <si>
    <t>NMSS pupil numbers funded by the ESFA
[j]</t>
  </si>
  <si>
    <t>Total of specialist and mainstream provider pupil/student numbers split by provider LA
[l] = [g] + [h] + [i] + [j] + [k]</t>
  </si>
  <si>
    <t>Net imported pupils
[m] = [l] - [f]</t>
  </si>
  <si>
    <t>Bournemouth, Christchurch and Poole</t>
  </si>
  <si>
    <t>These columns distribute the remaining funding to LAs through the proxy factors shown below. The calculation for each proxy factor is as follows: for each local authority multiply the number of children by the ACA to give an ACA-weighted number of children; work out the national total of ACA-weighted children; and split the total factor funding between local authorities using their proportion of the national total of ACA-weighted numbers of children.</t>
  </si>
  <si>
    <t>Area cost adjustment ('ACA')
[a]</t>
  </si>
  <si>
    <t>(B) Historic spend factor
[e]</t>
  </si>
  <si>
    <t>Total historic spend, other proxy factor and funding floor factor allocation
[ba] = [aq] + [az]</t>
  </si>
  <si>
    <t>Basic entitlement factor
[d] = [b] x [c]</t>
  </si>
  <si>
    <t>ACA-weighted population
[g] = [a] x [f]</t>
  </si>
  <si>
    <t>Population factor
[h] = [g]% x ND[k]</t>
  </si>
  <si>
    <t>Number of FSM pupils resident in LA
[i]</t>
  </si>
  <si>
    <t>ACA-weighted FSM pupils
[j] = [a] x [i]</t>
  </si>
  <si>
    <t>FSM factor
[k] = [j]% x ND[l]</t>
  </si>
  <si>
    <t>IDACI band F population
[l]</t>
  </si>
  <si>
    <t>ACA-weighted IDACI band F population
[m] = [a] x [l]</t>
  </si>
  <si>
    <t>IDACI band E population
[o]</t>
  </si>
  <si>
    <t>ACA-weighted IDACI band E population
[p] = [a] x [o]</t>
  </si>
  <si>
    <t>IDACI band D population
[r]</t>
  </si>
  <si>
    <t>ACA-weighted IDACI band D population
[s] = [a] x [r]</t>
  </si>
  <si>
    <t>IDACI band C population
[u]</t>
  </si>
  <si>
    <t>ACA-weighted IDACI band C population
[v] = [a] x [u]</t>
  </si>
  <si>
    <t>IDACI band C factor
[w] = [v]% x (ND[m] x 17%)</t>
  </si>
  <si>
    <t>IDACI band B population
[x]</t>
  </si>
  <si>
    <t>ACA-weighted IDACI band B population
[y] = [a] x [x]</t>
  </si>
  <si>
    <t>IDACI band A population
[aa]</t>
  </si>
  <si>
    <t>ACA-weighted IDACI band A population
[ab] = [a] x [aa]</t>
  </si>
  <si>
    <t>IDACI factor
[ad] = [n] + [q] + [t] + [w] + [z] + [ac]</t>
  </si>
  <si>
    <t>Number of children in bad health resident in LA
[ae]</t>
  </si>
  <si>
    <t xml:space="preserve">ACA-weighted number of children in bad health
[af] = [a] x [ae] </t>
  </si>
  <si>
    <t>Bad health factor
[ag] = [af]% x ND[n]</t>
  </si>
  <si>
    <t>ACA-weighted number of children entitled to DLA
[ai] = [a] x [ah]</t>
  </si>
  <si>
    <t>Disability factor
[aj] = [ai]% x ND[o]</t>
  </si>
  <si>
    <t>ACA-weighted number of pupils resident in LA with low attainment in KS2 reading (5 year total)
[al] = [a] x [ak]</t>
  </si>
  <si>
    <t>KS2 factor
[am] = [al]% x ND[p]</t>
  </si>
  <si>
    <t>ACA-weighted number of pupils with low attainment at KS4 (5 year total)
[ao] = [a] x [an]</t>
  </si>
  <si>
    <t>KS4 factor
[ap] = [ao]% x ND[q]</t>
  </si>
  <si>
    <t>Per head rate for the elements included in the funding floor calculation
[aw] = MAX([au], [av])</t>
  </si>
  <si>
    <t>Total of the per head funding floor factor
[ax] = ([aw] - [av]) x [f]</t>
  </si>
  <si>
    <t>Absolute funding floor factor
[ay] = MAX([ar] - ([f] x [aw]), 0)</t>
  </si>
  <si>
    <t>Total funding floor factor
[az] = [ax] + [ay]</t>
  </si>
  <si>
    <t>Net number of imported (+) or exported (-) pupils/students (from column [m] in 'Import|Export Adjustments Data')
[bc]</t>
  </si>
  <si>
    <t>Additional funding for new and growing special free schools
[bd]</t>
  </si>
  <si>
    <t>Import/export adjustments (£6,000 per pupil/student), including adjustments in relation to new and growing special free schools
[be] = [bc] x £6,000 + [bd]</t>
  </si>
  <si>
    <t>North Northamptonshire</t>
  </si>
  <si>
    <t>West Northamptonshire</t>
  </si>
  <si>
    <t>IDACI band F factor
[n] = [m]% x (ND[m] x 15.5%)</t>
  </si>
  <si>
    <t>IDACI band E factor
[q] = [p]% x (ND[m] x 21.5%)</t>
  </si>
  <si>
    <t>IDACI band D factor
[t] = [s]% x (ND[m] x 15.5%)</t>
  </si>
  <si>
    <t>IDACI band B factor
[z] = [y]% x (ND[m] x 18.5%)</t>
  </si>
  <si>
    <t>IDACI band A factor
[ac] = [ab]% x (ND[m] x 12%)</t>
  </si>
  <si>
    <t>TPG</t>
  </si>
  <si>
    <t>TPECG</t>
  </si>
  <si>
    <t>Teachers' pension employer contribution grant</t>
  </si>
  <si>
    <t>Teachers' pay grant</t>
  </si>
  <si>
    <t>Number of pupils in special schools/academies
[c]</t>
  </si>
  <si>
    <t>AP</t>
  </si>
  <si>
    <t>[h]</t>
  </si>
  <si>
    <t>Additional funding for special free schools which are no longer new and growing
[e]</t>
  </si>
  <si>
    <t>CFI</t>
  </si>
  <si>
    <t>- provisional allocations for those elements of the high needs national funding formula that will be subject to later changes, based on new data sets becoming available. These elements are the basic entitlement factor and import/export adjustment, including associated adjustments made in relation to special free schools.</t>
  </si>
  <si>
    <t>----------------------------------------------------------------------------------</t>
  </si>
  <si>
    <t>If this does not answer your query, please contact the Department through:</t>
  </si>
  <si>
    <r>
      <t xml:space="preserve">- </t>
    </r>
    <r>
      <rPr>
        <b/>
        <sz val="12"/>
        <rFont val="Arial"/>
        <family val="2"/>
      </rPr>
      <t>Import/Export Adjustments Data</t>
    </r>
    <r>
      <rPr>
        <sz val="12"/>
        <rFont val="Arial"/>
        <family val="2"/>
      </rPr>
      <t>: Breakdown of the figures used to produce the individual local authority adjustments made to reflect cross-border movement of pupils and students</t>
    </r>
  </si>
  <si>
    <t>ACA-weighted basic entitlement unit rate (£4,660 per pupil)
[b] = £4,660 x [a]</t>
  </si>
  <si>
    <t>Split of pupils/students in special schools and academies, and those in mainstream schools and FE colleges for whom top-up funding is paid, by the LA in which they are resident</t>
  </si>
  <si>
    <t>Pupils numbers for whom top-up funding is paid to mainstream schools, by the resident LA
[b]</t>
  </si>
  <si>
    <t>Student numbers for whom top-up funding is paid to FE institutions, by the resident LA
[c]</t>
  </si>
  <si>
    <t>Maintained special school, special academy and special free school pupil numbers by the resident LA
[a]</t>
  </si>
  <si>
    <t>NMSS pupil numbers by the resident LA
[d]</t>
  </si>
  <si>
    <t>SPI and CFI student numbers by the resident LA
[e]</t>
  </si>
  <si>
    <t>Split of pupils/students in special schools and academies, and those in mainstream schools and FE colleges for whom top-up funding is paid, by the LA which hosts the provider</t>
  </si>
  <si>
    <t>Maintained special school, special academy and special free school pupil numbers by the provider LA
[g]</t>
  </si>
  <si>
    <t>Pupils numbers for whom top-up funding is paid to mainstream schools, by the provider LA
[h]</t>
  </si>
  <si>
    <t>Student numbers for whom top-up funding is paid to FE institutions, by the provider LA
[i]</t>
  </si>
  <si>
    <t>[i] = [a] + [d] + [h]</t>
  </si>
  <si>
    <t>[j] = [i] + [g]</t>
  </si>
  <si>
    <t>Total historic spend and other proxy factor allocation (sum of factors (B) to (I))
[aq]</t>
  </si>
  <si>
    <t>Pupils/students in NMSSs, SPIs and CFIs funded by the ESFA</t>
  </si>
  <si>
    <t>SPI and CFI student numbers funded by the ESFA
[k]</t>
  </si>
  <si>
    <t>funding; the funding floor factor amount and the NFF gains limit adjustment, along with the additional funding for special free schools.</t>
  </si>
  <si>
    <t>)          +</t>
  </si>
  <si>
    <t>(K) Hospital education, AP teachers pay/pension and supplementary funding factor</t>
  </si>
  <si>
    <t>(K) AP Factor</t>
  </si>
  <si>
    <t xml:space="preserve">This spreadsheet shows how local authorities' provisional 2022-23 high needs allocations have been calculated. Detailed information about the calculations is given in the accompanying technical note. </t>
  </si>
  <si>
    <r>
      <t xml:space="preserve">- </t>
    </r>
    <r>
      <rPr>
        <b/>
        <sz val="12"/>
        <rFont val="Arial"/>
        <family val="2"/>
      </rPr>
      <t>2022-23 Allocations</t>
    </r>
    <r>
      <rPr>
        <sz val="12"/>
        <rFont val="Arial"/>
        <family val="2"/>
      </rPr>
      <t>: Summary of the 2022-23 high needs national funding formula provisional allocations for every local authority in England.</t>
    </r>
  </si>
  <si>
    <r>
      <t xml:space="preserve">- </t>
    </r>
    <r>
      <rPr>
        <b/>
        <sz val="12"/>
        <rFont val="Arial"/>
        <family val="2"/>
      </rPr>
      <t>2022-23 StepbyStep Allocations</t>
    </r>
    <r>
      <rPr>
        <sz val="12"/>
        <rFont val="Arial"/>
        <family val="2"/>
      </rPr>
      <t>: Detailed calculation of the 2022-23 high needs national funding formula provisional allocations for every local authority in England.</t>
    </r>
  </si>
  <si>
    <r>
      <t xml:space="preserve">- </t>
    </r>
    <r>
      <rPr>
        <b/>
        <sz val="12"/>
        <rFont val="Arial"/>
        <family val="2"/>
      </rPr>
      <t>Individual LA</t>
    </r>
    <r>
      <rPr>
        <sz val="12"/>
        <rFont val="Arial"/>
        <family val="2"/>
      </rPr>
      <t xml:space="preserve">: 2022-23 high needs national funding formula provisional allocation calculated for a single local authority. </t>
    </r>
  </si>
  <si>
    <r>
      <t xml:space="preserve">- </t>
    </r>
    <r>
      <rPr>
        <b/>
        <sz val="12"/>
        <color theme="1"/>
        <rFont val="Arial"/>
        <family val="2"/>
      </rPr>
      <t>National Details</t>
    </r>
    <r>
      <rPr>
        <sz val="12"/>
        <color theme="1"/>
        <rFont val="Arial"/>
        <family val="2"/>
      </rPr>
      <t>: Breakdown of the total high needs block of funding at national level for 2022-23.</t>
    </r>
  </si>
  <si>
    <t xml:space="preserve"> with high needs living in one local authority who attend provision in another. These figures are based on January 2021 school census and February 2021 ILR R06 data; </t>
  </si>
  <si>
    <t>Alternative provision</t>
  </si>
  <si>
    <t>Mid-2021 age 2-18 ONS population projection
[as]</t>
  </si>
  <si>
    <t>Mid-2022 age 2-18 ONS population projection
[f]</t>
  </si>
  <si>
    <t>High Needs National Funding Formula - 2021-22 baseline</t>
  </si>
  <si>
    <t>This is a geographical cost adjustment</t>
  </si>
  <si>
    <t>Area cost adjustment (ACA)
[a]</t>
  </si>
  <si>
    <t/>
  </si>
  <si>
    <t>High Needs National Funding Formula - 2022-23 allocations to local authorities (LAs)</t>
  </si>
  <si>
    <t>2021-22 Historic spend factor
[a]</t>
  </si>
  <si>
    <t>2021-22 Other proxy factor funding
[b]</t>
  </si>
  <si>
    <t>2021-22 Funding floor factor
[c]</t>
  </si>
  <si>
    <t>2021-22 Gains limit adjustment
[d]</t>
  </si>
  <si>
    <t>2021-22 provisional hospital education funding
[a]</t>
  </si>
  <si>
    <t>Changes to hospital education funding in 2021-22 (adjusted for full FY)
[b]</t>
  </si>
  <si>
    <t>These columns calculate the basic entitlement factor funding for each LA. This funding will be recalculated later based on the January 2021 alternative provision census and October 2021 school census.</t>
  </si>
  <si>
    <t>Elements of the high needs NFF 2022-23 allocations included in the funding floor and gains calculation</t>
  </si>
  <si>
    <t>Step-by-step guide for LAs to understand the calculation of the high needs block provisional allocations for 2022-23</t>
  </si>
  <si>
    <t>Formula per head (based on mid-2022 age 2-18 ONS population projection)
[av] = [aq] / [f]</t>
  </si>
  <si>
    <t>This funding is subject to any hospital education changes notified to ESFA in autumn 2021, and agreed as part of the 2022-23 final allocations</t>
  </si>
  <si>
    <t>2022-23 high needs NFF allocations before gains calculation applied
[bf] = [d] + [ba] + [bb] + [be]</t>
  </si>
  <si>
    <t>2021-22 baseline per head (based on mid-2021 age 2-18 ONS population projection)
[bg] = [at]</t>
  </si>
  <si>
    <t>2022-23 per head rate after funding floor
[bh] = [aw]</t>
  </si>
  <si>
    <t>High Needs National Funding Formula (HN NFF): national details (2022-23)</t>
  </si>
  <si>
    <t>*     Figures will be updated in December 2021 and May/June 2022 to reflect AY 2021/22 school and college data.</t>
  </si>
  <si>
    <t>High needs NFF basic entitlement factor provisional allocations for 2022-23</t>
  </si>
  <si>
    <t>Provisional NFF high needs funding in 2022-23</t>
  </si>
  <si>
    <t>High needs NFF provisional import/export adjustments for 2022-23 including adjustments in relation to new and growing special free schools</t>
  </si>
  <si>
    <t>Net number of imported (+) or exported (-) pupils/students (based on January 2021 school census and February R06 2020/21 ILR)*</t>
  </si>
  <si>
    <t xml:space="preserve">Provisional high needs NFF 2022-23 allocations excluding additional funding </t>
  </si>
  <si>
    <t>2022-23 high needs NFF provisional allocation before limit on gains</t>
  </si>
  <si>
    <t>Mid 2022 aged 2-18 population projection</t>
  </si>
  <si>
    <t>High needs NFF 2022-23 provisional allocation</t>
  </si>
  <si>
    <t>2021-22 provisional hospital education funding including in-year adjustments</t>
  </si>
  <si>
    <t>Baseline for funding floor and 2022-23 gains</t>
  </si>
  <si>
    <t>Mid-2021 age 2-18 ONS population projection</t>
  </si>
  <si>
    <t>2021-22 baseline per head (based on mid-2021 age 2-18 ONS population projection)</t>
  </si>
  <si>
    <t>Mid-2022 aged 2-18 population projection</t>
  </si>
  <si>
    <t>2022-23 per head funding floor</t>
  </si>
  <si>
    <t>Formula per head (based on mid-2022 age 2-18 ONS population projection)</t>
  </si>
  <si>
    <t>Additional cost per head above 2021-22</t>
  </si>
  <si>
    <t>- the total national high needs funding for allocation through the NFF for 2022-23</t>
  </si>
  <si>
    <t>Overall high needs budget for 2022-23
[a]</t>
  </si>
  <si>
    <t>This is the total quantum of funding for the high needs NFF that is used for these provisional allocations to local authorities as shown in column [bl] in the 2022-23 StepbyStep Allocations sheet. This excludes additional funding for special free schools that will be funded from the amount held back [b], above.</t>
  </si>
  <si>
    <t>[2] Expenditure amounts agreed with local authorities following reorganisation.</t>
  </si>
  <si>
    <t>[1] Historic factor amounts agreed with North Northamptonshire and West Northamptonshire based on an apportionment of the previous local authorirty's factor (Northamponshire 928).</t>
  </si>
  <si>
    <r>
      <t xml:space="preserve">Bournemouth, Christchurch &amp; Poole </t>
    </r>
    <r>
      <rPr>
        <vertAlign val="superscript"/>
        <sz val="12"/>
        <rFont val="Arial"/>
        <family val="2"/>
      </rPr>
      <t>[2]</t>
    </r>
  </si>
  <si>
    <r>
      <t xml:space="preserve">Dorset </t>
    </r>
    <r>
      <rPr>
        <vertAlign val="superscript"/>
        <sz val="12"/>
        <rFont val="Arial"/>
        <family val="2"/>
      </rPr>
      <t xml:space="preserve"> [2]</t>
    </r>
  </si>
  <si>
    <r>
      <t xml:space="preserve">North Northamptonshire </t>
    </r>
    <r>
      <rPr>
        <vertAlign val="superscript"/>
        <sz val="12"/>
        <color theme="1"/>
        <rFont val="Arial"/>
        <family val="2"/>
      </rPr>
      <t>[1]</t>
    </r>
  </si>
  <si>
    <r>
      <t xml:space="preserve">West Northamptonshire </t>
    </r>
    <r>
      <rPr>
        <vertAlign val="superscript"/>
        <sz val="12"/>
        <color theme="1"/>
        <rFont val="Arial"/>
        <family val="2"/>
      </rPr>
      <t>[1]</t>
    </r>
  </si>
  <si>
    <t>The baseline is calculated using elements of the 2021-22 allocation included in the funding floor and gains calculation. These elements are: the 2021-22 historic spend factor and other proxy factor</t>
  </si>
  <si>
    <t>2017-18 DSG - Academies place funding
[c]</t>
  </si>
  <si>
    <t>LA expenditure 
[f] = [b] + [c] + [d] + [e]</t>
  </si>
  <si>
    <t>ACA-weighted basic entitlement unit rate (£4k per pupil)
[i] = [a] * £4k</t>
  </si>
  <si>
    <t>Provider LA numbers
[l]</t>
  </si>
  <si>
    <t>Resident LA numbers
[m]</t>
  </si>
  <si>
    <t>Net imported pupils
[n] = [l] - [m]</t>
  </si>
  <si>
    <r>
      <t xml:space="preserve">Stoke-on-Trent </t>
    </r>
    <r>
      <rPr>
        <vertAlign val="superscript"/>
        <sz val="12"/>
        <color theme="1"/>
        <rFont val="Arial"/>
        <family val="2"/>
      </rPr>
      <t>[3]</t>
    </r>
  </si>
  <si>
    <t>October 2017 school and January 2017 AP census numbers of pupils in special schools/academies
[h]</t>
  </si>
  <si>
    <t>Used in Individual LA sheet, for look up of LA details</t>
  </si>
  <si>
    <t>These columns set out the provisional high needs NFF allocations (both before and after the gains calculation is applied) and show the per head change.</t>
  </si>
  <si>
    <r>
      <t>Provisional 2021-22 hospital education funding, including</t>
    </r>
    <r>
      <rPr>
        <b/>
        <sz val="12"/>
        <color theme="5" tint="0.39997558519241921"/>
        <rFont val="Arial"/>
        <family val="2"/>
      </rPr>
      <t xml:space="preserve"> </t>
    </r>
    <r>
      <rPr>
        <b/>
        <sz val="12"/>
        <color theme="0"/>
        <rFont val="Arial"/>
        <family val="2"/>
      </rPr>
      <t>8%</t>
    </r>
    <r>
      <rPr>
        <b/>
        <sz val="12"/>
        <color rgb="FFFF0000"/>
        <rFont val="Arial"/>
        <family val="2"/>
      </rPr>
      <t xml:space="preserve"> </t>
    </r>
    <r>
      <rPr>
        <b/>
        <sz val="12"/>
        <color theme="0"/>
        <rFont val="Arial"/>
        <family val="2"/>
      </rPr>
      <t>uplift
[c] = ([a] + [b]) x 108%</t>
    </r>
  </si>
  <si>
    <r>
      <t xml:space="preserve">The funding floor factor calculation is on a per head of population basis, ensuring that every local authority receives at least a 8% increase per head over the updated baseline. </t>
    </r>
    <r>
      <rPr>
        <b/>
        <sz val="12"/>
        <rFont val="Arial"/>
        <family val="2"/>
      </rPr>
      <t xml:space="preserve">(Although unnecessary with the 8% funding floor in 2022-23, the additional absolute floor ([ay]) ensures that </t>
    </r>
    <r>
      <rPr>
        <b/>
        <sz val="12"/>
        <color rgb="FF000000"/>
        <rFont val="Arial"/>
        <family val="2"/>
      </rPr>
      <t xml:space="preserve">even those local authorities with a decreasing population receive a cash flat protection compared to their previous funding baseline.) </t>
    </r>
  </si>
  <si>
    <t>Later adjustments will also be made to hospital education funding as a result of any changes notified by local authorities.</t>
  </si>
  <si>
    <t>This is the cost of providing the 8% funding floor factor to local authorities.</t>
  </si>
  <si>
    <t>This is the amount held back for HN NFF in-year adjustments and funding for non-formula high needs budgets.</t>
  </si>
  <si>
    <t>The historic spend factor has been changed for 2022-23 to use actual spend data.</t>
  </si>
  <si>
    <t>[3] Place funding relating to SEN units and Resourced Provision attached to maintained providers that was recorded in s251 line 1.2.1 is shown in column [e].</t>
  </si>
  <si>
    <t>Some elements of the 2022-23 allocations will be updated with the latest data, as explained in the tables and technical note.</t>
  </si>
  <si>
    <t xml:space="preserve">If you have queries about the calculation for particular local authorities, or about the data we have used, you can find more information in the technical note. </t>
  </si>
  <si>
    <t>Centrally funded institutions</t>
  </si>
  <si>
    <t>High Needs National Funding Formula - 2022-23 provisional allocations to local authorities (LAs)</t>
  </si>
  <si>
    <t>Provisional high needs NFF 2022-23 allocations excluding additional</t>
  </si>
  <si>
    <t>Provisional high needs NFF allocations for 2022-23 (total</t>
  </si>
  <si>
    <t>Provisional 2022-23 hospital education funding, including 8% uplift</t>
  </si>
  <si>
    <t>Basic entitlement
[j] = [h] x [i]</t>
  </si>
  <si>
    <t>Import/export adjustment
[o] = [n] x £6k</t>
  </si>
  <si>
    <t>2017-18 DSG - Further education place funding
[d]</t>
  </si>
  <si>
    <t xml:space="preserve">Elements of the high needs NFF 2022-23 allocations included in the funding floor and gains calculation (total cash and </t>
  </si>
  <si>
    <t>supplementary grant funding factor</t>
  </si>
  <si>
    <t>ILR</t>
  </si>
  <si>
    <t>Individualised learner record</t>
  </si>
  <si>
    <t>Historic pay, pensions and supplementary grant funding
[d]</t>
  </si>
  <si>
    <t>This is the total high needs revenue funding for 2022-23 made available within the Department for Education's resource allocation for that year.</t>
  </si>
  <si>
    <t>This is the total funding provisionally allocated through the basic entitlement factor.</t>
  </si>
  <si>
    <t>The local authority in whose area a pupil or student resides. This LA is responsible for securing the provision for the pupil or student and paying any associated top-up funding.</t>
  </si>
  <si>
    <t>Funding for hospital education and historic pay, pensions and supplementary grant funding
[g]</t>
  </si>
  <si>
    <t>This includes the total 2021-22 hospital education spending, with adjustments and an 8% uplift. In addition it includes historic pay, pensions and supplementary grant funding.</t>
  </si>
  <si>
    <t>The total local authority age 2-18 population projection for mid-2022 as published by ONS.</t>
  </si>
  <si>
    <t>The number of pupils eligible for free school meals known to be resident in each local authority in the January 2021 school census data.</t>
  </si>
  <si>
    <t xml:space="preserve">This factor is split into subtotals for IDACI bands A-F totalling 10%. These are Band A: 1.2%, Band B: 1.85%, Band C: 1.7%, Band D: 1.55%, Band E: 2.15%, Band F: 1.55%. The population numbers are taken from the ONS 2-18 mid-2019 population estimates. </t>
  </si>
  <si>
    <t>The total number of pupils resident in the local authority area who did not attain a scaled score in the 2016-2020 (2019 used as a proxy for 2020) KS2 reading test, or who weren’t entered into the test due to being below the standard or unable to access the test. This includes results for all state-funded schools, i.e. mainstream and special schools and academies.</t>
  </si>
  <si>
    <t xml:space="preserve">The total number of pupils resident in each local authority not attaining five or more A* to G grades in 2016 plus the total number of pupils resident in each local authority in the lowest 5% of attainers nationally for 2017-2020 (2019 used as a proxy for 2020). </t>
  </si>
  <si>
    <t>excluding the basic entitlement factor, the import/export adjustment and hospital education and historic pay, pensions and supplementary grant factor funding)</t>
  </si>
  <si>
    <t>Hospital education** and historic pay, pensions and</t>
  </si>
  <si>
    <t>for new and growing special free schools and import/export adjustments</t>
  </si>
  <si>
    <t>**   Adjustments will be made where agreed with DfE as a result of the annual hospital education change notification process.</t>
  </si>
  <si>
    <t>- the actual allocation for all local authorities, calculated from the elements of the high needs national funding formula that will not change prior to the final allocations.</t>
  </si>
  <si>
    <t>2021-22 baseline per head (based on mid-2021 age 2-18 ONS population projection)
[at] = [ar] / [as]</t>
  </si>
  <si>
    <t>2022-23 per head rate after calculation of gains up to 11%
[bi] = MIN([bg] x 11%, [bi])</t>
  </si>
  <si>
    <t xml:space="preserve"> funding for new and growing special free schools and import/export adjustments
[bl] = [d] + [bb] + [bj]</t>
  </si>
  <si>
    <t xml:space="preserve"> cash, including funding for import/export adjustments and adjustments in relation to new and growing special free schools)
[bm] = [bl] + [be]</t>
  </si>
  <si>
    <t>Allocation after calculation of gains up to 11%</t>
  </si>
  <si>
    <t>Per head rate after calculation of gains up to 11%</t>
  </si>
  <si>
    <t>2022-23 high needs NFF provisional allocation after calculation of gain on 2021-22 baseline up to 11% per head, including the import/export adjustment</t>
  </si>
  <si>
    <t>Hospital education and historic pay, pensions and supplementary grant funding (from column [e] in 'AP Funding Factor' )
[bb]</t>
  </si>
  <si>
    <t>The number of children in each local authority identified as receiving disability living allowance (DLA) as at November 2020 (published May 2021).</t>
  </si>
  <si>
    <t>Provisional high needs NFF allocations for 2022-23 (total cash, including funding</t>
  </si>
  <si>
    <t xml:space="preserve"> for import/export adjustments and adjustments in relation to new and growing special free schools</t>
  </si>
  <si>
    <t>and gains calculation (per head of 2-18 population) 
[bk] = ([bi] - [bg]) / [bg]</t>
  </si>
  <si>
    <t xml:space="preserve">Percentage change in elements included in the funding floor </t>
  </si>
  <si>
    <t>(K) 2022-23 hospital education and historic pay, pensions and supplementary grant funding factor</t>
  </si>
  <si>
    <t>Historic pay, pensions and supplementary grant funding</t>
  </si>
  <si>
    <t xml:space="preserve"> 2022-23 hospital education and historic pay, pensions and supplementary grant funding factor</t>
  </si>
  <si>
    <t>2017-18 s251 outturn - net expenditure
[b]</t>
  </si>
  <si>
    <t>2017-18 high needs place funding in SEN units and resourced provision in maintained schools
[e]</t>
  </si>
  <si>
    <t>High Needs National Funding Formula - provisional hospital education, historic pay, pension and supplementary grant funding factor</t>
  </si>
  <si>
    <t>Bedford</t>
  </si>
  <si>
    <t>County Durham</t>
  </si>
  <si>
    <t>St. Helens</t>
  </si>
  <si>
    <t>Herefordshire, County of</t>
  </si>
  <si>
    <r>
      <t xml:space="preserve">- </t>
    </r>
    <r>
      <rPr>
        <b/>
        <sz val="12"/>
        <rFont val="Arial"/>
        <family val="2"/>
      </rPr>
      <t>Information</t>
    </r>
    <r>
      <rPr>
        <sz val="12"/>
        <rFont val="Arial"/>
        <family val="2"/>
      </rPr>
      <t xml:space="preserve">: High level overview of contents with a glossary of abbreviations. </t>
    </r>
  </si>
  <si>
    <r>
      <rPr>
        <sz val="12"/>
        <rFont val="Arial"/>
        <family val="2"/>
      </rPr>
      <t xml:space="preserve">- </t>
    </r>
    <r>
      <rPr>
        <b/>
        <sz val="12"/>
        <rFont val="Arial"/>
        <family val="2"/>
      </rPr>
      <t xml:space="preserve">Historic Spend Factor: </t>
    </r>
    <r>
      <rPr>
        <sz val="12"/>
        <rFont val="Arial"/>
        <family val="2"/>
      </rPr>
      <t>Actual spend data that has been used for this factor for 2022-23.</t>
    </r>
  </si>
  <si>
    <r>
      <t xml:space="preserve">- </t>
    </r>
    <r>
      <rPr>
        <b/>
        <sz val="12"/>
        <rFont val="Arial"/>
        <family val="2"/>
      </rPr>
      <t>AP Funding Factor</t>
    </r>
    <r>
      <rPr>
        <sz val="12"/>
        <rFont val="Arial"/>
        <family val="2"/>
      </rPr>
      <t>: This includes the 2021-22 hospital education funding (including adjustments for 2021-22) and a calculation of the provisional 2022-23 hospital education funding for every local authority in England,</t>
    </r>
  </si>
  <si>
    <r>
      <t xml:space="preserve">- </t>
    </r>
    <r>
      <rPr>
        <b/>
        <sz val="12"/>
        <rFont val="Arial"/>
        <family val="2"/>
      </rPr>
      <t>2021-22 Baseline</t>
    </r>
    <r>
      <rPr>
        <sz val="12"/>
        <rFont val="Arial"/>
        <family val="2"/>
      </rPr>
      <t>: Calculation of the baseline used in the funding floor factor and gains calculation for the 2022-23 allocations.</t>
    </r>
  </si>
  <si>
    <t xml:space="preserve"> this is consistent with the 2021-22 DSG allocations. These will be updated to use 2022 data for the final allocations, to be published in early summer 2022.</t>
  </si>
  <si>
    <t xml:space="preserve"> as well as adjustments in relation to historic pay, pensions and supplementary grant funding.</t>
  </si>
  <si>
    <t>This is the amount recovered by limiting the gains to 11%.</t>
  </si>
  <si>
    <t>This table shows the 2022-23 LA funding for the high needs block of the DSG.</t>
  </si>
  <si>
    <t>DSG</t>
  </si>
  <si>
    <t>Dedicated schools grant</t>
  </si>
  <si>
    <t>This funding will be recalculated based on the January 2022 school census and R06 ILR for 2021/22</t>
  </si>
  <si>
    <t xml:space="preserve"> (total cash, and excluding the basic entitlement factor, the import/export adjustment and associated special free school funding, and the hospital education and historic pay and pensions funding factor)
[bj] = [bi] x [f] + [ay]</t>
  </si>
  <si>
    <t>Adjusted 2021-22 HN baseline: to be used for the funding floor and gains calculation
[f] = [a] + [b] + [c] + [d] + [e]</t>
  </si>
  <si>
    <t>Baseline for funding floor and gains (from column [f] in '2021-22 Baseline')
[ar]</t>
  </si>
  <si>
    <t>These elements are deducted from the baseline funding to produce the historic spend figure</t>
  </si>
  <si>
    <t>High Needs National Funding Formula - historic spend factor</t>
  </si>
  <si>
    <t>Pupils/students in NMSSs and SPIs/CFIs by the LA in which they are resident</t>
  </si>
  <si>
    <t>Provisional hospital education, historic AP teachers pay/pension and supplementary grant funding factor
[e] = [c] + [d]</t>
  </si>
  <si>
    <t>Number of children entitled to DLA resident in LA
[ah]</t>
  </si>
  <si>
    <t>Number of pupils resident in LA with low attainment in KS2 reading (5 year total) resident in LA
[ak]</t>
  </si>
  <si>
    <t>Number of pupils resident in LA with low attainment at KS4 (5 year total) resident in LA
[an]</t>
  </si>
  <si>
    <t>LA expenditure</t>
  </si>
  <si>
    <t>Schools block transfer to reflect funding change for special units
[g]</t>
  </si>
  <si>
    <t>Basic entitlement</t>
  </si>
  <si>
    <t>2017-18 hospital education funding (adjusted for full FY)
[k]</t>
  </si>
  <si>
    <t>Adjusted expenditure
[p] = [f] - [g] - [j] - [k] - [o]</t>
  </si>
  <si>
    <t>Historic spend factor
[q] = 50% x [p]</t>
  </si>
  <si>
    <t>Import/export adjustment (January 2018 school census and 2017/18 ILR R06)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</si>
</sst>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0;[Red]\-&quot;£&quot;#,##0"/>
    <numFmt numFmtId="43" formatCode="_-* #,##0.00_-;\-* #,##0.00_-;_-* &quot;-&quot;??_-;_-@_-"/>
    <numFmt numFmtId="164" formatCode="&quot;£&quot;#,##0"/>
    <numFmt numFmtId="165" formatCode="&quot;£&quot;#,##0.0000000"/>
    <numFmt numFmtId="166" formatCode="&quot;£&quot;#,##0_);[Red]\(&quot;£&quot;#,##0\)"/>
    <numFmt numFmtId="167" formatCode="0.0%"/>
    <numFmt numFmtId="168" formatCode="&quot;£&quot;#,##0.0000000000000000"/>
    <numFmt numFmtId="169" formatCode="_(* #,##0.00_);_(* \(#,##0.00\);_(* &quot;-&quot;??_);_(@_)"/>
    <numFmt numFmtId="170" formatCode="&quot;£&quot;#,##0.00"/>
    <numFmt numFmtId="171" formatCode="_-* #,##0_-;\-* #,##0_-;_-* &quot;-&quot;??_-;_-@_-"/>
    <numFmt numFmtId="172" formatCode="_-&quot;£&quot;* #,##0_-;\-&quot;£&quot;* #,##0_-;_-&quot;£&quot;* &quot;-&quot;??_-;_-@_-"/>
    <numFmt numFmtId="173" formatCode="#,##0.00000000"/>
    <numFmt numFmtId="174" formatCode="_(&quot;£&quot;* #,##0.00_);_(&quot;£&quot;* \(#,##0.00\);_(&quot;£&quot;* &quot;-&quot;??_);_(@_)"/>
    <numFmt numFmtId="175" formatCode="#,##0_ ;\-#,##0\ "/>
    <numFmt numFmtId="176" formatCode="#,##0;[Red]#,##0"/>
    <numFmt numFmtId="177" formatCode="0.000"/>
    <numFmt numFmtId="178" formatCode="#,##0_ ;[Red]\-#,##0\ "/>
    <numFmt numFmtId="179" formatCode="#,##0.000_ ;[Red]\-#,##0.000\ "/>
    <numFmt numFmtId="180" formatCode="0.0"/>
    <numFmt numFmtId="181" formatCode="_(* #,##0_);_(* \(#,##0\);_(* &quot;-&quot;??_);_(@_)"/>
    <numFmt numFmtId="182" formatCode="&quot;£&quot;#,##0_)"/>
    <numFmt numFmtId="183" formatCode="#,##0.0"/>
    <numFmt numFmtId="184" formatCode="0.0000000000000000000000000%"/>
    <numFmt numFmtId="185" formatCode="&quot;£&quot;#,##0.0"/>
    <numFmt numFmtId="186" formatCode="&quot;£&quot;#,##0.000"/>
    <numFmt numFmtId="187" formatCode="&quot;£&quot;#,##0.0000000000"/>
    <numFmt numFmtId="188" formatCode="&quot;£&quot;#,##0_);[Red]\-\(&quot;£&quot;#,##0\)"/>
    <numFmt numFmtId="189" formatCode="&quot;£&quot;#,##0.00000000000"/>
  </numFmts>
  <fonts count="8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theme="1"/>
      <name val="Arial"/>
      <family val="2"/>
    </font>
    <font>
      <b/>
      <sz val="20"/>
      <color theme="1"/>
      <name val="Arial"/>
      <family val="2"/>
    </font>
    <font>
      <b/>
      <u/>
      <sz val="12"/>
      <color theme="1"/>
      <name val="Arial"/>
      <family val="2"/>
    </font>
    <font>
      <sz val="12"/>
      <color theme="1"/>
      <name val="Wingdings"/>
      <charset val="2"/>
    </font>
    <font>
      <u/>
      <sz val="11"/>
      <color rgb="FF0000FF"/>
      <name val="Calibri"/>
      <family val="2"/>
    </font>
    <font>
      <b/>
      <sz val="12"/>
      <color theme="1"/>
      <name val="Arial"/>
      <family val="2"/>
    </font>
    <font>
      <sz val="12"/>
      <name val="Arial"/>
      <family val="2"/>
    </font>
    <font>
      <b/>
      <sz val="12"/>
      <name val="Arial"/>
      <family val="2"/>
    </font>
    <font>
      <sz val="12"/>
      <color rgb="FF222222"/>
      <name val="Arial"/>
      <family val="2"/>
    </font>
    <font>
      <sz val="11"/>
      <color rgb="FF000000"/>
      <name val="Calibri"/>
      <family val="2"/>
    </font>
    <font>
      <sz val="12"/>
      <color rgb="FF000000"/>
      <name val="Arial"/>
      <family val="2"/>
    </font>
    <font>
      <b/>
      <sz val="20"/>
      <color rgb="FF000000"/>
      <name val="Arial"/>
      <family val="2"/>
    </font>
    <font>
      <sz val="12"/>
      <color rgb="FFFF0000"/>
      <name val="Arial"/>
      <family val="2"/>
    </font>
    <font>
      <b/>
      <u/>
      <sz val="12"/>
      <color rgb="FF000000"/>
      <name val="Arial"/>
      <family val="2"/>
    </font>
    <font>
      <b/>
      <sz val="12"/>
      <color rgb="FF000000"/>
      <name val="Arial"/>
      <family val="2"/>
    </font>
    <font>
      <sz val="12"/>
      <color theme="0"/>
      <name val="Arial"/>
      <family val="2"/>
    </font>
    <font>
      <b/>
      <sz val="20"/>
      <name val="Arial"/>
      <family val="2"/>
    </font>
    <font>
      <b/>
      <sz val="12"/>
      <color theme="0"/>
      <name val="Arial"/>
      <family val="2"/>
    </font>
    <font>
      <sz val="20"/>
      <name val="Arial"/>
      <family val="2"/>
    </font>
    <font>
      <sz val="20"/>
      <color theme="1"/>
      <name val="Arial"/>
      <family val="2"/>
    </font>
    <font>
      <sz val="10"/>
      <color theme="1"/>
      <name val="Arial"/>
      <family val="2"/>
    </font>
    <font>
      <sz val="11"/>
      <name val="Calibri"/>
      <family val="2"/>
      <scheme val="minor"/>
    </font>
    <font>
      <u/>
      <sz val="11"/>
      <color theme="0"/>
      <name val="Calibri"/>
      <family val="2"/>
    </font>
    <font>
      <u/>
      <sz val="12"/>
      <color theme="0"/>
      <name val="Arial"/>
      <family val="2"/>
    </font>
    <font>
      <i/>
      <sz val="12"/>
      <color rgb="FF000000"/>
      <name val="Arial"/>
      <family val="2"/>
    </font>
    <font>
      <strike/>
      <sz val="12"/>
      <color theme="0"/>
      <name val="Arial"/>
      <family val="2"/>
    </font>
    <font>
      <sz val="48"/>
      <color theme="1"/>
      <name val="Calibri"/>
      <family val="2"/>
      <scheme val="minor"/>
    </font>
    <font>
      <b/>
      <strike/>
      <sz val="14"/>
      <color theme="1"/>
      <name val="Calibri"/>
      <family val="2"/>
      <scheme val="minor"/>
    </font>
    <font>
      <i/>
      <sz val="11"/>
      <color theme="1"/>
      <name val="Calibri"/>
      <family val="2"/>
      <scheme val="minor"/>
    </font>
    <font>
      <i/>
      <sz val="12"/>
      <color theme="0"/>
      <name val="Arial"/>
      <family val="2"/>
    </font>
    <font>
      <b/>
      <i/>
      <sz val="11"/>
      <color theme="0"/>
      <name val="Calibri"/>
      <family val="2"/>
      <scheme val="minor"/>
    </font>
    <font>
      <i/>
      <sz val="11"/>
      <color theme="0"/>
      <name val="Calibri"/>
      <family val="2"/>
      <scheme val="minor"/>
    </font>
    <font>
      <b/>
      <i/>
      <sz val="11"/>
      <color theme="1"/>
      <name val="Calibri"/>
      <family val="2"/>
      <scheme val="minor"/>
    </font>
    <font>
      <sz val="16"/>
      <color theme="1"/>
      <name val="Calibri"/>
      <family val="2"/>
      <scheme val="minor"/>
    </font>
    <font>
      <b/>
      <sz val="11"/>
      <name val="Calibri"/>
      <family val="2"/>
      <scheme val="minor"/>
    </font>
    <font>
      <sz val="12"/>
      <color theme="1" tint="0.14999847407452621"/>
      <name val="Arial"/>
      <family val="2"/>
    </font>
    <font>
      <b/>
      <sz val="12"/>
      <color theme="1" tint="0.14999847407452621"/>
      <name val="Arial"/>
      <family val="2"/>
    </font>
    <font>
      <sz val="11"/>
      <color theme="1"/>
      <name val="Arial"/>
      <family val="2"/>
    </font>
    <font>
      <b/>
      <sz val="12"/>
      <color rgb="FFFF0000"/>
      <name val="Arial"/>
      <family val="2"/>
    </font>
    <font>
      <b/>
      <sz val="12"/>
      <color theme="1"/>
      <name val="Arial"/>
      <family val="2"/>
    </font>
    <font>
      <sz val="12"/>
      <color theme="1"/>
      <name val="Arial"/>
      <family val="2"/>
    </font>
    <font>
      <sz val="12"/>
      <color theme="0"/>
      <name val="Arial"/>
      <family val="2"/>
    </font>
    <font>
      <sz val="18"/>
      <color theme="1"/>
      <name val="Calibri"/>
      <family val="2"/>
      <scheme val="minor"/>
    </font>
    <font>
      <b/>
      <sz val="14"/>
      <color theme="1"/>
      <name val="Calibri"/>
      <family val="2"/>
      <scheme val="minor"/>
    </font>
    <font>
      <sz val="11"/>
      <color rgb="FFFF0000"/>
      <name val="Calibri"/>
      <family val="2"/>
      <scheme val="minor"/>
    </font>
    <font>
      <sz val="20"/>
      <color rgb="FFFF0000"/>
      <name val="Arial"/>
      <family val="2"/>
    </font>
    <font>
      <sz val="16"/>
      <name val="Arial"/>
      <family val="2"/>
    </font>
    <font>
      <b/>
      <u/>
      <sz val="12"/>
      <name val="Arial"/>
      <family val="2"/>
    </font>
    <font>
      <sz val="11"/>
      <color theme="1"/>
      <name val="Calibri"/>
      <family val="2"/>
    </font>
    <font>
      <sz val="20"/>
      <color rgb="FF000000"/>
      <name val="Arial"/>
      <family val="2"/>
    </font>
    <font>
      <sz val="10"/>
      <color rgb="FF000000"/>
      <name val="Arial"/>
      <family val="2"/>
    </font>
    <font>
      <sz val="12"/>
      <color rgb="FF0D0D0D"/>
      <name val="Arial"/>
      <family val="2"/>
    </font>
    <font>
      <b/>
      <sz val="12"/>
      <color rgb="FFFFFFFF"/>
      <name val="Arial"/>
      <family val="2"/>
    </font>
    <font>
      <sz val="12"/>
      <color rgb="FFFFFFFF"/>
      <name val="Arial"/>
      <family val="2"/>
    </font>
    <font>
      <b/>
      <sz val="12"/>
      <color rgb="FF262626"/>
      <name val="Arial"/>
      <family val="2"/>
    </font>
    <font>
      <sz val="12"/>
      <color rgb="FF262626"/>
      <name val="Arial"/>
      <family val="2"/>
    </font>
    <font>
      <sz val="10"/>
      <name val="Arial"/>
      <family val="2"/>
    </font>
    <font>
      <sz val="12"/>
      <color rgb="FF000000"/>
      <name val="Arial"/>
      <family val="2"/>
    </font>
    <font>
      <vertAlign val="superscript"/>
      <sz val="12"/>
      <color theme="1"/>
      <name val="Arial"/>
      <family val="2"/>
    </font>
    <font>
      <sz val="12"/>
      <color theme="1"/>
      <name val="Arial"/>
      <family val="2"/>
    </font>
    <font>
      <vertAlign val="superscript"/>
      <sz val="12"/>
      <name val="Arial"/>
      <family val="2"/>
    </font>
    <font>
      <b/>
      <sz val="12"/>
      <color rgb="FF262626"/>
      <name val="Arial"/>
      <family val="2"/>
    </font>
    <font>
      <sz val="12"/>
      <color theme="1" tint="0.14999847407452621"/>
      <name val="Arial"/>
      <family val="2"/>
    </font>
    <font>
      <b/>
      <sz val="12"/>
      <color theme="5" tint="0.39997558519241921"/>
      <name val="Arial"/>
      <family val="2"/>
    </font>
    <font>
      <b/>
      <sz val="12"/>
      <color theme="5"/>
      <name val="Arial"/>
      <family val="2"/>
    </font>
    <font>
      <sz val="12"/>
      <color theme="0"/>
      <name val="Arial"/>
      <family val="2"/>
    </font>
    <font>
      <b/>
      <sz val="12"/>
      <color theme="1"/>
      <name val="Arial"/>
      <family val="2"/>
    </font>
    <font>
      <sz val="12"/>
      <color theme="1"/>
      <name val="Arial"/>
      <family val="2"/>
    </font>
    <font>
      <sz val="12"/>
      <color rgb="FF00B050"/>
      <name val="Arial"/>
      <family val="2"/>
    </font>
    <font>
      <u/>
      <sz val="11"/>
      <name val="Calibri"/>
      <family val="2"/>
    </font>
    <font>
      <b/>
      <sz val="18"/>
      <color theme="1"/>
      <name val="Arial"/>
      <family val="2"/>
    </font>
    <font>
      <u/>
      <sz val="12"/>
      <color rgb="FF0000FF"/>
      <name val="Arial"/>
      <family val="2"/>
    </font>
    <font>
      <b/>
      <sz val="12"/>
      <color rgb="FF000000"/>
      <name val="Arial"/>
    </font>
    <font>
      <sz val="12"/>
      <color rgb="FF000000"/>
      <name val="Arial"/>
    </font>
    <font>
      <b/>
      <sz val="20"/>
      <color rgb="FFFF0000"/>
      <name val="Arial"/>
      <family val="2"/>
    </font>
  </fonts>
  <fills count="28">
    <fill>
      <patternFill patternType="none"/>
    </fill>
    <fill>
      <patternFill patternType="gray125"/>
    </fill>
    <fill>
      <patternFill patternType="solid">
        <fgColor theme="0"/>
        <bgColor indexed="64"/>
      </patternFill>
    </fill>
    <fill>
      <patternFill patternType="solid">
        <fgColor rgb="FFF3ECCD"/>
        <bgColor rgb="FFF3ECCD"/>
      </patternFill>
    </fill>
    <fill>
      <patternFill patternType="solid">
        <fgColor rgb="FFD0A8A9"/>
        <bgColor rgb="FFD4CEDE"/>
      </patternFill>
    </fill>
    <fill>
      <patternFill patternType="solid">
        <fgColor rgb="FFE8D3D4"/>
        <bgColor rgb="FFDCE6F1"/>
      </patternFill>
    </fill>
    <fill>
      <patternFill patternType="solid">
        <fgColor rgb="FFD8B2B4"/>
        <bgColor rgb="FFD4CEDE"/>
      </patternFill>
    </fill>
    <fill>
      <patternFill patternType="solid">
        <fgColor rgb="FFF3ECCD"/>
        <bgColor indexed="64"/>
      </patternFill>
    </fill>
    <fill>
      <patternFill patternType="solid">
        <fgColor rgb="FF004712"/>
        <bgColor indexed="64"/>
      </patternFill>
    </fill>
    <fill>
      <patternFill patternType="solid">
        <fgColor theme="0" tint="-0.14999847407452621"/>
        <bgColor indexed="64"/>
      </patternFill>
    </fill>
    <fill>
      <patternFill patternType="darkGray">
        <bgColor theme="0" tint="-0.499984740745262"/>
      </patternFill>
    </fill>
    <fill>
      <patternFill patternType="solid">
        <fgColor rgb="FFD4CEDE"/>
        <bgColor indexed="64"/>
      </patternFill>
    </fill>
    <fill>
      <patternFill patternType="darkGray">
        <bgColor rgb="FFD4CEDE"/>
      </patternFill>
    </fill>
    <fill>
      <patternFill patternType="solid">
        <fgColor theme="0" tint="-0.34998626667073579"/>
        <bgColor indexed="64"/>
      </patternFill>
    </fill>
    <fill>
      <patternFill patternType="solid">
        <fgColor theme="3" tint="0.59999389629810485"/>
        <bgColor rgb="FFDCE6F1"/>
      </patternFill>
    </fill>
    <fill>
      <patternFill patternType="solid">
        <fgColor rgb="FFA15154"/>
        <bgColor indexed="64"/>
      </patternFill>
    </fill>
    <fill>
      <patternFill patternType="solid">
        <fgColor rgb="FFDCE6F1"/>
        <bgColor rgb="FFDCE6F1"/>
      </patternFill>
    </fill>
    <fill>
      <patternFill patternType="solid">
        <fgColor theme="6" tint="0.79998168889431442"/>
        <bgColor indexed="64"/>
      </patternFill>
    </fill>
    <fill>
      <patternFill patternType="solid">
        <fgColor rgb="FF104F75"/>
        <bgColor indexed="64"/>
      </patternFill>
    </fill>
    <fill>
      <patternFill patternType="solid">
        <fgColor rgb="FFE8D3D4"/>
        <bgColor indexed="64"/>
      </patternFill>
    </fill>
    <fill>
      <patternFill patternType="darkGray">
        <bgColor rgb="FFE8D3D4"/>
      </patternFill>
    </fill>
    <fill>
      <patternFill patternType="solid">
        <fgColor rgb="FFD9D9D9"/>
        <bgColor rgb="FF000000"/>
      </patternFill>
    </fill>
    <fill>
      <patternFill patternType="solid">
        <fgColor rgb="FF104F75"/>
        <bgColor rgb="FF000000"/>
      </patternFill>
    </fill>
    <fill>
      <patternFill patternType="darkGray">
        <fgColor rgb="FF000000"/>
        <bgColor rgb="FF808080"/>
      </patternFill>
    </fill>
    <fill>
      <patternFill patternType="solid">
        <fgColor rgb="FFD4CEDE"/>
        <bgColor rgb="FF000000"/>
      </patternFill>
    </fill>
    <fill>
      <patternFill patternType="darkGray">
        <fgColor rgb="FF000000"/>
        <bgColor rgb="FFD4CEDE"/>
      </patternFill>
    </fill>
    <fill>
      <patternFill patternType="lightUp">
        <bgColor theme="0" tint="-0.24994659260841701"/>
      </patternFill>
    </fill>
    <fill>
      <patternFill patternType="lightUp">
        <fgColor rgb="FF000000"/>
        <bgColor theme="0" tint="-0.24994659260841701"/>
      </patternFill>
    </fill>
  </fills>
  <borders count="65">
    <border>
      <left/>
      <right/>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2">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5" fillId="0" borderId="0"/>
    <xf numFmtId="0" fontId="6" fillId="0" borderId="0"/>
    <xf numFmtId="169"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0" fontId="1" fillId="0" borderId="0"/>
    <xf numFmtId="0" fontId="26" fillId="0" borderId="0"/>
    <xf numFmtId="0" fontId="62" fillId="0" borderId="0"/>
  </cellStyleXfs>
  <cellXfs count="649">
    <xf numFmtId="0" fontId="0" fillId="0" borderId="0" xfId="0"/>
    <xf numFmtId="0" fontId="6" fillId="2" borderId="0" xfId="0" applyFont="1" applyFill="1"/>
    <xf numFmtId="0" fontId="7" fillId="2" borderId="0" xfId="0" applyFont="1" applyFill="1" applyAlignment="1">
      <alignment horizontal="left" vertical="center"/>
    </xf>
    <xf numFmtId="0" fontId="6"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right" vertical="top"/>
    </xf>
    <xf numFmtId="0" fontId="6" fillId="2" borderId="0" xfId="0" applyFont="1" applyFill="1" applyAlignment="1">
      <alignment horizontal="left" vertical="top"/>
    </xf>
    <xf numFmtId="0" fontId="6" fillId="2" borderId="0" xfId="0" quotePrefix="1" applyFont="1" applyFill="1" applyAlignment="1">
      <alignment vertical="top"/>
    </xf>
    <xf numFmtId="0" fontId="12" fillId="2" borderId="0" xfId="0" quotePrefix="1" applyFont="1" applyFill="1" applyAlignment="1">
      <alignment vertical="top"/>
    </xf>
    <xf numFmtId="0" fontId="12" fillId="2" borderId="0" xfId="0" applyFont="1" applyFill="1" applyAlignment="1">
      <alignment vertical="top"/>
    </xf>
    <xf numFmtId="0" fontId="6" fillId="2" borderId="0" xfId="0" applyFont="1" applyFill="1" applyAlignment="1">
      <alignment horizontal="left"/>
    </xf>
    <xf numFmtId="0" fontId="8" fillId="2" borderId="0" xfId="0" applyFont="1" applyFill="1"/>
    <xf numFmtId="0" fontId="11" fillId="2" borderId="0" xfId="0" applyFont="1" applyFill="1"/>
    <xf numFmtId="0" fontId="11" fillId="2" borderId="0" xfId="0" applyFont="1" applyFill="1" applyAlignment="1">
      <alignment vertical="top"/>
    </xf>
    <xf numFmtId="0" fontId="11" fillId="2" borderId="0" xfId="0" applyFont="1" applyFill="1" applyAlignment="1">
      <alignment vertical="top" wrapText="1"/>
    </xf>
    <xf numFmtId="0" fontId="14" fillId="2" borderId="0" xfId="0" applyFont="1" applyFill="1" applyAlignment="1">
      <alignment vertical="top"/>
    </xf>
    <xf numFmtId="0" fontId="0" fillId="2" borderId="0" xfId="0" applyFill="1"/>
    <xf numFmtId="0" fontId="16" fillId="0" borderId="0" xfId="4" applyFont="1"/>
    <xf numFmtId="0" fontId="17" fillId="0" borderId="0" xfId="4" applyFont="1"/>
    <xf numFmtId="0" fontId="16" fillId="0" borderId="0" xfId="4" quotePrefix="1" applyFont="1" applyAlignment="1">
      <alignment vertical="center"/>
    </xf>
    <xf numFmtId="0" fontId="18" fillId="0" borderId="0" xfId="4" applyFont="1"/>
    <xf numFmtId="0" fontId="16" fillId="0" borderId="0" xfId="4" quotePrefix="1" applyFont="1"/>
    <xf numFmtId="0" fontId="19" fillId="0" borderId="0" xfId="4" applyFont="1"/>
    <xf numFmtId="165" fontId="16" fillId="0" borderId="0" xfId="4" applyNumberFormat="1" applyFont="1"/>
    <xf numFmtId="164" fontId="0" fillId="0" borderId="0" xfId="0" applyNumberFormat="1"/>
    <xf numFmtId="0" fontId="4" fillId="0" borderId="0" xfId="0" applyFont="1"/>
    <xf numFmtId="164" fontId="16" fillId="0" borderId="0" xfId="4" applyNumberFormat="1" applyFont="1"/>
    <xf numFmtId="0" fontId="16" fillId="0" borderId="0" xfId="4" applyFont="1" applyAlignment="1">
      <alignment horizontal="center"/>
    </xf>
    <xf numFmtId="168" fontId="16" fillId="0" borderId="0" xfId="4" applyNumberFormat="1" applyFont="1"/>
    <xf numFmtId="164" fontId="4" fillId="0" borderId="0" xfId="0" applyNumberFormat="1" applyFont="1"/>
    <xf numFmtId="0" fontId="7" fillId="0" borderId="0" xfId="0" applyFont="1" applyAlignment="1">
      <alignment horizontal="left" vertical="center"/>
    </xf>
    <xf numFmtId="0" fontId="21" fillId="8" borderId="15" xfId="0" applyFont="1" applyFill="1" applyBorder="1" applyAlignment="1">
      <alignment horizontal="center" vertical="center" wrapText="1"/>
    </xf>
    <xf numFmtId="0" fontId="24" fillId="0" borderId="0" xfId="0" applyFont="1"/>
    <xf numFmtId="0" fontId="22" fillId="0" borderId="0" xfId="0" applyFont="1" applyAlignment="1">
      <alignment horizontal="left" vertical="center"/>
    </xf>
    <xf numFmtId="0" fontId="25" fillId="0" borderId="0" xfId="0" applyFont="1"/>
    <xf numFmtId="0" fontId="7" fillId="0" borderId="0" xfId="0" applyFont="1"/>
    <xf numFmtId="170" fontId="26" fillId="0" borderId="0" xfId="0" applyNumberFormat="1" applyFont="1"/>
    <xf numFmtId="0" fontId="25" fillId="0" borderId="0" xfId="0" quotePrefix="1" applyFont="1"/>
    <xf numFmtId="0" fontId="27" fillId="0" borderId="0" xfId="0" applyFont="1"/>
    <xf numFmtId="167" fontId="0" fillId="0" borderId="0" xfId="1" applyNumberFormat="1" applyFont="1"/>
    <xf numFmtId="171" fontId="25" fillId="0" borderId="0" xfId="0" applyNumberFormat="1" applyFont="1"/>
    <xf numFmtId="3" fontId="7" fillId="0" borderId="0" xfId="0" applyNumberFormat="1" applyFont="1"/>
    <xf numFmtId="167" fontId="7" fillId="0" borderId="0" xfId="0" applyNumberFormat="1" applyFont="1"/>
    <xf numFmtId="6" fontId="7" fillId="0" borderId="0" xfId="0" applyNumberFormat="1" applyFont="1"/>
    <xf numFmtId="0" fontId="3" fillId="0" borderId="0" xfId="0" applyFont="1" applyAlignment="1">
      <alignment horizontal="center" wrapText="1"/>
    </xf>
    <xf numFmtId="0" fontId="26" fillId="0" borderId="0" xfId="0" applyFont="1"/>
    <xf numFmtId="172" fontId="25" fillId="0" borderId="0" xfId="0" applyNumberFormat="1" applyFont="1"/>
    <xf numFmtId="164" fontId="6" fillId="0" borderId="0" xfId="0" applyNumberFormat="1" applyFont="1" applyAlignment="1">
      <alignment vertical="top"/>
    </xf>
    <xf numFmtId="0" fontId="12" fillId="0" borderId="0" xfId="0" applyFont="1" applyAlignment="1">
      <alignment horizontal="center"/>
    </xf>
    <xf numFmtId="0" fontId="6" fillId="0" borderId="0" xfId="0" applyFont="1" applyAlignment="1">
      <alignment horizontal="center"/>
    </xf>
    <xf numFmtId="173" fontId="27" fillId="0" borderId="0" xfId="0" applyNumberFormat="1" applyFont="1"/>
    <xf numFmtId="0" fontId="0" fillId="0" borderId="0" xfId="0" applyAlignment="1">
      <alignment horizontal="center"/>
    </xf>
    <xf numFmtId="0" fontId="13" fillId="0" borderId="0" xfId="0" applyFont="1" applyAlignment="1">
      <alignment horizontal="center" vertical="center"/>
    </xf>
    <xf numFmtId="0" fontId="20" fillId="3" borderId="4" xfId="0" applyFont="1" applyFill="1" applyBorder="1" applyAlignment="1">
      <alignment horizontal="centerContinuous" vertical="center"/>
    </xf>
    <xf numFmtId="0" fontId="20" fillId="3" borderId="5" xfId="0" applyFont="1" applyFill="1" applyBorder="1" applyAlignment="1">
      <alignment horizontal="centerContinuous" vertical="center"/>
    </xf>
    <xf numFmtId="0" fontId="20" fillId="3" borderId="9" xfId="0" applyFont="1" applyFill="1" applyBorder="1" applyAlignment="1">
      <alignment horizontal="centerContinuous" vertical="center"/>
    </xf>
    <xf numFmtId="0" fontId="20" fillId="3" borderId="11" xfId="0" applyFont="1" applyFill="1" applyBorder="1" applyAlignment="1">
      <alignment horizontal="center" vertical="center" wrapText="1"/>
    </xf>
    <xf numFmtId="0" fontId="20" fillId="3" borderId="11" xfId="0" applyFont="1" applyFill="1" applyBorder="1" applyAlignment="1">
      <alignment horizontal="left" vertical="center" indent="2"/>
    </xf>
    <xf numFmtId="0" fontId="23" fillId="8" borderId="11"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21" xfId="0" applyFont="1" applyFill="1" applyBorder="1" applyAlignment="1">
      <alignment horizontal="center" vertical="center" wrapText="1"/>
    </xf>
    <xf numFmtId="0" fontId="21" fillId="8" borderId="22" xfId="0" quotePrefix="1" applyFont="1" applyFill="1" applyBorder="1" applyAlignment="1" applyProtection="1">
      <alignment horizontal="center" vertical="center" wrapText="1"/>
      <protection hidden="1"/>
    </xf>
    <xf numFmtId="0" fontId="23" fillId="8" borderId="23" xfId="0" quotePrefix="1" applyFont="1" applyFill="1" applyBorder="1" applyAlignment="1" applyProtection="1">
      <alignment horizontal="center" vertical="center" wrapText="1"/>
      <protection hidden="1"/>
    </xf>
    <xf numFmtId="0" fontId="21" fillId="8" borderId="17" xfId="0" applyFont="1" applyFill="1" applyBorder="1" applyAlignment="1">
      <alignment horizontal="center" vertical="center" wrapText="1"/>
    </xf>
    <xf numFmtId="0" fontId="12" fillId="0" borderId="0" xfId="0" applyFont="1" applyAlignment="1">
      <alignment wrapText="1"/>
    </xf>
    <xf numFmtId="0" fontId="11" fillId="9" borderId="4" xfId="0" applyFont="1" applyFill="1" applyBorder="1" applyAlignment="1">
      <alignment horizontal="left" vertical="center" wrapText="1"/>
    </xf>
    <xf numFmtId="2" fontId="23" fillId="9" borderId="5" xfId="0" applyNumberFormat="1" applyFont="1" applyFill="1" applyBorder="1" applyAlignment="1">
      <alignment horizontal="center" vertical="center" wrapText="1"/>
    </xf>
    <xf numFmtId="0" fontId="11" fillId="9" borderId="9" xfId="0" applyFont="1" applyFill="1" applyBorder="1" applyAlignment="1">
      <alignment horizontal="center" vertical="center" wrapText="1"/>
    </xf>
    <xf numFmtId="0" fontId="23" fillId="10" borderId="26" xfId="0" applyFont="1" applyFill="1" applyBorder="1" applyAlignment="1">
      <alignment horizontal="center" vertical="center" wrapText="1"/>
    </xf>
    <xf numFmtId="171" fontId="23" fillId="10" borderId="26" xfId="6" applyNumberFormat="1" applyFont="1" applyFill="1" applyBorder="1" applyAlignment="1">
      <alignment horizontal="center" vertical="center" wrapText="1"/>
    </xf>
    <xf numFmtId="164" fontId="11" fillId="11" borderId="11" xfId="7" applyNumberFormat="1" applyFont="1" applyFill="1" applyBorder="1" applyAlignment="1">
      <alignment wrapText="1"/>
    </xf>
    <xf numFmtId="171" fontId="6" fillId="0" borderId="5" xfId="6" applyNumberFormat="1" applyFont="1" applyBorder="1" applyAlignment="1">
      <alignment horizontal="center" wrapText="1"/>
    </xf>
    <xf numFmtId="175" fontId="6" fillId="0" borderId="5" xfId="7" applyNumberFormat="1" applyFont="1" applyBorder="1" applyAlignment="1">
      <alignment wrapText="1"/>
    </xf>
    <xf numFmtId="171" fontId="6" fillId="0" borderId="4" xfId="6" applyNumberFormat="1" applyFont="1" applyBorder="1" applyAlignment="1">
      <alignment horizontal="center" wrapText="1"/>
    </xf>
    <xf numFmtId="164" fontId="6" fillId="11" borderId="11" xfId="7" applyNumberFormat="1" applyFont="1" applyFill="1" applyBorder="1" applyAlignment="1">
      <alignment wrapText="1"/>
    </xf>
    <xf numFmtId="164" fontId="11" fillId="12" borderId="11" xfId="0" applyNumberFormat="1" applyFont="1" applyFill="1" applyBorder="1"/>
    <xf numFmtId="0" fontId="21" fillId="0" borderId="0" xfId="0" applyFont="1"/>
    <xf numFmtId="0" fontId="6" fillId="0" borderId="16" xfId="0" applyFont="1" applyBorder="1"/>
    <xf numFmtId="0" fontId="6" fillId="0" borderId="17" xfId="0" applyFont="1" applyBorder="1"/>
    <xf numFmtId="177" fontId="11" fillId="0" borderId="21" xfId="0" applyNumberFormat="1" applyFont="1" applyBorder="1"/>
    <xf numFmtId="3" fontId="6" fillId="0" borderId="16" xfId="0" applyNumberFormat="1" applyFont="1" applyBorder="1"/>
    <xf numFmtId="164" fontId="11" fillId="11" borderId="25" xfId="0" applyNumberFormat="1" applyFont="1" applyFill="1" applyBorder="1"/>
    <xf numFmtId="3" fontId="6" fillId="0" borderId="17" xfId="0" applyNumberFormat="1" applyFont="1" applyBorder="1"/>
    <xf numFmtId="3" fontId="6" fillId="0" borderId="13" xfId="0" applyNumberFormat="1" applyFont="1" applyBorder="1"/>
    <xf numFmtId="164" fontId="6" fillId="11" borderId="25" xfId="0" applyNumberFormat="1" applyFont="1" applyFill="1" applyBorder="1"/>
    <xf numFmtId="3" fontId="6" fillId="0" borderId="0" xfId="0" applyNumberFormat="1" applyFont="1"/>
    <xf numFmtId="164" fontId="11" fillId="11" borderId="16" xfId="0" applyNumberFormat="1" applyFont="1" applyFill="1" applyBorder="1"/>
    <xf numFmtId="177" fontId="11" fillId="0" borderId="25" xfId="0" applyNumberFormat="1" applyFont="1" applyBorder="1"/>
    <xf numFmtId="170" fontId="11" fillId="11" borderId="25" xfId="0" applyNumberFormat="1" applyFont="1" applyFill="1" applyBorder="1"/>
    <xf numFmtId="170" fontId="6" fillId="11" borderId="25" xfId="0" applyNumberFormat="1" applyFont="1" applyFill="1" applyBorder="1"/>
    <xf numFmtId="0" fontId="6" fillId="0" borderId="18" xfId="0" applyFont="1" applyBorder="1"/>
    <xf numFmtId="0" fontId="6" fillId="0" borderId="19" xfId="0" applyFont="1" applyBorder="1" applyAlignment="1">
      <alignment horizontal="center"/>
    </xf>
    <xf numFmtId="0" fontId="6" fillId="0" borderId="20" xfId="0" applyFont="1" applyBorder="1"/>
    <xf numFmtId="177" fontId="11" fillId="0" borderId="24" xfId="0" applyNumberFormat="1" applyFont="1" applyBorder="1"/>
    <xf numFmtId="3" fontId="6" fillId="0" borderId="18" xfId="0" applyNumberFormat="1" applyFont="1" applyBorder="1"/>
    <xf numFmtId="164" fontId="11" fillId="11" borderId="24" xfId="0" applyNumberFormat="1" applyFont="1" applyFill="1" applyBorder="1"/>
    <xf numFmtId="3" fontId="6" fillId="0" borderId="20" xfId="0" applyNumberFormat="1" applyFont="1" applyBorder="1"/>
    <xf numFmtId="3" fontId="6" fillId="0" borderId="19" xfId="0" applyNumberFormat="1" applyFont="1" applyBorder="1"/>
    <xf numFmtId="164" fontId="6" fillId="11" borderId="24" xfId="0" applyNumberFormat="1" applyFont="1" applyFill="1" applyBorder="1"/>
    <xf numFmtId="166" fontId="6" fillId="0" borderId="24" xfId="0" applyNumberFormat="1" applyFont="1" applyBorder="1"/>
    <xf numFmtId="176" fontId="6" fillId="0" borderId="24" xfId="0" applyNumberFormat="1" applyFont="1" applyBorder="1"/>
    <xf numFmtId="164" fontId="11" fillId="11" borderId="18" xfId="0" applyNumberFormat="1" applyFont="1" applyFill="1" applyBorder="1"/>
    <xf numFmtId="0" fontId="0" fillId="0" borderId="0" xfId="0"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164" fontId="0" fillId="0" borderId="0" xfId="0" applyNumberFormat="1" applyAlignment="1">
      <alignment horizontal="center" vertical="center"/>
    </xf>
    <xf numFmtId="0" fontId="11" fillId="13" borderId="21" xfId="0" applyFont="1" applyFill="1" applyBorder="1" applyAlignment="1">
      <alignment horizontal="center" vertical="center" wrapText="1"/>
    </xf>
    <xf numFmtId="0" fontId="21" fillId="15" borderId="11" xfId="0" applyFont="1" applyFill="1" applyBorder="1" applyAlignment="1">
      <alignment horizontal="center" vertical="center" wrapText="1"/>
    </xf>
    <xf numFmtId="0" fontId="6" fillId="9" borderId="21" xfId="0" applyFont="1" applyFill="1" applyBorder="1" applyAlignment="1">
      <alignment horizontal="center" vertical="center" wrapText="1"/>
    </xf>
    <xf numFmtId="177" fontId="16" fillId="16" borderId="28" xfId="4" applyNumberFormat="1" applyFont="1" applyFill="1" applyBorder="1" applyAlignment="1">
      <alignment horizontal="center" vertical="center"/>
    </xf>
    <xf numFmtId="2" fontId="6" fillId="9" borderId="11" xfId="0" applyNumberFormat="1" applyFont="1" applyFill="1" applyBorder="1" applyAlignment="1">
      <alignment horizontal="center" vertical="center" wrapText="1"/>
    </xf>
    <xf numFmtId="1" fontId="16" fillId="16" borderId="29" xfId="4" applyNumberFormat="1" applyFont="1" applyFill="1" applyBorder="1" applyAlignment="1">
      <alignment horizontal="center" vertical="center"/>
    </xf>
    <xf numFmtId="0" fontId="2" fillId="0" borderId="0" xfId="0" applyFont="1" applyAlignment="1">
      <alignment horizontal="center" vertical="center"/>
    </xf>
    <xf numFmtId="0" fontId="28" fillId="0" borderId="0" xfId="3" applyFont="1" applyAlignment="1">
      <alignment horizontal="center" vertical="center"/>
    </xf>
    <xf numFmtId="164" fontId="4" fillId="0" borderId="0" xfId="0" applyNumberFormat="1" applyFont="1" applyAlignment="1">
      <alignment horizontal="center" vertical="center"/>
    </xf>
    <xf numFmtId="0" fontId="29" fillId="15" borderId="30" xfId="2" applyFont="1" applyFill="1" applyBorder="1" applyAlignment="1">
      <alignment horizontal="center" vertical="center" wrapText="1"/>
    </xf>
    <xf numFmtId="0" fontId="29" fillId="15" borderId="31" xfId="3" applyFont="1" applyFill="1" applyBorder="1" applyAlignment="1">
      <alignment horizontal="center" vertical="center" wrapText="1"/>
    </xf>
    <xf numFmtId="167" fontId="0" fillId="0" borderId="0" xfId="0" applyNumberFormat="1"/>
    <xf numFmtId="166" fontId="2" fillId="0" borderId="0" xfId="0" applyNumberFormat="1" applyFont="1" applyAlignment="1">
      <alignment horizontal="center" vertical="center"/>
    </xf>
    <xf numFmtId="0" fontId="0" fillId="17" borderId="0" xfId="0" applyFill="1"/>
    <xf numFmtId="164" fontId="0" fillId="17" borderId="0" xfId="0" applyNumberFormat="1" applyFill="1"/>
    <xf numFmtId="164" fontId="21" fillId="15" borderId="11" xfId="0" applyNumberFormat="1" applyFont="1" applyFill="1" applyBorder="1" applyAlignment="1">
      <alignment horizontal="center" vertical="center" wrapText="1"/>
    </xf>
    <xf numFmtId="1" fontId="16" fillId="16" borderId="11" xfId="4" applyNumberFormat="1" applyFont="1" applyFill="1" applyBorder="1" applyAlignment="1">
      <alignment horizontal="center" vertical="center"/>
    </xf>
    <xf numFmtId="177" fontId="16" fillId="16" borderId="11" xfId="4" applyNumberFormat="1" applyFont="1" applyFill="1" applyBorder="1" applyAlignment="1">
      <alignment horizontal="center" vertical="center"/>
    </xf>
    <xf numFmtId="0" fontId="21" fillId="15" borderId="13" xfId="0" applyFont="1" applyFill="1" applyBorder="1" applyAlignment="1">
      <alignment horizontal="center" vertical="center" wrapText="1"/>
    </xf>
    <xf numFmtId="0" fontId="2" fillId="15" borderId="14" xfId="0" applyFont="1" applyFill="1" applyBorder="1" applyAlignment="1">
      <alignment horizontal="center"/>
    </xf>
    <xf numFmtId="0" fontId="21" fillId="15" borderId="18" xfId="0" applyFont="1" applyFill="1" applyBorder="1" applyAlignment="1">
      <alignment horizontal="centerContinuous"/>
    </xf>
    <xf numFmtId="0" fontId="2" fillId="15" borderId="19" xfId="0" applyFont="1" applyFill="1" applyBorder="1" applyAlignment="1">
      <alignment horizontal="centerContinuous"/>
    </xf>
    <xf numFmtId="0" fontId="4" fillId="15" borderId="19" xfId="0" applyFont="1" applyFill="1" applyBorder="1" applyAlignment="1">
      <alignment horizontal="centerContinuous" vertical="center"/>
    </xf>
    <xf numFmtId="0" fontId="2" fillId="15" borderId="19" xfId="0" applyFont="1" applyFill="1" applyBorder="1" applyAlignment="1">
      <alignment horizontal="center" vertical="center"/>
    </xf>
    <xf numFmtId="178" fontId="16" fillId="16" borderId="11" xfId="4" applyNumberFormat="1" applyFont="1" applyFill="1" applyBorder="1" applyAlignment="1">
      <alignment horizontal="center" vertical="center"/>
    </xf>
    <xf numFmtId="179" fontId="16" fillId="16" borderId="11" xfId="4" applyNumberFormat="1" applyFont="1" applyFill="1" applyBorder="1" applyAlignment="1">
      <alignment horizontal="center" vertical="center"/>
    </xf>
    <xf numFmtId="169" fontId="0" fillId="0" borderId="0" xfId="6" applyFont="1" applyAlignment="1">
      <alignment horizontal="center" vertical="center"/>
    </xf>
    <xf numFmtId="0" fontId="34" fillId="0" borderId="0" xfId="0" applyFont="1" applyAlignment="1">
      <alignment horizontal="center" vertical="center"/>
    </xf>
    <xf numFmtId="0" fontId="34" fillId="0" borderId="0" xfId="0" applyFont="1"/>
    <xf numFmtId="0" fontId="35" fillId="15" borderId="13" xfId="0" applyFont="1" applyFill="1" applyBorder="1" applyAlignment="1">
      <alignment horizontal="center" vertical="center" wrapText="1"/>
    </xf>
    <xf numFmtId="0" fontId="36" fillId="15" borderId="14" xfId="0" applyFont="1" applyFill="1" applyBorder="1" applyAlignment="1">
      <alignment horizontal="center"/>
    </xf>
    <xf numFmtId="0" fontId="35" fillId="15" borderId="18" xfId="0" applyFont="1" applyFill="1" applyBorder="1" applyAlignment="1">
      <alignment horizontal="centerContinuous"/>
    </xf>
    <xf numFmtId="0" fontId="36" fillId="15" borderId="19" xfId="0" applyFont="1" applyFill="1" applyBorder="1" applyAlignment="1">
      <alignment horizontal="centerContinuous"/>
    </xf>
    <xf numFmtId="0" fontId="37" fillId="15" borderId="19" xfId="0" applyFont="1" applyFill="1" applyBorder="1" applyAlignment="1">
      <alignment horizontal="centerContinuous" vertical="center"/>
    </xf>
    <xf numFmtId="0" fontId="36" fillId="15" borderId="19" xfId="0" applyFont="1" applyFill="1" applyBorder="1" applyAlignment="1">
      <alignment horizontal="center" vertical="center"/>
    </xf>
    <xf numFmtId="0" fontId="38" fillId="0" borderId="0" xfId="0" applyFont="1" applyAlignment="1">
      <alignment horizontal="center" vertical="center"/>
    </xf>
    <xf numFmtId="178" fontId="30" fillId="16" borderId="11" xfId="4" applyNumberFormat="1" applyFont="1" applyFill="1" applyBorder="1" applyAlignment="1">
      <alignment horizontal="center" vertical="center"/>
    </xf>
    <xf numFmtId="179" fontId="30" fillId="16" borderId="11" xfId="4" applyNumberFormat="1" applyFont="1" applyFill="1" applyBorder="1" applyAlignment="1">
      <alignment horizontal="center" vertical="center"/>
    </xf>
    <xf numFmtId="169" fontId="34" fillId="0" borderId="0" xfId="6" applyFont="1" applyAlignment="1">
      <alignment horizontal="center" vertical="center"/>
    </xf>
    <xf numFmtId="0" fontId="3" fillId="0" borderId="0" xfId="0" applyFont="1"/>
    <xf numFmtId="0" fontId="3" fillId="0" borderId="0" xfId="0" applyFont="1" applyAlignment="1">
      <alignment horizontal="center"/>
    </xf>
    <xf numFmtId="0" fontId="3" fillId="0" borderId="17" xfId="0" quotePrefix="1" applyFont="1" applyBorder="1" applyAlignment="1">
      <alignment horizontal="center" vertical="center" wrapText="1"/>
    </xf>
    <xf numFmtId="164" fontId="32" fillId="0" borderId="0" xfId="0" applyNumberFormat="1" applyFont="1" applyAlignment="1">
      <alignment horizontal="center"/>
    </xf>
    <xf numFmtId="0" fontId="21" fillId="15" borderId="11" xfId="0" quotePrefix="1" applyFont="1" applyFill="1" applyBorder="1" applyAlignment="1">
      <alignment horizontal="center" vertical="center" wrapText="1"/>
    </xf>
    <xf numFmtId="3" fontId="16" fillId="16" borderId="11" xfId="4" applyNumberFormat="1" applyFont="1" applyFill="1" applyBorder="1" applyAlignment="1">
      <alignment horizontal="center" vertical="center"/>
    </xf>
    <xf numFmtId="0" fontId="27" fillId="0" borderId="0" xfId="0" applyFont="1" applyAlignment="1">
      <alignment horizontal="center" vertical="center"/>
    </xf>
    <xf numFmtId="0" fontId="40" fillId="0" borderId="0" xfId="0" applyFont="1" applyAlignment="1">
      <alignment horizontal="center" vertical="center"/>
    </xf>
    <xf numFmtId="166" fontId="12" fillId="0" borderId="0" xfId="4" applyNumberFormat="1" applyFont="1" applyAlignment="1">
      <alignment horizontal="center" vertical="center"/>
    </xf>
    <xf numFmtId="3" fontId="12" fillId="0" borderId="0" xfId="4" applyNumberFormat="1" applyFont="1" applyAlignment="1">
      <alignment horizontal="center" vertical="center"/>
    </xf>
    <xf numFmtId="6" fontId="13" fillId="0" borderId="0" xfId="4" applyNumberFormat="1" applyFont="1" applyAlignment="1">
      <alignment horizontal="center" vertical="center"/>
    </xf>
    <xf numFmtId="169" fontId="27" fillId="0" borderId="0" xfId="6" applyFont="1" applyAlignment="1">
      <alignment horizontal="center" vertical="center"/>
    </xf>
    <xf numFmtId="0" fontId="23" fillId="15" borderId="11" xfId="0" quotePrefix="1" applyFont="1" applyFill="1" applyBorder="1" applyAlignment="1">
      <alignment horizontal="center" vertical="center" wrapText="1"/>
    </xf>
    <xf numFmtId="171" fontId="0" fillId="0" borderId="0" xfId="6" applyNumberFormat="1" applyFont="1" applyAlignment="1">
      <alignment horizontal="center" vertical="center"/>
    </xf>
    <xf numFmtId="0" fontId="3" fillId="0" borderId="0" xfId="0" applyFont="1" applyAlignment="1">
      <alignment horizontal="right"/>
    </xf>
    <xf numFmtId="0" fontId="0" fillId="0" borderId="0" xfId="0" applyAlignment="1">
      <alignment horizontal="center" vertical="center" textRotation="180"/>
    </xf>
    <xf numFmtId="0" fontId="23" fillId="15" borderId="11" xfId="0" applyFont="1" applyFill="1" applyBorder="1" applyAlignment="1">
      <alignment horizontal="center" vertical="center" wrapText="1"/>
    </xf>
    <xf numFmtId="0" fontId="6" fillId="0" borderId="0" xfId="0" applyFont="1"/>
    <xf numFmtId="2" fontId="11" fillId="9" borderId="5" xfId="0" applyNumberFormat="1" applyFont="1" applyFill="1" applyBorder="1" applyAlignment="1">
      <alignment horizontal="center" vertical="center" wrapText="1"/>
    </xf>
    <xf numFmtId="164" fontId="11" fillId="0" borderId="11" xfId="0" applyNumberFormat="1" applyFont="1" applyBorder="1"/>
    <xf numFmtId="0" fontId="6" fillId="0" borderId="13" xfId="0" applyFont="1" applyBorder="1"/>
    <xf numFmtId="0" fontId="6" fillId="0" borderId="14" xfId="0" applyFont="1" applyBorder="1"/>
    <xf numFmtId="0" fontId="6" fillId="0" borderId="15" xfId="0" applyFont="1" applyBorder="1"/>
    <xf numFmtId="164" fontId="41" fillId="0" borderId="21" xfId="0" applyNumberFormat="1" applyFont="1" applyBorder="1"/>
    <xf numFmtId="43" fontId="0" fillId="0" borderId="0" xfId="0" applyNumberFormat="1"/>
    <xf numFmtId="164" fontId="41" fillId="0" borderId="25" xfId="0" applyNumberFormat="1" applyFont="1" applyBorder="1"/>
    <xf numFmtId="0" fontId="6" fillId="0" borderId="0" xfId="0" applyFont="1" applyAlignment="1">
      <alignment horizontal="right"/>
    </xf>
    <xf numFmtId="0" fontId="6" fillId="0" borderId="19" xfId="0" applyFont="1" applyBorder="1"/>
    <xf numFmtId="164" fontId="41" fillId="0" borderId="24" xfId="0" applyNumberFormat="1" applyFont="1" applyBorder="1"/>
    <xf numFmtId="171" fontId="0" fillId="0" borderId="0" xfId="0" applyNumberFormat="1"/>
    <xf numFmtId="3" fontId="0" fillId="0" borderId="0" xfId="0" applyNumberFormat="1"/>
    <xf numFmtId="0" fontId="20" fillId="0" borderId="0" xfId="0" applyFont="1" applyAlignment="1">
      <alignment horizontal="center" vertical="center"/>
    </xf>
    <xf numFmtId="0" fontId="20" fillId="3" borderId="11" xfId="0" applyFont="1" applyFill="1" applyBorder="1" applyAlignment="1">
      <alignment vertical="center"/>
    </xf>
    <xf numFmtId="0" fontId="20" fillId="3" borderId="11" xfId="0" applyFont="1" applyFill="1" applyBorder="1" applyAlignment="1">
      <alignment horizontal="distributed" vertical="center"/>
    </xf>
    <xf numFmtId="0" fontId="20" fillId="3" borderId="9" xfId="0" applyFont="1" applyFill="1" applyBorder="1" applyAlignment="1">
      <alignment horizontal="distributed" vertical="center"/>
    </xf>
    <xf numFmtId="0" fontId="6" fillId="0" borderId="0" xfId="0" applyFont="1" applyAlignment="1">
      <alignment vertical="center" wrapText="1"/>
    </xf>
    <xf numFmtId="0" fontId="6" fillId="0" borderId="0" xfId="0" applyFont="1" applyAlignment="1">
      <alignment wrapText="1"/>
    </xf>
    <xf numFmtId="3" fontId="6" fillId="0" borderId="14" xfId="0" applyNumberFormat="1" applyFont="1" applyBorder="1"/>
    <xf numFmtId="3" fontId="6" fillId="0" borderId="15" xfId="0" applyNumberFormat="1" applyFont="1" applyBorder="1"/>
    <xf numFmtId="3" fontId="11" fillId="11" borderId="21" xfId="0" applyNumberFormat="1" applyFont="1" applyFill="1" applyBorder="1"/>
    <xf numFmtId="3" fontId="11" fillId="11" borderId="25" xfId="0" applyNumberFormat="1" applyFont="1" applyFill="1" applyBorder="1"/>
    <xf numFmtId="0" fontId="16" fillId="0" borderId="17" xfId="0" applyFont="1" applyBorder="1"/>
    <xf numFmtId="180" fontId="6" fillId="0" borderId="0" xfId="0" applyNumberFormat="1" applyFont="1"/>
    <xf numFmtId="180" fontId="6" fillId="0" borderId="16" xfId="0" applyNumberFormat="1" applyFont="1" applyBorder="1"/>
    <xf numFmtId="180" fontId="0" fillId="0" borderId="0" xfId="0" applyNumberFormat="1"/>
    <xf numFmtId="3" fontId="11" fillId="11" borderId="24" xfId="0" applyNumberFormat="1" applyFont="1" applyFill="1" applyBorder="1"/>
    <xf numFmtId="3" fontId="12" fillId="0" borderId="18" xfId="0" applyNumberFormat="1" applyFont="1" applyBorder="1"/>
    <xf numFmtId="3" fontId="12" fillId="0" borderId="19" xfId="0" applyNumberFormat="1" applyFont="1" applyBorder="1"/>
    <xf numFmtId="0" fontId="20" fillId="3" borderId="4" xfId="0" applyFont="1" applyFill="1" applyBorder="1" applyAlignment="1">
      <alignment vertical="center"/>
    </xf>
    <xf numFmtId="0" fontId="20" fillId="3" borderId="5" xfId="0" applyFont="1" applyFill="1" applyBorder="1" applyAlignment="1">
      <alignment vertical="center"/>
    </xf>
    <xf numFmtId="0" fontId="20" fillId="3" borderId="9" xfId="0" applyFont="1" applyFill="1" applyBorder="1" applyAlignment="1">
      <alignment vertical="center"/>
    </xf>
    <xf numFmtId="164" fontId="42" fillId="11" borderId="11" xfId="7" applyNumberFormat="1" applyFont="1" applyFill="1" applyBorder="1" applyAlignment="1">
      <alignment wrapText="1"/>
    </xf>
    <xf numFmtId="164" fontId="41" fillId="0" borderId="4" xfId="6" applyNumberFormat="1" applyFont="1" applyBorder="1" applyAlignment="1">
      <alignment horizontal="right" wrapText="1"/>
    </xf>
    <xf numFmtId="164" fontId="42" fillId="11" borderId="25" xfId="0" applyNumberFormat="1" applyFont="1" applyFill="1" applyBorder="1"/>
    <xf numFmtId="164" fontId="42" fillId="11" borderId="24" xfId="0" applyNumberFormat="1" applyFont="1" applyFill="1" applyBorder="1"/>
    <xf numFmtId="0" fontId="6" fillId="0" borderId="0" xfId="5" applyAlignment="1" applyProtection="1">
      <alignment horizontal="center" vertical="center"/>
      <protection hidden="1"/>
    </xf>
    <xf numFmtId="164" fontId="6" fillId="0" borderId="0" xfId="5" applyNumberFormat="1" applyAlignment="1" applyProtection="1">
      <alignment horizontal="center" vertical="center"/>
      <protection hidden="1"/>
    </xf>
    <xf numFmtId="0" fontId="21" fillId="8" borderId="12" xfId="0" quotePrefix="1" applyFont="1" applyFill="1" applyBorder="1" applyAlignment="1" applyProtection="1">
      <alignment horizontal="center" vertical="center" wrapText="1"/>
      <protection hidden="1"/>
    </xf>
    <xf numFmtId="0" fontId="43" fillId="0" borderId="0" xfId="5" applyFont="1" applyProtection="1">
      <protection hidden="1"/>
    </xf>
    <xf numFmtId="0" fontId="7" fillId="0" borderId="0" xfId="5" applyFont="1" applyAlignment="1" applyProtection="1">
      <alignment horizontal="left" vertical="center"/>
      <protection hidden="1"/>
    </xf>
    <xf numFmtId="0" fontId="12" fillId="9" borderId="13" xfId="5" applyFont="1" applyFill="1" applyBorder="1" applyAlignment="1" applyProtection="1">
      <alignment horizontal="left" vertical="center"/>
      <protection hidden="1"/>
    </xf>
    <xf numFmtId="0" fontId="12" fillId="9" borderId="14" xfId="5" applyFont="1" applyFill="1" applyBorder="1" applyAlignment="1" applyProtection="1">
      <alignment horizontal="center" vertical="center"/>
      <protection hidden="1"/>
    </xf>
    <xf numFmtId="0" fontId="12" fillId="9" borderId="15" xfId="5" applyFont="1" applyFill="1" applyBorder="1" applyAlignment="1" applyProtection="1">
      <alignment horizontal="center" vertical="center"/>
      <protection hidden="1"/>
    </xf>
    <xf numFmtId="0" fontId="22" fillId="9" borderId="16" xfId="5" applyFont="1" applyFill="1" applyBorder="1" applyAlignment="1" applyProtection="1">
      <alignment horizontal="left" vertical="center"/>
      <protection hidden="1"/>
    </xf>
    <xf numFmtId="0" fontId="12" fillId="9" borderId="17" xfId="5" applyFont="1" applyFill="1" applyBorder="1" applyAlignment="1" applyProtection="1">
      <alignment horizontal="center" vertical="center"/>
      <protection hidden="1"/>
    </xf>
    <xf numFmtId="0" fontId="22" fillId="9" borderId="17" xfId="5" applyFont="1" applyFill="1" applyBorder="1" applyAlignment="1" applyProtection="1">
      <alignment horizontal="left" wrapText="1"/>
      <protection hidden="1"/>
    </xf>
    <xf numFmtId="0" fontId="12" fillId="9" borderId="18" xfId="5" quotePrefix="1" applyFont="1" applyFill="1" applyBorder="1" applyAlignment="1" applyProtection="1">
      <alignment horizontal="left"/>
      <protection hidden="1"/>
    </xf>
    <xf numFmtId="0" fontId="12" fillId="9" borderId="19" xfId="5" applyFont="1" applyFill="1" applyBorder="1" applyAlignment="1" applyProtection="1">
      <alignment horizontal="left"/>
      <protection hidden="1"/>
    </xf>
    <xf numFmtId="0" fontId="12" fillId="9" borderId="20" xfId="5" applyFont="1" applyFill="1" applyBorder="1" applyAlignment="1" applyProtection="1">
      <alignment horizontal="left"/>
      <protection hidden="1"/>
    </xf>
    <xf numFmtId="0" fontId="6" fillId="0" borderId="0" xfId="5" applyAlignment="1" applyProtection="1">
      <alignment horizontal="left" vertical="top"/>
      <protection hidden="1"/>
    </xf>
    <xf numFmtId="0" fontId="43" fillId="0" borderId="0" xfId="5" applyFont="1" applyAlignment="1" applyProtection="1">
      <alignment vertical="top"/>
      <protection hidden="1"/>
    </xf>
    <xf numFmtId="0" fontId="12" fillId="3" borderId="4" xfId="5" applyFont="1" applyFill="1" applyBorder="1" applyAlignment="1" applyProtection="1">
      <alignment vertical="center" wrapText="1"/>
      <protection hidden="1"/>
    </xf>
    <xf numFmtId="0" fontId="12" fillId="3" borderId="5" xfId="5" applyFont="1" applyFill="1" applyBorder="1" applyAlignment="1" applyProtection="1">
      <alignment vertical="center" wrapText="1"/>
      <protection hidden="1"/>
    </xf>
    <xf numFmtId="0" fontId="12" fillId="3" borderId="9" xfId="5" applyFont="1" applyFill="1" applyBorder="1" applyAlignment="1" applyProtection="1">
      <alignment vertical="center" wrapText="1"/>
      <protection hidden="1"/>
    </xf>
    <xf numFmtId="0" fontId="21" fillId="8" borderId="42" xfId="0" applyFont="1" applyFill="1" applyBorder="1" applyAlignment="1" applyProtection="1">
      <alignment horizontal="center" vertical="center" wrapText="1"/>
      <protection hidden="1"/>
    </xf>
    <xf numFmtId="0" fontId="21" fillId="8" borderId="12" xfId="0" applyFont="1" applyFill="1" applyBorder="1" applyAlignment="1" applyProtection="1">
      <alignment horizontal="center" vertical="center" wrapText="1"/>
      <protection hidden="1"/>
    </xf>
    <xf numFmtId="0" fontId="21" fillId="8" borderId="43" xfId="0" quotePrefix="1" applyFont="1" applyFill="1" applyBorder="1" applyAlignment="1" applyProtection="1">
      <alignment horizontal="center" vertical="center" wrapText="1"/>
      <protection hidden="1"/>
    </xf>
    <xf numFmtId="0" fontId="21" fillId="8" borderId="44" xfId="0" quotePrefix="1" applyFont="1" applyFill="1" applyBorder="1" applyAlignment="1" applyProtection="1">
      <alignment horizontal="center" vertical="center" wrapText="1"/>
      <protection hidden="1"/>
    </xf>
    <xf numFmtId="0" fontId="21" fillId="8" borderId="45" xfId="0" quotePrefix="1" applyFont="1" applyFill="1" applyBorder="1" applyAlignment="1" applyProtection="1">
      <alignment horizontal="center" vertical="center" wrapText="1"/>
      <protection hidden="1"/>
    </xf>
    <xf numFmtId="0" fontId="6" fillId="0" borderId="0" xfId="5" applyAlignment="1" applyProtection="1">
      <alignment horizontal="center" vertical="top"/>
      <protection hidden="1"/>
    </xf>
    <xf numFmtId="0" fontId="21" fillId="8" borderId="49" xfId="5" quotePrefix="1" applyFont="1" applyFill="1" applyBorder="1" applyAlignment="1" applyProtection="1">
      <alignment horizontal="center" vertical="center" wrapText="1"/>
      <protection hidden="1"/>
    </xf>
    <xf numFmtId="0" fontId="21" fillId="8" borderId="42" xfId="5" quotePrefix="1" applyFont="1" applyFill="1" applyBorder="1" applyAlignment="1" applyProtection="1">
      <alignment horizontal="center" vertical="center" wrapText="1"/>
      <protection hidden="1"/>
    </xf>
    <xf numFmtId="0" fontId="21" fillId="8" borderId="22" xfId="5" quotePrefix="1" applyFont="1" applyFill="1" applyBorder="1" applyAlignment="1" applyProtection="1">
      <alignment horizontal="center" vertical="center" wrapText="1"/>
      <protection hidden="1"/>
    </xf>
    <xf numFmtId="0" fontId="21" fillId="8" borderId="12" xfId="5" quotePrefix="1" applyFont="1" applyFill="1" applyBorder="1" applyAlignment="1" applyProtection="1">
      <alignment horizontal="center" vertical="center" wrapText="1"/>
      <protection hidden="1"/>
    </xf>
    <xf numFmtId="0" fontId="21" fillId="8" borderId="42" xfId="0" quotePrefix="1" applyFont="1" applyFill="1" applyBorder="1" applyAlignment="1" applyProtection="1">
      <alignment horizontal="center" vertical="center" wrapText="1"/>
      <protection hidden="1"/>
    </xf>
    <xf numFmtId="0" fontId="21" fillId="8" borderId="50" xfId="0" quotePrefix="1" applyFont="1" applyFill="1" applyBorder="1" applyAlignment="1" applyProtection="1">
      <alignment horizontal="center" vertical="center" wrapText="1"/>
      <protection hidden="1"/>
    </xf>
    <xf numFmtId="0" fontId="11" fillId="19" borderId="51" xfId="5" applyFont="1" applyFill="1" applyBorder="1" applyAlignment="1" applyProtection="1">
      <alignment horizontal="left"/>
      <protection hidden="1"/>
    </xf>
    <xf numFmtId="0" fontId="11" fillId="19" borderId="52" xfId="5" applyFont="1" applyFill="1" applyBorder="1" applyAlignment="1" applyProtection="1">
      <alignment horizontal="center"/>
      <protection hidden="1"/>
    </xf>
    <xf numFmtId="0" fontId="11" fillId="19" borderId="53" xfId="5" applyFont="1" applyFill="1" applyBorder="1" applyAlignment="1" applyProtection="1">
      <alignment horizontal="left"/>
      <protection hidden="1"/>
    </xf>
    <xf numFmtId="164" fontId="11" fillId="19" borderId="18" xfId="5" applyNumberFormat="1" applyFont="1" applyFill="1" applyBorder="1" applyAlignment="1" applyProtection="1">
      <alignment horizontal="right" indent="2"/>
      <protection hidden="1"/>
    </xf>
    <xf numFmtId="1" fontId="11" fillId="20" borderId="46" xfId="5" applyNumberFormat="1" applyFont="1" applyFill="1" applyBorder="1" applyAlignment="1" applyProtection="1">
      <alignment horizontal="right" indent="2"/>
      <protection hidden="1"/>
    </xf>
    <xf numFmtId="164" fontId="11" fillId="20" borderId="47" xfId="5" applyNumberFormat="1" applyFont="1" applyFill="1" applyBorder="1" applyAlignment="1" applyProtection="1">
      <alignment horizontal="right" indent="2"/>
      <protection hidden="1"/>
    </xf>
    <xf numFmtId="164" fontId="11" fillId="19" borderId="48" xfId="5" applyNumberFormat="1" applyFont="1" applyFill="1" applyBorder="1" applyAlignment="1" applyProtection="1">
      <alignment horizontal="right" indent="2"/>
      <protection hidden="1"/>
    </xf>
    <xf numFmtId="164" fontId="11" fillId="20" borderId="54" xfId="5" applyNumberFormat="1" applyFont="1" applyFill="1" applyBorder="1" applyAlignment="1" applyProtection="1">
      <alignment horizontal="right" indent="2"/>
      <protection hidden="1"/>
    </xf>
    <xf numFmtId="164" fontId="11" fillId="19" borderId="20" xfId="5" applyNumberFormat="1" applyFont="1" applyFill="1" applyBorder="1" applyAlignment="1" applyProtection="1">
      <alignment horizontal="right" indent="2"/>
      <protection hidden="1"/>
    </xf>
    <xf numFmtId="1" fontId="11" fillId="20" borderId="55" xfId="5" applyNumberFormat="1" applyFont="1" applyFill="1" applyBorder="1" applyAlignment="1" applyProtection="1">
      <alignment horizontal="right" indent="2"/>
      <protection hidden="1"/>
    </xf>
    <xf numFmtId="181" fontId="6" fillId="0" borderId="43" xfId="6" applyNumberFormat="1" applyFont="1" applyBorder="1" applyAlignment="1" applyProtection="1">
      <alignment horizontal="right" indent="2"/>
      <protection hidden="1"/>
    </xf>
    <xf numFmtId="164" fontId="6" fillId="0" borderId="56" xfId="5" applyNumberFormat="1" applyBorder="1" applyAlignment="1" applyProtection="1">
      <alignment horizontal="right" indent="2"/>
      <protection hidden="1"/>
    </xf>
    <xf numFmtId="164" fontId="6" fillId="0" borderId="45" xfId="5" applyNumberFormat="1" applyBorder="1" applyAlignment="1" applyProtection="1">
      <alignment horizontal="right" indent="2"/>
      <protection hidden="1"/>
    </xf>
    <xf numFmtId="1" fontId="6" fillId="0" borderId="43" xfId="5" applyNumberFormat="1" applyBorder="1" applyAlignment="1" applyProtection="1">
      <alignment horizontal="right" indent="2"/>
      <protection hidden="1"/>
    </xf>
    <xf numFmtId="0" fontId="6" fillId="0" borderId="42" xfId="5" applyBorder="1" applyAlignment="1" applyProtection="1">
      <alignment horizontal="left" vertical="top"/>
      <protection hidden="1"/>
    </xf>
    <xf numFmtId="0" fontId="6" fillId="0" borderId="22" xfId="5" applyBorder="1" applyAlignment="1" applyProtection="1">
      <alignment horizontal="center" vertical="top"/>
      <protection hidden="1"/>
    </xf>
    <xf numFmtId="0" fontId="6" fillId="0" borderId="12" xfId="5" applyBorder="1" applyAlignment="1" applyProtection="1">
      <alignment horizontal="left" vertical="top"/>
      <protection hidden="1"/>
    </xf>
    <xf numFmtId="0" fontId="6" fillId="0" borderId="59" xfId="5" applyBorder="1" applyAlignment="1" applyProtection="1">
      <alignment horizontal="left" vertical="top"/>
      <protection hidden="1"/>
    </xf>
    <xf numFmtId="0" fontId="6" fillId="0" borderId="60" xfId="5" applyBorder="1" applyAlignment="1" applyProtection="1">
      <alignment horizontal="center" vertical="top"/>
      <protection hidden="1"/>
    </xf>
    <xf numFmtId="0" fontId="6" fillId="0" borderId="61" xfId="5" applyBorder="1" applyAlignment="1" applyProtection="1">
      <alignment horizontal="left" vertical="top"/>
      <protection hidden="1"/>
    </xf>
    <xf numFmtId="164" fontId="6" fillId="0" borderId="47" xfId="5" applyNumberFormat="1" applyBorder="1" applyAlignment="1" applyProtection="1">
      <alignment horizontal="right" indent="2"/>
      <protection hidden="1"/>
    </xf>
    <xf numFmtId="164" fontId="6" fillId="0" borderId="48" xfId="5" applyNumberFormat="1" applyBorder="1" applyAlignment="1" applyProtection="1">
      <alignment horizontal="right" indent="2"/>
      <protection hidden="1"/>
    </xf>
    <xf numFmtId="164" fontId="6" fillId="0" borderId="20" xfId="5" applyNumberFormat="1" applyBorder="1" applyAlignment="1" applyProtection="1">
      <alignment horizontal="right" indent="2"/>
      <protection hidden="1"/>
    </xf>
    <xf numFmtId="0" fontId="20" fillId="7" borderId="11" xfId="4" applyFont="1" applyFill="1" applyBorder="1" applyAlignment="1">
      <alignment horizontal="centerContinuous" vertical="center" wrapText="1"/>
    </xf>
    <xf numFmtId="0" fontId="20" fillId="7" borderId="11" xfId="4" applyFont="1" applyFill="1" applyBorder="1" applyAlignment="1">
      <alignment horizontal="center" vertical="center" wrapText="1"/>
    </xf>
    <xf numFmtId="0" fontId="16" fillId="7" borderId="11" xfId="4" applyFont="1" applyFill="1" applyBorder="1" applyAlignment="1">
      <alignment horizontal="centerContinuous" vertical="center" wrapText="1"/>
    </xf>
    <xf numFmtId="167" fontId="16" fillId="7" borderId="11" xfId="1" applyNumberFormat="1" applyFont="1" applyFill="1" applyBorder="1" applyAlignment="1">
      <alignment horizontal="center" vertical="center"/>
    </xf>
    <xf numFmtId="167" fontId="20" fillId="7" borderId="11" xfId="1" applyNumberFormat="1" applyFont="1" applyFill="1" applyBorder="1" applyAlignment="1">
      <alignment horizontal="center" vertical="center"/>
    </xf>
    <xf numFmtId="1" fontId="6" fillId="0" borderId="59" xfId="5" applyNumberFormat="1" applyBorder="1" applyAlignment="1" applyProtection="1">
      <alignment horizontal="right" indent="2"/>
      <protection hidden="1"/>
    </xf>
    <xf numFmtId="164" fontId="6" fillId="0" borderId="60" xfId="5" applyNumberFormat="1" applyBorder="1" applyAlignment="1" applyProtection="1">
      <alignment horizontal="right" indent="2"/>
      <protection hidden="1"/>
    </xf>
    <xf numFmtId="164" fontId="0" fillId="17" borderId="0" xfId="0" applyNumberFormat="1" applyFill="1" applyAlignment="1"/>
    <xf numFmtId="164" fontId="34" fillId="0" borderId="0" xfId="0" applyNumberFormat="1" applyFont="1" applyAlignment="1">
      <alignment vertical="center"/>
    </xf>
    <xf numFmtId="182" fontId="20" fillId="16" borderId="11" xfId="4" applyNumberFormat="1" applyFont="1" applyFill="1" applyBorder="1" applyAlignment="1">
      <alignment vertical="center"/>
    </xf>
    <xf numFmtId="182" fontId="20" fillId="16" borderId="11" xfId="4" applyNumberFormat="1" applyFont="1" applyFill="1" applyBorder="1" applyAlignment="1">
      <alignment horizontal="right" vertical="center"/>
    </xf>
    <xf numFmtId="1" fontId="6" fillId="0" borderId="0" xfId="0" applyNumberFormat="1" applyFont="1"/>
    <xf numFmtId="1" fontId="6" fillId="0" borderId="17" xfId="0" applyNumberFormat="1" applyFont="1" applyBorder="1"/>
    <xf numFmtId="1" fontId="11" fillId="11" borderId="25" xfId="0" applyNumberFormat="1" applyFont="1" applyFill="1" applyBorder="1"/>
    <xf numFmtId="0" fontId="12" fillId="9" borderId="16" xfId="5" quotePrefix="1" applyFont="1" applyFill="1" applyBorder="1" applyAlignment="1" applyProtection="1">
      <alignment horizontal="left"/>
      <protection hidden="1"/>
    </xf>
    <xf numFmtId="0" fontId="12" fillId="9" borderId="0" xfId="5" applyFont="1" applyFill="1" applyBorder="1" applyAlignment="1" applyProtection="1">
      <alignment horizontal="center" vertical="center"/>
      <protection hidden="1"/>
    </xf>
    <xf numFmtId="0" fontId="22" fillId="9" borderId="0" xfId="5" applyFont="1" applyFill="1" applyBorder="1" applyAlignment="1" applyProtection="1">
      <alignment horizontal="left" wrapText="1"/>
      <protection hidden="1"/>
    </xf>
    <xf numFmtId="0" fontId="21" fillId="8" borderId="0" xfId="0" applyFont="1" applyFill="1" applyBorder="1" applyAlignment="1">
      <alignment horizontal="center" vertical="center" wrapText="1"/>
    </xf>
    <xf numFmtId="0" fontId="6" fillId="0" borderId="62" xfId="5" applyBorder="1" applyAlignment="1" applyProtection="1">
      <alignment horizontal="left" vertical="top"/>
      <protection hidden="1"/>
    </xf>
    <xf numFmtId="0" fontId="6" fillId="0" borderId="63" xfId="5" applyBorder="1" applyAlignment="1" applyProtection="1">
      <alignment horizontal="center" vertical="top"/>
      <protection hidden="1"/>
    </xf>
    <xf numFmtId="0" fontId="6" fillId="0" borderId="64" xfId="5" applyBorder="1" applyAlignment="1" applyProtection="1">
      <alignment horizontal="left" vertical="top"/>
      <protection hidden="1"/>
    </xf>
    <xf numFmtId="164" fontId="6" fillId="0" borderId="35" xfId="5" applyNumberFormat="1" applyBorder="1" applyAlignment="1" applyProtection="1">
      <alignment horizontal="right" indent="2"/>
      <protection hidden="1"/>
    </xf>
    <xf numFmtId="181" fontId="6" fillId="0" borderId="62" xfId="6" applyNumberFormat="1" applyFont="1" applyBorder="1" applyAlignment="1" applyProtection="1">
      <alignment horizontal="right" indent="2"/>
      <protection hidden="1"/>
    </xf>
    <xf numFmtId="164" fontId="6" fillId="0" borderId="63" xfId="5" applyNumberFormat="1" applyBorder="1" applyAlignment="1" applyProtection="1">
      <alignment horizontal="right" indent="2"/>
      <protection hidden="1"/>
    </xf>
    <xf numFmtId="164" fontId="6" fillId="0" borderId="64" xfId="5" applyNumberFormat="1" applyBorder="1" applyAlignment="1" applyProtection="1">
      <alignment horizontal="right" indent="2"/>
      <protection hidden="1"/>
    </xf>
    <xf numFmtId="1" fontId="6" fillId="0" borderId="62" xfId="5" applyNumberFormat="1" applyBorder="1" applyAlignment="1" applyProtection="1">
      <alignment horizontal="right" indent="2"/>
      <protection hidden="1"/>
    </xf>
    <xf numFmtId="164" fontId="6" fillId="0" borderId="37" xfId="5" applyNumberFormat="1" applyBorder="1" applyAlignment="1" applyProtection="1">
      <alignment horizontal="right" indent="2"/>
      <protection hidden="1"/>
    </xf>
    <xf numFmtId="167" fontId="6" fillId="0" borderId="25" xfId="1" applyNumberFormat="1" applyFont="1" applyBorder="1"/>
    <xf numFmtId="0" fontId="6" fillId="0" borderId="14" xfId="0" applyFont="1" applyBorder="1" applyAlignment="1">
      <alignment horizontal="center"/>
    </xf>
    <xf numFmtId="164" fontId="6" fillId="0" borderId="14" xfId="0" applyNumberFormat="1" applyFont="1" applyBorder="1"/>
    <xf numFmtId="164" fontId="11" fillId="11" borderId="21" xfId="0" applyNumberFormat="1" applyFont="1" applyFill="1" applyBorder="1"/>
    <xf numFmtId="164" fontId="6" fillId="11" borderId="21" xfId="0" applyNumberFormat="1" applyFont="1" applyFill="1" applyBorder="1"/>
    <xf numFmtId="164" fontId="11" fillId="11" borderId="13" xfId="0" applyNumberFormat="1" applyFont="1" applyFill="1" applyBorder="1"/>
    <xf numFmtId="167" fontId="6" fillId="0" borderId="21" xfId="1" applyNumberFormat="1" applyFont="1" applyBorder="1"/>
    <xf numFmtId="0" fontId="6" fillId="0" borderId="0" xfId="0" applyFont="1" applyBorder="1" applyAlignment="1">
      <alignment horizontal="center"/>
    </xf>
    <xf numFmtId="164" fontId="6" fillId="0" borderId="0" xfId="0" applyNumberFormat="1" applyFont="1" applyBorder="1"/>
    <xf numFmtId="3" fontId="6" fillId="0" borderId="0" xfId="0" applyNumberFormat="1" applyFont="1" applyBorder="1"/>
    <xf numFmtId="167" fontId="6" fillId="0" borderId="24" xfId="1" applyNumberFormat="1" applyFont="1" applyBorder="1"/>
    <xf numFmtId="0" fontId="6" fillId="2" borderId="0" xfId="0" applyFont="1" applyFill="1" applyAlignment="1">
      <alignment vertical="top" wrapText="1"/>
    </xf>
    <xf numFmtId="0" fontId="12" fillId="9" borderId="0" xfId="5" applyFont="1" applyFill="1" applyBorder="1" applyAlignment="1" applyProtection="1">
      <alignment horizontal="left"/>
      <protection hidden="1"/>
    </xf>
    <xf numFmtId="0" fontId="12" fillId="9" borderId="17" xfId="5" applyFont="1" applyFill="1" applyBorder="1" applyAlignment="1" applyProtection="1">
      <alignment horizontal="left"/>
      <protection hidden="1"/>
    </xf>
    <xf numFmtId="0" fontId="23" fillId="8" borderId="21" xfId="0" applyFont="1" applyFill="1" applyBorder="1" applyAlignment="1">
      <alignment horizontal="center" vertical="center" wrapText="1"/>
    </xf>
    <xf numFmtId="0" fontId="3" fillId="0" borderId="17" xfId="0" quotePrefix="1" applyFont="1" applyBorder="1" applyAlignment="1">
      <alignment horizontal="center" vertical="center"/>
    </xf>
    <xf numFmtId="0" fontId="2" fillId="15" borderId="14" xfId="0" quotePrefix="1" applyFont="1" applyFill="1" applyBorder="1" applyAlignment="1">
      <alignment horizontal="center" vertical="center"/>
    </xf>
    <xf numFmtId="0" fontId="2" fillId="15" borderId="0" xfId="0" quotePrefix="1" applyFont="1" applyFill="1" applyAlignment="1">
      <alignment horizontal="center" vertical="center"/>
    </xf>
    <xf numFmtId="0" fontId="21" fillId="15" borderId="14" xfId="0" applyFont="1" applyFill="1" applyBorder="1" applyAlignment="1">
      <alignment horizontal="center" vertical="center" wrapText="1"/>
    </xf>
    <xf numFmtId="0" fontId="32" fillId="0" borderId="0" xfId="0" applyFont="1" applyAlignment="1">
      <alignment horizontal="center"/>
    </xf>
    <xf numFmtId="0" fontId="35" fillId="15" borderId="14" xfId="0" applyFont="1" applyFill="1" applyBorder="1" applyAlignment="1">
      <alignment horizontal="center" vertical="center" wrapText="1"/>
    </xf>
    <xf numFmtId="0" fontId="36" fillId="15" borderId="14" xfId="0" quotePrefix="1" applyFont="1" applyFill="1" applyBorder="1" applyAlignment="1">
      <alignment horizontal="center" vertical="center"/>
    </xf>
    <xf numFmtId="0" fontId="36" fillId="15" borderId="0" xfId="0" quotePrefix="1" applyFont="1" applyFill="1" applyAlignment="1">
      <alignment horizontal="center" vertical="center"/>
    </xf>
    <xf numFmtId="0" fontId="12" fillId="0" borderId="0" xfId="0" applyFont="1" applyAlignment="1">
      <alignment vertical="center" wrapText="1"/>
    </xf>
    <xf numFmtId="0" fontId="23" fillId="8" borderId="15" xfId="0" applyFont="1" applyFill="1" applyBorder="1" applyAlignment="1">
      <alignment horizontal="center" vertical="center" wrapText="1"/>
    </xf>
    <xf numFmtId="183" fontId="0" fillId="0" borderId="0" xfId="0" applyNumberFormat="1"/>
    <xf numFmtId="0" fontId="12" fillId="9" borderId="0" xfId="5" applyFont="1" applyFill="1" applyBorder="1" applyAlignment="1" applyProtection="1">
      <alignment horizontal="left"/>
      <protection hidden="1"/>
    </xf>
    <xf numFmtId="0" fontId="21" fillId="8" borderId="21" xfId="0" quotePrefix="1" applyFont="1" applyFill="1" applyBorder="1" applyAlignment="1" applyProtection="1">
      <alignment horizontal="center" vertical="center" wrapText="1"/>
      <protection hidden="1"/>
    </xf>
    <xf numFmtId="164" fontId="11" fillId="19" borderId="24" xfId="5" applyNumberFormat="1" applyFont="1" applyFill="1" applyBorder="1" applyAlignment="1" applyProtection="1">
      <alignment horizontal="right" indent="2"/>
      <protection hidden="1"/>
    </xf>
    <xf numFmtId="0" fontId="6" fillId="0" borderId="0" xfId="0" applyFont="1" applyBorder="1"/>
    <xf numFmtId="164" fontId="41" fillId="11" borderId="11" xfId="7" applyNumberFormat="1" applyFont="1" applyFill="1" applyBorder="1" applyAlignment="1">
      <alignment wrapText="1"/>
    </xf>
    <xf numFmtId="164" fontId="41" fillId="11" borderId="25" xfId="0" applyNumberFormat="1" applyFont="1" applyFill="1" applyBorder="1"/>
    <xf numFmtId="164" fontId="41" fillId="11" borderId="24" xfId="0" applyNumberFormat="1" applyFont="1" applyFill="1" applyBorder="1"/>
    <xf numFmtId="3" fontId="44" fillId="12" borderId="11" xfId="0" applyNumberFormat="1" applyFont="1" applyFill="1" applyBorder="1"/>
    <xf numFmtId="171" fontId="6" fillId="0" borderId="11" xfId="6" applyNumberFormat="1" applyFont="1" applyFill="1" applyBorder="1" applyAlignment="1">
      <alignment horizontal="center" wrapText="1"/>
    </xf>
    <xf numFmtId="171" fontId="6" fillId="0" borderId="4" xfId="6" applyNumberFormat="1" applyFont="1" applyFill="1" applyBorder="1" applyAlignment="1">
      <alignment horizontal="center" wrapText="1"/>
    </xf>
    <xf numFmtId="171" fontId="6" fillId="0" borderId="5" xfId="6" applyNumberFormat="1" applyFont="1" applyFill="1" applyBorder="1" applyAlignment="1">
      <alignment horizontal="center" wrapText="1"/>
    </xf>
    <xf numFmtId="0" fontId="29" fillId="15" borderId="31" xfId="2" applyFont="1" applyFill="1" applyBorder="1" applyAlignment="1">
      <alignment horizontal="center" vertical="center" wrapText="1"/>
    </xf>
    <xf numFmtId="0" fontId="12" fillId="9" borderId="0" xfId="5" applyFont="1" applyFill="1" applyBorder="1" applyAlignment="1" applyProtection="1">
      <alignment horizontal="left"/>
      <protection hidden="1"/>
    </xf>
    <xf numFmtId="0" fontId="12" fillId="9" borderId="17" xfId="5" applyFont="1" applyFill="1" applyBorder="1" applyAlignment="1" applyProtection="1">
      <alignment horizontal="left"/>
      <protection hidden="1"/>
    </xf>
    <xf numFmtId="0" fontId="45" fillId="2" borderId="0" xfId="0" applyFont="1" applyFill="1" applyAlignment="1">
      <alignment vertical="top"/>
    </xf>
    <xf numFmtId="0" fontId="46" fillId="2" borderId="0" xfId="0" applyFont="1" applyFill="1" applyAlignment="1">
      <alignment vertical="top"/>
    </xf>
    <xf numFmtId="0" fontId="47" fillId="8" borderId="13" xfId="0" applyFont="1" applyFill="1" applyBorder="1" applyAlignment="1">
      <alignment horizontal="center" vertical="center" wrapText="1"/>
    </xf>
    <xf numFmtId="0" fontId="23" fillId="8" borderId="45" xfId="0" applyFont="1" applyFill="1" applyBorder="1" applyAlignment="1" applyProtection="1">
      <alignment horizontal="center" vertical="center" wrapText="1"/>
      <protection hidden="1"/>
    </xf>
    <xf numFmtId="171" fontId="21" fillId="10" borderId="26" xfId="6" applyNumberFormat="1" applyFont="1" applyFill="1" applyBorder="1" applyAlignment="1">
      <alignment horizontal="center" vertical="center" wrapText="1"/>
    </xf>
    <xf numFmtId="164" fontId="6" fillId="0" borderId="33" xfId="0" applyNumberFormat="1" applyFont="1" applyBorder="1"/>
    <xf numFmtId="164" fontId="6" fillId="0" borderId="39" xfId="0" applyNumberFormat="1" applyFont="1" applyBorder="1"/>
    <xf numFmtId="164" fontId="6" fillId="0" borderId="47" xfId="0" applyNumberFormat="1" applyFont="1" applyBorder="1"/>
    <xf numFmtId="0" fontId="47" fillId="8" borderId="15" xfId="0" applyFont="1" applyFill="1" applyBorder="1" applyAlignment="1">
      <alignment horizontal="center" vertical="center" wrapText="1"/>
    </xf>
    <xf numFmtId="164" fontId="46" fillId="0" borderId="20" xfId="5" applyNumberFormat="1" applyFont="1" applyBorder="1" applyAlignment="1" applyProtection="1">
      <alignment horizontal="right" indent="2"/>
      <protection hidden="1"/>
    </xf>
    <xf numFmtId="164" fontId="46" fillId="0" borderId="58" xfId="5" applyNumberFormat="1" applyFont="1" applyBorder="1" applyAlignment="1" applyProtection="1">
      <alignment horizontal="right" indent="2"/>
      <protection hidden="1"/>
    </xf>
    <xf numFmtId="164" fontId="46" fillId="0" borderId="18" xfId="5" applyNumberFormat="1" applyFont="1" applyBorder="1" applyAlignment="1" applyProtection="1">
      <alignment horizontal="right" indent="2"/>
      <protection hidden="1"/>
    </xf>
    <xf numFmtId="164" fontId="46" fillId="0" borderId="57" xfId="5" applyNumberFormat="1" applyFont="1" applyBorder="1" applyAlignment="1" applyProtection="1">
      <alignment horizontal="right" indent="2"/>
      <protection hidden="1"/>
    </xf>
    <xf numFmtId="0" fontId="47" fillId="8" borderId="44" xfId="0" applyFont="1" applyFill="1" applyBorder="1" applyAlignment="1" applyProtection="1">
      <alignment horizontal="center" vertical="center" wrapText="1"/>
      <protection hidden="1"/>
    </xf>
    <xf numFmtId="0" fontId="6" fillId="2" borderId="0" xfId="0" quotePrefix="1" applyFont="1" applyFill="1" applyAlignment="1">
      <alignment horizontal="left" vertical="top" wrapText="1"/>
    </xf>
    <xf numFmtId="0" fontId="6" fillId="2" borderId="0" xfId="0" applyFont="1" applyFill="1" applyAlignment="1">
      <alignment vertical="top" wrapText="1"/>
    </xf>
    <xf numFmtId="0" fontId="12" fillId="9" borderId="0" xfId="5" applyFont="1" applyFill="1" applyBorder="1" applyAlignment="1" applyProtection="1">
      <alignment horizontal="left"/>
      <protection hidden="1"/>
    </xf>
    <xf numFmtId="0" fontId="12" fillId="9" borderId="17" xfId="5" applyFont="1" applyFill="1" applyBorder="1" applyAlignment="1" applyProtection="1">
      <alignment horizontal="left"/>
      <protection hidden="1"/>
    </xf>
    <xf numFmtId="0" fontId="11" fillId="9" borderId="32" xfId="5" applyFont="1" applyFill="1" applyBorder="1" applyAlignment="1" applyProtection="1">
      <alignment horizontal="center" vertical="center" wrapText="1"/>
      <protection hidden="1"/>
    </xf>
    <xf numFmtId="0" fontId="11" fillId="9" borderId="38" xfId="5" applyFont="1" applyFill="1" applyBorder="1" applyAlignment="1" applyProtection="1">
      <alignment horizontal="center" vertical="center" wrapText="1"/>
      <protection hidden="1"/>
    </xf>
    <xf numFmtId="0" fontId="11" fillId="9" borderId="46" xfId="5" applyFont="1" applyFill="1" applyBorder="1" applyAlignment="1" applyProtection="1">
      <alignment horizontal="center" vertical="center" wrapText="1"/>
      <protection hidden="1"/>
    </xf>
    <xf numFmtId="0" fontId="11" fillId="9" borderId="33" xfId="5" applyFont="1" applyFill="1" applyBorder="1" applyAlignment="1" applyProtection="1">
      <alignment horizontal="center" vertical="center" wrapText="1"/>
      <protection hidden="1"/>
    </xf>
    <xf numFmtId="0" fontId="11" fillId="9" borderId="39" xfId="5" applyFont="1" applyFill="1" applyBorder="1" applyAlignment="1" applyProtection="1">
      <alignment horizontal="center" vertical="center" wrapText="1"/>
      <protection hidden="1"/>
    </xf>
    <xf numFmtId="0" fontId="11" fillId="9" borderId="47" xfId="5" applyFont="1" applyFill="1" applyBorder="1" applyAlignment="1" applyProtection="1">
      <alignment horizontal="center" vertical="center" wrapText="1"/>
      <protection hidden="1"/>
    </xf>
    <xf numFmtId="0" fontId="11" fillId="9" borderId="34" xfId="5" applyFont="1" applyFill="1" applyBorder="1" applyAlignment="1" applyProtection="1">
      <alignment horizontal="center" vertical="center" wrapText="1"/>
      <protection hidden="1"/>
    </xf>
    <xf numFmtId="0" fontId="11" fillId="9" borderId="40" xfId="5" applyFont="1" applyFill="1" applyBorder="1" applyAlignment="1" applyProtection="1">
      <alignment horizontal="center" vertical="center" wrapText="1"/>
      <protection hidden="1"/>
    </xf>
    <xf numFmtId="0" fontId="11" fillId="9" borderId="48" xfId="5" applyFont="1" applyFill="1" applyBorder="1" applyAlignment="1" applyProtection="1">
      <alignment horizontal="center" vertical="center" wrapText="1"/>
      <protection hidden="1"/>
    </xf>
    <xf numFmtId="0" fontId="23" fillId="8" borderId="21"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18" xfId="0" applyFont="1" applyFill="1" applyBorder="1" applyAlignment="1">
      <alignment horizontal="center" vertical="center" wrapText="1"/>
    </xf>
    <xf numFmtId="2" fontId="11" fillId="9" borderId="14" xfId="0" applyNumberFormat="1" applyFont="1" applyFill="1" applyBorder="1" applyAlignment="1">
      <alignment horizontal="center" vertical="center" wrapText="1"/>
    </xf>
    <xf numFmtId="2" fontId="11" fillId="9" borderId="19" xfId="0" applyNumberFormat="1"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21" fillId="15" borderId="21" xfId="0" applyFont="1" applyFill="1" applyBorder="1" applyAlignment="1">
      <alignment horizontal="center" vertical="center" wrapText="1"/>
    </xf>
    <xf numFmtId="0" fontId="21" fillId="15" borderId="25" xfId="0" applyFont="1" applyFill="1" applyBorder="1" applyAlignment="1">
      <alignment horizontal="center" vertical="center" wrapText="1"/>
    </xf>
    <xf numFmtId="0" fontId="21" fillId="15" borderId="24" xfId="0" applyFont="1" applyFill="1" applyBorder="1" applyAlignment="1">
      <alignment horizontal="center" vertical="center" wrapText="1"/>
    </xf>
    <xf numFmtId="0" fontId="3" fillId="0" borderId="17" xfId="0" applyFont="1" applyBorder="1" applyAlignment="1">
      <alignment horizontal="center" vertical="center"/>
    </xf>
    <xf numFmtId="0" fontId="2" fillId="15" borderId="14" xfId="0" quotePrefix="1" applyFont="1" applyFill="1" applyBorder="1" applyAlignment="1">
      <alignment horizontal="center" vertical="center"/>
    </xf>
    <xf numFmtId="0" fontId="2" fillId="15" borderId="19" xfId="0" quotePrefix="1" applyFont="1" applyFill="1" applyBorder="1" applyAlignment="1">
      <alignment horizontal="center" vertical="center"/>
    </xf>
    <xf numFmtId="0" fontId="21" fillId="15" borderId="14" xfId="0" applyFont="1" applyFill="1" applyBorder="1" applyAlignment="1">
      <alignment horizontal="center" vertical="center" wrapText="1"/>
    </xf>
    <xf numFmtId="0" fontId="21" fillId="15" borderId="19" xfId="0" applyFont="1" applyFill="1" applyBorder="1" applyAlignment="1">
      <alignment horizontal="center" vertical="center" wrapText="1"/>
    </xf>
    <xf numFmtId="0" fontId="23" fillId="15" borderId="14" xfId="0" applyFont="1" applyFill="1" applyBorder="1" applyAlignment="1">
      <alignment horizontal="center" vertical="center" wrapText="1"/>
    </xf>
    <xf numFmtId="0" fontId="23" fillId="15" borderId="19" xfId="0" applyFont="1" applyFill="1" applyBorder="1" applyAlignment="1">
      <alignment horizontal="center" vertical="center" wrapText="1"/>
    </xf>
    <xf numFmtId="164" fontId="21" fillId="15" borderId="17" xfId="0" applyNumberFormat="1" applyFont="1" applyFill="1" applyBorder="1" applyAlignment="1">
      <alignment horizontal="center" vertical="center" wrapText="1"/>
    </xf>
    <xf numFmtId="164" fontId="21" fillId="15" borderId="20" xfId="0" applyNumberFormat="1" applyFont="1" applyFill="1" applyBorder="1" applyAlignment="1">
      <alignment horizontal="center" vertical="center" wrapText="1"/>
    </xf>
    <xf numFmtId="0" fontId="32" fillId="0" borderId="0" xfId="0" applyFont="1" applyAlignment="1">
      <alignment horizontal="center"/>
    </xf>
    <xf numFmtId="182" fontId="16" fillId="16" borderId="21" xfId="8" applyNumberFormat="1" applyFont="1" applyFill="1" applyBorder="1" applyAlignment="1">
      <alignment horizontal="right" vertical="center"/>
    </xf>
    <xf numFmtId="182" fontId="16" fillId="16" borderId="25" xfId="8" applyNumberFormat="1" applyFont="1" applyFill="1" applyBorder="1" applyAlignment="1">
      <alignment horizontal="right" vertical="center"/>
    </xf>
    <xf numFmtId="182" fontId="16" fillId="16" borderId="24" xfId="8" applyNumberFormat="1" applyFont="1" applyFill="1" applyBorder="1" applyAlignment="1">
      <alignment horizontal="right" vertical="center"/>
    </xf>
    <xf numFmtId="0" fontId="33" fillId="0" borderId="19" xfId="0" applyFont="1" applyBorder="1" applyAlignment="1">
      <alignment horizontal="center" vertical="center"/>
    </xf>
    <xf numFmtId="0" fontId="35" fillId="15" borderId="14" xfId="0" applyFont="1" applyFill="1" applyBorder="1" applyAlignment="1">
      <alignment horizontal="center" vertical="center" wrapText="1"/>
    </xf>
    <xf numFmtId="0" fontId="35" fillId="15" borderId="0" xfId="0" applyFont="1" applyFill="1" applyAlignment="1">
      <alignment horizontal="center" vertical="center" wrapText="1"/>
    </xf>
    <xf numFmtId="0" fontId="35" fillId="15" borderId="19" xfId="0" applyFont="1" applyFill="1" applyBorder="1" applyAlignment="1">
      <alignment horizontal="center" vertical="center" wrapText="1"/>
    </xf>
    <xf numFmtId="0" fontId="23" fillId="15" borderId="21" xfId="0" quotePrefix="1" applyFont="1" applyFill="1" applyBorder="1" applyAlignment="1">
      <alignment horizontal="center" vertical="center" wrapText="1"/>
    </xf>
    <xf numFmtId="0" fontId="23" fillId="15" borderId="25" xfId="0" quotePrefix="1" applyFont="1" applyFill="1" applyBorder="1" applyAlignment="1">
      <alignment horizontal="center" vertical="center" wrapText="1"/>
    </xf>
    <xf numFmtId="0" fontId="23" fillId="15" borderId="24" xfId="0" quotePrefix="1" applyFont="1" applyFill="1" applyBorder="1" applyAlignment="1">
      <alignment horizontal="center" vertical="center" wrapText="1"/>
    </xf>
    <xf numFmtId="0" fontId="23" fillId="18" borderId="25" xfId="0" applyFont="1" applyFill="1" applyBorder="1" applyAlignment="1">
      <alignment horizontal="center" vertical="center" wrapText="1"/>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9" xfId="0" applyFont="1" applyFill="1" applyBorder="1" applyAlignment="1">
      <alignment horizontal="center" vertical="center"/>
    </xf>
    <xf numFmtId="0" fontId="23" fillId="18" borderId="21" xfId="0" applyFont="1" applyFill="1" applyBorder="1" applyAlignment="1">
      <alignment horizontal="center" vertical="center" wrapText="1"/>
    </xf>
    <xf numFmtId="0" fontId="23" fillId="18" borderId="21" xfId="0" quotePrefix="1" applyFont="1" applyFill="1" applyBorder="1" applyAlignment="1">
      <alignment horizontal="center" vertical="center" wrapText="1"/>
    </xf>
    <xf numFmtId="0" fontId="12" fillId="0" borderId="4" xfId="4" applyFont="1" applyBorder="1" applyAlignment="1">
      <alignment horizontal="centerContinuous" vertical="center" wrapText="1"/>
    </xf>
    <xf numFmtId="0" fontId="12" fillId="0" borderId="5" xfId="4" applyFont="1" applyBorder="1" applyAlignment="1">
      <alignment horizontal="centerContinuous" vertical="center" wrapText="1"/>
    </xf>
    <xf numFmtId="0" fontId="12" fillId="0" borderId="6" xfId="4" applyFont="1" applyBorder="1" applyAlignment="1">
      <alignment horizontal="centerContinuous" vertical="center" wrapText="1"/>
    </xf>
    <xf numFmtId="0" fontId="13" fillId="0" borderId="4" xfId="4" applyFont="1" applyBorder="1" applyAlignment="1">
      <alignment horizontal="centerContinuous" vertical="center" wrapText="1"/>
    </xf>
    <xf numFmtId="0" fontId="13" fillId="0" borderId="5" xfId="4" applyFont="1" applyBorder="1" applyAlignment="1">
      <alignment horizontal="centerContinuous" vertical="center" wrapText="1"/>
    </xf>
    <xf numFmtId="0" fontId="13" fillId="0" borderId="6" xfId="4" applyFont="1" applyBorder="1" applyAlignment="1">
      <alignment horizontal="centerContinuous" vertical="center" wrapText="1"/>
    </xf>
    <xf numFmtId="0" fontId="12" fillId="3" borderId="8" xfId="4" applyFont="1" applyFill="1" applyBorder="1" applyAlignment="1">
      <alignment horizontal="centerContinuous" vertical="center" wrapText="1"/>
    </xf>
    <xf numFmtId="0" fontId="12" fillId="3" borderId="5" xfId="4" applyFont="1" applyFill="1" applyBorder="1" applyAlignment="1">
      <alignment horizontal="centerContinuous" vertical="center" wrapText="1"/>
    </xf>
    <xf numFmtId="0" fontId="12" fillId="3" borderId="9" xfId="4" applyFont="1" applyFill="1" applyBorder="1" applyAlignment="1">
      <alignment horizontal="centerContinuous" vertical="center" wrapText="1"/>
    </xf>
    <xf numFmtId="0" fontId="20" fillId="3" borderId="1" xfId="4" applyFont="1" applyFill="1" applyBorder="1" applyAlignment="1">
      <alignment horizontal="centerContinuous" vertical="center"/>
    </xf>
    <xf numFmtId="0" fontId="20" fillId="3" borderId="2" xfId="4" applyFont="1" applyFill="1" applyBorder="1" applyAlignment="1">
      <alignment horizontal="centerContinuous" vertical="center"/>
    </xf>
    <xf numFmtId="0" fontId="20" fillId="3" borderId="3" xfId="4" applyFont="1" applyFill="1" applyBorder="1" applyAlignment="1">
      <alignment horizontal="centerContinuous" vertical="center"/>
    </xf>
    <xf numFmtId="0" fontId="12" fillId="9" borderId="16" xfId="5" applyFont="1" applyFill="1" applyBorder="1" applyAlignment="1" applyProtection="1">
      <alignment horizontal="left"/>
      <protection hidden="1"/>
    </xf>
    <xf numFmtId="0" fontId="23" fillId="8" borderId="4" xfId="5" applyFont="1" applyFill="1" applyBorder="1" applyAlignment="1" applyProtection="1">
      <alignment horizontal="centerContinuous" vertical="center" wrapText="1"/>
      <protection hidden="1"/>
    </xf>
    <xf numFmtId="0" fontId="23" fillId="8" borderId="5" xfId="5" applyFont="1" applyFill="1" applyBorder="1" applyAlignment="1" applyProtection="1">
      <alignment horizontal="centerContinuous" vertical="center" wrapText="1"/>
      <protection hidden="1"/>
    </xf>
    <xf numFmtId="0" fontId="23" fillId="8" borderId="9" xfId="5" applyFont="1" applyFill="1" applyBorder="1" applyAlignment="1" applyProtection="1">
      <alignment horizontal="centerContinuous" vertical="center" wrapText="1"/>
      <protection hidden="1"/>
    </xf>
    <xf numFmtId="0" fontId="21" fillId="8" borderId="21" xfId="5" applyFont="1" applyFill="1" applyBorder="1" applyAlignment="1" applyProtection="1">
      <alignment horizontal="center" wrapText="1"/>
      <protection hidden="1"/>
    </xf>
    <xf numFmtId="0" fontId="21" fillId="8" borderId="41" xfId="5" applyFont="1" applyFill="1" applyBorder="1" applyAlignment="1" applyProtection="1">
      <alignment horizontal="center" vertical="top" wrapText="1"/>
      <protection hidden="1"/>
    </xf>
    <xf numFmtId="0" fontId="21" fillId="8" borderId="35" xfId="5" applyFont="1" applyFill="1" applyBorder="1" applyAlignment="1" applyProtection="1">
      <alignment horizontal="centerContinuous" vertical="center"/>
      <protection hidden="1"/>
    </xf>
    <xf numFmtId="0" fontId="21" fillId="8" borderId="36" xfId="5" applyFont="1" applyFill="1" applyBorder="1" applyAlignment="1" applyProtection="1">
      <alignment horizontal="centerContinuous" vertical="center"/>
      <protection hidden="1"/>
    </xf>
    <xf numFmtId="0" fontId="21" fillId="8" borderId="37" xfId="5" applyFont="1" applyFill="1" applyBorder="1" applyAlignment="1" applyProtection="1">
      <alignment horizontal="centerContinuous" vertical="center"/>
      <protection hidden="1"/>
    </xf>
    <xf numFmtId="0" fontId="21" fillId="8" borderId="35" xfId="5" applyFont="1" applyFill="1" applyBorder="1" applyAlignment="1" applyProtection="1">
      <alignment horizontal="centerContinuous" vertical="center" wrapText="1"/>
      <protection hidden="1"/>
    </xf>
    <xf numFmtId="0" fontId="21" fillId="8" borderId="36" xfId="5" applyFont="1" applyFill="1" applyBorder="1" applyAlignment="1" applyProtection="1">
      <alignment horizontal="centerContinuous" vertical="center" wrapText="1"/>
      <protection hidden="1"/>
    </xf>
    <xf numFmtId="0" fontId="21" fillId="8" borderId="37" xfId="5" applyFont="1" applyFill="1" applyBorder="1" applyAlignment="1" applyProtection="1">
      <alignment horizontal="centerContinuous" vertical="center" wrapText="1"/>
      <protection hidden="1"/>
    </xf>
    <xf numFmtId="0" fontId="20" fillId="3" borderId="4" xfId="0" applyFont="1" applyFill="1" applyBorder="1" applyAlignment="1">
      <alignment horizontal="centerContinuous" vertical="center" wrapText="1"/>
    </xf>
    <xf numFmtId="0" fontId="20" fillId="3" borderId="5" xfId="0" applyFont="1" applyFill="1" applyBorder="1" applyAlignment="1">
      <alignment horizontal="centerContinuous" vertical="center" wrapText="1"/>
    </xf>
    <xf numFmtId="0" fontId="20" fillId="3" borderId="9" xfId="0" applyFont="1" applyFill="1" applyBorder="1" applyAlignment="1">
      <alignment horizontal="centerContinuous" vertical="center" wrapText="1"/>
    </xf>
    <xf numFmtId="0" fontId="13" fillId="3" borderId="4" xfId="0" applyFont="1" applyFill="1" applyBorder="1" applyAlignment="1">
      <alignment horizontal="centerContinuous" vertical="center" wrapText="1"/>
    </xf>
    <xf numFmtId="0" fontId="13" fillId="3" borderId="5" xfId="0" applyFont="1" applyFill="1" applyBorder="1" applyAlignment="1">
      <alignment horizontal="centerContinuous" vertical="center" wrapText="1"/>
    </xf>
    <xf numFmtId="0" fontId="13" fillId="3" borderId="9" xfId="0" applyFont="1" applyFill="1" applyBorder="1" applyAlignment="1">
      <alignment horizontal="centerContinuous" vertical="center" wrapText="1"/>
    </xf>
    <xf numFmtId="0" fontId="11" fillId="9" borderId="13" xfId="0" applyFont="1" applyFill="1" applyBorder="1" applyAlignment="1">
      <alignment horizontal="center" wrapText="1"/>
    </xf>
    <xf numFmtId="2" fontId="11" fillId="9" borderId="14" xfId="0" applyNumberFormat="1" applyFont="1" applyFill="1" applyBorder="1" applyAlignment="1">
      <alignment horizontal="center" wrapText="1"/>
    </xf>
    <xf numFmtId="0" fontId="11" fillId="9" borderId="15" xfId="0" applyFont="1" applyFill="1" applyBorder="1" applyAlignment="1">
      <alignment horizontal="center" wrapText="1"/>
    </xf>
    <xf numFmtId="0" fontId="23" fillId="8" borderId="24" xfId="0" applyFont="1" applyFill="1" applyBorder="1" applyAlignment="1">
      <alignment horizontal="center" vertical="top" wrapText="1"/>
    </xf>
    <xf numFmtId="0" fontId="23" fillId="8" borderId="4" xfId="0" quotePrefix="1" applyFont="1" applyFill="1" applyBorder="1" applyAlignment="1" applyProtection="1">
      <alignment horizontal="centerContinuous" vertical="center" wrapText="1"/>
      <protection hidden="1"/>
    </xf>
    <xf numFmtId="0" fontId="23" fillId="8" borderId="5" xfId="0" quotePrefix="1" applyFont="1" applyFill="1" applyBorder="1" applyAlignment="1" applyProtection="1">
      <alignment horizontal="centerContinuous" vertical="center" wrapText="1"/>
      <protection hidden="1"/>
    </xf>
    <xf numFmtId="0" fontId="23" fillId="8" borderId="9" xfId="0" quotePrefix="1" applyFont="1" applyFill="1" applyBorder="1" applyAlignment="1" applyProtection="1">
      <alignment horizontal="centerContinuous" vertical="center" wrapText="1"/>
      <protection hidden="1"/>
    </xf>
    <xf numFmtId="0" fontId="23" fillId="8" borderId="4" xfId="0" applyFont="1" applyFill="1" applyBorder="1" applyAlignment="1">
      <alignment horizontal="centerContinuous" vertical="center" wrapText="1"/>
    </xf>
    <xf numFmtId="0" fontId="23" fillId="8" borderId="5" xfId="0" applyFont="1" applyFill="1" applyBorder="1" applyAlignment="1">
      <alignment horizontal="centerContinuous" vertical="center" wrapText="1"/>
    </xf>
    <xf numFmtId="0" fontId="23" fillId="8" borderId="9" xfId="0" applyFont="1" applyFill="1" applyBorder="1" applyAlignment="1">
      <alignment horizontal="centerContinuous" vertical="center" wrapText="1"/>
    </xf>
    <xf numFmtId="0" fontId="3" fillId="0" borderId="16" xfId="0" applyFont="1" applyBorder="1" applyAlignment="1">
      <alignment horizontal="centerContinuous" vertical="center"/>
    </xf>
    <xf numFmtId="0" fontId="3" fillId="0" borderId="17" xfId="0" applyFont="1" applyBorder="1" applyAlignment="1">
      <alignment horizontal="centerContinuous" vertical="center"/>
    </xf>
    <xf numFmtId="0" fontId="48" fillId="0" borderId="0" xfId="0" applyFont="1" applyAlignment="1">
      <alignment horizontal="center" vertical="top"/>
    </xf>
    <xf numFmtId="0" fontId="48" fillId="0" borderId="0" xfId="0" applyFont="1" applyAlignment="1">
      <alignment horizontal="center" vertical="center"/>
    </xf>
    <xf numFmtId="0" fontId="49" fillId="0" borderId="0" xfId="0" applyFont="1" applyAlignment="1">
      <alignment horizontal="center" vertical="center"/>
    </xf>
    <xf numFmtId="0" fontId="31" fillId="15" borderId="16" xfId="0" quotePrefix="1" applyFont="1" applyFill="1" applyBorder="1" applyAlignment="1">
      <alignment horizontal="centerContinuous" vertical="center"/>
    </xf>
    <xf numFmtId="0" fontId="31" fillId="15" borderId="0" xfId="0" applyFont="1" applyFill="1" applyAlignment="1">
      <alignment horizontal="centerContinuous" vertical="center"/>
    </xf>
    <xf numFmtId="178" fontId="16" fillId="16" borderId="4" xfId="4" applyNumberFormat="1" applyFont="1" applyFill="1" applyBorder="1" applyAlignment="1">
      <alignment horizontal="centerContinuous" vertical="center"/>
    </xf>
    <xf numFmtId="178" fontId="16" fillId="16" borderId="5" xfId="4" applyNumberFormat="1" applyFont="1" applyFill="1" applyBorder="1" applyAlignment="1">
      <alignment horizontal="centerContinuous" vertical="center"/>
    </xf>
    <xf numFmtId="178" fontId="16" fillId="16" borderId="9" xfId="4" applyNumberFormat="1" applyFont="1" applyFill="1" applyBorder="1" applyAlignment="1">
      <alignment horizontal="centerContinuous" vertical="center"/>
    </xf>
    <xf numFmtId="178" fontId="16" fillId="16" borderId="11" xfId="4" applyNumberFormat="1" applyFont="1" applyFill="1" applyBorder="1" applyAlignment="1">
      <alignment horizontal="centerContinuous" vertical="center"/>
    </xf>
    <xf numFmtId="0" fontId="2" fillId="15" borderId="0" xfId="0" quotePrefix="1" applyFont="1" applyFill="1" applyAlignment="1">
      <alignment horizontal="center" vertical="top"/>
    </xf>
    <xf numFmtId="0" fontId="21" fillId="15" borderId="0" xfId="0" applyFont="1" applyFill="1" applyAlignment="1">
      <alignment horizontal="center" vertical="top" wrapText="1"/>
    </xf>
    <xf numFmtId="0" fontId="23" fillId="15" borderId="0" xfId="0" applyFont="1" applyFill="1" applyAlignment="1">
      <alignment horizontal="center" vertical="top" wrapText="1"/>
    </xf>
    <xf numFmtId="164" fontId="21" fillId="15" borderId="15" xfId="0" quotePrefix="1" applyNumberFormat="1" applyFont="1" applyFill="1" applyBorder="1" applyAlignment="1">
      <alignment horizontal="center" vertical="center" wrapText="1"/>
    </xf>
    <xf numFmtId="182" fontId="20" fillId="16" borderId="21" xfId="8" applyNumberFormat="1" applyFont="1" applyFill="1" applyBorder="1" applyAlignment="1">
      <alignment horizontal="right" vertical="center"/>
    </xf>
    <xf numFmtId="182" fontId="20" fillId="16" borderId="25" xfId="8" applyNumberFormat="1" applyFont="1" applyFill="1" applyBorder="1" applyAlignment="1">
      <alignment horizontal="right" vertical="center"/>
    </xf>
    <xf numFmtId="182" fontId="20" fillId="16" borderId="24" xfId="8" applyNumberFormat="1" applyFont="1" applyFill="1" applyBorder="1" applyAlignment="1">
      <alignment horizontal="right" vertical="center"/>
    </xf>
    <xf numFmtId="0" fontId="3" fillId="0" borderId="16" xfId="0" quotePrefix="1" applyFont="1" applyBorder="1" applyAlignment="1">
      <alignment horizontal="centerContinuous" vertical="center"/>
    </xf>
    <xf numFmtId="0" fontId="3" fillId="0" borderId="17" xfId="0" quotePrefix="1" applyFont="1" applyBorder="1" applyAlignment="1">
      <alignment horizontal="centerContinuous" vertical="center"/>
    </xf>
    <xf numFmtId="0" fontId="3" fillId="0" borderId="0" xfId="0" applyFont="1" applyAlignment="1">
      <alignment horizontal="centerContinuous"/>
    </xf>
    <xf numFmtId="0" fontId="39" fillId="0" borderId="0" xfId="0" quotePrefix="1" applyFont="1" applyAlignment="1">
      <alignment horizontal="centerContinuous" vertical="center"/>
    </xf>
    <xf numFmtId="0" fontId="0" fillId="0" borderId="0" xfId="0" applyAlignment="1">
      <alignment horizontal="centerContinuous"/>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12" fillId="0" borderId="0" xfId="0" applyFont="1" applyAlignment="1">
      <alignment vertical="center"/>
    </xf>
    <xf numFmtId="0" fontId="12" fillId="0" borderId="0" xfId="0" applyFont="1" applyAlignment="1"/>
    <xf numFmtId="3" fontId="13" fillId="11" borderId="11" xfId="7" applyNumberFormat="1" applyFont="1" applyFill="1" applyBorder="1" applyAlignment="1">
      <alignment horizontal="right" wrapText="1"/>
    </xf>
    <xf numFmtId="0" fontId="9" fillId="2" borderId="0" xfId="0" applyFont="1" applyFill="1" applyAlignment="1">
      <alignment horizontal="right"/>
    </xf>
    <xf numFmtId="0" fontId="6" fillId="2" borderId="0" xfId="0" applyFont="1" applyFill="1" applyAlignment="1"/>
    <xf numFmtId="0" fontId="6" fillId="2" borderId="0" xfId="0" applyFont="1" applyFill="1" applyAlignment="1">
      <alignment wrapText="1"/>
    </xf>
    <xf numFmtId="0" fontId="12" fillId="2" borderId="0" xfId="0" quotePrefix="1" applyFont="1" applyFill="1" applyAlignment="1">
      <alignment horizontal="left" vertical="top"/>
    </xf>
    <xf numFmtId="0" fontId="12" fillId="2" borderId="0" xfId="0" applyFont="1" applyFill="1" applyAlignment="1">
      <alignment horizontal="left" vertical="top"/>
    </xf>
    <xf numFmtId="1" fontId="6" fillId="0" borderId="59" xfId="5" applyNumberFormat="1" applyBorder="1" applyAlignment="1" applyProtection="1">
      <protection hidden="1"/>
    </xf>
    <xf numFmtId="0" fontId="21" fillId="18" borderId="25" xfId="0" applyFont="1" applyFill="1" applyBorder="1" applyAlignment="1">
      <alignment horizontal="center" vertical="center" wrapText="1"/>
    </xf>
    <xf numFmtId="164" fontId="6" fillId="0" borderId="11" xfId="0" applyNumberFormat="1" applyFont="1" applyBorder="1"/>
    <xf numFmtId="164" fontId="42" fillId="0" borderId="21" xfId="0" applyNumberFormat="1" applyFont="1" applyBorder="1"/>
    <xf numFmtId="164" fontId="42" fillId="0" borderId="25" xfId="0" applyNumberFormat="1" applyFont="1" applyBorder="1"/>
    <xf numFmtId="164" fontId="42" fillId="0" borderId="24" xfId="0" applyNumberFormat="1" applyFont="1" applyBorder="1"/>
    <xf numFmtId="0" fontId="13" fillId="3" borderId="4" xfId="0" applyFont="1" applyFill="1" applyBorder="1" applyAlignment="1">
      <alignment horizontal="center" vertical="center" wrapText="1"/>
    </xf>
    <xf numFmtId="0" fontId="50" fillId="0" borderId="0" xfId="0" applyFont="1" applyAlignment="1"/>
    <xf numFmtId="0" fontId="51" fillId="0" borderId="0" xfId="0" applyFont="1"/>
    <xf numFmtId="164" fontId="43" fillId="0" borderId="0" xfId="5" applyNumberFormat="1" applyFont="1" applyAlignment="1" applyProtection="1">
      <alignment vertical="top"/>
      <protection hidden="1"/>
    </xf>
    <xf numFmtId="0" fontId="21" fillId="8" borderId="21" xfId="0" applyFont="1" applyFill="1" applyBorder="1" applyAlignment="1" applyProtection="1">
      <alignment horizontal="center" wrapText="1"/>
      <protection hidden="1"/>
    </xf>
    <xf numFmtId="0" fontId="25" fillId="0" borderId="0" xfId="0" applyFont="1" applyAlignment="1">
      <alignment horizontal="centerContinuous" wrapText="1"/>
    </xf>
    <xf numFmtId="3" fontId="0" fillId="0" borderId="17" xfId="0" applyNumberFormat="1" applyBorder="1"/>
    <xf numFmtId="3" fontId="12" fillId="0" borderId="18" xfId="6" applyNumberFormat="1" applyFont="1" applyBorder="1" applyAlignment="1">
      <alignment horizontal="right" wrapText="1"/>
    </xf>
    <xf numFmtId="3" fontId="12" fillId="0" borderId="24" xfId="6" applyNumberFormat="1" applyFont="1" applyBorder="1" applyAlignment="1">
      <alignment horizontal="right" wrapText="1"/>
    </xf>
    <xf numFmtId="184" fontId="0" fillId="0" borderId="0" xfId="1" applyNumberFormat="1" applyFont="1"/>
    <xf numFmtId="0" fontId="21" fillId="15" borderId="24" xfId="0" applyFont="1" applyFill="1" applyBorder="1" applyAlignment="1">
      <alignment horizontal="center" vertical="top" wrapText="1"/>
    </xf>
    <xf numFmtId="0" fontId="3" fillId="0" borderId="0" xfId="0" applyFont="1" applyAlignment="1">
      <alignment horizontal="centerContinuous" vertical="center"/>
    </xf>
    <xf numFmtId="0" fontId="12" fillId="2" borderId="0" xfId="0" applyFont="1" applyFill="1"/>
    <xf numFmtId="0" fontId="12" fillId="2" borderId="0" xfId="0" quotePrefix="1" applyFont="1" applyFill="1" applyAlignment="1">
      <alignment horizontal="left" vertical="top" wrapText="1"/>
    </xf>
    <xf numFmtId="0" fontId="53" fillId="2" borderId="0" xfId="0" applyFont="1" applyFill="1"/>
    <xf numFmtId="0" fontId="54" fillId="0" borderId="0" xfId="0" applyFont="1"/>
    <xf numFmtId="0" fontId="17" fillId="0" borderId="0" xfId="0" applyFont="1" applyAlignment="1">
      <alignment horizontal="left" vertical="center"/>
    </xf>
    <xf numFmtId="0" fontId="55" fillId="0" borderId="0" xfId="0" applyFont="1"/>
    <xf numFmtId="0" fontId="17" fillId="0" borderId="0" xfId="0" applyFont="1"/>
    <xf numFmtId="172" fontId="55" fillId="0" borderId="0" xfId="0" applyNumberFormat="1" applyFont="1"/>
    <xf numFmtId="164" fontId="56" fillId="0" borderId="0" xfId="0" applyNumberFormat="1" applyFont="1"/>
    <xf numFmtId="164" fontId="55" fillId="0" borderId="0" xfId="0" applyNumberFormat="1" applyFont="1"/>
    <xf numFmtId="0" fontId="57" fillId="0" borderId="0" xfId="0" applyFont="1" applyAlignment="1">
      <alignment vertical="center"/>
    </xf>
    <xf numFmtId="0" fontId="16" fillId="0" borderId="0" xfId="0" applyFont="1"/>
    <xf numFmtId="0" fontId="20" fillId="0" borderId="0" xfId="0" applyFont="1"/>
    <xf numFmtId="164" fontId="16" fillId="0" borderId="0" xfId="0" applyNumberFormat="1" applyFont="1"/>
    <xf numFmtId="0" fontId="59" fillId="22" borderId="4" xfId="0" applyFont="1" applyFill="1" applyBorder="1" applyAlignment="1">
      <alignment horizontal="center" vertical="center" wrapText="1"/>
    </xf>
    <xf numFmtId="0" fontId="59" fillId="22" borderId="9" xfId="0" applyFont="1" applyFill="1" applyBorder="1" applyAlignment="1">
      <alignment horizontal="center" vertical="center" wrapText="1"/>
    </xf>
    <xf numFmtId="0" fontId="58" fillId="22" borderId="11" xfId="0" applyFont="1" applyFill="1" applyBorder="1" applyAlignment="1">
      <alignment horizontal="center" vertical="center" wrapText="1"/>
    </xf>
    <xf numFmtId="0" fontId="59" fillId="22" borderId="5" xfId="0" quotePrefix="1" applyFont="1" applyFill="1" applyBorder="1" applyAlignment="1">
      <alignment horizontal="center" vertical="center" wrapText="1"/>
    </xf>
    <xf numFmtId="0" fontId="58" fillId="22" borderId="15" xfId="0" applyFont="1" applyFill="1" applyBorder="1" applyAlignment="1">
      <alignment horizontal="center" vertical="center" wrapText="1"/>
    </xf>
    <xf numFmtId="0" fontId="58" fillId="23" borderId="21" xfId="0" applyFont="1" applyFill="1" applyBorder="1" applyAlignment="1">
      <alignment horizontal="center" vertical="center" wrapText="1"/>
    </xf>
    <xf numFmtId="164" fontId="60" fillId="24" borderId="25" xfId="0" applyNumberFormat="1" applyFont="1" applyFill="1" applyBorder="1"/>
    <xf numFmtId="3" fontId="61" fillId="0" borderId="16" xfId="0" applyNumberFormat="1" applyFont="1" applyBorder="1"/>
    <xf numFmtId="3" fontId="61" fillId="0" borderId="17" xfId="0" applyNumberFormat="1" applyFont="1" applyBorder="1"/>
    <xf numFmtId="164" fontId="60" fillId="24" borderId="24" xfId="0" applyNumberFormat="1" applyFont="1" applyFill="1" applyBorder="1"/>
    <xf numFmtId="3" fontId="61" fillId="0" borderId="18" xfId="0" applyNumberFormat="1" applyFont="1" applyBorder="1"/>
    <xf numFmtId="3" fontId="61" fillId="0" borderId="19" xfId="0" applyNumberFormat="1" applyFont="1" applyBorder="1"/>
    <xf numFmtId="3" fontId="61" fillId="0" borderId="20" xfId="0" applyNumberFormat="1" applyFont="1" applyBorder="1"/>
    <xf numFmtId="0" fontId="58" fillId="22" borderId="18" xfId="0" applyFont="1" applyFill="1" applyBorder="1" applyAlignment="1">
      <alignment horizontal="center" vertical="center" wrapText="1"/>
    </xf>
    <xf numFmtId="0" fontId="58" fillId="22" borderId="16" xfId="0" applyFont="1" applyFill="1" applyBorder="1" applyAlignment="1">
      <alignment vertical="center" wrapText="1"/>
    </xf>
    <xf numFmtId="0" fontId="58" fillId="22" borderId="24" xfId="0" applyFont="1" applyFill="1" applyBorder="1" applyAlignment="1">
      <alignment horizontal="center" vertical="center" wrapText="1"/>
    </xf>
    <xf numFmtId="0" fontId="58" fillId="22" borderId="25" xfId="0" applyFont="1" applyFill="1" applyBorder="1" applyAlignment="1">
      <alignment vertical="center" wrapText="1"/>
    </xf>
    <xf numFmtId="0" fontId="58" fillId="22" borderId="21" xfId="0" applyFont="1" applyFill="1" applyBorder="1" applyAlignment="1">
      <alignment vertical="center" wrapText="1"/>
    </xf>
    <xf numFmtId="0" fontId="58" fillId="22" borderId="4" xfId="0" applyFont="1" applyFill="1" applyBorder="1" applyAlignment="1">
      <alignment horizontal="centerContinuous" vertical="center" wrapText="1"/>
    </xf>
    <xf numFmtId="0" fontId="58" fillId="22" borderId="5" xfId="0" applyFont="1" applyFill="1" applyBorder="1" applyAlignment="1">
      <alignment horizontal="centerContinuous" vertical="center" wrapText="1"/>
    </xf>
    <xf numFmtId="0" fontId="58" fillId="22" borderId="9" xfId="0" applyFont="1" applyFill="1" applyBorder="1" applyAlignment="1">
      <alignment horizontal="centerContinuous" vertical="center" wrapText="1"/>
    </xf>
    <xf numFmtId="0" fontId="58" fillId="22" borderId="18" xfId="0" applyFont="1" applyFill="1" applyBorder="1" applyAlignment="1">
      <alignment horizontal="centerContinuous" vertical="center" wrapText="1"/>
    </xf>
    <xf numFmtId="0" fontId="58" fillId="22" borderId="19" xfId="0" applyFont="1" applyFill="1" applyBorder="1" applyAlignment="1">
      <alignment horizontal="centerContinuous" vertical="center" wrapText="1"/>
    </xf>
    <xf numFmtId="0" fontId="58" fillId="22" borderId="20" xfId="0" applyFont="1" applyFill="1" applyBorder="1" applyAlignment="1">
      <alignment horizontal="centerContinuous" vertical="center" wrapText="1"/>
    </xf>
    <xf numFmtId="3" fontId="61" fillId="0" borderId="0" xfId="0" applyNumberFormat="1" applyFont="1" applyBorder="1"/>
    <xf numFmtId="3" fontId="61" fillId="0" borderId="13" xfId="0" applyNumberFormat="1" applyFont="1" applyBorder="1"/>
    <xf numFmtId="0" fontId="21" fillId="8" borderId="24" xfId="0" applyFont="1" applyFill="1" applyBorder="1" applyAlignment="1" applyProtection="1">
      <alignment horizontal="center" vertical="top" wrapText="1"/>
      <protection hidden="1"/>
    </xf>
    <xf numFmtId="164" fontId="0" fillId="0" borderId="0" xfId="8" applyNumberFormat="1" applyFont="1"/>
    <xf numFmtId="185" fontId="0" fillId="0" borderId="0" xfId="0" applyNumberFormat="1"/>
    <xf numFmtId="0" fontId="6" fillId="0" borderId="16" xfId="0" applyFont="1" applyFill="1" applyBorder="1"/>
    <xf numFmtId="0" fontId="6" fillId="0" borderId="17" xfId="0" applyFont="1" applyFill="1" applyBorder="1"/>
    <xf numFmtId="2" fontId="20" fillId="21" borderId="14" xfId="0" applyNumberFormat="1" applyFont="1" applyFill="1" applyBorder="1" applyAlignment="1">
      <alignment horizontal="center" vertical="center" wrapText="1"/>
    </xf>
    <xf numFmtId="0" fontId="20" fillId="21" borderId="15"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3" fillId="10" borderId="5" xfId="0" applyFont="1" applyFill="1" applyBorder="1" applyAlignment="1">
      <alignment horizontal="center" vertical="center" wrapText="1"/>
    </xf>
    <xf numFmtId="0" fontId="13" fillId="2" borderId="0" xfId="0" quotePrefix="1" applyFont="1" applyFill="1" applyAlignment="1">
      <alignment horizontal="left" vertical="top"/>
    </xf>
    <xf numFmtId="0" fontId="20" fillId="21" borderId="13" xfId="0" applyFont="1" applyFill="1" applyBorder="1" applyAlignment="1">
      <alignment horizontal="left" vertical="center" wrapText="1"/>
    </xf>
    <xf numFmtId="0" fontId="23" fillId="10" borderId="13" xfId="0" applyFont="1" applyFill="1" applyBorder="1" applyAlignment="1">
      <alignment horizontal="center" vertical="center" wrapText="1"/>
    </xf>
    <xf numFmtId="0" fontId="23" fillId="10" borderId="14" xfId="0" applyFont="1" applyFill="1" applyBorder="1" applyAlignment="1">
      <alignment horizontal="center" vertical="center" wrapText="1"/>
    </xf>
    <xf numFmtId="164" fontId="60" fillId="24" borderId="21" xfId="7" applyNumberFormat="1" applyFont="1" applyFill="1" applyBorder="1" applyAlignment="1">
      <alignment wrapText="1"/>
    </xf>
    <xf numFmtId="171" fontId="61" fillId="0" borderId="13" xfId="6" applyNumberFormat="1" applyFont="1" applyFill="1" applyBorder="1" applyAlignment="1">
      <alignment horizontal="center" wrapText="1"/>
    </xf>
    <xf numFmtId="171" fontId="60" fillId="23" borderId="15" xfId="6" applyNumberFormat="1" applyFont="1" applyFill="1" applyBorder="1" applyAlignment="1">
      <alignment horizontal="center" vertical="center" wrapText="1"/>
    </xf>
    <xf numFmtId="171" fontId="61" fillId="0" borderId="14" xfId="6" applyNumberFormat="1" applyFont="1" applyFill="1" applyBorder="1" applyAlignment="1">
      <alignment horizontal="center" wrapText="1"/>
    </xf>
    <xf numFmtId="164" fontId="20" fillId="25" borderId="21" xfId="0" applyNumberFormat="1" applyFont="1" applyFill="1" applyBorder="1"/>
    <xf numFmtId="164" fontId="60" fillId="24" borderId="21" xfId="0" applyNumberFormat="1" applyFont="1" applyFill="1" applyBorder="1"/>
    <xf numFmtId="164" fontId="61" fillId="0" borderId="14" xfId="0" applyNumberFormat="1" applyFont="1" applyBorder="1"/>
    <xf numFmtId="3" fontId="61" fillId="0" borderId="14" xfId="0" applyNumberFormat="1" applyFont="1" applyBorder="1"/>
    <xf numFmtId="3" fontId="61" fillId="0" borderId="15" xfId="0" applyNumberFormat="1" applyFont="1" applyBorder="1"/>
    <xf numFmtId="164" fontId="61" fillId="0" borderId="0" xfId="0" applyNumberFormat="1" applyFont="1" applyBorder="1"/>
    <xf numFmtId="0" fontId="6" fillId="0" borderId="0" xfId="0" applyFont="1" applyFill="1" applyBorder="1"/>
    <xf numFmtId="0" fontId="6" fillId="0" borderId="0" xfId="0" applyFont="1" applyFill="1" applyBorder="1" applyAlignment="1">
      <alignment horizontal="right"/>
    </xf>
    <xf numFmtId="164" fontId="61" fillId="0" borderId="19" xfId="0" applyNumberFormat="1" applyFont="1" applyBorder="1"/>
    <xf numFmtId="177" fontId="20" fillId="0" borderId="13" xfId="0" applyNumberFormat="1" applyFont="1" applyBorder="1"/>
    <xf numFmtId="177" fontId="20" fillId="0" borderId="16" xfId="0" applyNumberFormat="1" applyFont="1" applyBorder="1"/>
    <xf numFmtId="177" fontId="20" fillId="26" borderId="16" xfId="0" applyNumberFormat="1" applyFont="1" applyFill="1" applyBorder="1"/>
    <xf numFmtId="177" fontId="20" fillId="0" borderId="18" xfId="0" applyNumberFormat="1" applyFont="1" applyBorder="1"/>
    <xf numFmtId="164" fontId="60" fillId="24" borderId="15" xfId="0" applyNumberFormat="1" applyFont="1" applyFill="1" applyBorder="1"/>
    <xf numFmtId="164" fontId="60" fillId="24" borderId="17" xfId="0" applyNumberFormat="1" applyFont="1" applyFill="1" applyBorder="1"/>
    <xf numFmtId="164" fontId="60" fillId="27" borderId="17" xfId="0" applyNumberFormat="1" applyFont="1" applyFill="1" applyBorder="1"/>
    <xf numFmtId="164" fontId="63" fillId="0" borderId="14" xfId="0" applyNumberFormat="1" applyFont="1" applyBorder="1"/>
    <xf numFmtId="164" fontId="63" fillId="0" borderId="15" xfId="0" applyNumberFormat="1" applyFont="1" applyBorder="1"/>
    <xf numFmtId="164" fontId="16" fillId="0" borderId="16" xfId="0" applyNumberFormat="1" applyFont="1" applyBorder="1"/>
    <xf numFmtId="164" fontId="16" fillId="0" borderId="0" xfId="0" applyNumberFormat="1" applyFont="1" applyBorder="1"/>
    <xf numFmtId="164" fontId="16" fillId="0" borderId="17" xfId="0" applyNumberFormat="1" applyFont="1" applyBorder="1"/>
    <xf numFmtId="164" fontId="16" fillId="0" borderId="18" xfId="0" applyNumberFormat="1" applyFont="1" applyBorder="1"/>
    <xf numFmtId="164" fontId="16" fillId="0" borderId="19" xfId="0" applyNumberFormat="1" applyFont="1" applyBorder="1"/>
    <xf numFmtId="164" fontId="16" fillId="0" borderId="20" xfId="0" applyNumberFormat="1" applyFont="1" applyBorder="1"/>
    <xf numFmtId="0" fontId="12" fillId="0" borderId="17" xfId="0" applyFont="1" applyBorder="1"/>
    <xf numFmtId="0" fontId="58" fillId="23" borderId="15" xfId="0" applyFont="1" applyFill="1" applyBorder="1" applyAlignment="1">
      <alignment horizontal="center" vertical="center" wrapText="1"/>
    </xf>
    <xf numFmtId="164" fontId="63" fillId="0" borderId="13" xfId="0" applyNumberFormat="1" applyFont="1" applyBorder="1"/>
    <xf numFmtId="164" fontId="67" fillId="24" borderId="17" xfId="0" applyNumberFormat="1" applyFont="1" applyFill="1" applyBorder="1"/>
    <xf numFmtId="164" fontId="67" fillId="24" borderId="20" xfId="0" applyNumberFormat="1" applyFont="1" applyFill="1" applyBorder="1"/>
    <xf numFmtId="3" fontId="65" fillId="0" borderId="18" xfId="0" applyNumberFormat="1" applyFont="1" applyBorder="1"/>
    <xf numFmtId="3" fontId="65" fillId="0" borderId="16" xfId="0" applyNumberFormat="1" applyFont="1" applyBorder="1"/>
    <xf numFmtId="167" fontId="16" fillId="0" borderId="0" xfId="1" applyNumberFormat="1" applyFont="1"/>
    <xf numFmtId="183" fontId="12" fillId="0" borderId="18" xfId="6" applyNumberFormat="1" applyFont="1" applyBorder="1" applyAlignment="1">
      <alignment horizontal="right" wrapText="1"/>
    </xf>
    <xf numFmtId="0" fontId="18" fillId="0" borderId="0" xfId="0" applyFont="1"/>
    <xf numFmtId="164" fontId="68" fillId="0" borderId="24" xfId="0" applyNumberFormat="1" applyFont="1" applyBorder="1"/>
    <xf numFmtId="164" fontId="68" fillId="0" borderId="25" xfId="0" applyNumberFormat="1" applyFont="1" applyBorder="1"/>
    <xf numFmtId="0" fontId="44" fillId="0" borderId="0" xfId="0" applyFont="1" applyFill="1" applyAlignment="1">
      <alignment vertical="center"/>
    </xf>
    <xf numFmtId="0" fontId="71" fillId="18" borderId="25" xfId="0" applyFont="1" applyFill="1" applyBorder="1" applyAlignment="1">
      <alignment horizontal="center" vertical="center" wrapText="1"/>
    </xf>
    <xf numFmtId="0" fontId="23" fillId="22" borderId="24" xfId="0" applyFont="1" applyFill="1" applyBorder="1" applyAlignment="1">
      <alignment horizontal="center" vertical="center" wrapText="1"/>
    </xf>
    <xf numFmtId="0" fontId="21" fillId="18" borderId="16" xfId="0" applyFont="1" applyFill="1" applyBorder="1" applyAlignment="1">
      <alignment horizontal="center" vertical="center" wrapText="1"/>
    </xf>
    <xf numFmtId="0" fontId="21" fillId="18" borderId="0" xfId="0" applyFont="1" applyFill="1" applyBorder="1" applyAlignment="1">
      <alignment horizontal="center" vertical="center" wrapText="1"/>
    </xf>
    <xf numFmtId="0" fontId="23" fillId="18" borderId="4" xfId="0" applyFont="1" applyFill="1" applyBorder="1" applyAlignment="1">
      <alignment horizontal="centerContinuous" vertical="center"/>
    </xf>
    <xf numFmtId="0" fontId="58" fillId="22" borderId="11" xfId="0" applyFont="1" applyFill="1" applyBorder="1" applyAlignment="1">
      <alignment horizontal="centerContinuous" vertical="center" wrapText="1"/>
    </xf>
    <xf numFmtId="0" fontId="18" fillId="26" borderId="16" xfId="0" applyNumberFormat="1" applyFont="1" applyFill="1" applyBorder="1"/>
    <xf numFmtId="0" fontId="18" fillId="26" borderId="0" xfId="0" applyNumberFormat="1" applyFont="1" applyFill="1" applyBorder="1"/>
    <xf numFmtId="0" fontId="18" fillId="26" borderId="17" xfId="0" applyNumberFormat="1" applyFont="1" applyFill="1" applyBorder="1"/>
    <xf numFmtId="164" fontId="18" fillId="26" borderId="16" xfId="0" applyNumberFormat="1" applyFont="1" applyFill="1" applyBorder="1"/>
    <xf numFmtId="164" fontId="18" fillId="26" borderId="0" xfId="0" applyNumberFormat="1" applyFont="1" applyFill="1"/>
    <xf numFmtId="164" fontId="18" fillId="26" borderId="17" xfId="0" applyNumberFormat="1" applyFont="1" applyFill="1" applyBorder="1"/>
    <xf numFmtId="164" fontId="44" fillId="27" borderId="25" xfId="0" applyNumberFormat="1" applyFont="1" applyFill="1" applyBorder="1"/>
    <xf numFmtId="3" fontId="18" fillId="26" borderId="16" xfId="0" applyNumberFormat="1" applyFont="1" applyFill="1" applyBorder="1"/>
    <xf numFmtId="164" fontId="18" fillId="26" borderId="0" xfId="0" applyNumberFormat="1" applyFont="1" applyFill="1" applyBorder="1"/>
    <xf numFmtId="3" fontId="18" fillId="26" borderId="0" xfId="0" applyNumberFormat="1" applyFont="1" applyFill="1" applyBorder="1"/>
    <xf numFmtId="3" fontId="18" fillId="26" borderId="17" xfId="0" applyNumberFormat="1" applyFont="1" applyFill="1" applyBorder="1"/>
    <xf numFmtId="164" fontId="72" fillId="11" borderId="25" xfId="0" applyNumberFormat="1" applyFont="1" applyFill="1" applyBorder="1"/>
    <xf numFmtId="166" fontId="25" fillId="0" borderId="0" xfId="0" applyNumberFormat="1" applyFont="1"/>
    <xf numFmtId="0" fontId="20" fillId="21" borderId="18" xfId="0" applyFont="1" applyFill="1" applyBorder="1" applyAlignment="1">
      <alignment horizontal="center" vertical="center" wrapText="1"/>
    </xf>
    <xf numFmtId="2" fontId="20" fillId="21" borderId="19" xfId="0" applyNumberFormat="1" applyFont="1" applyFill="1" applyBorder="1" applyAlignment="1">
      <alignment horizontal="center" vertical="center" wrapText="1"/>
    </xf>
    <xf numFmtId="0" fontId="20" fillId="21" borderId="20" xfId="0" applyFont="1" applyFill="1" applyBorder="1" applyAlignment="1">
      <alignment horizontal="center" vertical="center" wrapText="1"/>
    </xf>
    <xf numFmtId="0" fontId="70" fillId="18" borderId="25" xfId="0" applyFont="1" applyFill="1" applyBorder="1" applyAlignment="1">
      <alignment horizontal="center" vertical="center" wrapText="1"/>
    </xf>
    <xf numFmtId="0" fontId="20" fillId="21" borderId="13" xfId="0" applyFont="1" applyFill="1" applyBorder="1" applyAlignment="1">
      <alignment vertical="center" wrapText="1"/>
    </xf>
    <xf numFmtId="2" fontId="20" fillId="21" borderId="14" xfId="0" applyNumberFormat="1" applyFont="1" applyFill="1" applyBorder="1" applyAlignment="1">
      <alignment vertical="center" wrapText="1"/>
    </xf>
    <xf numFmtId="0" fontId="20" fillId="21" borderId="15" xfId="0" applyFont="1" applyFill="1" applyBorder="1" applyAlignment="1">
      <alignment vertical="center" wrapText="1"/>
    </xf>
    <xf numFmtId="164" fontId="13" fillId="11" borderId="25" xfId="0" applyNumberFormat="1" applyFont="1" applyFill="1" applyBorder="1"/>
    <xf numFmtId="183" fontId="12" fillId="0" borderId="20" xfId="6" applyNumberFormat="1" applyFont="1" applyBorder="1" applyAlignment="1">
      <alignment horizontal="right" wrapText="1"/>
    </xf>
    <xf numFmtId="186" fontId="0" fillId="0" borderId="0" xfId="0" applyNumberFormat="1"/>
    <xf numFmtId="187" fontId="0" fillId="0" borderId="0" xfId="0" applyNumberFormat="1"/>
    <xf numFmtId="0" fontId="0" fillId="0" borderId="0" xfId="1" applyNumberFormat="1" applyFont="1"/>
    <xf numFmtId="164" fontId="11" fillId="20" borderId="18" xfId="5" applyNumberFormat="1" applyFont="1" applyFill="1" applyBorder="1" applyAlignment="1" applyProtection="1">
      <alignment horizontal="right" indent="2"/>
      <protection hidden="1"/>
    </xf>
    <xf numFmtId="164" fontId="6" fillId="0" borderId="36" xfId="5" applyNumberFormat="1" applyBorder="1" applyAlignment="1" applyProtection="1">
      <alignment horizontal="right" indent="2"/>
      <protection hidden="1"/>
    </xf>
    <xf numFmtId="164" fontId="73" fillId="0" borderId="44" xfId="5" applyNumberFormat="1" applyFont="1" applyBorder="1" applyAlignment="1" applyProtection="1">
      <alignment horizontal="right" indent="2"/>
      <protection hidden="1"/>
    </xf>
    <xf numFmtId="164" fontId="73" fillId="0" borderId="19" xfId="5" applyNumberFormat="1" applyFont="1" applyBorder="1" applyAlignment="1" applyProtection="1">
      <alignment horizontal="right" indent="2"/>
      <protection hidden="1"/>
    </xf>
    <xf numFmtId="164" fontId="11" fillId="20" borderId="11" xfId="5" applyNumberFormat="1" applyFont="1" applyFill="1" applyBorder="1" applyAlignment="1" applyProtection="1">
      <alignment horizontal="right" indent="2"/>
      <protection hidden="1"/>
    </xf>
    <xf numFmtId="164" fontId="6" fillId="0" borderId="30" xfId="5" applyNumberFormat="1" applyBorder="1" applyAlignment="1" applyProtection="1">
      <alignment horizontal="right" indent="2"/>
      <protection hidden="1"/>
    </xf>
    <xf numFmtId="164" fontId="46" fillId="0" borderId="41" xfId="5" applyNumberFormat="1" applyFont="1" applyBorder="1" applyAlignment="1" applyProtection="1">
      <alignment horizontal="right" indent="2"/>
      <protection hidden="1"/>
    </xf>
    <xf numFmtId="164" fontId="46" fillId="0" borderId="24" xfId="5" applyNumberFormat="1" applyFont="1" applyBorder="1" applyAlignment="1" applyProtection="1">
      <alignment horizontal="right" indent="2"/>
      <protection hidden="1"/>
    </xf>
    <xf numFmtId="0" fontId="52" fillId="0" borderId="0" xfId="0" applyFont="1" applyAlignment="1">
      <alignment horizontal="left" vertical="top"/>
    </xf>
    <xf numFmtId="0" fontId="11" fillId="9" borderId="16" xfId="0" applyFont="1" applyFill="1" applyBorder="1" applyAlignment="1">
      <alignment horizontal="center" vertical="center" wrapText="1"/>
    </xf>
    <xf numFmtId="0" fontId="11" fillId="9" borderId="17" xfId="0" applyFont="1" applyFill="1" applyBorder="1" applyAlignment="1">
      <alignment horizontal="center" vertical="center" wrapText="1"/>
    </xf>
    <xf numFmtId="2" fontId="11" fillId="9" borderId="0" xfId="0" applyNumberFormat="1" applyFont="1" applyFill="1" applyBorder="1" applyAlignment="1">
      <alignment horizontal="center" vertical="center" wrapText="1"/>
    </xf>
    <xf numFmtId="0" fontId="23" fillId="18" borderId="25" xfId="0" quotePrefix="1" applyFont="1" applyFill="1" applyBorder="1" applyAlignment="1">
      <alignment horizontal="center" vertical="center" wrapText="1"/>
    </xf>
    <xf numFmtId="0" fontId="23" fillId="8" borderId="21" xfId="0" applyFont="1" applyFill="1" applyBorder="1" applyAlignment="1">
      <alignment horizontal="center" wrapText="1"/>
    </xf>
    <xf numFmtId="188" fontId="30" fillId="16" borderId="31" xfId="4" applyNumberFormat="1" applyFont="1" applyFill="1" applyBorder="1" applyAlignment="1">
      <alignment horizontal="right" vertical="center" indent="4"/>
    </xf>
    <xf numFmtId="0" fontId="20" fillId="7" borderId="11" xfId="4" applyNumberFormat="1" applyFont="1" applyFill="1" applyBorder="1" applyAlignment="1">
      <alignment horizontal="center" vertical="center" wrapText="1"/>
    </xf>
    <xf numFmtId="188" fontId="6" fillId="0" borderId="11" xfId="0" applyNumberFormat="1" applyFont="1" applyBorder="1"/>
    <xf numFmtId="188" fontId="6" fillId="0" borderId="21" xfId="0" applyNumberFormat="1" applyFont="1" applyBorder="1"/>
    <xf numFmtId="188" fontId="6" fillId="0" borderId="25" xfId="0" applyNumberFormat="1" applyFont="1" applyBorder="1"/>
    <xf numFmtId="178" fontId="6" fillId="0" borderId="11" xfId="0" applyNumberFormat="1" applyFont="1" applyBorder="1"/>
    <xf numFmtId="178" fontId="6" fillId="0" borderId="21" xfId="0" applyNumberFormat="1" applyFont="1" applyBorder="1"/>
    <xf numFmtId="178" fontId="6" fillId="0" borderId="25" xfId="0" applyNumberFormat="1" applyFont="1" applyBorder="1"/>
    <xf numFmtId="188" fontId="6" fillId="0" borderId="25" xfId="0" quotePrefix="1" applyNumberFormat="1" applyFont="1" applyBorder="1"/>
    <xf numFmtId="188" fontId="6" fillId="0" borderId="11" xfId="0" applyNumberFormat="1" applyFont="1" applyBorder="1" applyAlignment="1"/>
    <xf numFmtId="0" fontId="16" fillId="16" borderId="11" xfId="4" applyNumberFormat="1" applyFont="1" applyFill="1" applyBorder="1" applyAlignment="1">
      <alignment horizontal="center" vertical="center"/>
    </xf>
    <xf numFmtId="188" fontId="16" fillId="16" borderId="30" xfId="4" applyNumberFormat="1" applyFont="1" applyFill="1" applyBorder="1" applyAlignment="1">
      <alignment horizontal="right" vertical="center" indent="4"/>
    </xf>
    <xf numFmtId="188" fontId="16" fillId="16" borderId="31" xfId="4" applyNumberFormat="1" applyFont="1" applyFill="1" applyBorder="1" applyAlignment="1">
      <alignment horizontal="right" vertical="center" indent="4"/>
    </xf>
    <xf numFmtId="188" fontId="16" fillId="16" borderId="11" xfId="4" applyNumberFormat="1" applyFont="1" applyFill="1" applyBorder="1" applyAlignment="1">
      <alignment horizontal="center" vertical="center"/>
    </xf>
    <xf numFmtId="0" fontId="20" fillId="14" borderId="27" xfId="4" applyNumberFormat="1" applyFont="1" applyFill="1" applyBorder="1" applyAlignment="1">
      <alignment horizontal="center" vertical="center"/>
    </xf>
    <xf numFmtId="188" fontId="20" fillId="16" borderId="31" xfId="4" applyNumberFormat="1" applyFont="1" applyFill="1" applyBorder="1" applyAlignment="1">
      <alignment horizontal="right" vertical="center" indent="4"/>
    </xf>
    <xf numFmtId="188" fontId="20" fillId="16" borderId="21" xfId="4" applyNumberFormat="1" applyFont="1" applyFill="1" applyBorder="1" applyAlignment="1">
      <alignment horizontal="right" vertical="center" indent="4"/>
    </xf>
    <xf numFmtId="188" fontId="20" fillId="16" borderId="11" xfId="4" applyNumberFormat="1" applyFont="1" applyFill="1" applyBorder="1" applyAlignment="1">
      <alignment horizontal="right" vertical="center" indent="4"/>
    </xf>
    <xf numFmtId="188" fontId="20" fillId="16" borderId="11" xfId="4" applyNumberFormat="1" applyFont="1" applyFill="1" applyBorder="1" applyAlignment="1">
      <alignment horizontal="center" vertical="center"/>
    </xf>
    <xf numFmtId="178" fontId="20" fillId="16" borderId="11" xfId="4" applyNumberFormat="1" applyFont="1" applyFill="1" applyBorder="1" applyAlignment="1">
      <alignment horizontal="center" vertical="center"/>
    </xf>
    <xf numFmtId="6" fontId="20" fillId="16" borderId="11" xfId="4" applyNumberFormat="1" applyFont="1" applyFill="1" applyBorder="1" applyAlignment="1">
      <alignment horizontal="center" vertical="center"/>
    </xf>
    <xf numFmtId="0" fontId="21" fillId="15" borderId="25" xfId="0" applyFont="1" applyFill="1" applyBorder="1" applyAlignment="1">
      <alignment horizontal="centerContinuous" vertical="center" wrapText="1"/>
    </xf>
    <xf numFmtId="0" fontId="75" fillId="0" borderId="0" xfId="3" applyFont="1" applyAlignment="1">
      <alignment horizontal="center" vertical="center"/>
    </xf>
    <xf numFmtId="170" fontId="76" fillId="0" borderId="0" xfId="0" applyNumberFormat="1" applyFont="1"/>
    <xf numFmtId="189" fontId="16" fillId="0" borderId="0" xfId="4" applyNumberFormat="1" applyFont="1"/>
    <xf numFmtId="0" fontId="12" fillId="2" borderId="0" xfId="0" applyFont="1" applyFill="1" applyAlignment="1">
      <alignment vertical="top" wrapText="1"/>
    </xf>
    <xf numFmtId="0" fontId="74" fillId="0" borderId="0" xfId="4" applyFont="1" applyFill="1"/>
    <xf numFmtId="0" fontId="77" fillId="2" borderId="0" xfId="3" applyFont="1" applyFill="1"/>
    <xf numFmtId="164" fontId="78" fillId="6" borderId="7" xfId="4" applyNumberFormat="1" applyFont="1" applyFill="1" applyBorder="1" applyAlignment="1">
      <alignment horizontal="center" vertical="center"/>
    </xf>
    <xf numFmtId="188" fontId="79" fillId="5" borderId="11" xfId="4" applyNumberFormat="1" applyFont="1" applyFill="1" applyBorder="1" applyAlignment="1">
      <alignment horizontal="center" vertical="center"/>
    </xf>
    <xf numFmtId="164" fontId="79" fillId="5" borderId="10" xfId="4" applyNumberFormat="1" applyFont="1" applyFill="1" applyBorder="1" applyAlignment="1">
      <alignment horizontal="center" vertical="center"/>
    </xf>
    <xf numFmtId="164" fontId="79" fillId="4" borderId="7" xfId="4" applyNumberFormat="1" applyFont="1" applyFill="1" applyBorder="1" applyAlignment="1">
      <alignment horizontal="center" vertical="center"/>
    </xf>
    <xf numFmtId="0" fontId="80" fillId="0" borderId="0" xfId="0" applyFont="1"/>
  </cellXfs>
  <cellStyles count="12">
    <cellStyle name="%" xfId="11" xr:uid="{7C18BFE9-9CDD-4433-BBE4-7BACE368979C}"/>
    <cellStyle name="Comma" xfId="8" builtinId="3"/>
    <cellStyle name="Comma 13" xfId="6" xr:uid="{19C39E09-2E81-4507-B805-94BE48B1AC91}"/>
    <cellStyle name="Currency 5 2" xfId="7" xr:uid="{906E4D61-473F-4074-B1B5-9008403143A2}"/>
    <cellStyle name="Hyperlink" xfId="2" builtinId="8"/>
    <cellStyle name="Hyperlink 8" xfId="3" xr:uid="{8943214A-96FD-4699-941A-34C951EAF43F}"/>
    <cellStyle name="Normal" xfId="0" builtinId="0"/>
    <cellStyle name="Normal 11 2 10" xfId="5" xr:uid="{39691490-F707-48BD-9070-28B55A1F00B8}"/>
    <cellStyle name="Normal 2" xfId="9" xr:uid="{BEC41FE4-F1AD-4B1F-AF23-23A1E49D8279}"/>
    <cellStyle name="Normal 4" xfId="10" xr:uid="{2E364135-EEFC-4183-B17E-F3F349223D0B}"/>
    <cellStyle name="Normal 58 2" xfId="4" xr:uid="{B84AA9BB-9931-43FB-9303-E588AB0A6E94}"/>
    <cellStyle name="Percent" xfId="1" builtinId="5"/>
  </cellStyles>
  <dxfs count="0"/>
  <tableStyles count="0" defaultTableStyle="TableStyleMedium2" defaultPivotStyle="PivotStyleLight16"/>
  <colors>
    <mruColors>
      <color rgb="FF4472C4"/>
      <color rgb="FF5B9BD5"/>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'Individual LA'!$N$10</c:f>
          <c:strCache>
            <c:ptCount val="1"/>
            <c:pt idx="0">
              <c:v>Average LA formula split</c:v>
            </c:pt>
          </c:strCache>
        </c:strRef>
      </c:tx>
      <c:layout>
        <c:manualLayout>
          <c:xMode val="edge"/>
          <c:yMode val="edge"/>
          <c:x val="0.32045999330633756"/>
          <c:y val="2.0072524507182644E-2"/>
        </c:manualLayout>
      </c:layout>
      <c:overlay val="0"/>
      <c:spPr>
        <a:noFill/>
        <a:ln>
          <a:noFill/>
        </a:ln>
        <a:effectLst/>
      </c:spPr>
      <c:txPr>
        <a:bodyPr rot="0" spcFirstLastPara="1" vertOverflow="ellipsis" vert="horz" wrap="square" anchor="ctr" anchorCtr="1"/>
        <a:lstStyle/>
        <a:p>
          <a:pPr algn="ct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E1A-4258-9DE3-E0147AC12AF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E1A-4258-9DE3-E0147AC12AFE}"/>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E1A-4258-9DE3-E0147AC12AFE}"/>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E1A-4258-9DE3-E0147AC12AFE}"/>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E1A-4258-9DE3-E0147AC12AFE}"/>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E1A-4258-9DE3-E0147AC12AF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E1A-4258-9DE3-E0147AC12AF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E1A-4258-9DE3-E0147AC12AF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8E1A-4258-9DE3-E0147AC12AFE}"/>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8E1A-4258-9DE3-E0147AC12AFE}"/>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8E1A-4258-9DE3-E0147AC12AFE}"/>
              </c:ext>
            </c:extLst>
          </c:dPt>
          <c:dLbls>
            <c:delete val="1"/>
          </c:dLbls>
          <c:cat>
            <c:strRef>
              <c:f>'Individual LA'!$O$11:$O$21</c:f>
              <c:strCache>
                <c:ptCount val="11"/>
                <c:pt idx="0">
                  <c:v>(A) Basic entitlement factor (8%)</c:v>
                </c:pt>
                <c:pt idx="1">
                  <c:v>(B) Historic spend factor (32%)</c:v>
                </c:pt>
                <c:pt idx="2">
                  <c:v>(C) Population factor (28%)</c:v>
                </c:pt>
                <c:pt idx="3">
                  <c:v>(D) FSM factor (6%)</c:v>
                </c:pt>
                <c:pt idx="4">
                  <c:v>(E) IDACI factor (6%)</c:v>
                </c:pt>
                <c:pt idx="5">
                  <c:v>(F) Bad health factor (4%)</c:v>
                </c:pt>
                <c:pt idx="6">
                  <c:v>(G) Disability factor (4%)</c:v>
                </c:pt>
                <c:pt idx="7">
                  <c:v>(H) KS2 low attainment factor (4%)</c:v>
                </c:pt>
                <c:pt idx="8">
                  <c:v>(I) KS4 low attainment factor (4%)</c:v>
                </c:pt>
                <c:pt idx="9">
                  <c:v>(J) Funding floor factor (2%)</c:v>
                </c:pt>
                <c:pt idx="10">
                  <c:v>(K) AP Factor (1%)</c:v>
                </c:pt>
              </c:strCache>
            </c:strRef>
          </c:cat>
          <c:val>
            <c:numRef>
              <c:f>'Individual LA'!$P$11:$P$21</c:f>
              <c:numCache>
                <c:formatCode>0.0%</c:formatCode>
                <c:ptCount val="11"/>
                <c:pt idx="0">
                  <c:v>8.225624205745255E-2</c:v>
                </c:pt>
                <c:pt idx="1">
                  <c:v>0.31939984268132959</c:v>
                </c:pt>
                <c:pt idx="2">
                  <c:v>0.28058230984074939</c:v>
                </c:pt>
                <c:pt idx="3">
                  <c:v>5.6116461968149886E-2</c:v>
                </c:pt>
                <c:pt idx="4">
                  <c:v>5.6116461968149879E-2</c:v>
                </c:pt>
                <c:pt idx="5">
                  <c:v>4.2087346476112411E-2</c:v>
                </c:pt>
                <c:pt idx="6">
                  <c:v>4.2087346476112411E-2</c:v>
                </c:pt>
                <c:pt idx="7">
                  <c:v>4.2087346476112411E-2</c:v>
                </c:pt>
                <c:pt idx="8">
                  <c:v>4.2087346476112411E-2</c:v>
                </c:pt>
                <c:pt idx="9">
                  <c:v>2.2761293317782972E-2</c:v>
                </c:pt>
                <c:pt idx="10">
                  <c:v>1.4418002261936442E-2</c:v>
                </c:pt>
              </c:numCache>
            </c:numRef>
          </c:val>
          <c:extLst>
            <c:ext xmlns:c16="http://schemas.microsoft.com/office/drawing/2014/chart" uri="{C3380CC4-5D6E-409C-BE32-E72D297353CC}">
              <c16:uniqueId val="{00000016-8E1A-4258-9DE3-E0147AC12AF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529348457988896"/>
          <c:y val="0.13434363516226722"/>
          <c:w val="0.37814825969545274"/>
          <c:h val="0.83249405827278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rgbClr val="D4CEDE"/>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'Individual LA'!$K$9</c:f>
          <c:strCache>
            <c:ptCount val="1"/>
            <c:pt idx="0">
              <c:v>Formula split for Barking and Dagenham</c:v>
            </c:pt>
          </c:strCache>
        </c:strRef>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F7B-4959-9804-0F2A93033F9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F7B-4959-9804-0F2A93033F9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F7B-4959-9804-0F2A93033F95}"/>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2F7B-4959-9804-0F2A93033F95}"/>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2F7B-4959-9804-0F2A93033F95}"/>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2F7B-4959-9804-0F2A93033F9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2F7B-4959-9804-0F2A93033F95}"/>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2F7B-4959-9804-0F2A93033F95}"/>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2F7B-4959-9804-0F2A93033F95}"/>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2F7B-4959-9804-0F2A93033F95}"/>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2F7B-4959-9804-0F2A93033F95}"/>
              </c:ext>
            </c:extLst>
          </c:dPt>
          <c:dLbls>
            <c:delete val="1"/>
          </c:dLbls>
          <c:cat>
            <c:strRef>
              <c:f>'Individual LA'!$C$9:$C$19</c:f>
              <c:strCache>
                <c:ptCount val="11"/>
                <c:pt idx="0">
                  <c:v>(A) Basic entitlement factor (6%)</c:v>
                </c:pt>
                <c:pt idx="1">
                  <c:v>(B) Historic spend factor (31%)</c:v>
                </c:pt>
                <c:pt idx="2">
                  <c:v>(C) Population factor (28%)</c:v>
                </c:pt>
                <c:pt idx="3">
                  <c:v>(D) FSM factor (7%)</c:v>
                </c:pt>
                <c:pt idx="4">
                  <c:v>(E) IDACI factor (10%)</c:v>
                </c:pt>
                <c:pt idx="5">
                  <c:v>(F) Bad health factor (5%)</c:v>
                </c:pt>
                <c:pt idx="6">
                  <c:v>(G) Disability factor (4%)</c:v>
                </c:pt>
                <c:pt idx="7">
                  <c:v>(H) KS2 low attainment factor (5%)</c:v>
                </c:pt>
                <c:pt idx="8">
                  <c:v>(I) KS4 low attainment factor (3%)</c:v>
                </c:pt>
                <c:pt idx="9">
                  <c:v>(J) Funding floor factor (0%)</c:v>
                </c:pt>
                <c:pt idx="10">
                  <c:v>(K) AP funding factor (0%)</c:v>
                </c:pt>
              </c:strCache>
            </c:strRef>
          </c:cat>
          <c:val>
            <c:numRef>
              <c:f>'Individual LA'!$F$9:$F$19</c:f>
              <c:numCache>
                <c:formatCode>"£"#,##0_);[Red]\-\("£"#,##0\)</c:formatCode>
                <c:ptCount val="11"/>
                <c:pt idx="0">
                  <c:v>2762602.0330689433</c:v>
                </c:pt>
                <c:pt idx="1">
                  <c:v>14791426.287369061</c:v>
                </c:pt>
                <c:pt idx="2">
                  <c:v>13662217.413440797</c:v>
                </c:pt>
                <c:pt idx="3">
                  <c:v>3455339.0197263374</c:v>
                </c:pt>
                <c:pt idx="4">
                  <c:v>4807257.7181637147</c:v>
                </c:pt>
                <c:pt idx="5">
                  <c:v>2585261.9874227778</c:v>
                </c:pt>
                <c:pt idx="6">
                  <c:v>1833175.9415153079</c:v>
                </c:pt>
                <c:pt idx="7">
                  <c:v>2520541.9653595081</c:v>
                </c:pt>
                <c:pt idx="8">
                  <c:v>1450248.4547420698</c:v>
                </c:pt>
                <c:pt idx="9">
                  <c:v>0</c:v>
                </c:pt>
                <c:pt idx="10">
                  <c:v>148382.28</c:v>
                </c:pt>
              </c:numCache>
            </c:numRef>
          </c:val>
          <c:extLst>
            <c:ext xmlns:c16="http://schemas.microsoft.com/office/drawing/2014/chart" uri="{C3380CC4-5D6E-409C-BE32-E72D297353CC}">
              <c16:uniqueId val="{00000016-2F7B-4959-9804-0F2A93033F9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529348457988896"/>
          <c:y val="0.13434363516226722"/>
          <c:w val="0.37814825969545274"/>
          <c:h val="0.83249405827278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rgbClr val="D4CEDE"/>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68277</xdr:colOff>
      <xdr:row>0</xdr:row>
      <xdr:rowOff>169303</xdr:rowOff>
    </xdr:from>
    <xdr:ext cx="2503177" cy="1401179"/>
    <xdr:pic>
      <xdr:nvPicPr>
        <xdr:cNvPr id="2" name="Picture 1" descr="DfE logo">
          <a:extLst>
            <a:ext uri="{FF2B5EF4-FFF2-40B4-BE49-F238E27FC236}">
              <a16:creationId xmlns:a16="http://schemas.microsoft.com/office/drawing/2014/main" id="{960879D8-9FE7-4696-8CD6-561094CDA421}"/>
            </a:ext>
          </a:extLst>
        </xdr:cNvPr>
        <xdr:cNvPicPr>
          <a:picLocks noChangeAspect="1"/>
        </xdr:cNvPicPr>
      </xdr:nvPicPr>
      <xdr:blipFill>
        <a:blip xmlns:r="http://schemas.openxmlformats.org/officeDocument/2006/relationships" r:embed="rId1"/>
        <a:stretch>
          <a:fillRect/>
        </a:stretch>
      </xdr:blipFill>
      <xdr:spPr>
        <a:xfrm>
          <a:off x="68277" y="169303"/>
          <a:ext cx="2503177" cy="140117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12</xdr:col>
      <xdr:colOff>1180057</xdr:colOff>
      <xdr:row>7</xdr:row>
      <xdr:rowOff>150956</xdr:rowOff>
    </xdr:from>
    <xdr:to>
      <xdr:col>19</xdr:col>
      <xdr:colOff>275560</xdr:colOff>
      <xdr:row>22</xdr:row>
      <xdr:rowOff>513426</xdr:rowOff>
    </xdr:to>
    <xdr:graphicFrame macro="">
      <xdr:nvGraphicFramePr>
        <xdr:cNvPr id="4" name="Chart 1" descr="Average LA formula">
          <a:extLst>
            <a:ext uri="{FF2B5EF4-FFF2-40B4-BE49-F238E27FC236}">
              <a16:creationId xmlns:a16="http://schemas.microsoft.com/office/drawing/2014/main" id="{5B313556-9171-408D-801B-725D45629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210830</xdr:colOff>
      <xdr:row>7</xdr:row>
      <xdr:rowOff>150956</xdr:rowOff>
    </xdr:from>
    <xdr:to>
      <xdr:col>12</xdr:col>
      <xdr:colOff>980993</xdr:colOff>
      <xdr:row>22</xdr:row>
      <xdr:rowOff>494378</xdr:rowOff>
    </xdr:to>
    <xdr:graphicFrame macro="">
      <xdr:nvGraphicFramePr>
        <xdr:cNvPr id="23" name="Chart 2" descr="Formula split for Barking and Dagenham">
          <a:extLst>
            <a:ext uri="{FF2B5EF4-FFF2-40B4-BE49-F238E27FC236}">
              <a16:creationId xmlns:a16="http://schemas.microsoft.com/office/drawing/2014/main" id="{037A0ED4-B168-4FBF-A986-A8570C397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contact-df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15E4E-9168-4699-AB8B-6C5D6355FC24}">
  <sheetPr codeName="Sheet13">
    <tabColor rgb="FF0070C0"/>
  </sheetPr>
  <dimension ref="A1:H150"/>
  <sheetViews>
    <sheetView workbookViewId="0"/>
  </sheetViews>
  <sheetFormatPr defaultRowHeight="14.25" x14ac:dyDescent="0.45"/>
  <sheetData>
    <row r="1" spans="1:8" x14ac:dyDescent="0.45">
      <c r="A1" t="s">
        <v>159</v>
      </c>
      <c r="C1" t="s">
        <v>462</v>
      </c>
      <c r="G1" s="151">
        <f>MATCH('Individual LA'!F7,'2022-23 StepbyStep Allocations'!C:C,0)</f>
        <v>78</v>
      </c>
      <c r="H1" t="s">
        <v>462</v>
      </c>
    </row>
    <row r="2" spans="1:8" x14ac:dyDescent="0.45">
      <c r="A2" t="s">
        <v>160</v>
      </c>
    </row>
    <row r="3" spans="1:8" x14ac:dyDescent="0.45">
      <c r="A3" t="s">
        <v>227</v>
      </c>
    </row>
    <row r="4" spans="1:8" x14ac:dyDescent="0.45">
      <c r="A4" t="s">
        <v>199</v>
      </c>
    </row>
    <row r="5" spans="1:8" x14ac:dyDescent="0.45">
      <c r="A5" t="s">
        <v>520</v>
      </c>
    </row>
    <row r="6" spans="1:8" x14ac:dyDescent="0.45">
      <c r="A6" t="s">
        <v>161</v>
      </c>
    </row>
    <row r="7" spans="1:8" x14ac:dyDescent="0.45">
      <c r="A7" t="s">
        <v>213</v>
      </c>
    </row>
    <row r="8" spans="1:8" x14ac:dyDescent="0.45">
      <c r="A8" t="s">
        <v>136</v>
      </c>
    </row>
    <row r="9" spans="1:8" x14ac:dyDescent="0.45">
      <c r="A9" t="s">
        <v>137</v>
      </c>
    </row>
    <row r="10" spans="1:8" x14ac:dyDescent="0.45">
      <c r="A10" t="s">
        <v>138</v>
      </c>
    </row>
    <row r="11" spans="1:8" x14ac:dyDescent="0.45">
      <c r="A11" t="s">
        <v>317</v>
      </c>
    </row>
    <row r="12" spans="1:8" x14ac:dyDescent="0.45">
      <c r="A12" t="s">
        <v>179</v>
      </c>
    </row>
    <row r="13" spans="1:8" x14ac:dyDescent="0.45">
      <c r="A13" t="s">
        <v>228</v>
      </c>
    </row>
    <row r="14" spans="1:8" x14ac:dyDescent="0.45">
      <c r="A14" t="s">
        <v>162</v>
      </c>
    </row>
    <row r="15" spans="1:8" x14ac:dyDescent="0.45">
      <c r="A15" t="s">
        <v>180</v>
      </c>
    </row>
    <row r="16" spans="1:8" x14ac:dyDescent="0.45">
      <c r="A16" t="s">
        <v>200</v>
      </c>
    </row>
    <row r="17" spans="1:1" x14ac:dyDescent="0.45">
      <c r="A17" t="s">
        <v>163</v>
      </c>
    </row>
    <row r="18" spans="1:1" x14ac:dyDescent="0.45">
      <c r="A18" t="s">
        <v>181</v>
      </c>
    </row>
    <row r="19" spans="1:1" x14ac:dyDescent="0.45">
      <c r="A19" t="s">
        <v>139</v>
      </c>
    </row>
    <row r="20" spans="1:1" x14ac:dyDescent="0.45">
      <c r="A20" t="s">
        <v>229</v>
      </c>
    </row>
    <row r="21" spans="1:1" x14ac:dyDescent="0.45">
      <c r="A21" t="s">
        <v>99</v>
      </c>
    </row>
    <row r="22" spans="1:1" x14ac:dyDescent="0.45">
      <c r="A22" t="s">
        <v>110</v>
      </c>
    </row>
    <row r="23" spans="1:1" x14ac:dyDescent="0.45">
      <c r="A23" t="s">
        <v>100</v>
      </c>
    </row>
    <row r="24" spans="1:1" x14ac:dyDescent="0.45">
      <c r="A24" t="s">
        <v>140</v>
      </c>
    </row>
    <row r="25" spans="1:1" x14ac:dyDescent="0.45">
      <c r="A25" t="s">
        <v>141</v>
      </c>
    </row>
    <row r="26" spans="1:1" x14ac:dyDescent="0.45">
      <c r="A26" t="s">
        <v>201</v>
      </c>
    </row>
    <row r="27" spans="1:1" x14ac:dyDescent="0.45">
      <c r="A27" t="s">
        <v>521</v>
      </c>
    </row>
    <row r="28" spans="1:1" x14ac:dyDescent="0.45">
      <c r="A28" t="s">
        <v>214</v>
      </c>
    </row>
    <row r="29" spans="1:1" x14ac:dyDescent="0.45">
      <c r="A29" t="s">
        <v>164</v>
      </c>
    </row>
    <row r="30" spans="1:1" x14ac:dyDescent="0.45">
      <c r="A30" t="s">
        <v>142</v>
      </c>
    </row>
    <row r="31" spans="1:1" x14ac:dyDescent="0.45">
      <c r="A31" t="s">
        <v>124</v>
      </c>
    </row>
    <row r="32" spans="1:1" x14ac:dyDescent="0.45">
      <c r="A32" t="s">
        <v>89</v>
      </c>
    </row>
    <row r="33" spans="1:1" x14ac:dyDescent="0.45">
      <c r="A33" t="s">
        <v>90</v>
      </c>
    </row>
    <row r="34" spans="1:1" x14ac:dyDescent="0.45">
      <c r="A34" t="s">
        <v>202</v>
      </c>
    </row>
    <row r="35" spans="1:1" x14ac:dyDescent="0.45">
      <c r="A35" t="s">
        <v>230</v>
      </c>
    </row>
    <row r="36" spans="1:1" x14ac:dyDescent="0.45">
      <c r="A36" t="s">
        <v>203</v>
      </c>
    </row>
    <row r="37" spans="1:1" x14ac:dyDescent="0.45">
      <c r="A37" t="s">
        <v>215</v>
      </c>
    </row>
    <row r="38" spans="1:1" x14ac:dyDescent="0.45">
      <c r="A38" t="s">
        <v>165</v>
      </c>
    </row>
    <row r="39" spans="1:1" x14ac:dyDescent="0.45">
      <c r="A39" t="s">
        <v>231</v>
      </c>
    </row>
    <row r="40" spans="1:1" x14ac:dyDescent="0.45">
      <c r="A40" t="s">
        <v>182</v>
      </c>
    </row>
    <row r="41" spans="1:1" x14ac:dyDescent="0.45">
      <c r="A41" t="s">
        <v>166</v>
      </c>
    </row>
    <row r="42" spans="1:1" x14ac:dyDescent="0.45">
      <c r="A42" t="s">
        <v>101</v>
      </c>
    </row>
    <row r="43" spans="1:1" x14ac:dyDescent="0.45">
      <c r="A43" t="s">
        <v>125</v>
      </c>
    </row>
    <row r="44" spans="1:1" x14ac:dyDescent="0.45">
      <c r="A44" t="s">
        <v>204</v>
      </c>
    </row>
    <row r="45" spans="1:1" x14ac:dyDescent="0.45">
      <c r="A45" t="s">
        <v>167</v>
      </c>
    </row>
    <row r="46" spans="1:1" x14ac:dyDescent="0.45">
      <c r="A46" t="s">
        <v>111</v>
      </c>
    </row>
    <row r="47" spans="1:1" x14ac:dyDescent="0.45">
      <c r="A47" t="s">
        <v>143</v>
      </c>
    </row>
    <row r="48" spans="1:1" x14ac:dyDescent="0.45">
      <c r="A48" t="s">
        <v>112</v>
      </c>
    </row>
    <row r="49" spans="1:1" x14ac:dyDescent="0.45">
      <c r="A49" t="s">
        <v>183</v>
      </c>
    </row>
    <row r="50" spans="1:1" x14ac:dyDescent="0.45">
      <c r="A50" t="s">
        <v>113</v>
      </c>
    </row>
    <row r="51" spans="1:1" x14ac:dyDescent="0.45">
      <c r="A51" t="s">
        <v>168</v>
      </c>
    </row>
    <row r="52" spans="1:1" x14ac:dyDescent="0.45">
      <c r="A52" t="s">
        <v>126</v>
      </c>
    </row>
    <row r="53" spans="1:1" x14ac:dyDescent="0.45">
      <c r="A53" t="s">
        <v>169</v>
      </c>
    </row>
    <row r="54" spans="1:1" x14ac:dyDescent="0.45">
      <c r="A54" t="s">
        <v>523</v>
      </c>
    </row>
    <row r="55" spans="1:1" x14ac:dyDescent="0.45">
      <c r="A55" t="s">
        <v>102</v>
      </c>
    </row>
    <row r="56" spans="1:1" x14ac:dyDescent="0.45">
      <c r="A56" t="s">
        <v>170</v>
      </c>
    </row>
    <row r="57" spans="1:1" x14ac:dyDescent="0.45">
      <c r="A57" t="s">
        <v>171</v>
      </c>
    </row>
    <row r="58" spans="1:1" x14ac:dyDescent="0.45">
      <c r="A58" t="s">
        <v>184</v>
      </c>
    </row>
    <row r="59" spans="1:1" x14ac:dyDescent="0.45">
      <c r="A59" t="s">
        <v>114</v>
      </c>
    </row>
    <row r="60" spans="1:1" x14ac:dyDescent="0.45">
      <c r="A60" t="s">
        <v>115</v>
      </c>
    </row>
    <row r="61" spans="1:1" x14ac:dyDescent="0.45">
      <c r="A61" t="s">
        <v>185</v>
      </c>
    </row>
    <row r="62" spans="1:1" x14ac:dyDescent="0.45">
      <c r="A62" t="s">
        <v>232</v>
      </c>
    </row>
    <row r="63" spans="1:1" x14ac:dyDescent="0.45">
      <c r="A63" t="s">
        <v>172</v>
      </c>
    </row>
    <row r="64" spans="1:1" x14ac:dyDescent="0.45">
      <c r="A64" t="s">
        <v>233</v>
      </c>
    </row>
    <row r="65" spans="1:1" x14ac:dyDescent="0.45">
      <c r="A65" t="s">
        <v>144</v>
      </c>
    </row>
    <row r="66" spans="1:1" x14ac:dyDescent="0.45">
      <c r="A66" t="s">
        <v>116</v>
      </c>
    </row>
    <row r="67" spans="1:1" x14ac:dyDescent="0.45">
      <c r="A67" t="s">
        <v>145</v>
      </c>
    </row>
    <row r="68" spans="1:1" x14ac:dyDescent="0.45">
      <c r="A68" t="s">
        <v>234</v>
      </c>
    </row>
    <row r="69" spans="1:1" x14ac:dyDescent="0.45">
      <c r="A69" t="s">
        <v>91</v>
      </c>
    </row>
    <row r="70" spans="1:1" x14ac:dyDescent="0.45">
      <c r="A70" t="s">
        <v>92</v>
      </c>
    </row>
    <row r="71" spans="1:1" x14ac:dyDescent="0.45">
      <c r="A71" t="s">
        <v>117</v>
      </c>
    </row>
    <row r="72" spans="1:1" x14ac:dyDescent="0.45">
      <c r="A72" t="s">
        <v>93</v>
      </c>
    </row>
    <row r="73" spans="1:1" x14ac:dyDescent="0.45">
      <c r="A73" t="s">
        <v>146</v>
      </c>
    </row>
    <row r="74" spans="1:1" x14ac:dyDescent="0.45">
      <c r="A74" t="s">
        <v>103</v>
      </c>
    </row>
    <row r="75" spans="1:1" x14ac:dyDescent="0.45">
      <c r="A75" t="s">
        <v>147</v>
      </c>
    </row>
    <row r="76" spans="1:1" x14ac:dyDescent="0.45">
      <c r="A76" t="s">
        <v>186</v>
      </c>
    </row>
    <row r="77" spans="1:1" x14ac:dyDescent="0.45">
      <c r="A77" t="s">
        <v>173</v>
      </c>
    </row>
    <row r="78" spans="1:1" x14ac:dyDescent="0.45">
      <c r="A78" t="s">
        <v>127</v>
      </c>
    </row>
    <row r="79" spans="1:1" x14ac:dyDescent="0.45">
      <c r="A79" t="s">
        <v>187</v>
      </c>
    </row>
    <row r="80" spans="1:1" x14ac:dyDescent="0.45">
      <c r="A80" t="s">
        <v>128</v>
      </c>
    </row>
    <row r="81" spans="1:1" x14ac:dyDescent="0.45">
      <c r="A81" t="s">
        <v>118</v>
      </c>
    </row>
    <row r="82" spans="1:1" x14ac:dyDescent="0.45">
      <c r="A82" t="s">
        <v>104</v>
      </c>
    </row>
    <row r="83" spans="1:1" x14ac:dyDescent="0.45">
      <c r="A83" t="s">
        <v>235</v>
      </c>
    </row>
    <row r="84" spans="1:1" x14ac:dyDescent="0.45">
      <c r="A84" t="s">
        <v>236</v>
      </c>
    </row>
    <row r="85" spans="1:1" x14ac:dyDescent="0.45">
      <c r="A85" t="s">
        <v>358</v>
      </c>
    </row>
    <row r="86" spans="1:1" x14ac:dyDescent="0.45">
      <c r="A86" t="s">
        <v>205</v>
      </c>
    </row>
    <row r="87" spans="1:1" x14ac:dyDescent="0.45">
      <c r="A87" t="s">
        <v>129</v>
      </c>
    </row>
    <row r="88" spans="1:1" x14ac:dyDescent="0.45">
      <c r="A88" t="s">
        <v>237</v>
      </c>
    </row>
    <row r="89" spans="1:1" x14ac:dyDescent="0.45">
      <c r="A89" t="s">
        <v>130</v>
      </c>
    </row>
    <row r="90" spans="1:1" x14ac:dyDescent="0.45">
      <c r="A90" t="s">
        <v>95</v>
      </c>
    </row>
    <row r="91" spans="1:1" x14ac:dyDescent="0.45">
      <c r="A91" t="s">
        <v>96</v>
      </c>
    </row>
    <row r="92" spans="1:1" x14ac:dyDescent="0.45">
      <c r="A92" t="s">
        <v>148</v>
      </c>
    </row>
    <row r="93" spans="1:1" x14ac:dyDescent="0.45">
      <c r="A93" t="s">
        <v>188</v>
      </c>
    </row>
    <row r="94" spans="1:1" x14ac:dyDescent="0.45">
      <c r="A94" t="s">
        <v>105</v>
      </c>
    </row>
    <row r="95" spans="1:1" x14ac:dyDescent="0.45">
      <c r="A95" t="s">
        <v>206</v>
      </c>
    </row>
    <row r="96" spans="1:1" x14ac:dyDescent="0.45">
      <c r="A96" t="s">
        <v>189</v>
      </c>
    </row>
    <row r="97" spans="1:1" x14ac:dyDescent="0.45">
      <c r="A97" t="s">
        <v>190</v>
      </c>
    </row>
    <row r="98" spans="1:1" x14ac:dyDescent="0.45">
      <c r="A98" t="s">
        <v>174</v>
      </c>
    </row>
    <row r="99" spans="1:1" x14ac:dyDescent="0.45">
      <c r="A99" t="s">
        <v>131</v>
      </c>
    </row>
    <row r="100" spans="1:1" x14ac:dyDescent="0.45">
      <c r="A100" t="s">
        <v>175</v>
      </c>
    </row>
    <row r="101" spans="1:1" x14ac:dyDescent="0.45">
      <c r="A101" t="s">
        <v>149</v>
      </c>
    </row>
    <row r="102" spans="1:1" x14ac:dyDescent="0.45">
      <c r="A102" t="s">
        <v>238</v>
      </c>
    </row>
    <row r="103" spans="1:1" x14ac:dyDescent="0.45">
      <c r="A103" t="s">
        <v>97</v>
      </c>
    </row>
    <row r="104" spans="1:1" x14ac:dyDescent="0.45">
      <c r="A104" t="s">
        <v>150</v>
      </c>
    </row>
    <row r="105" spans="1:1" x14ac:dyDescent="0.45">
      <c r="A105" t="s">
        <v>216</v>
      </c>
    </row>
    <row r="106" spans="1:1" x14ac:dyDescent="0.45">
      <c r="A106" t="s">
        <v>151</v>
      </c>
    </row>
    <row r="107" spans="1:1" x14ac:dyDescent="0.45">
      <c r="A107" t="s">
        <v>239</v>
      </c>
    </row>
    <row r="108" spans="1:1" x14ac:dyDescent="0.45">
      <c r="A108" t="s">
        <v>217</v>
      </c>
    </row>
    <row r="109" spans="1:1" x14ac:dyDescent="0.45">
      <c r="A109" t="s">
        <v>191</v>
      </c>
    </row>
    <row r="110" spans="1:1" x14ac:dyDescent="0.45">
      <c r="A110" t="s">
        <v>218</v>
      </c>
    </row>
    <row r="111" spans="1:1" x14ac:dyDescent="0.45">
      <c r="A111" t="s">
        <v>207</v>
      </c>
    </row>
    <row r="112" spans="1:1" x14ac:dyDescent="0.45">
      <c r="A112" t="s">
        <v>208</v>
      </c>
    </row>
    <row r="113" spans="1:1" x14ac:dyDescent="0.45">
      <c r="A113" t="s">
        <v>132</v>
      </c>
    </row>
    <row r="114" spans="1:1" x14ac:dyDescent="0.45">
      <c r="A114" t="s">
        <v>192</v>
      </c>
    </row>
    <row r="115" spans="1:1" x14ac:dyDescent="0.45">
      <c r="A115" t="s">
        <v>106</v>
      </c>
    </row>
    <row r="116" spans="1:1" x14ac:dyDescent="0.45">
      <c r="A116" t="s">
        <v>119</v>
      </c>
    </row>
    <row r="117" spans="1:1" x14ac:dyDescent="0.45">
      <c r="A117" t="s">
        <v>522</v>
      </c>
    </row>
    <row r="118" spans="1:1" x14ac:dyDescent="0.45">
      <c r="A118" t="s">
        <v>219</v>
      </c>
    </row>
    <row r="119" spans="1:1" x14ac:dyDescent="0.45">
      <c r="A119" t="s">
        <v>152</v>
      </c>
    </row>
    <row r="120" spans="1:1" x14ac:dyDescent="0.45">
      <c r="A120" t="s">
        <v>133</v>
      </c>
    </row>
    <row r="121" spans="1:1" x14ac:dyDescent="0.45">
      <c r="A121" t="s">
        <v>220</v>
      </c>
    </row>
    <row r="122" spans="1:1" x14ac:dyDescent="0.45">
      <c r="A122" t="s">
        <v>107</v>
      </c>
    </row>
    <row r="123" spans="1:1" x14ac:dyDescent="0.45">
      <c r="A123" t="s">
        <v>134</v>
      </c>
    </row>
    <row r="124" spans="1:1" x14ac:dyDescent="0.45">
      <c r="A124" t="s">
        <v>193</v>
      </c>
    </row>
    <row r="125" spans="1:1" x14ac:dyDescent="0.45">
      <c r="A125" t="s">
        <v>176</v>
      </c>
    </row>
    <row r="126" spans="1:1" x14ac:dyDescent="0.45">
      <c r="A126" t="s">
        <v>209</v>
      </c>
    </row>
    <row r="127" spans="1:1" x14ac:dyDescent="0.45">
      <c r="A127" t="s">
        <v>153</v>
      </c>
    </row>
    <row r="128" spans="1:1" x14ac:dyDescent="0.45">
      <c r="A128" t="s">
        <v>221</v>
      </c>
    </row>
    <row r="129" spans="1:1" x14ac:dyDescent="0.45">
      <c r="A129" t="s">
        <v>108</v>
      </c>
    </row>
    <row r="130" spans="1:1" x14ac:dyDescent="0.45">
      <c r="A130" t="s">
        <v>210</v>
      </c>
    </row>
    <row r="131" spans="1:1" x14ac:dyDescent="0.45">
      <c r="A131" t="s">
        <v>120</v>
      </c>
    </row>
    <row r="132" spans="1:1" x14ac:dyDescent="0.45">
      <c r="A132" t="s">
        <v>154</v>
      </c>
    </row>
    <row r="133" spans="1:1" x14ac:dyDescent="0.45">
      <c r="A133" t="s">
        <v>240</v>
      </c>
    </row>
    <row r="134" spans="1:1" x14ac:dyDescent="0.45">
      <c r="A134" t="s">
        <v>222</v>
      </c>
    </row>
    <row r="135" spans="1:1" x14ac:dyDescent="0.45">
      <c r="A135" t="s">
        <v>177</v>
      </c>
    </row>
    <row r="136" spans="1:1" x14ac:dyDescent="0.45">
      <c r="A136" t="s">
        <v>121</v>
      </c>
    </row>
    <row r="137" spans="1:1" x14ac:dyDescent="0.45">
      <c r="A137" t="s">
        <v>155</v>
      </c>
    </row>
    <row r="138" spans="1:1" x14ac:dyDescent="0.45">
      <c r="A138" t="s">
        <v>223</v>
      </c>
    </row>
    <row r="139" spans="1:1" x14ac:dyDescent="0.45">
      <c r="A139" t="s">
        <v>194</v>
      </c>
    </row>
    <row r="140" spans="1:1" x14ac:dyDescent="0.45">
      <c r="A140" t="s">
        <v>359</v>
      </c>
    </row>
    <row r="141" spans="1:1" x14ac:dyDescent="0.45">
      <c r="A141" t="s">
        <v>195</v>
      </c>
    </row>
    <row r="142" spans="1:1" x14ac:dyDescent="0.45">
      <c r="A142" t="s">
        <v>122</v>
      </c>
    </row>
    <row r="143" spans="1:1" x14ac:dyDescent="0.45">
      <c r="A143" t="s">
        <v>156</v>
      </c>
    </row>
    <row r="144" spans="1:1" x14ac:dyDescent="0.45">
      <c r="A144" t="s">
        <v>211</v>
      </c>
    </row>
    <row r="145" spans="1:1" x14ac:dyDescent="0.45">
      <c r="A145" t="s">
        <v>196</v>
      </c>
    </row>
    <row r="146" spans="1:1" x14ac:dyDescent="0.45">
      <c r="A146" t="s">
        <v>157</v>
      </c>
    </row>
    <row r="147" spans="1:1" x14ac:dyDescent="0.45">
      <c r="A147" t="s">
        <v>197</v>
      </c>
    </row>
    <row r="148" spans="1:1" x14ac:dyDescent="0.45">
      <c r="A148" t="s">
        <v>224</v>
      </c>
    </row>
    <row r="149" spans="1:1" x14ac:dyDescent="0.45">
      <c r="A149" t="s">
        <v>225</v>
      </c>
    </row>
    <row r="150" spans="1:1" x14ac:dyDescent="0.45">
      <c r="A150" t="s">
        <v>241</v>
      </c>
    </row>
  </sheetData>
  <sortState xmlns:xlrd2="http://schemas.microsoft.com/office/spreadsheetml/2017/richdata2" ref="A1:A150">
    <sortCondition ref="A1:A150"/>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87F0-1C0E-4ADD-A41D-2FB5710C63E7}">
  <sheetPr codeName="Sheet41">
    <tabColor theme="5"/>
  </sheetPr>
  <dimension ref="B1:N160"/>
  <sheetViews>
    <sheetView showGridLines="0" zoomScale="70" zoomScaleNormal="70" workbookViewId="0"/>
  </sheetViews>
  <sheetFormatPr defaultColWidth="9" defaultRowHeight="14.25" outlineLevelCol="1" x14ac:dyDescent="0.45"/>
  <cols>
    <col min="1" max="1" width="4.73046875" customWidth="1"/>
    <col min="2" max="2" width="37.73046875" customWidth="1"/>
    <col min="4" max="4" width="33.59765625" bestFit="1" customWidth="1"/>
    <col min="5" max="5" width="26" customWidth="1"/>
    <col min="6" max="6" width="26" customWidth="1" outlineLevel="1"/>
    <col min="7" max="7" width="26" customWidth="1"/>
    <col min="8" max="8" width="32.3984375" customWidth="1" outlineLevel="1"/>
    <col min="9" max="9" width="26" customWidth="1"/>
    <col min="11" max="11" width="16.86328125" customWidth="1"/>
    <col min="12" max="12" width="11.73046875" bestFit="1" customWidth="1"/>
    <col min="14" max="14" width="9.73046875" bestFit="1" customWidth="1"/>
  </cols>
  <sheetData>
    <row r="1" spans="2:14" ht="25.15" x14ac:dyDescent="0.65">
      <c r="B1" s="33" t="s">
        <v>519</v>
      </c>
      <c r="C1" s="34"/>
      <c r="D1" s="34"/>
      <c r="E1" s="34"/>
      <c r="F1" s="34"/>
      <c r="G1" s="34"/>
      <c r="H1" s="34"/>
      <c r="I1" s="34"/>
    </row>
    <row r="2" spans="2:14" ht="24.75" x14ac:dyDescent="0.65">
      <c r="B2" s="34"/>
      <c r="C2" s="34"/>
      <c r="D2" s="34"/>
      <c r="F2" s="34"/>
      <c r="G2" s="34"/>
      <c r="H2" s="34"/>
      <c r="I2" s="34"/>
    </row>
    <row r="3" spans="2:14" ht="24.75" x14ac:dyDescent="0.65">
      <c r="B3" s="34" t="s">
        <v>312</v>
      </c>
      <c r="C3" s="34"/>
      <c r="D3" s="34"/>
      <c r="F3" s="34"/>
      <c r="G3" s="34"/>
      <c r="H3" s="467"/>
      <c r="I3" s="34"/>
    </row>
    <row r="4" spans="2:14" ht="15.75" thickBot="1" x14ac:dyDescent="0.5">
      <c r="B4" s="162"/>
      <c r="C4" s="162"/>
      <c r="D4" s="162"/>
      <c r="E4" s="162"/>
      <c r="F4" s="162"/>
      <c r="G4" s="162"/>
      <c r="H4" s="567"/>
      <c r="I4" s="162"/>
    </row>
    <row r="5" spans="2:14" ht="15.4" thickBot="1" x14ac:dyDescent="0.5">
      <c r="B5" s="53" t="s">
        <v>309</v>
      </c>
      <c r="C5" s="54"/>
      <c r="D5" s="54"/>
      <c r="E5" s="193"/>
      <c r="F5" s="194"/>
      <c r="G5" s="195"/>
      <c r="H5" s="195"/>
      <c r="I5" s="195"/>
    </row>
    <row r="6" spans="2:14" ht="15" x14ac:dyDescent="0.45">
      <c r="B6" s="351"/>
      <c r="C6" s="353"/>
      <c r="D6" s="355"/>
      <c r="E6" s="380"/>
      <c r="F6" s="380"/>
      <c r="G6" s="380"/>
      <c r="H6" s="593"/>
      <c r="I6" s="380"/>
    </row>
    <row r="7" spans="2:14" ht="115.5" customHeight="1" thickBot="1" x14ac:dyDescent="0.5">
      <c r="B7" s="611" t="s">
        <v>246</v>
      </c>
      <c r="C7" s="613" t="s">
        <v>247</v>
      </c>
      <c r="D7" s="612" t="s">
        <v>310</v>
      </c>
      <c r="E7" s="380" t="s">
        <v>416</v>
      </c>
      <c r="F7" s="380" t="s">
        <v>417</v>
      </c>
      <c r="G7" s="380" t="s">
        <v>464</v>
      </c>
      <c r="H7" s="380" t="s">
        <v>485</v>
      </c>
      <c r="I7" s="380" t="s">
        <v>541</v>
      </c>
    </row>
    <row r="8" spans="2:14" ht="15.75" thickBot="1" x14ac:dyDescent="0.5">
      <c r="B8" s="65" t="s">
        <v>86</v>
      </c>
      <c r="C8" s="163"/>
      <c r="D8" s="67"/>
      <c r="E8" s="197">
        <f>SUM(E9:E158)</f>
        <v>91036053.336224586</v>
      </c>
      <c r="F8" s="197">
        <f>SUM(F9:F158)</f>
        <v>501004</v>
      </c>
      <c r="G8" s="311">
        <f>SUM(G9:G158)</f>
        <v>98860021.9231226</v>
      </c>
      <c r="H8" s="197">
        <f>SUM(H9:H158)</f>
        <v>26906471.006511867</v>
      </c>
      <c r="I8" s="196">
        <f>SUM(I9:I158)</f>
        <v>125766492.92963447</v>
      </c>
      <c r="K8" s="24"/>
      <c r="L8" s="189"/>
    </row>
    <row r="9" spans="2:14" ht="15.4" x14ac:dyDescent="0.45">
      <c r="B9" s="77" t="s">
        <v>88</v>
      </c>
      <c r="C9" s="162">
        <v>831</v>
      </c>
      <c r="D9" s="78" t="s">
        <v>89</v>
      </c>
      <c r="E9" s="168">
        <v>294182.60788800009</v>
      </c>
      <c r="F9" s="168">
        <v>0</v>
      </c>
      <c r="G9" s="312">
        <f t="shared" ref="G9:G18" si="0">SUM(E9:F9)*(100% + 8%)</f>
        <v>317717.21651904011</v>
      </c>
      <c r="H9" s="168">
        <v>182311.13390802429</v>
      </c>
      <c r="I9" s="198">
        <f t="shared" ref="I9:I18" si="1">G9  + H9</f>
        <v>500028.3504270644</v>
      </c>
      <c r="K9" s="518"/>
      <c r="L9" s="189"/>
      <c r="M9" s="24"/>
      <c r="N9" s="519"/>
    </row>
    <row r="10" spans="2:14" ht="15.4" x14ac:dyDescent="0.45">
      <c r="B10" s="77" t="s">
        <v>88</v>
      </c>
      <c r="C10" s="162">
        <v>830</v>
      </c>
      <c r="D10" s="78" t="s">
        <v>90</v>
      </c>
      <c r="E10" s="170">
        <v>58903.200000000004</v>
      </c>
      <c r="F10" s="170">
        <v>0</v>
      </c>
      <c r="G10" s="312">
        <f t="shared" si="0"/>
        <v>63615.456000000006</v>
      </c>
      <c r="H10" s="569">
        <v>230567.13477966108</v>
      </c>
      <c r="I10" s="198">
        <f t="shared" si="1"/>
        <v>294182.59077966108</v>
      </c>
      <c r="K10" s="518"/>
      <c r="L10" s="189"/>
      <c r="M10" s="24"/>
      <c r="N10" s="519"/>
    </row>
    <row r="11" spans="2:14" ht="15.4" x14ac:dyDescent="0.45">
      <c r="B11" s="77" t="s">
        <v>88</v>
      </c>
      <c r="C11" s="162">
        <v>856</v>
      </c>
      <c r="D11" s="78" t="s">
        <v>91</v>
      </c>
      <c r="E11" s="170">
        <v>2292884.6256000004</v>
      </c>
      <c r="F11" s="170">
        <v>0</v>
      </c>
      <c r="G11" s="312">
        <f t="shared" si="0"/>
        <v>2476315.3956480008</v>
      </c>
      <c r="H11" s="569">
        <v>248896.21212590806</v>
      </c>
      <c r="I11" s="198">
        <f t="shared" si="1"/>
        <v>2725211.6077739089</v>
      </c>
      <c r="K11" s="518"/>
      <c r="L11" s="189"/>
      <c r="M11" s="24"/>
      <c r="N11" s="519"/>
    </row>
    <row r="12" spans="2:14" ht="15.4" x14ac:dyDescent="0.45">
      <c r="B12" s="77" t="s">
        <v>88</v>
      </c>
      <c r="C12" s="162">
        <v>855</v>
      </c>
      <c r="D12" s="78" t="s">
        <v>92</v>
      </c>
      <c r="E12" s="170">
        <v>736002.55238400016</v>
      </c>
      <c r="F12" s="170">
        <v>0</v>
      </c>
      <c r="G12" s="312">
        <f t="shared" si="0"/>
        <v>794882.75657472026</v>
      </c>
      <c r="H12" s="569">
        <v>33349.893713462472</v>
      </c>
      <c r="I12" s="198">
        <f t="shared" si="1"/>
        <v>828232.65028818278</v>
      </c>
      <c r="K12" s="518"/>
      <c r="L12" s="189"/>
      <c r="M12" s="24"/>
      <c r="N12" s="519"/>
    </row>
    <row r="13" spans="2:14" ht="15.4" x14ac:dyDescent="0.45">
      <c r="B13" s="77" t="s">
        <v>88</v>
      </c>
      <c r="C13" s="162">
        <v>925</v>
      </c>
      <c r="D13" s="78" t="s">
        <v>93</v>
      </c>
      <c r="E13" s="170">
        <v>2234994.7472640001</v>
      </c>
      <c r="F13" s="170">
        <v>0</v>
      </c>
      <c r="G13" s="312">
        <f t="shared" si="0"/>
        <v>2413794.3270451203</v>
      </c>
      <c r="H13" s="569">
        <v>282997.31211622281</v>
      </c>
      <c r="I13" s="198">
        <f t="shared" si="1"/>
        <v>2696791.6391613432</v>
      </c>
      <c r="K13" s="518"/>
      <c r="L13" s="189"/>
      <c r="M13" s="24"/>
      <c r="N13" s="519"/>
    </row>
    <row r="14" spans="2:14" ht="15.4" x14ac:dyDescent="0.45">
      <c r="B14" s="77" t="s">
        <v>88</v>
      </c>
      <c r="C14" s="162">
        <v>940</v>
      </c>
      <c r="D14" s="78" t="s">
        <v>358</v>
      </c>
      <c r="E14" s="170">
        <v>0</v>
      </c>
      <c r="F14" s="170">
        <v>0</v>
      </c>
      <c r="G14" s="312">
        <f t="shared" si="0"/>
        <v>0</v>
      </c>
      <c r="H14" s="569">
        <v>20899.113985472242</v>
      </c>
      <c r="I14" s="198">
        <f t="shared" si="1"/>
        <v>20899.113985472242</v>
      </c>
      <c r="K14" s="518"/>
      <c r="L14" s="189"/>
      <c r="M14" s="24"/>
      <c r="N14" s="519"/>
    </row>
    <row r="15" spans="2:14" ht="15.4" x14ac:dyDescent="0.45">
      <c r="B15" s="77" t="s">
        <v>88</v>
      </c>
      <c r="C15" s="162">
        <v>892</v>
      </c>
      <c r="D15" s="78" t="s">
        <v>95</v>
      </c>
      <c r="E15" s="170">
        <v>2044843.2270720003</v>
      </c>
      <c r="F15" s="170">
        <v>0</v>
      </c>
      <c r="G15" s="312">
        <f t="shared" si="0"/>
        <v>2208430.6852377607</v>
      </c>
      <c r="H15" s="569">
        <v>232051.50916707024</v>
      </c>
      <c r="I15" s="198">
        <f t="shared" si="1"/>
        <v>2440482.1944048307</v>
      </c>
      <c r="K15" s="518"/>
      <c r="L15" s="189"/>
      <c r="M15" s="24"/>
      <c r="N15" s="519"/>
    </row>
    <row r="16" spans="2:14" ht="15.4" x14ac:dyDescent="0.45">
      <c r="B16" s="77" t="s">
        <v>88</v>
      </c>
      <c r="C16" s="162">
        <v>891</v>
      </c>
      <c r="D16" s="78" t="s">
        <v>96</v>
      </c>
      <c r="E16" s="170">
        <v>0</v>
      </c>
      <c r="F16" s="170">
        <v>0</v>
      </c>
      <c r="G16" s="312">
        <f t="shared" si="0"/>
        <v>0</v>
      </c>
      <c r="H16" s="569">
        <v>43414.098159806352</v>
      </c>
      <c r="I16" s="198">
        <f t="shared" si="1"/>
        <v>43414.098159806352</v>
      </c>
      <c r="K16" s="518"/>
      <c r="L16" s="189"/>
      <c r="M16" s="24"/>
      <c r="N16" s="519"/>
    </row>
    <row r="17" spans="2:14" ht="15.4" x14ac:dyDescent="0.45">
      <c r="B17" s="77" t="s">
        <v>88</v>
      </c>
      <c r="C17" s="162">
        <v>857</v>
      </c>
      <c r="D17" s="78" t="s">
        <v>97</v>
      </c>
      <c r="E17" s="170">
        <v>0</v>
      </c>
      <c r="F17" s="170">
        <v>0</v>
      </c>
      <c r="G17" s="312">
        <f t="shared" si="0"/>
        <v>0</v>
      </c>
      <c r="H17" s="569">
        <v>0</v>
      </c>
      <c r="I17" s="198">
        <f t="shared" si="1"/>
        <v>0</v>
      </c>
      <c r="K17" s="518"/>
      <c r="L17" s="189"/>
      <c r="M17" s="24"/>
      <c r="N17" s="519"/>
    </row>
    <row r="18" spans="2:14" ht="15.4" x14ac:dyDescent="0.45">
      <c r="B18" s="77" t="s">
        <v>88</v>
      </c>
      <c r="C18" s="162">
        <v>941</v>
      </c>
      <c r="D18" s="78" t="s">
        <v>359</v>
      </c>
      <c r="E18" s="170">
        <v>1542462.7564800002</v>
      </c>
      <c r="F18" s="170">
        <v>0</v>
      </c>
      <c r="G18" s="312">
        <f t="shared" si="0"/>
        <v>1665859.7769984005</v>
      </c>
      <c r="H18" s="569">
        <v>319641.11501694936</v>
      </c>
      <c r="I18" s="198">
        <f t="shared" si="1"/>
        <v>1985500.8920153498</v>
      </c>
      <c r="K18" s="518"/>
      <c r="L18" s="189"/>
      <c r="M18" s="24"/>
      <c r="N18" s="519"/>
    </row>
    <row r="19" spans="2:14" ht="15.4" x14ac:dyDescent="0.45">
      <c r="B19" s="77" t="s">
        <v>98</v>
      </c>
      <c r="C19" s="162">
        <v>822</v>
      </c>
      <c r="D19" s="78" t="s">
        <v>520</v>
      </c>
      <c r="E19" s="170">
        <v>784590.62400000007</v>
      </c>
      <c r="F19" s="170">
        <v>0</v>
      </c>
      <c r="G19" s="312">
        <f t="shared" ref="G19:G73" si="2">SUM(E19:F19)*(100% + 8%)</f>
        <v>847357.87392000016</v>
      </c>
      <c r="H19" s="569">
        <v>66339.593835351116</v>
      </c>
      <c r="I19" s="198">
        <f t="shared" ref="I19:I40" si="3">G19  + H19</f>
        <v>913697.46775535122</v>
      </c>
      <c r="K19" s="518"/>
      <c r="L19" s="189"/>
      <c r="M19" s="24"/>
      <c r="N19" s="519"/>
    </row>
    <row r="20" spans="2:14" ht="15.4" x14ac:dyDescent="0.45">
      <c r="B20" s="77" t="s">
        <v>98</v>
      </c>
      <c r="C20" s="162">
        <v>873</v>
      </c>
      <c r="D20" s="78" t="s">
        <v>99</v>
      </c>
      <c r="E20" s="170">
        <v>735111.9360000001</v>
      </c>
      <c r="F20" s="170">
        <v>0</v>
      </c>
      <c r="G20" s="312">
        <f t="shared" si="2"/>
        <v>793920.8908800002</v>
      </c>
      <c r="H20" s="569">
        <v>99880.249767554502</v>
      </c>
      <c r="I20" s="198">
        <f t="shared" si="3"/>
        <v>893801.14064755465</v>
      </c>
      <c r="K20" s="518"/>
      <c r="L20" s="189"/>
      <c r="M20" s="24"/>
      <c r="N20" s="519"/>
    </row>
    <row r="21" spans="2:14" ht="15.4" x14ac:dyDescent="0.45">
      <c r="B21" s="77" t="s">
        <v>98</v>
      </c>
      <c r="C21" s="162">
        <v>823</v>
      </c>
      <c r="D21" s="78" t="s">
        <v>100</v>
      </c>
      <c r="E21" s="170">
        <v>780461.50968000002</v>
      </c>
      <c r="F21" s="170">
        <v>0</v>
      </c>
      <c r="G21" s="312">
        <f t="shared" si="2"/>
        <v>842898.43045440002</v>
      </c>
      <c r="H21" s="569">
        <v>108513.82783050851</v>
      </c>
      <c r="I21" s="198">
        <f t="shared" si="3"/>
        <v>951412.25828490849</v>
      </c>
      <c r="K21" s="518"/>
      <c r="L21" s="189"/>
      <c r="M21" s="24"/>
      <c r="N21" s="519"/>
    </row>
    <row r="22" spans="2:14" ht="15.4" x14ac:dyDescent="0.45">
      <c r="B22" s="77" t="s">
        <v>98</v>
      </c>
      <c r="C22" s="162">
        <v>881</v>
      </c>
      <c r="D22" s="78" t="s">
        <v>101</v>
      </c>
      <c r="E22" s="170">
        <v>0</v>
      </c>
      <c r="F22" s="170">
        <v>0</v>
      </c>
      <c r="G22" s="312">
        <f t="shared" si="2"/>
        <v>0</v>
      </c>
      <c r="H22" s="569">
        <v>722496.16291525448</v>
      </c>
      <c r="I22" s="198">
        <f t="shared" si="3"/>
        <v>722496.16291525448</v>
      </c>
      <c r="K22" s="518"/>
      <c r="L22" s="189"/>
      <c r="M22" s="24"/>
      <c r="N22" s="519"/>
    </row>
    <row r="23" spans="2:14" ht="15.4" x14ac:dyDescent="0.45">
      <c r="B23" s="77" t="s">
        <v>98</v>
      </c>
      <c r="C23" s="162">
        <v>919</v>
      </c>
      <c r="D23" s="78" t="s">
        <v>102</v>
      </c>
      <c r="E23" s="170">
        <v>1565126.3517120003</v>
      </c>
      <c r="F23" s="170">
        <v>0</v>
      </c>
      <c r="G23" s="312">
        <f t="shared" si="2"/>
        <v>1690336.4598489604</v>
      </c>
      <c r="H23" s="569">
        <v>528277.31302663474</v>
      </c>
      <c r="I23" s="198">
        <f t="shared" si="3"/>
        <v>2218613.7728755949</v>
      </c>
      <c r="K23" s="518"/>
      <c r="L23" s="189"/>
      <c r="M23" s="24"/>
      <c r="N23" s="519"/>
    </row>
    <row r="24" spans="2:14" ht="15.4" x14ac:dyDescent="0.45">
      <c r="B24" s="77" t="s">
        <v>98</v>
      </c>
      <c r="C24" s="162">
        <v>821</v>
      </c>
      <c r="D24" s="78" t="s">
        <v>103</v>
      </c>
      <c r="E24" s="170">
        <v>65112.775344000009</v>
      </c>
      <c r="F24" s="170">
        <v>0</v>
      </c>
      <c r="G24" s="312">
        <f t="shared" si="2"/>
        <v>70321.797371520021</v>
      </c>
      <c r="H24" s="569">
        <v>62712.117016949189</v>
      </c>
      <c r="I24" s="198">
        <f t="shared" si="3"/>
        <v>133033.91438846922</v>
      </c>
      <c r="K24" s="518"/>
      <c r="L24" s="189"/>
      <c r="M24" s="24"/>
      <c r="N24" s="519"/>
    </row>
    <row r="25" spans="2:14" ht="15.4" x14ac:dyDescent="0.45">
      <c r="B25" s="77" t="s">
        <v>98</v>
      </c>
      <c r="C25" s="162">
        <v>926</v>
      </c>
      <c r="D25" s="78" t="s">
        <v>104</v>
      </c>
      <c r="E25" s="170">
        <v>0</v>
      </c>
      <c r="F25" s="170">
        <v>0</v>
      </c>
      <c r="G25" s="312">
        <f t="shared" si="2"/>
        <v>0</v>
      </c>
      <c r="H25" s="569">
        <v>364454.9414721551</v>
      </c>
      <c r="I25" s="198">
        <f t="shared" si="3"/>
        <v>364454.9414721551</v>
      </c>
      <c r="K25" s="518"/>
      <c r="L25" s="189"/>
      <c r="M25" s="24"/>
      <c r="N25" s="519"/>
    </row>
    <row r="26" spans="2:14" ht="15.4" x14ac:dyDescent="0.45">
      <c r="B26" s="77" t="s">
        <v>98</v>
      </c>
      <c r="C26" s="162">
        <v>874</v>
      </c>
      <c r="D26" s="78" t="s">
        <v>105</v>
      </c>
      <c r="E26" s="170">
        <v>293337.93600000005</v>
      </c>
      <c r="F26" s="170">
        <v>0</v>
      </c>
      <c r="G26" s="312">
        <f t="shared" si="2"/>
        <v>316804.9708800001</v>
      </c>
      <c r="H26" s="569">
        <v>191530.15998062963</v>
      </c>
      <c r="I26" s="198">
        <f t="shared" si="3"/>
        <v>508335.13086062972</v>
      </c>
      <c r="K26" s="518"/>
      <c r="L26" s="189"/>
      <c r="M26" s="24"/>
      <c r="N26" s="519"/>
    </row>
    <row r="27" spans="2:14" ht="15.4" x14ac:dyDescent="0.45">
      <c r="B27" s="77" t="s">
        <v>98</v>
      </c>
      <c r="C27" s="162">
        <v>882</v>
      </c>
      <c r="D27" s="78" t="s">
        <v>106</v>
      </c>
      <c r="E27" s="170">
        <v>37698.04800000001</v>
      </c>
      <c r="F27" s="170">
        <v>0</v>
      </c>
      <c r="G27" s="312">
        <f t="shared" si="2"/>
        <v>40713.891840000011</v>
      </c>
      <c r="H27" s="569">
        <v>91940.159806295429</v>
      </c>
      <c r="I27" s="198">
        <f t="shared" si="3"/>
        <v>132654.05164629544</v>
      </c>
      <c r="K27" s="518"/>
      <c r="L27" s="189"/>
      <c r="M27" s="24"/>
      <c r="N27" s="519"/>
    </row>
    <row r="28" spans="2:14" ht="15.4" x14ac:dyDescent="0.45">
      <c r="B28" s="77" t="s">
        <v>98</v>
      </c>
      <c r="C28" s="162">
        <v>935</v>
      </c>
      <c r="D28" s="78" t="s">
        <v>107</v>
      </c>
      <c r="E28" s="170">
        <v>141367.68000000002</v>
      </c>
      <c r="F28" s="170">
        <v>0</v>
      </c>
      <c r="G28" s="312">
        <f t="shared" si="2"/>
        <v>152677.09440000003</v>
      </c>
      <c r="H28" s="569">
        <v>399928.83428571426</v>
      </c>
      <c r="I28" s="198">
        <f t="shared" si="3"/>
        <v>552605.92868571426</v>
      </c>
      <c r="K28" s="518"/>
      <c r="L28" s="189"/>
      <c r="M28" s="24"/>
      <c r="N28" s="519"/>
    </row>
    <row r="29" spans="2:14" ht="15.4" x14ac:dyDescent="0.45">
      <c r="B29" s="77" t="s">
        <v>98</v>
      </c>
      <c r="C29" s="162">
        <v>883</v>
      </c>
      <c r="D29" s="78" t="s">
        <v>108</v>
      </c>
      <c r="E29" s="170">
        <v>0</v>
      </c>
      <c r="F29" s="170">
        <v>0</v>
      </c>
      <c r="G29" s="312">
        <f t="shared" si="2"/>
        <v>0</v>
      </c>
      <c r="H29" s="569">
        <v>62311.320953995179</v>
      </c>
      <c r="I29" s="198">
        <f t="shared" si="3"/>
        <v>62311.320953995179</v>
      </c>
      <c r="K29" s="518"/>
      <c r="L29" s="189"/>
      <c r="M29" s="24"/>
      <c r="N29" s="519"/>
    </row>
    <row r="30" spans="2:14" ht="15.4" x14ac:dyDescent="0.45">
      <c r="B30" s="77" t="s">
        <v>109</v>
      </c>
      <c r="C30" s="162">
        <v>202</v>
      </c>
      <c r="D30" s="78" t="s">
        <v>110</v>
      </c>
      <c r="E30" s="170">
        <v>3266191.5444</v>
      </c>
      <c r="F30" s="170">
        <v>0</v>
      </c>
      <c r="G30" s="312">
        <f t="shared" si="2"/>
        <v>3527486.8679520003</v>
      </c>
      <c r="H30" s="569">
        <v>440862.21224866767</v>
      </c>
      <c r="I30" s="198">
        <f t="shared" si="3"/>
        <v>3968349.080200668</v>
      </c>
      <c r="K30" s="518"/>
      <c r="L30" s="189"/>
      <c r="M30" s="24"/>
      <c r="N30" s="519"/>
    </row>
    <row r="31" spans="2:14" ht="15.4" x14ac:dyDescent="0.45">
      <c r="B31" s="77" t="s">
        <v>109</v>
      </c>
      <c r="C31" s="162">
        <v>204</v>
      </c>
      <c r="D31" s="78" t="s">
        <v>111</v>
      </c>
      <c r="E31" s="170">
        <v>0</v>
      </c>
      <c r="F31" s="170">
        <v>0</v>
      </c>
      <c r="G31" s="312">
        <f t="shared" si="2"/>
        <v>0</v>
      </c>
      <c r="H31" s="569">
        <v>220203.1458934625</v>
      </c>
      <c r="I31" s="198">
        <f t="shared" si="3"/>
        <v>220203.1458934625</v>
      </c>
      <c r="K31" s="518"/>
      <c r="L31" s="189"/>
      <c r="M31" s="24"/>
      <c r="N31" s="519"/>
    </row>
    <row r="32" spans="2:14" ht="15.4" x14ac:dyDescent="0.45">
      <c r="B32" s="77" t="s">
        <v>109</v>
      </c>
      <c r="C32" s="162">
        <v>205</v>
      </c>
      <c r="D32" s="78" t="s">
        <v>112</v>
      </c>
      <c r="E32" s="170">
        <v>353419.2</v>
      </c>
      <c r="F32" s="170">
        <v>0</v>
      </c>
      <c r="G32" s="312">
        <f t="shared" si="2"/>
        <v>381692.73600000003</v>
      </c>
      <c r="H32" s="569">
        <v>227325.30070217926</v>
      </c>
      <c r="I32" s="198">
        <f t="shared" si="3"/>
        <v>609018.03670217935</v>
      </c>
      <c r="K32" s="518"/>
      <c r="L32" s="189"/>
      <c r="M32" s="24"/>
      <c r="N32" s="519"/>
    </row>
    <row r="33" spans="2:14" ht="15.4" x14ac:dyDescent="0.45">
      <c r="B33" s="77" t="s">
        <v>109</v>
      </c>
      <c r="C33" s="162">
        <v>309</v>
      </c>
      <c r="D33" s="78" t="s">
        <v>113</v>
      </c>
      <c r="E33" s="170">
        <v>376980.48000000004</v>
      </c>
      <c r="F33" s="170">
        <v>0</v>
      </c>
      <c r="G33" s="312">
        <f t="shared" si="2"/>
        <v>407138.91840000008</v>
      </c>
      <c r="H33" s="569">
        <v>509891.8316902665</v>
      </c>
      <c r="I33" s="198">
        <f t="shared" si="3"/>
        <v>917030.75009026658</v>
      </c>
      <c r="K33" s="518"/>
      <c r="L33" s="189"/>
      <c r="M33" s="24"/>
      <c r="N33" s="519"/>
    </row>
    <row r="34" spans="2:14" ht="15.4" x14ac:dyDescent="0.45">
      <c r="B34" s="77" t="s">
        <v>109</v>
      </c>
      <c r="C34" s="162">
        <v>206</v>
      </c>
      <c r="D34" s="78" t="s">
        <v>114</v>
      </c>
      <c r="E34" s="170">
        <v>0</v>
      </c>
      <c r="F34" s="170">
        <v>0</v>
      </c>
      <c r="G34" s="312">
        <f t="shared" si="2"/>
        <v>0</v>
      </c>
      <c r="H34" s="569">
        <v>210841.48144794203</v>
      </c>
      <c r="I34" s="198">
        <f t="shared" si="3"/>
        <v>210841.48144794203</v>
      </c>
      <c r="K34" s="518"/>
      <c r="L34" s="189"/>
      <c r="M34" s="24"/>
      <c r="N34" s="519"/>
    </row>
    <row r="35" spans="2:14" ht="15.4" x14ac:dyDescent="0.45">
      <c r="B35" s="77" t="s">
        <v>109</v>
      </c>
      <c r="C35" s="162">
        <v>207</v>
      </c>
      <c r="D35" s="78" t="s">
        <v>115</v>
      </c>
      <c r="E35" s="170">
        <v>2148450.4800000004</v>
      </c>
      <c r="F35" s="170">
        <v>0</v>
      </c>
      <c r="G35" s="312">
        <f t="shared" si="2"/>
        <v>2320326.5184000004</v>
      </c>
      <c r="H35" s="569">
        <v>196139.83507699761</v>
      </c>
      <c r="I35" s="198">
        <f t="shared" si="3"/>
        <v>2516466.3534769979</v>
      </c>
      <c r="K35" s="518"/>
      <c r="L35" s="189"/>
      <c r="M35" s="24"/>
      <c r="N35" s="519"/>
    </row>
    <row r="36" spans="2:14" ht="15.4" x14ac:dyDescent="0.45">
      <c r="B36" s="77" t="s">
        <v>109</v>
      </c>
      <c r="C36" s="162">
        <v>208</v>
      </c>
      <c r="D36" s="78" t="s">
        <v>116</v>
      </c>
      <c r="E36" s="170">
        <v>0</v>
      </c>
      <c r="F36" s="170">
        <v>0</v>
      </c>
      <c r="G36" s="312">
        <f t="shared" si="2"/>
        <v>0</v>
      </c>
      <c r="H36" s="569">
        <v>123939.14875731403</v>
      </c>
      <c r="I36" s="198">
        <f t="shared" si="3"/>
        <v>123939.14875731403</v>
      </c>
      <c r="K36" s="518"/>
      <c r="L36" s="189"/>
      <c r="M36" s="24"/>
      <c r="N36" s="519"/>
    </row>
    <row r="37" spans="2:14" ht="15.4" x14ac:dyDescent="0.45">
      <c r="B37" s="77" t="s">
        <v>109</v>
      </c>
      <c r="C37" s="162">
        <v>209</v>
      </c>
      <c r="D37" s="78" t="s">
        <v>117</v>
      </c>
      <c r="E37" s="170">
        <v>205409.39643788635</v>
      </c>
      <c r="F37" s="170">
        <v>0</v>
      </c>
      <c r="G37" s="312">
        <f t="shared" si="2"/>
        <v>221842.14815291727</v>
      </c>
      <c r="H37" s="569">
        <v>164971.22404842629</v>
      </c>
      <c r="I37" s="198">
        <f t="shared" si="3"/>
        <v>386813.37220134353</v>
      </c>
      <c r="K37" s="518"/>
      <c r="L37" s="189"/>
      <c r="M37" s="24"/>
      <c r="N37" s="519"/>
    </row>
    <row r="38" spans="2:14" ht="15.4" x14ac:dyDescent="0.45">
      <c r="B38" s="77" t="s">
        <v>109</v>
      </c>
      <c r="C38" s="162">
        <v>316</v>
      </c>
      <c r="D38" s="78" t="s">
        <v>118</v>
      </c>
      <c r="E38" s="170">
        <v>0</v>
      </c>
      <c r="F38" s="170">
        <v>0</v>
      </c>
      <c r="G38" s="312">
        <f t="shared" si="2"/>
        <v>0</v>
      </c>
      <c r="H38" s="569">
        <v>274258.87598062959</v>
      </c>
      <c r="I38" s="198">
        <f t="shared" si="3"/>
        <v>274258.87598062959</v>
      </c>
      <c r="K38" s="518"/>
      <c r="L38" s="189"/>
      <c r="M38" s="24"/>
      <c r="N38" s="519"/>
    </row>
    <row r="39" spans="2:14" ht="15.4" x14ac:dyDescent="0.45">
      <c r="B39" s="77" t="s">
        <v>109</v>
      </c>
      <c r="C39" s="162">
        <v>210</v>
      </c>
      <c r="D39" s="78" t="s">
        <v>119</v>
      </c>
      <c r="E39" s="170">
        <v>3007552.4506080011</v>
      </c>
      <c r="F39" s="170">
        <v>0</v>
      </c>
      <c r="G39" s="312">
        <f t="shared" si="2"/>
        <v>3248156.6466566413</v>
      </c>
      <c r="H39" s="569">
        <v>214293.64204900732</v>
      </c>
      <c r="I39" s="198">
        <f t="shared" si="3"/>
        <v>3462450.2887056484</v>
      </c>
      <c r="K39" s="518"/>
      <c r="L39" s="189"/>
      <c r="M39" s="24"/>
      <c r="N39" s="519"/>
    </row>
    <row r="40" spans="2:14" ht="15.4" x14ac:dyDescent="0.45">
      <c r="B40" s="77" t="s">
        <v>109</v>
      </c>
      <c r="C40" s="162">
        <v>211</v>
      </c>
      <c r="D40" s="78" t="s">
        <v>120</v>
      </c>
      <c r="E40" s="170">
        <v>541909.44000000006</v>
      </c>
      <c r="F40" s="170">
        <v>0</v>
      </c>
      <c r="G40" s="312">
        <f t="shared" si="2"/>
        <v>585262.19520000007</v>
      </c>
      <c r="H40" s="569">
        <v>230031.78857142857</v>
      </c>
      <c r="I40" s="198">
        <f t="shared" si="3"/>
        <v>815293.9837714287</v>
      </c>
      <c r="K40" s="518"/>
      <c r="L40" s="189"/>
      <c r="M40" s="24"/>
      <c r="N40" s="519"/>
    </row>
    <row r="41" spans="2:14" ht="15.4" x14ac:dyDescent="0.45">
      <c r="B41" s="77" t="s">
        <v>109</v>
      </c>
      <c r="C41" s="162">
        <v>212</v>
      </c>
      <c r="D41" s="78" t="s">
        <v>121</v>
      </c>
      <c r="E41" s="170">
        <v>973053.7685280001</v>
      </c>
      <c r="F41" s="170">
        <v>0</v>
      </c>
      <c r="G41" s="312">
        <f t="shared" si="2"/>
        <v>1050898.0700102402</v>
      </c>
      <c r="H41" s="569">
        <v>346918.78822227335</v>
      </c>
      <c r="I41" s="198">
        <f t="shared" ref="I41:I72" si="4">G41  + H41</f>
        <v>1397816.8582325135</v>
      </c>
      <c r="K41" s="518"/>
      <c r="L41" s="189"/>
      <c r="M41" s="24"/>
      <c r="N41" s="519"/>
    </row>
    <row r="42" spans="2:14" ht="15.4" x14ac:dyDescent="0.45">
      <c r="B42" s="77" t="s">
        <v>109</v>
      </c>
      <c r="C42" s="162">
        <v>213</v>
      </c>
      <c r="D42" s="78" t="s">
        <v>122</v>
      </c>
      <c r="E42" s="170">
        <v>526594.60800000012</v>
      </c>
      <c r="F42" s="170">
        <v>0</v>
      </c>
      <c r="G42" s="312">
        <f t="shared" si="2"/>
        <v>568722.17664000019</v>
      </c>
      <c r="H42" s="569">
        <v>66220.898922172259</v>
      </c>
      <c r="I42" s="198">
        <f t="shared" si="4"/>
        <v>634943.07556217245</v>
      </c>
      <c r="K42" s="518"/>
      <c r="L42" s="189"/>
      <c r="M42" s="24"/>
      <c r="N42" s="519"/>
    </row>
    <row r="43" spans="2:14" ht="15.4" x14ac:dyDescent="0.45">
      <c r="B43" s="77" t="s">
        <v>123</v>
      </c>
      <c r="C43" s="162">
        <v>840</v>
      </c>
      <c r="D43" s="78" t="s">
        <v>521</v>
      </c>
      <c r="E43" s="170">
        <v>1138009.824</v>
      </c>
      <c r="F43" s="170">
        <v>0</v>
      </c>
      <c r="G43" s="312">
        <f t="shared" ref="G43" si="5">SUM(E43:F43)*(100% + 8%)</f>
        <v>1229050.6099200002</v>
      </c>
      <c r="H43" s="569">
        <v>112191.25714285714</v>
      </c>
      <c r="I43" s="198">
        <f t="shared" ref="I43" si="6">G43  + H43</f>
        <v>1341241.8670628574</v>
      </c>
      <c r="K43" s="518"/>
      <c r="L43" s="189"/>
      <c r="M43" s="24"/>
      <c r="N43" s="519"/>
    </row>
    <row r="44" spans="2:14" ht="15.4" x14ac:dyDescent="0.45">
      <c r="B44" s="77" t="s">
        <v>123</v>
      </c>
      <c r="C44" s="162">
        <v>841</v>
      </c>
      <c r="D44" s="78" t="s">
        <v>124</v>
      </c>
      <c r="E44" s="170">
        <v>118395.43200000002</v>
      </c>
      <c r="F44" s="170">
        <v>0</v>
      </c>
      <c r="G44" s="312">
        <f t="shared" si="2"/>
        <v>127867.06656000002</v>
      </c>
      <c r="H44" s="569">
        <v>35537.086280871677</v>
      </c>
      <c r="I44" s="198">
        <f t="shared" si="4"/>
        <v>163404.15284087171</v>
      </c>
      <c r="K44" s="518"/>
      <c r="L44" s="189"/>
      <c r="M44" s="24"/>
      <c r="N44" s="519"/>
    </row>
    <row r="45" spans="2:14" ht="15.4" x14ac:dyDescent="0.45">
      <c r="B45" s="77" t="s">
        <v>123</v>
      </c>
      <c r="C45" s="162">
        <v>390</v>
      </c>
      <c r="D45" s="78" t="s">
        <v>125</v>
      </c>
      <c r="E45" s="170">
        <v>0</v>
      </c>
      <c r="F45" s="170">
        <v>0</v>
      </c>
      <c r="G45" s="312">
        <f t="shared" si="2"/>
        <v>0</v>
      </c>
      <c r="H45" s="569">
        <v>87691.665142857193</v>
      </c>
      <c r="I45" s="198">
        <f t="shared" si="4"/>
        <v>87691.665142857193</v>
      </c>
      <c r="K45" s="518"/>
      <c r="L45" s="189"/>
      <c r="M45" s="24"/>
      <c r="N45" s="519"/>
    </row>
    <row r="46" spans="2:14" ht="15.4" x14ac:dyDescent="0.45">
      <c r="B46" s="77" t="s">
        <v>123</v>
      </c>
      <c r="C46" s="162">
        <v>805</v>
      </c>
      <c r="D46" s="78" t="s">
        <v>126</v>
      </c>
      <c r="E46" s="170">
        <v>0</v>
      </c>
      <c r="F46" s="170">
        <v>0</v>
      </c>
      <c r="G46" s="312">
        <f t="shared" si="2"/>
        <v>0</v>
      </c>
      <c r="H46" s="569">
        <v>53142.600101694901</v>
      </c>
      <c r="I46" s="198">
        <f t="shared" si="4"/>
        <v>53142.600101694901</v>
      </c>
      <c r="K46" s="518"/>
      <c r="L46" s="189"/>
      <c r="M46" s="24"/>
      <c r="N46" s="519"/>
    </row>
    <row r="47" spans="2:14" ht="15.4" x14ac:dyDescent="0.45">
      <c r="B47" s="77" t="s">
        <v>123</v>
      </c>
      <c r="C47" s="162">
        <v>806</v>
      </c>
      <c r="D47" s="78" t="s">
        <v>127</v>
      </c>
      <c r="E47" s="170">
        <v>1374800.6880000001</v>
      </c>
      <c r="F47" s="170">
        <v>0</v>
      </c>
      <c r="G47" s="312">
        <f t="shared" si="2"/>
        <v>1484784.7430400001</v>
      </c>
      <c r="H47" s="569">
        <v>130067.0687215497</v>
      </c>
      <c r="I47" s="198">
        <f t="shared" si="4"/>
        <v>1614851.8117615497</v>
      </c>
      <c r="K47" s="518"/>
      <c r="L47" s="189"/>
      <c r="M47" s="24"/>
      <c r="N47" s="519"/>
    </row>
    <row r="48" spans="2:14" ht="15.4" x14ac:dyDescent="0.45">
      <c r="B48" s="77" t="s">
        <v>123</v>
      </c>
      <c r="C48" s="162">
        <v>391</v>
      </c>
      <c r="D48" s="78" t="s">
        <v>128</v>
      </c>
      <c r="E48" s="170">
        <v>2314895.7600000007</v>
      </c>
      <c r="F48" s="170">
        <v>0</v>
      </c>
      <c r="G48" s="312">
        <f t="shared" si="2"/>
        <v>2500087.4208000009</v>
      </c>
      <c r="H48" s="569">
        <v>191560.96955447947</v>
      </c>
      <c r="I48" s="198">
        <f t="shared" si="4"/>
        <v>2691648.3903544806</v>
      </c>
      <c r="K48" s="518"/>
      <c r="L48" s="189"/>
      <c r="M48" s="24"/>
      <c r="N48" s="519"/>
    </row>
    <row r="49" spans="2:14" ht="15.4" x14ac:dyDescent="0.45">
      <c r="B49" s="77" t="s">
        <v>123</v>
      </c>
      <c r="C49" s="162">
        <v>392</v>
      </c>
      <c r="D49" s="78" t="s">
        <v>129</v>
      </c>
      <c r="E49" s="170">
        <v>0</v>
      </c>
      <c r="F49" s="170">
        <v>0</v>
      </c>
      <c r="G49" s="312">
        <f t="shared" si="2"/>
        <v>0</v>
      </c>
      <c r="H49" s="569">
        <v>188204.57332203403</v>
      </c>
      <c r="I49" s="198">
        <f t="shared" si="4"/>
        <v>188204.57332203403</v>
      </c>
      <c r="K49" s="518"/>
      <c r="L49" s="189"/>
      <c r="M49" s="24"/>
      <c r="N49" s="519"/>
    </row>
    <row r="50" spans="2:14" ht="15.4" x14ac:dyDescent="0.45">
      <c r="B50" s="77" t="s">
        <v>123</v>
      </c>
      <c r="C50" s="162">
        <v>929</v>
      </c>
      <c r="D50" s="78" t="s">
        <v>130</v>
      </c>
      <c r="E50" s="170">
        <v>0</v>
      </c>
      <c r="F50" s="170">
        <v>0</v>
      </c>
      <c r="G50" s="312">
        <f t="shared" si="2"/>
        <v>0</v>
      </c>
      <c r="H50" s="569">
        <v>31211.350208232456</v>
      </c>
      <c r="I50" s="198">
        <f t="shared" si="4"/>
        <v>31211.350208232456</v>
      </c>
      <c r="K50" s="518"/>
      <c r="L50" s="189"/>
      <c r="M50" s="24"/>
      <c r="N50" s="519"/>
    </row>
    <row r="51" spans="2:14" ht="15.4" x14ac:dyDescent="0.45">
      <c r="B51" s="77" t="s">
        <v>123</v>
      </c>
      <c r="C51" s="162">
        <v>807</v>
      </c>
      <c r="D51" s="78" t="s">
        <v>131</v>
      </c>
      <c r="E51" s="170">
        <v>157860.57600000003</v>
      </c>
      <c r="F51" s="170">
        <v>0</v>
      </c>
      <c r="G51" s="312">
        <f t="shared" si="2"/>
        <v>170489.42208000005</v>
      </c>
      <c r="H51" s="569">
        <v>62868.892116222793</v>
      </c>
      <c r="I51" s="198">
        <f t="shared" si="4"/>
        <v>233358.31419622284</v>
      </c>
      <c r="K51" s="518"/>
      <c r="L51" s="189"/>
      <c r="M51" s="24"/>
      <c r="N51" s="519"/>
    </row>
    <row r="52" spans="2:14" ht="15.4" x14ac:dyDescent="0.45">
      <c r="B52" s="77" t="s">
        <v>123</v>
      </c>
      <c r="C52" s="162">
        <v>393</v>
      </c>
      <c r="D52" s="78" t="s">
        <v>132</v>
      </c>
      <c r="E52" s="170">
        <v>0</v>
      </c>
      <c r="F52" s="170">
        <v>0</v>
      </c>
      <c r="G52" s="312">
        <f t="shared" si="2"/>
        <v>0</v>
      </c>
      <c r="H52" s="569">
        <v>42896.657142857141</v>
      </c>
      <c r="I52" s="198">
        <f t="shared" si="4"/>
        <v>42896.657142857141</v>
      </c>
      <c r="K52" s="518"/>
      <c r="L52" s="189"/>
      <c r="M52" s="24"/>
      <c r="N52" s="519"/>
    </row>
    <row r="53" spans="2:14" ht="15.4" x14ac:dyDescent="0.45">
      <c r="B53" s="77" t="s">
        <v>123</v>
      </c>
      <c r="C53" s="162">
        <v>808</v>
      </c>
      <c r="D53" s="78" t="s">
        <v>133</v>
      </c>
      <c r="E53" s="170">
        <v>29451.600000000002</v>
      </c>
      <c r="F53" s="170">
        <v>0</v>
      </c>
      <c r="G53" s="312">
        <f t="shared" si="2"/>
        <v>31807.728000000003</v>
      </c>
      <c r="H53" s="569">
        <v>54725.214348668305</v>
      </c>
      <c r="I53" s="198">
        <f t="shared" si="4"/>
        <v>86532.942348668308</v>
      </c>
      <c r="K53" s="518"/>
      <c r="L53" s="189"/>
      <c r="M53" s="24"/>
      <c r="N53" s="519"/>
    </row>
    <row r="54" spans="2:14" ht="15.4" x14ac:dyDescent="0.45">
      <c r="B54" s="77" t="s">
        <v>123</v>
      </c>
      <c r="C54" s="162">
        <v>394</v>
      </c>
      <c r="D54" s="78" t="s">
        <v>134</v>
      </c>
      <c r="E54" s="170">
        <v>0</v>
      </c>
      <c r="F54" s="170">
        <v>0</v>
      </c>
      <c r="G54" s="312">
        <f t="shared" si="2"/>
        <v>0</v>
      </c>
      <c r="H54" s="569">
        <v>181758.66049878934</v>
      </c>
      <c r="I54" s="198">
        <f t="shared" si="4"/>
        <v>181758.66049878934</v>
      </c>
      <c r="K54" s="518"/>
      <c r="L54" s="189"/>
      <c r="M54" s="24"/>
      <c r="N54" s="519"/>
    </row>
    <row r="55" spans="2:14" ht="15.4" x14ac:dyDescent="0.45">
      <c r="B55" s="77" t="s">
        <v>135</v>
      </c>
      <c r="C55" s="162">
        <v>889</v>
      </c>
      <c r="D55" s="78" t="s">
        <v>136</v>
      </c>
      <c r="E55" s="170">
        <v>424574.2656000001</v>
      </c>
      <c r="F55" s="170">
        <v>0</v>
      </c>
      <c r="G55" s="312">
        <f t="shared" si="2"/>
        <v>458540.20684800012</v>
      </c>
      <c r="H55" s="569">
        <v>205642.4245956417</v>
      </c>
      <c r="I55" s="198">
        <f t="shared" si="4"/>
        <v>664182.63144364185</v>
      </c>
      <c r="K55" s="518"/>
      <c r="L55" s="189"/>
      <c r="M55" s="24"/>
      <c r="N55" s="519"/>
    </row>
    <row r="56" spans="2:14" ht="15.4" x14ac:dyDescent="0.45">
      <c r="B56" s="77" t="s">
        <v>135</v>
      </c>
      <c r="C56" s="162">
        <v>890</v>
      </c>
      <c r="D56" s="78" t="s">
        <v>137</v>
      </c>
      <c r="E56" s="170">
        <v>1333568.4480000001</v>
      </c>
      <c r="F56" s="170">
        <v>0</v>
      </c>
      <c r="G56" s="312">
        <f t="shared" si="2"/>
        <v>1440253.9238400003</v>
      </c>
      <c r="H56" s="569">
        <v>164987.14285714287</v>
      </c>
      <c r="I56" s="198">
        <f t="shared" si="4"/>
        <v>1605241.0666971433</v>
      </c>
      <c r="K56" s="518"/>
      <c r="L56" s="189"/>
      <c r="M56" s="24"/>
      <c r="N56" s="519"/>
    </row>
    <row r="57" spans="2:14" ht="15.4" x14ac:dyDescent="0.45">
      <c r="B57" s="77" t="s">
        <v>135</v>
      </c>
      <c r="C57" s="162">
        <v>350</v>
      </c>
      <c r="D57" s="78" t="s">
        <v>138</v>
      </c>
      <c r="E57" s="170">
        <v>0</v>
      </c>
      <c r="F57" s="170">
        <v>0</v>
      </c>
      <c r="G57" s="312">
        <f t="shared" si="2"/>
        <v>0</v>
      </c>
      <c r="H57" s="569">
        <v>187702.56600968534</v>
      </c>
      <c r="I57" s="198">
        <f t="shared" si="4"/>
        <v>187702.56600968534</v>
      </c>
      <c r="K57" s="518"/>
      <c r="L57" s="189"/>
      <c r="M57" s="24"/>
      <c r="N57" s="519"/>
    </row>
    <row r="58" spans="2:14" ht="15.4" x14ac:dyDescent="0.45">
      <c r="B58" s="77" t="s">
        <v>135</v>
      </c>
      <c r="C58" s="162">
        <v>351</v>
      </c>
      <c r="D58" s="78" t="s">
        <v>139</v>
      </c>
      <c r="E58" s="170">
        <v>197462.37542400003</v>
      </c>
      <c r="F58" s="170">
        <v>0</v>
      </c>
      <c r="G58" s="312">
        <f t="shared" si="2"/>
        <v>213259.36545792004</v>
      </c>
      <c r="H58" s="569">
        <v>124975.16643583542</v>
      </c>
      <c r="I58" s="198">
        <f t="shared" si="4"/>
        <v>338234.53189375543</v>
      </c>
      <c r="K58" s="518"/>
      <c r="L58" s="189"/>
      <c r="M58" s="24"/>
      <c r="N58" s="519"/>
    </row>
    <row r="59" spans="2:14" ht="15.4" x14ac:dyDescent="0.45">
      <c r="B59" s="77" t="s">
        <v>135</v>
      </c>
      <c r="C59" s="162">
        <v>895</v>
      </c>
      <c r="D59" s="78" t="s">
        <v>140</v>
      </c>
      <c r="E59" s="170">
        <v>0</v>
      </c>
      <c r="F59" s="170">
        <v>0</v>
      </c>
      <c r="G59" s="312">
        <f t="shared" si="2"/>
        <v>0</v>
      </c>
      <c r="H59" s="569">
        <v>104983.49498305091</v>
      </c>
      <c r="I59" s="198">
        <f t="shared" si="4"/>
        <v>104983.49498305091</v>
      </c>
      <c r="K59" s="518"/>
      <c r="L59" s="189"/>
      <c r="M59" s="24"/>
      <c r="N59" s="519"/>
    </row>
    <row r="60" spans="2:14" ht="15.4" x14ac:dyDescent="0.45">
      <c r="B60" s="77" t="s">
        <v>135</v>
      </c>
      <c r="C60" s="162">
        <v>896</v>
      </c>
      <c r="D60" s="78" t="s">
        <v>141</v>
      </c>
      <c r="E60" s="170">
        <v>619527.36470400018</v>
      </c>
      <c r="F60" s="170">
        <v>0</v>
      </c>
      <c r="G60" s="312">
        <f t="shared" si="2"/>
        <v>669089.55388032028</v>
      </c>
      <c r="H60" s="569">
        <v>136688.4434237289</v>
      </c>
      <c r="I60" s="198">
        <f t="shared" si="4"/>
        <v>805777.9973040492</v>
      </c>
      <c r="K60" s="518"/>
      <c r="L60" s="189"/>
      <c r="M60" s="24"/>
      <c r="N60" s="519"/>
    </row>
    <row r="61" spans="2:14" ht="15.4" x14ac:dyDescent="0.45">
      <c r="B61" s="77" t="s">
        <v>135</v>
      </c>
      <c r="C61" s="162">
        <v>909</v>
      </c>
      <c r="D61" s="78" t="s">
        <v>142</v>
      </c>
      <c r="E61" s="170">
        <v>945557.7547680001</v>
      </c>
      <c r="F61" s="170">
        <v>0</v>
      </c>
      <c r="G61" s="312">
        <f t="shared" si="2"/>
        <v>1021202.3751494401</v>
      </c>
      <c r="H61" s="569">
        <v>194092.49095883785</v>
      </c>
      <c r="I61" s="198">
        <f t="shared" si="4"/>
        <v>1215294.866108278</v>
      </c>
      <c r="K61" s="518"/>
      <c r="L61" s="189"/>
      <c r="M61" s="24"/>
      <c r="N61" s="519"/>
    </row>
    <row r="62" spans="2:14" ht="15.4" x14ac:dyDescent="0.45">
      <c r="B62" s="77" t="s">
        <v>135</v>
      </c>
      <c r="C62" s="162">
        <v>876</v>
      </c>
      <c r="D62" s="78" t="s">
        <v>143</v>
      </c>
      <c r="E62" s="170">
        <v>0</v>
      </c>
      <c r="F62" s="170">
        <v>0</v>
      </c>
      <c r="G62" s="312">
        <f t="shared" si="2"/>
        <v>0</v>
      </c>
      <c r="H62" s="569">
        <v>67644.32397094433</v>
      </c>
      <c r="I62" s="198">
        <f t="shared" si="4"/>
        <v>67644.32397094433</v>
      </c>
      <c r="K62" s="518"/>
      <c r="L62" s="189"/>
      <c r="M62" s="24"/>
      <c r="N62" s="519"/>
    </row>
    <row r="63" spans="2:14" ht="15.4" x14ac:dyDescent="0.45">
      <c r="B63" s="77" t="s">
        <v>135</v>
      </c>
      <c r="C63" s="162">
        <v>340</v>
      </c>
      <c r="D63" s="78" t="s">
        <v>144</v>
      </c>
      <c r="E63" s="170">
        <v>133743.24979200002</v>
      </c>
      <c r="F63" s="170">
        <v>0</v>
      </c>
      <c r="G63" s="312">
        <f t="shared" si="2"/>
        <v>144442.70977536004</v>
      </c>
      <c r="H63" s="569">
        <v>102212.94263922528</v>
      </c>
      <c r="I63" s="198">
        <f t="shared" si="4"/>
        <v>246655.65241458532</v>
      </c>
      <c r="K63" s="518"/>
      <c r="L63" s="189"/>
      <c r="M63" s="24"/>
      <c r="N63" s="519"/>
    </row>
    <row r="64" spans="2:14" ht="15.4" x14ac:dyDescent="0.45">
      <c r="B64" s="77" t="s">
        <v>135</v>
      </c>
      <c r="C64" s="162">
        <v>888</v>
      </c>
      <c r="D64" s="78" t="s">
        <v>145</v>
      </c>
      <c r="E64" s="170">
        <v>718619.04</v>
      </c>
      <c r="F64" s="170">
        <v>0</v>
      </c>
      <c r="G64" s="312">
        <f t="shared" si="2"/>
        <v>776108.56320000009</v>
      </c>
      <c r="H64" s="569">
        <v>731084.25857142871</v>
      </c>
      <c r="I64" s="198">
        <f t="shared" si="4"/>
        <v>1507192.8217714289</v>
      </c>
      <c r="K64" s="518"/>
      <c r="L64" s="189"/>
      <c r="M64" s="24"/>
      <c r="N64" s="519"/>
    </row>
    <row r="65" spans="2:14" ht="15.4" x14ac:dyDescent="0.45">
      <c r="B65" s="77" t="s">
        <v>135</v>
      </c>
      <c r="C65" s="162">
        <v>341</v>
      </c>
      <c r="D65" s="78" t="s">
        <v>146</v>
      </c>
      <c r="E65" s="170">
        <v>721405.16136000014</v>
      </c>
      <c r="F65" s="170">
        <v>92500</v>
      </c>
      <c r="G65" s="312">
        <f t="shared" si="2"/>
        <v>879017.57426880021</v>
      </c>
      <c r="H65" s="569">
        <v>387437.42418491887</v>
      </c>
      <c r="I65" s="198">
        <f t="shared" si="4"/>
        <v>1266454.9984537191</v>
      </c>
      <c r="K65" s="518"/>
      <c r="L65" s="189"/>
      <c r="M65" s="24"/>
      <c r="N65" s="519"/>
    </row>
    <row r="66" spans="2:14" ht="15.4" x14ac:dyDescent="0.45">
      <c r="B66" s="77" t="s">
        <v>135</v>
      </c>
      <c r="C66" s="162">
        <v>352</v>
      </c>
      <c r="D66" s="78" t="s">
        <v>147</v>
      </c>
      <c r="E66" s="170">
        <v>2217725.8920000005</v>
      </c>
      <c r="F66" s="170">
        <v>0</v>
      </c>
      <c r="G66" s="312">
        <f t="shared" si="2"/>
        <v>2395143.9633600009</v>
      </c>
      <c r="H66" s="569">
        <v>420164.54867796612</v>
      </c>
      <c r="I66" s="198">
        <f t="shared" si="4"/>
        <v>2815308.5120379669</v>
      </c>
      <c r="K66" s="518"/>
      <c r="L66" s="189"/>
      <c r="M66" s="24"/>
      <c r="N66" s="519"/>
    </row>
    <row r="67" spans="2:14" ht="15.4" x14ac:dyDescent="0.45">
      <c r="B67" s="77" t="s">
        <v>135</v>
      </c>
      <c r="C67" s="162">
        <v>353</v>
      </c>
      <c r="D67" s="78" t="s">
        <v>148</v>
      </c>
      <c r="E67" s="170">
        <v>524690.85657600011</v>
      </c>
      <c r="F67" s="170">
        <v>0</v>
      </c>
      <c r="G67" s="312">
        <f t="shared" si="2"/>
        <v>566666.12510208017</v>
      </c>
      <c r="H67" s="569">
        <v>67034.137234866852</v>
      </c>
      <c r="I67" s="198">
        <f t="shared" si="4"/>
        <v>633700.26233694702</v>
      </c>
      <c r="K67" s="518"/>
      <c r="L67" s="189"/>
      <c r="M67" s="24"/>
      <c r="N67" s="519"/>
    </row>
    <row r="68" spans="2:14" ht="15.4" x14ac:dyDescent="0.45">
      <c r="B68" s="77" t="s">
        <v>135</v>
      </c>
      <c r="C68" s="162">
        <v>354</v>
      </c>
      <c r="D68" s="78" t="s">
        <v>149</v>
      </c>
      <c r="E68" s="170">
        <v>0</v>
      </c>
      <c r="F68" s="170">
        <v>0</v>
      </c>
      <c r="G68" s="312">
        <f t="shared" si="2"/>
        <v>0</v>
      </c>
      <c r="H68" s="569">
        <v>105591.77142857142</v>
      </c>
      <c r="I68" s="198">
        <f t="shared" si="4"/>
        <v>105591.77142857142</v>
      </c>
      <c r="K68" s="518"/>
      <c r="L68" s="189"/>
      <c r="M68" s="24"/>
      <c r="N68" s="519"/>
    </row>
    <row r="69" spans="2:14" ht="15.4" x14ac:dyDescent="0.45">
      <c r="B69" s="77" t="s">
        <v>135</v>
      </c>
      <c r="C69" s="162">
        <v>355</v>
      </c>
      <c r="D69" s="78" t="s">
        <v>150</v>
      </c>
      <c r="E69" s="170">
        <v>0</v>
      </c>
      <c r="F69" s="170">
        <v>0</v>
      </c>
      <c r="G69" s="312">
        <f t="shared" si="2"/>
        <v>0</v>
      </c>
      <c r="H69" s="569">
        <v>210268.49733656179</v>
      </c>
      <c r="I69" s="198">
        <f t="shared" si="4"/>
        <v>210268.49733656179</v>
      </c>
      <c r="K69" s="518"/>
      <c r="L69" s="189"/>
      <c r="M69" s="24"/>
      <c r="N69" s="519"/>
    </row>
    <row r="70" spans="2:14" ht="15.4" x14ac:dyDescent="0.45">
      <c r="B70" s="77" t="s">
        <v>135</v>
      </c>
      <c r="C70" s="162">
        <v>343</v>
      </c>
      <c r="D70" s="78" t="s">
        <v>151</v>
      </c>
      <c r="E70" s="170">
        <v>0</v>
      </c>
      <c r="F70" s="170">
        <v>0</v>
      </c>
      <c r="G70" s="312">
        <f t="shared" si="2"/>
        <v>0</v>
      </c>
      <c r="H70" s="569">
        <v>155572.92965133174</v>
      </c>
      <c r="I70" s="198">
        <f t="shared" si="4"/>
        <v>155572.92965133174</v>
      </c>
      <c r="K70" s="518"/>
      <c r="L70" s="189"/>
      <c r="M70" s="24"/>
      <c r="N70" s="519"/>
    </row>
    <row r="71" spans="2:14" ht="15.4" x14ac:dyDescent="0.45">
      <c r="B71" s="77" t="s">
        <v>135</v>
      </c>
      <c r="C71" s="162">
        <v>342</v>
      </c>
      <c r="D71" s="78" t="s">
        <v>522</v>
      </c>
      <c r="E71" s="170">
        <v>0</v>
      </c>
      <c r="F71" s="170">
        <v>0</v>
      </c>
      <c r="G71" s="312">
        <f t="shared" si="2"/>
        <v>0</v>
      </c>
      <c r="H71" s="569">
        <v>94984.723399515744</v>
      </c>
      <c r="I71" s="198">
        <f t="shared" si="4"/>
        <v>94984.723399515744</v>
      </c>
      <c r="K71" s="518"/>
      <c r="L71" s="189"/>
      <c r="M71" s="24"/>
      <c r="N71" s="519"/>
    </row>
    <row r="72" spans="2:14" ht="15.4" x14ac:dyDescent="0.45">
      <c r="B72" s="77" t="s">
        <v>135</v>
      </c>
      <c r="C72" s="162">
        <v>356</v>
      </c>
      <c r="D72" s="78" t="s">
        <v>152</v>
      </c>
      <c r="E72" s="170">
        <v>58903.200000000004</v>
      </c>
      <c r="F72" s="170">
        <v>0</v>
      </c>
      <c r="G72" s="312">
        <f t="shared" si="2"/>
        <v>63615.456000000006</v>
      </c>
      <c r="H72" s="569">
        <v>172641.65661501215</v>
      </c>
      <c r="I72" s="198">
        <f t="shared" si="4"/>
        <v>236257.11261501216</v>
      </c>
      <c r="K72" s="518"/>
      <c r="L72" s="189"/>
      <c r="M72" s="24"/>
      <c r="N72" s="519"/>
    </row>
    <row r="73" spans="2:14" ht="15.4" x14ac:dyDescent="0.45">
      <c r="B73" s="77" t="s">
        <v>135</v>
      </c>
      <c r="C73" s="162">
        <v>357</v>
      </c>
      <c r="D73" s="78" t="s">
        <v>153</v>
      </c>
      <c r="E73" s="170">
        <v>88354.8</v>
      </c>
      <c r="F73" s="170">
        <v>0</v>
      </c>
      <c r="G73" s="312">
        <f t="shared" si="2"/>
        <v>95423.184000000008</v>
      </c>
      <c r="H73" s="569">
        <v>91567.466188862003</v>
      </c>
      <c r="I73" s="198">
        <f t="shared" ref="I73:I104" si="7">G73  + H73</f>
        <v>186990.650188862</v>
      </c>
      <c r="K73" s="518"/>
      <c r="L73" s="189"/>
      <c r="M73" s="24"/>
      <c r="N73" s="519"/>
    </row>
    <row r="74" spans="2:14" ht="15.4" x14ac:dyDescent="0.45">
      <c r="B74" s="77" t="s">
        <v>135</v>
      </c>
      <c r="C74" s="162">
        <v>358</v>
      </c>
      <c r="D74" s="78" t="s">
        <v>154</v>
      </c>
      <c r="E74" s="170">
        <v>0</v>
      </c>
      <c r="F74" s="170">
        <v>0</v>
      </c>
      <c r="G74" s="312">
        <f t="shared" ref="G74:G137" si="8">SUM(E74:F74)*(100% + 8%)</f>
        <v>0</v>
      </c>
      <c r="H74" s="569">
        <v>66271.946527845081</v>
      </c>
      <c r="I74" s="198">
        <f t="shared" si="7"/>
        <v>66271.946527845081</v>
      </c>
      <c r="K74" s="518"/>
      <c r="L74" s="189"/>
      <c r="M74" s="24"/>
      <c r="N74" s="519"/>
    </row>
    <row r="75" spans="2:14" ht="15.4" x14ac:dyDescent="0.45">
      <c r="B75" s="77" t="s">
        <v>135</v>
      </c>
      <c r="C75" s="162">
        <v>877</v>
      </c>
      <c r="D75" s="78" t="s">
        <v>155</v>
      </c>
      <c r="E75" s="170">
        <v>366996.38760000007</v>
      </c>
      <c r="F75" s="170">
        <v>0</v>
      </c>
      <c r="G75" s="312">
        <f t="shared" si="8"/>
        <v>396356.09860800009</v>
      </c>
      <c r="H75" s="569">
        <v>41738.292053268786</v>
      </c>
      <c r="I75" s="198">
        <f t="shared" si="7"/>
        <v>438094.39066126884</v>
      </c>
      <c r="K75" s="518"/>
      <c r="L75" s="189"/>
      <c r="M75" s="24"/>
      <c r="N75" s="519"/>
    </row>
    <row r="76" spans="2:14" ht="15.4" x14ac:dyDescent="0.45">
      <c r="B76" s="77" t="s">
        <v>135</v>
      </c>
      <c r="C76" s="162">
        <v>359</v>
      </c>
      <c r="D76" s="78" t="s">
        <v>156</v>
      </c>
      <c r="E76" s="170">
        <v>35341.920000000006</v>
      </c>
      <c r="F76" s="170">
        <v>0</v>
      </c>
      <c r="G76" s="312">
        <f t="shared" si="8"/>
        <v>38169.273600000008</v>
      </c>
      <c r="H76" s="569">
        <v>137264.36448426158</v>
      </c>
      <c r="I76" s="198">
        <f t="shared" si="7"/>
        <v>175433.63808426159</v>
      </c>
      <c r="K76" s="518"/>
      <c r="L76" s="189"/>
      <c r="M76" s="24"/>
      <c r="N76" s="519"/>
    </row>
    <row r="77" spans="2:14" ht="15.4" x14ac:dyDescent="0.45">
      <c r="B77" s="77" t="s">
        <v>135</v>
      </c>
      <c r="C77" s="162">
        <v>344</v>
      </c>
      <c r="D77" s="78" t="s">
        <v>157</v>
      </c>
      <c r="E77" s="170">
        <v>1601106.7824000001</v>
      </c>
      <c r="F77" s="170">
        <v>0</v>
      </c>
      <c r="G77" s="312">
        <f t="shared" si="8"/>
        <v>1729195.3249920004</v>
      </c>
      <c r="H77" s="569">
        <v>93628.912489491602</v>
      </c>
      <c r="I77" s="198">
        <f t="shared" si="7"/>
        <v>1822824.2374814919</v>
      </c>
      <c r="K77" s="518"/>
      <c r="L77" s="189"/>
      <c r="M77" s="24"/>
      <c r="N77" s="519"/>
    </row>
    <row r="78" spans="2:14" ht="15.4" x14ac:dyDescent="0.45">
      <c r="B78" s="77" t="s">
        <v>158</v>
      </c>
      <c r="C78" s="310">
        <v>301</v>
      </c>
      <c r="D78" s="78" t="s">
        <v>159</v>
      </c>
      <c r="E78" s="170">
        <v>0</v>
      </c>
      <c r="F78" s="170">
        <v>0</v>
      </c>
      <c r="G78" s="312">
        <f t="shared" si="8"/>
        <v>0</v>
      </c>
      <c r="H78" s="569">
        <v>148382.28</v>
      </c>
      <c r="I78" s="198">
        <f t="shared" si="7"/>
        <v>148382.28</v>
      </c>
      <c r="K78" s="518"/>
      <c r="L78" s="189"/>
      <c r="M78" s="24"/>
      <c r="N78" s="519"/>
    </row>
    <row r="79" spans="2:14" ht="15.4" x14ac:dyDescent="0.45">
      <c r="B79" s="77" t="s">
        <v>158</v>
      </c>
      <c r="C79" s="162">
        <v>302</v>
      </c>
      <c r="D79" s="78" t="s">
        <v>160</v>
      </c>
      <c r="E79" s="170">
        <v>637504.6213440001</v>
      </c>
      <c r="F79" s="170">
        <v>0</v>
      </c>
      <c r="G79" s="312">
        <f t="shared" si="8"/>
        <v>688504.9910515201</v>
      </c>
      <c r="H79" s="569">
        <v>195355.68566101705</v>
      </c>
      <c r="I79" s="198">
        <f t="shared" si="7"/>
        <v>883860.67671253718</v>
      </c>
      <c r="K79" s="518"/>
      <c r="L79" s="189"/>
      <c r="M79" s="24"/>
      <c r="N79" s="519"/>
    </row>
    <row r="80" spans="2:14" ht="15.4" x14ac:dyDescent="0.45">
      <c r="B80" s="77" t="s">
        <v>158</v>
      </c>
      <c r="C80" s="162">
        <v>303</v>
      </c>
      <c r="D80" s="78" t="s">
        <v>161</v>
      </c>
      <c r="E80" s="170">
        <v>347528.88</v>
      </c>
      <c r="F80" s="170">
        <v>0</v>
      </c>
      <c r="G80" s="312">
        <f t="shared" si="8"/>
        <v>375331.19040000002</v>
      </c>
      <c r="H80" s="569">
        <v>98766.989685230015</v>
      </c>
      <c r="I80" s="198">
        <f t="shared" si="7"/>
        <v>474098.18008523004</v>
      </c>
      <c r="K80" s="518"/>
      <c r="L80" s="189"/>
      <c r="M80" s="24"/>
      <c r="N80" s="519"/>
    </row>
    <row r="81" spans="2:14" ht="15.4" x14ac:dyDescent="0.45">
      <c r="B81" s="77" t="s">
        <v>158</v>
      </c>
      <c r="C81" s="162">
        <v>304</v>
      </c>
      <c r="D81" s="78" t="s">
        <v>162</v>
      </c>
      <c r="E81" s="170">
        <v>130053.60000000002</v>
      </c>
      <c r="F81" s="170">
        <v>0</v>
      </c>
      <c r="G81" s="312">
        <f t="shared" si="8"/>
        <v>140457.88800000004</v>
      </c>
      <c r="H81" s="569">
        <v>111225.21179176758</v>
      </c>
      <c r="I81" s="198">
        <f t="shared" si="7"/>
        <v>251683.0997917676</v>
      </c>
      <c r="K81" s="518"/>
      <c r="L81" s="189"/>
      <c r="M81" s="24"/>
      <c r="N81" s="519"/>
    </row>
    <row r="82" spans="2:14" ht="15.4" x14ac:dyDescent="0.45">
      <c r="B82" s="77" t="s">
        <v>158</v>
      </c>
      <c r="C82" s="162">
        <v>305</v>
      </c>
      <c r="D82" s="78" t="s">
        <v>163</v>
      </c>
      <c r="E82" s="170">
        <v>824644.8</v>
      </c>
      <c r="F82" s="170">
        <v>0</v>
      </c>
      <c r="G82" s="312">
        <f t="shared" si="8"/>
        <v>890616.38400000008</v>
      </c>
      <c r="H82" s="569">
        <v>114627.50394673125</v>
      </c>
      <c r="I82" s="198">
        <f t="shared" si="7"/>
        <v>1005243.8879467313</v>
      </c>
      <c r="K82" s="518"/>
      <c r="L82" s="189"/>
      <c r="M82" s="24"/>
      <c r="N82" s="519"/>
    </row>
    <row r="83" spans="2:14" ht="15.4" x14ac:dyDescent="0.45">
      <c r="B83" s="77" t="s">
        <v>158</v>
      </c>
      <c r="C83" s="162">
        <v>306</v>
      </c>
      <c r="D83" s="78" t="s">
        <v>164</v>
      </c>
      <c r="E83" s="170">
        <v>453554.64</v>
      </c>
      <c r="F83" s="170">
        <v>0</v>
      </c>
      <c r="G83" s="312">
        <f t="shared" si="8"/>
        <v>489839.01120000007</v>
      </c>
      <c r="H83" s="569">
        <v>241863.16841786893</v>
      </c>
      <c r="I83" s="198">
        <f t="shared" si="7"/>
        <v>731702.17961786897</v>
      </c>
      <c r="K83" s="518"/>
      <c r="L83" s="189"/>
      <c r="M83" s="24"/>
      <c r="N83" s="519"/>
    </row>
    <row r="84" spans="2:14" ht="15.4" x14ac:dyDescent="0.45">
      <c r="B84" s="77" t="s">
        <v>158</v>
      </c>
      <c r="C84" s="162">
        <v>307</v>
      </c>
      <c r="D84" s="78" t="s">
        <v>165</v>
      </c>
      <c r="E84" s="170">
        <v>0</v>
      </c>
      <c r="F84" s="170">
        <v>0</v>
      </c>
      <c r="G84" s="312">
        <f t="shared" si="8"/>
        <v>0</v>
      </c>
      <c r="H84" s="569">
        <v>204084.86374818411</v>
      </c>
      <c r="I84" s="198">
        <f t="shared" si="7"/>
        <v>204084.86374818411</v>
      </c>
      <c r="K84" s="518"/>
      <c r="L84" s="189"/>
      <c r="M84" s="24"/>
      <c r="N84" s="519"/>
    </row>
    <row r="85" spans="2:14" ht="15.4" x14ac:dyDescent="0.45">
      <c r="B85" s="77" t="s">
        <v>158</v>
      </c>
      <c r="C85" s="162">
        <v>308</v>
      </c>
      <c r="D85" s="78" t="s">
        <v>166</v>
      </c>
      <c r="E85" s="170">
        <v>458090.18640000006</v>
      </c>
      <c r="F85" s="170">
        <v>0</v>
      </c>
      <c r="G85" s="312">
        <f t="shared" si="8"/>
        <v>494737.40131200012</v>
      </c>
      <c r="H85" s="569">
        <v>105701.2137723972</v>
      </c>
      <c r="I85" s="198">
        <f t="shared" si="7"/>
        <v>600438.61508439737</v>
      </c>
      <c r="K85" s="518"/>
      <c r="L85" s="189"/>
      <c r="M85" s="24"/>
      <c r="N85" s="519"/>
    </row>
    <row r="86" spans="2:14" ht="15.4" x14ac:dyDescent="0.45">
      <c r="B86" s="77" t="s">
        <v>158</v>
      </c>
      <c r="C86" s="162">
        <v>203</v>
      </c>
      <c r="D86" s="78" t="s">
        <v>167</v>
      </c>
      <c r="E86" s="170">
        <v>545951.37758400012</v>
      </c>
      <c r="F86" s="170">
        <v>0</v>
      </c>
      <c r="G86" s="312">
        <f t="shared" si="8"/>
        <v>589627.48779072019</v>
      </c>
      <c r="H86" s="569">
        <v>185736.75861016952</v>
      </c>
      <c r="I86" s="198">
        <f t="shared" si="7"/>
        <v>775364.24640088971</v>
      </c>
      <c r="K86" s="518"/>
      <c r="L86" s="189"/>
      <c r="M86" s="24"/>
      <c r="N86" s="519"/>
    </row>
    <row r="87" spans="2:14" ht="15.4" x14ac:dyDescent="0.45">
      <c r="B87" s="77" t="s">
        <v>158</v>
      </c>
      <c r="C87" s="162">
        <v>310</v>
      </c>
      <c r="D87" s="78" t="s">
        <v>168</v>
      </c>
      <c r="E87" s="170">
        <v>197091.71683200001</v>
      </c>
      <c r="F87" s="170">
        <v>0</v>
      </c>
      <c r="G87" s="312">
        <f t="shared" si="8"/>
        <v>212859.05417856001</v>
      </c>
      <c r="H87" s="569">
        <v>130445.15678934629</v>
      </c>
      <c r="I87" s="198">
        <f t="shared" si="7"/>
        <v>343304.21096790629</v>
      </c>
      <c r="K87" s="518"/>
      <c r="L87" s="189"/>
      <c r="M87" s="24"/>
      <c r="N87" s="519"/>
    </row>
    <row r="88" spans="2:14" ht="15.4" x14ac:dyDescent="0.45">
      <c r="B88" s="77" t="s">
        <v>158</v>
      </c>
      <c r="C88" s="162">
        <v>311</v>
      </c>
      <c r="D88" s="78" t="s">
        <v>169</v>
      </c>
      <c r="E88" s="170">
        <v>92065.701600000015</v>
      </c>
      <c r="F88" s="170">
        <v>0</v>
      </c>
      <c r="G88" s="312">
        <f t="shared" si="8"/>
        <v>99430.957728000023</v>
      </c>
      <c r="H88" s="569">
        <v>36315.428571428572</v>
      </c>
      <c r="I88" s="198">
        <f t="shared" si="7"/>
        <v>135746.38629942859</v>
      </c>
      <c r="K88" s="518"/>
      <c r="L88" s="189"/>
      <c r="M88" s="24"/>
      <c r="N88" s="519"/>
    </row>
    <row r="89" spans="2:14" ht="15.4" x14ac:dyDescent="0.45">
      <c r="B89" s="77" t="s">
        <v>158</v>
      </c>
      <c r="C89" s="162">
        <v>312</v>
      </c>
      <c r="D89" s="78" t="s">
        <v>170</v>
      </c>
      <c r="E89" s="170">
        <v>88354.8</v>
      </c>
      <c r="F89" s="170">
        <v>0</v>
      </c>
      <c r="G89" s="312">
        <f t="shared" si="8"/>
        <v>95423.184000000008</v>
      </c>
      <c r="H89" s="569">
        <v>93901.151133171967</v>
      </c>
      <c r="I89" s="198">
        <f t="shared" si="7"/>
        <v>189324.33513317199</v>
      </c>
      <c r="K89" s="518"/>
      <c r="L89" s="189"/>
      <c r="M89" s="24"/>
      <c r="N89" s="519"/>
    </row>
    <row r="90" spans="2:14" ht="15.4" x14ac:dyDescent="0.45">
      <c r="B90" s="77" t="s">
        <v>158</v>
      </c>
      <c r="C90" s="162">
        <v>313</v>
      </c>
      <c r="D90" s="78" t="s">
        <v>171</v>
      </c>
      <c r="E90" s="170">
        <v>1366554.24</v>
      </c>
      <c r="F90" s="170">
        <v>0</v>
      </c>
      <c r="G90" s="312">
        <f t="shared" si="8"/>
        <v>1475878.5792</v>
      </c>
      <c r="H90" s="569">
        <v>179533.06457509077</v>
      </c>
      <c r="I90" s="198">
        <f t="shared" si="7"/>
        <v>1655411.6437750908</v>
      </c>
      <c r="K90" s="518"/>
      <c r="L90" s="189"/>
      <c r="M90" s="24"/>
      <c r="N90" s="519"/>
    </row>
    <row r="91" spans="2:14" ht="15.4" x14ac:dyDescent="0.45">
      <c r="B91" s="77" t="s">
        <v>158</v>
      </c>
      <c r="C91" s="162">
        <v>314</v>
      </c>
      <c r="D91" s="78" t="s">
        <v>172</v>
      </c>
      <c r="E91" s="170">
        <v>0</v>
      </c>
      <c r="F91" s="170">
        <v>0</v>
      </c>
      <c r="G91" s="312">
        <f t="shared" si="8"/>
        <v>0</v>
      </c>
      <c r="H91" s="569">
        <v>103872.07965133173</v>
      </c>
      <c r="I91" s="198">
        <f t="shared" si="7"/>
        <v>103872.07965133173</v>
      </c>
      <c r="K91" s="518"/>
      <c r="L91" s="189"/>
      <c r="M91" s="24"/>
      <c r="N91" s="519"/>
    </row>
    <row r="92" spans="2:14" ht="15.4" x14ac:dyDescent="0.45">
      <c r="B92" s="77" t="s">
        <v>158</v>
      </c>
      <c r="C92" s="162">
        <v>315</v>
      </c>
      <c r="D92" s="78" t="s">
        <v>173</v>
      </c>
      <c r="E92" s="170">
        <v>58903.200000000004</v>
      </c>
      <c r="F92" s="170">
        <v>0</v>
      </c>
      <c r="G92" s="312">
        <f t="shared" si="8"/>
        <v>63615.456000000006</v>
      </c>
      <c r="H92" s="569">
        <v>95694.507384987912</v>
      </c>
      <c r="I92" s="198">
        <f t="shared" si="7"/>
        <v>159309.9633849879</v>
      </c>
      <c r="K92" s="518"/>
      <c r="L92" s="189"/>
      <c r="M92" s="24"/>
      <c r="N92" s="519"/>
    </row>
    <row r="93" spans="2:14" ht="15.4" x14ac:dyDescent="0.45">
      <c r="B93" s="77" t="s">
        <v>158</v>
      </c>
      <c r="C93" s="162">
        <v>317</v>
      </c>
      <c r="D93" s="78" t="s">
        <v>174</v>
      </c>
      <c r="E93" s="170">
        <v>0</v>
      </c>
      <c r="F93" s="170">
        <v>0</v>
      </c>
      <c r="G93" s="312">
        <f t="shared" si="8"/>
        <v>0</v>
      </c>
      <c r="H93" s="569">
        <v>282322.29106743168</v>
      </c>
      <c r="I93" s="198">
        <f t="shared" si="7"/>
        <v>282322.29106743168</v>
      </c>
      <c r="K93" s="518"/>
      <c r="L93" s="189"/>
      <c r="M93" s="24"/>
      <c r="N93" s="519"/>
    </row>
    <row r="94" spans="2:14" ht="15.4" x14ac:dyDescent="0.45">
      <c r="B94" s="77" t="s">
        <v>158</v>
      </c>
      <c r="C94" s="162">
        <v>318</v>
      </c>
      <c r="D94" s="78" t="s">
        <v>175</v>
      </c>
      <c r="E94" s="170">
        <v>0</v>
      </c>
      <c r="F94" s="170">
        <v>0</v>
      </c>
      <c r="G94" s="312">
        <f t="shared" si="8"/>
        <v>0</v>
      </c>
      <c r="H94" s="569">
        <v>43421.31712832932</v>
      </c>
      <c r="I94" s="198">
        <f t="shared" si="7"/>
        <v>43421.31712832932</v>
      </c>
      <c r="K94" s="518"/>
      <c r="L94" s="189"/>
      <c r="M94" s="24"/>
      <c r="N94" s="519"/>
    </row>
    <row r="95" spans="2:14" ht="15.4" x14ac:dyDescent="0.45">
      <c r="B95" s="77" t="s">
        <v>158</v>
      </c>
      <c r="C95" s="162">
        <v>319</v>
      </c>
      <c r="D95" s="78" t="s">
        <v>176</v>
      </c>
      <c r="E95" s="170">
        <v>313365.02400000009</v>
      </c>
      <c r="F95" s="170">
        <v>0</v>
      </c>
      <c r="G95" s="312">
        <f t="shared" si="8"/>
        <v>338434.22592000011</v>
      </c>
      <c r="H95" s="569">
        <v>208625.49313046021</v>
      </c>
      <c r="I95" s="198">
        <f t="shared" si="7"/>
        <v>547059.71905046026</v>
      </c>
      <c r="K95" s="518"/>
      <c r="L95" s="189"/>
      <c r="M95" s="24"/>
      <c r="N95" s="519"/>
    </row>
    <row r="96" spans="2:14" ht="15.4" x14ac:dyDescent="0.45">
      <c r="B96" s="77" t="s">
        <v>158</v>
      </c>
      <c r="C96" s="162">
        <v>320</v>
      </c>
      <c r="D96" s="78" t="s">
        <v>177</v>
      </c>
      <c r="E96" s="170">
        <v>427637.23200000008</v>
      </c>
      <c r="F96" s="170">
        <v>0</v>
      </c>
      <c r="G96" s="312">
        <f t="shared" si="8"/>
        <v>461848.21056000009</v>
      </c>
      <c r="H96" s="569">
        <v>277660.91104639228</v>
      </c>
      <c r="I96" s="198">
        <f t="shared" si="7"/>
        <v>739509.12160639232</v>
      </c>
      <c r="K96" s="518"/>
      <c r="L96" s="189"/>
      <c r="M96" s="24"/>
      <c r="N96" s="519"/>
    </row>
    <row r="97" spans="2:14" ht="15.4" x14ac:dyDescent="0.45">
      <c r="B97" s="77" t="s">
        <v>178</v>
      </c>
      <c r="C97" s="162">
        <v>867</v>
      </c>
      <c r="D97" s="78" t="s">
        <v>179</v>
      </c>
      <c r="E97" s="170">
        <v>23561.280000000002</v>
      </c>
      <c r="F97" s="170">
        <v>0</v>
      </c>
      <c r="G97" s="312">
        <f t="shared" si="8"/>
        <v>25446.182400000005</v>
      </c>
      <c r="H97" s="569">
        <v>40597.93178692495</v>
      </c>
      <c r="I97" s="198">
        <f t="shared" si="7"/>
        <v>66044.114186924955</v>
      </c>
      <c r="K97" s="518"/>
      <c r="L97" s="189"/>
      <c r="M97" s="24"/>
      <c r="N97" s="519"/>
    </row>
    <row r="98" spans="2:14" ht="15.4" x14ac:dyDescent="0.45">
      <c r="B98" s="77" t="s">
        <v>178</v>
      </c>
      <c r="C98" s="162">
        <v>846</v>
      </c>
      <c r="D98" s="78" t="s">
        <v>180</v>
      </c>
      <c r="E98" s="170">
        <v>0</v>
      </c>
      <c r="F98" s="170">
        <v>0</v>
      </c>
      <c r="G98" s="312">
        <f t="shared" si="8"/>
        <v>0</v>
      </c>
      <c r="H98" s="569">
        <v>83897.367854721626</v>
      </c>
      <c r="I98" s="198">
        <f t="shared" si="7"/>
        <v>83897.367854721626</v>
      </c>
      <c r="K98" s="518"/>
      <c r="L98" s="189"/>
      <c r="M98" s="24"/>
      <c r="N98" s="519"/>
    </row>
    <row r="99" spans="2:14" ht="15.4" x14ac:dyDescent="0.45">
      <c r="B99" s="77" t="s">
        <v>178</v>
      </c>
      <c r="C99" s="162">
        <v>825</v>
      </c>
      <c r="D99" s="78" t="s">
        <v>181</v>
      </c>
      <c r="E99" s="170">
        <v>279778.41936</v>
      </c>
      <c r="F99" s="170">
        <v>0</v>
      </c>
      <c r="G99" s="312">
        <f t="shared" si="8"/>
        <v>302160.69290880003</v>
      </c>
      <c r="H99" s="569">
        <v>266266.83948577713</v>
      </c>
      <c r="I99" s="198">
        <f t="shared" si="7"/>
        <v>568427.53239457717</v>
      </c>
      <c r="K99" s="518"/>
      <c r="L99" s="189"/>
      <c r="M99" s="24"/>
      <c r="N99" s="519"/>
    </row>
    <row r="100" spans="2:14" ht="15.4" x14ac:dyDescent="0.45">
      <c r="B100" s="77" t="s">
        <v>178</v>
      </c>
      <c r="C100" s="162">
        <v>845</v>
      </c>
      <c r="D100" s="78" t="s">
        <v>182</v>
      </c>
      <c r="E100" s="170">
        <v>0</v>
      </c>
      <c r="F100" s="170">
        <v>0</v>
      </c>
      <c r="G100" s="312">
        <f t="shared" si="8"/>
        <v>0</v>
      </c>
      <c r="H100" s="569">
        <v>226576.38357385003</v>
      </c>
      <c r="I100" s="198">
        <f t="shared" si="7"/>
        <v>226576.38357385003</v>
      </c>
      <c r="K100" s="518"/>
      <c r="L100" s="189"/>
      <c r="M100" s="24"/>
      <c r="N100" s="519"/>
    </row>
    <row r="101" spans="2:14" ht="15.4" x14ac:dyDescent="0.45">
      <c r="B101" s="77" t="s">
        <v>178</v>
      </c>
      <c r="C101" s="162">
        <v>850</v>
      </c>
      <c r="D101" s="78" t="s">
        <v>183</v>
      </c>
      <c r="E101" s="170">
        <v>4384096.3584000012</v>
      </c>
      <c r="F101" s="170">
        <v>0</v>
      </c>
      <c r="G101" s="312">
        <f t="shared" si="8"/>
        <v>4734824.0670720013</v>
      </c>
      <c r="H101" s="569">
        <v>355052.33142857143</v>
      </c>
      <c r="I101" s="198">
        <f t="shared" si="7"/>
        <v>5089876.3985005729</v>
      </c>
      <c r="K101" s="518"/>
      <c r="L101" s="189"/>
      <c r="M101" s="24"/>
      <c r="N101" s="519"/>
    </row>
    <row r="102" spans="2:14" ht="15.4" x14ac:dyDescent="0.45">
      <c r="B102" s="77" t="s">
        <v>178</v>
      </c>
      <c r="C102" s="162">
        <v>921</v>
      </c>
      <c r="D102" s="78" t="s">
        <v>184</v>
      </c>
      <c r="E102" s="170">
        <v>14136.768000000002</v>
      </c>
      <c r="F102" s="170">
        <v>0</v>
      </c>
      <c r="G102" s="312">
        <f t="shared" si="8"/>
        <v>15267.709440000002</v>
      </c>
      <c r="H102" s="569">
        <v>48999.821853005218</v>
      </c>
      <c r="I102" s="198">
        <f t="shared" si="7"/>
        <v>64267.531293005217</v>
      </c>
      <c r="K102" s="518"/>
      <c r="L102" s="189"/>
      <c r="M102" s="24"/>
      <c r="N102" s="519"/>
    </row>
    <row r="103" spans="2:14" ht="15.4" x14ac:dyDescent="0.45">
      <c r="B103" s="77" t="s">
        <v>178</v>
      </c>
      <c r="C103" s="162">
        <v>886</v>
      </c>
      <c r="D103" s="78" t="s">
        <v>185</v>
      </c>
      <c r="E103" s="170">
        <v>3502094.4682560004</v>
      </c>
      <c r="F103" s="170">
        <v>0</v>
      </c>
      <c r="G103" s="312">
        <f t="shared" si="8"/>
        <v>3782262.0257164808</v>
      </c>
      <c r="H103" s="569">
        <v>562276.18285714288</v>
      </c>
      <c r="I103" s="198">
        <f t="shared" si="7"/>
        <v>4344538.2085736236</v>
      </c>
      <c r="K103" s="518"/>
      <c r="L103" s="189"/>
      <c r="M103" s="24"/>
      <c r="N103" s="519"/>
    </row>
    <row r="104" spans="2:14" ht="15.4" x14ac:dyDescent="0.45">
      <c r="B104" s="77" t="s">
        <v>178</v>
      </c>
      <c r="C104" s="162">
        <v>887</v>
      </c>
      <c r="D104" s="78" t="s">
        <v>186</v>
      </c>
      <c r="E104" s="170">
        <v>0</v>
      </c>
      <c r="F104" s="170">
        <v>0</v>
      </c>
      <c r="G104" s="312">
        <f t="shared" si="8"/>
        <v>0</v>
      </c>
      <c r="H104" s="569">
        <v>178617.99524939485</v>
      </c>
      <c r="I104" s="198">
        <f t="shared" si="7"/>
        <v>178617.99524939485</v>
      </c>
      <c r="K104" s="518"/>
      <c r="L104" s="189"/>
      <c r="M104" s="24"/>
      <c r="N104" s="519"/>
    </row>
    <row r="105" spans="2:14" ht="15.4" x14ac:dyDescent="0.45">
      <c r="B105" s="77" t="s">
        <v>178</v>
      </c>
      <c r="C105" s="162">
        <v>826</v>
      </c>
      <c r="D105" s="78" t="s">
        <v>187</v>
      </c>
      <c r="E105" s="170">
        <v>0</v>
      </c>
      <c r="F105" s="170">
        <v>0</v>
      </c>
      <c r="G105" s="312">
        <f t="shared" si="8"/>
        <v>0</v>
      </c>
      <c r="H105" s="569">
        <v>211772.63083292995</v>
      </c>
      <c r="I105" s="198">
        <f t="shared" ref="I105:I136" si="9">G105  + H105</f>
        <v>211772.63083292995</v>
      </c>
      <c r="K105" s="518"/>
      <c r="L105" s="189"/>
      <c r="M105" s="24"/>
      <c r="N105" s="519"/>
    </row>
    <row r="106" spans="2:14" ht="15.4" x14ac:dyDescent="0.45">
      <c r="B106" s="77" t="s">
        <v>178</v>
      </c>
      <c r="C106" s="162">
        <v>931</v>
      </c>
      <c r="D106" s="78" t="s">
        <v>188</v>
      </c>
      <c r="E106" s="170">
        <v>1893148.8480000002</v>
      </c>
      <c r="F106" s="170">
        <v>0</v>
      </c>
      <c r="G106" s="312">
        <f t="shared" si="8"/>
        <v>2044600.7558400005</v>
      </c>
      <c r="H106" s="569">
        <v>206338.64236319627</v>
      </c>
      <c r="I106" s="198">
        <f t="shared" si="9"/>
        <v>2250939.3982031969</v>
      </c>
      <c r="K106" s="518"/>
      <c r="L106" s="189"/>
      <c r="M106" s="24"/>
      <c r="N106" s="519"/>
    </row>
    <row r="107" spans="2:14" ht="15.4" x14ac:dyDescent="0.45">
      <c r="B107" s="77" t="s">
        <v>178</v>
      </c>
      <c r="C107" s="162">
        <v>851</v>
      </c>
      <c r="D107" s="78" t="s">
        <v>189</v>
      </c>
      <c r="E107" s="170">
        <v>777522.24000000011</v>
      </c>
      <c r="F107" s="170">
        <v>0</v>
      </c>
      <c r="G107" s="312">
        <f t="shared" si="8"/>
        <v>839724.01920000021</v>
      </c>
      <c r="H107" s="569">
        <v>52195.154944310023</v>
      </c>
      <c r="I107" s="198">
        <f t="shared" si="9"/>
        <v>891919.17414431018</v>
      </c>
      <c r="K107" s="518"/>
      <c r="L107" s="189"/>
      <c r="M107" s="24"/>
      <c r="N107" s="519"/>
    </row>
    <row r="108" spans="2:14" ht="15.4" x14ac:dyDescent="0.45">
      <c r="B108" s="77" t="s">
        <v>178</v>
      </c>
      <c r="C108" s="162">
        <v>870</v>
      </c>
      <c r="D108" s="78" t="s">
        <v>190</v>
      </c>
      <c r="E108" s="170">
        <v>213229.58400000003</v>
      </c>
      <c r="F108" s="170">
        <v>0</v>
      </c>
      <c r="G108" s="312">
        <f t="shared" si="8"/>
        <v>230287.95072000005</v>
      </c>
      <c r="H108" s="569">
        <v>65994.857142857145</v>
      </c>
      <c r="I108" s="198">
        <f t="shared" si="9"/>
        <v>296282.80786285718</v>
      </c>
      <c r="K108" s="518"/>
      <c r="L108" s="189"/>
      <c r="M108" s="24"/>
      <c r="N108" s="519"/>
    </row>
    <row r="109" spans="2:14" ht="15.4" x14ac:dyDescent="0.45">
      <c r="B109" s="77" t="s">
        <v>178</v>
      </c>
      <c r="C109" s="162">
        <v>871</v>
      </c>
      <c r="D109" s="78" t="s">
        <v>191</v>
      </c>
      <c r="E109" s="170">
        <v>141367.68000000002</v>
      </c>
      <c r="F109" s="170">
        <v>0</v>
      </c>
      <c r="G109" s="312">
        <f t="shared" si="8"/>
        <v>152677.09440000003</v>
      </c>
      <c r="H109" s="569">
        <v>162083.34059531015</v>
      </c>
      <c r="I109" s="198">
        <f t="shared" si="9"/>
        <v>314760.43499531015</v>
      </c>
      <c r="K109" s="518"/>
      <c r="L109" s="189"/>
      <c r="M109" s="24"/>
      <c r="N109" s="519"/>
    </row>
    <row r="110" spans="2:14" ht="15.4" x14ac:dyDescent="0.45">
      <c r="B110" s="77" t="s">
        <v>178</v>
      </c>
      <c r="C110" s="162">
        <v>852</v>
      </c>
      <c r="D110" s="78" t="s">
        <v>192</v>
      </c>
      <c r="E110" s="170">
        <v>0</v>
      </c>
      <c r="F110" s="170">
        <v>0</v>
      </c>
      <c r="G110" s="312">
        <f t="shared" si="8"/>
        <v>0</v>
      </c>
      <c r="H110" s="569">
        <v>133766.80576271191</v>
      </c>
      <c r="I110" s="198">
        <f t="shared" si="9"/>
        <v>133766.80576271191</v>
      </c>
      <c r="K110" s="518"/>
      <c r="L110" s="189"/>
      <c r="M110" s="24"/>
      <c r="N110" s="519"/>
    </row>
    <row r="111" spans="2:14" ht="15.4" x14ac:dyDescent="0.45">
      <c r="B111" s="77" t="s">
        <v>178</v>
      </c>
      <c r="C111" s="162">
        <v>936</v>
      </c>
      <c r="D111" s="78" t="s">
        <v>193</v>
      </c>
      <c r="E111" s="170">
        <v>746892.57600000012</v>
      </c>
      <c r="F111" s="170">
        <v>0</v>
      </c>
      <c r="G111" s="312">
        <f t="shared" si="8"/>
        <v>806643.98208000022</v>
      </c>
      <c r="H111" s="569">
        <v>255643.47428571433</v>
      </c>
      <c r="I111" s="198">
        <f t="shared" si="9"/>
        <v>1062287.4563657145</v>
      </c>
      <c r="K111" s="518"/>
      <c r="L111" s="189"/>
      <c r="M111" s="24"/>
      <c r="N111" s="519"/>
    </row>
    <row r="112" spans="2:14" ht="15.4" x14ac:dyDescent="0.45">
      <c r="B112" s="77" t="s">
        <v>178</v>
      </c>
      <c r="C112" s="162">
        <v>869</v>
      </c>
      <c r="D112" s="78" t="s">
        <v>194</v>
      </c>
      <c r="E112" s="170">
        <v>53012.880000000005</v>
      </c>
      <c r="F112" s="170">
        <v>0</v>
      </c>
      <c r="G112" s="312">
        <f t="shared" si="8"/>
        <v>57253.910400000008</v>
      </c>
      <c r="H112" s="569">
        <v>150140.34757384995</v>
      </c>
      <c r="I112" s="198">
        <f t="shared" si="9"/>
        <v>207394.25797384995</v>
      </c>
      <c r="K112" s="518"/>
      <c r="L112" s="189"/>
      <c r="M112" s="24"/>
      <c r="N112" s="519"/>
    </row>
    <row r="113" spans="2:14" ht="15.4" x14ac:dyDescent="0.45">
      <c r="B113" s="77" t="s">
        <v>178</v>
      </c>
      <c r="C113" s="162">
        <v>938</v>
      </c>
      <c r="D113" s="78" t="s">
        <v>195</v>
      </c>
      <c r="E113" s="170">
        <v>623313.66240000003</v>
      </c>
      <c r="F113" s="170">
        <v>0</v>
      </c>
      <c r="G113" s="312">
        <f t="shared" si="8"/>
        <v>673178.75539200008</v>
      </c>
      <c r="H113" s="569">
        <v>236555.9924164649</v>
      </c>
      <c r="I113" s="198">
        <f t="shared" si="9"/>
        <v>909734.74780846504</v>
      </c>
      <c r="K113" s="518"/>
      <c r="L113" s="189"/>
      <c r="M113" s="24"/>
      <c r="N113" s="519"/>
    </row>
    <row r="114" spans="2:14" ht="15.4" x14ac:dyDescent="0.45">
      <c r="B114" s="77" t="s">
        <v>178</v>
      </c>
      <c r="C114" s="162">
        <v>868</v>
      </c>
      <c r="D114" s="78" t="s">
        <v>196</v>
      </c>
      <c r="E114" s="170">
        <v>38522.692800000004</v>
      </c>
      <c r="F114" s="170">
        <v>0</v>
      </c>
      <c r="G114" s="312">
        <f t="shared" si="8"/>
        <v>41604.508224000005</v>
      </c>
      <c r="H114" s="569">
        <v>27196.114285714288</v>
      </c>
      <c r="I114" s="198">
        <f t="shared" si="9"/>
        <v>68800.622509714289</v>
      </c>
      <c r="K114" s="518"/>
      <c r="L114" s="189"/>
      <c r="M114" s="24"/>
      <c r="N114" s="519"/>
    </row>
    <row r="115" spans="2:14" ht="15.4" x14ac:dyDescent="0.45">
      <c r="B115" s="77" t="s">
        <v>178</v>
      </c>
      <c r="C115" s="162">
        <v>872</v>
      </c>
      <c r="D115" s="78" t="s">
        <v>197</v>
      </c>
      <c r="E115" s="170">
        <v>259174.08000000005</v>
      </c>
      <c r="F115" s="170">
        <v>0</v>
      </c>
      <c r="G115" s="312">
        <f t="shared" si="8"/>
        <v>279908.00640000007</v>
      </c>
      <c r="H115" s="569">
        <v>105433.96311864411</v>
      </c>
      <c r="I115" s="198">
        <f t="shared" si="9"/>
        <v>385341.96951864415</v>
      </c>
      <c r="K115" s="518"/>
      <c r="L115" s="189"/>
      <c r="M115" s="24"/>
      <c r="N115" s="519"/>
    </row>
    <row r="116" spans="2:14" ht="15.4" x14ac:dyDescent="0.45">
      <c r="B116" s="77" t="s">
        <v>198</v>
      </c>
      <c r="C116" s="162">
        <v>800</v>
      </c>
      <c r="D116" s="78" t="s">
        <v>199</v>
      </c>
      <c r="E116" s="170">
        <v>362843.71200000006</v>
      </c>
      <c r="F116" s="170">
        <v>0</v>
      </c>
      <c r="G116" s="312">
        <f t="shared" si="8"/>
        <v>391871.20896000008</v>
      </c>
      <c r="H116" s="569">
        <v>27764.575612590859</v>
      </c>
      <c r="I116" s="198">
        <f t="shared" si="9"/>
        <v>419635.78457259096</v>
      </c>
      <c r="K116" s="518"/>
      <c r="L116" s="189"/>
      <c r="M116" s="24"/>
      <c r="N116" s="519"/>
    </row>
    <row r="117" spans="2:14" ht="15.4" x14ac:dyDescent="0.45">
      <c r="B117" s="77" t="s">
        <v>198</v>
      </c>
      <c r="C117" s="162">
        <v>839</v>
      </c>
      <c r="D117" s="78" t="s">
        <v>317</v>
      </c>
      <c r="E117" s="170">
        <v>1067325.9840000002</v>
      </c>
      <c r="F117" s="170">
        <v>0</v>
      </c>
      <c r="G117" s="312">
        <f t="shared" si="8"/>
        <v>1152712.0627200003</v>
      </c>
      <c r="H117" s="569">
        <v>212428.14545278467</v>
      </c>
      <c r="I117" s="198">
        <f t="shared" si="9"/>
        <v>1365140.2081727849</v>
      </c>
      <c r="K117" s="518"/>
      <c r="L117" s="189"/>
      <c r="M117" s="24"/>
      <c r="N117" s="519"/>
    </row>
    <row r="118" spans="2:14" ht="15.4" x14ac:dyDescent="0.45">
      <c r="B118" s="77" t="s">
        <v>198</v>
      </c>
      <c r="C118" s="162">
        <v>801</v>
      </c>
      <c r="D118" s="78" t="s">
        <v>200</v>
      </c>
      <c r="E118" s="170">
        <v>2362854.7454400007</v>
      </c>
      <c r="F118" s="170">
        <v>0</v>
      </c>
      <c r="G118" s="312">
        <f t="shared" si="8"/>
        <v>2551883.125075201</v>
      </c>
      <c r="H118" s="569">
        <v>346011.06957869278</v>
      </c>
      <c r="I118" s="198">
        <f t="shared" si="9"/>
        <v>2897894.1946538938</v>
      </c>
      <c r="K118" s="518"/>
      <c r="L118" s="189"/>
      <c r="M118" s="24"/>
      <c r="N118" s="519"/>
    </row>
    <row r="119" spans="2:14" ht="15.4" x14ac:dyDescent="0.45">
      <c r="B119" s="77" t="s">
        <v>198</v>
      </c>
      <c r="C119" s="162">
        <v>908</v>
      </c>
      <c r="D119" s="78" t="s">
        <v>201</v>
      </c>
      <c r="E119" s="170">
        <v>1340123.6160000004</v>
      </c>
      <c r="F119" s="170">
        <v>0</v>
      </c>
      <c r="G119" s="312">
        <f t="shared" si="8"/>
        <v>1447333.5052800006</v>
      </c>
      <c r="H119" s="569">
        <v>309096.96908104012</v>
      </c>
      <c r="I119" s="198">
        <f t="shared" si="9"/>
        <v>1756430.4743610406</v>
      </c>
      <c r="K119" s="518"/>
      <c r="L119" s="189"/>
      <c r="M119" s="24"/>
      <c r="N119" s="519"/>
    </row>
    <row r="120" spans="2:14" ht="15.4" x14ac:dyDescent="0.45">
      <c r="B120" s="77" t="s">
        <v>198</v>
      </c>
      <c r="C120" s="162">
        <v>878</v>
      </c>
      <c r="D120" s="78" t="s">
        <v>202</v>
      </c>
      <c r="E120" s="170">
        <v>2252458.3680000007</v>
      </c>
      <c r="F120" s="170">
        <v>0</v>
      </c>
      <c r="G120" s="312">
        <f t="shared" si="8"/>
        <v>2432655.037440001</v>
      </c>
      <c r="H120" s="569">
        <v>286567.41678934643</v>
      </c>
      <c r="I120" s="198">
        <f t="shared" si="9"/>
        <v>2719222.4542293474</v>
      </c>
      <c r="K120" s="518"/>
      <c r="L120" s="189"/>
      <c r="M120" s="24"/>
      <c r="N120" s="519"/>
    </row>
    <row r="121" spans="2:14" ht="15.4" x14ac:dyDescent="0.45">
      <c r="B121" s="77" t="s">
        <v>198</v>
      </c>
      <c r="C121" s="162">
        <v>838</v>
      </c>
      <c r="D121" s="78" t="s">
        <v>203</v>
      </c>
      <c r="E121" s="170">
        <v>0</v>
      </c>
      <c r="F121" s="170">
        <v>0</v>
      </c>
      <c r="G121" s="312">
        <f t="shared" si="8"/>
        <v>0</v>
      </c>
      <c r="H121" s="569">
        <v>182674.72620823249</v>
      </c>
      <c r="I121" s="198">
        <f t="shared" si="9"/>
        <v>182674.72620823249</v>
      </c>
      <c r="K121" s="518"/>
      <c r="L121" s="189"/>
      <c r="M121" s="24"/>
      <c r="N121" s="519"/>
    </row>
    <row r="122" spans="2:14" ht="15.4" x14ac:dyDescent="0.45">
      <c r="B122" s="77" t="s">
        <v>198</v>
      </c>
      <c r="C122" s="162">
        <v>916</v>
      </c>
      <c r="D122" s="78" t="s">
        <v>204</v>
      </c>
      <c r="E122" s="170">
        <v>1974651.3075113308</v>
      </c>
      <c r="F122" s="170">
        <v>0</v>
      </c>
      <c r="G122" s="312">
        <f t="shared" si="8"/>
        <v>2132623.4121122374</v>
      </c>
      <c r="H122" s="569">
        <v>280415.98779025814</v>
      </c>
      <c r="I122" s="198">
        <f t="shared" si="9"/>
        <v>2413039.3999024956</v>
      </c>
      <c r="K122" s="518"/>
      <c r="L122" s="189"/>
      <c r="M122" s="24"/>
      <c r="N122" s="519"/>
    </row>
    <row r="123" spans="2:14" ht="15.4" x14ac:dyDescent="0.45">
      <c r="B123" s="77" t="s">
        <v>198</v>
      </c>
      <c r="C123" s="162">
        <v>802</v>
      </c>
      <c r="D123" s="78" t="s">
        <v>205</v>
      </c>
      <c r="E123" s="170">
        <v>0</v>
      </c>
      <c r="F123" s="170">
        <v>0</v>
      </c>
      <c r="G123" s="312">
        <f t="shared" si="8"/>
        <v>0</v>
      </c>
      <c r="H123" s="569">
        <v>92212.66559806306</v>
      </c>
      <c r="I123" s="198">
        <f t="shared" si="9"/>
        <v>92212.66559806306</v>
      </c>
      <c r="K123" s="518"/>
      <c r="L123" s="189"/>
      <c r="M123" s="24"/>
      <c r="N123" s="519"/>
    </row>
    <row r="124" spans="2:14" ht="15.4" x14ac:dyDescent="0.45">
      <c r="B124" s="77" t="s">
        <v>198</v>
      </c>
      <c r="C124" s="162">
        <v>879</v>
      </c>
      <c r="D124" s="78" t="s">
        <v>206</v>
      </c>
      <c r="E124" s="170">
        <v>737468.06400000013</v>
      </c>
      <c r="F124" s="170">
        <v>0</v>
      </c>
      <c r="G124" s="312">
        <f t="shared" si="8"/>
        <v>796465.50912000018</v>
      </c>
      <c r="H124" s="569">
        <v>188336.79279573858</v>
      </c>
      <c r="I124" s="198">
        <f t="shared" si="9"/>
        <v>984802.30191573873</v>
      </c>
      <c r="K124" s="518"/>
      <c r="L124" s="189"/>
      <c r="M124" s="24"/>
      <c r="N124" s="519"/>
    </row>
    <row r="125" spans="2:14" ht="15.4" x14ac:dyDescent="0.45">
      <c r="B125" s="77" t="s">
        <v>198</v>
      </c>
      <c r="C125" s="162">
        <v>933</v>
      </c>
      <c r="D125" s="78" t="s">
        <v>207</v>
      </c>
      <c r="E125" s="170">
        <v>2480767.1712000007</v>
      </c>
      <c r="F125" s="170">
        <v>0</v>
      </c>
      <c r="G125" s="312">
        <f t="shared" si="8"/>
        <v>2679228.544896001</v>
      </c>
      <c r="H125" s="569">
        <v>259427.96208716719</v>
      </c>
      <c r="I125" s="198">
        <f t="shared" si="9"/>
        <v>2938656.5069831684</v>
      </c>
      <c r="K125" s="518"/>
      <c r="L125" s="189"/>
      <c r="M125" s="24"/>
      <c r="N125" s="519"/>
    </row>
    <row r="126" spans="2:14" ht="15.4" x14ac:dyDescent="0.45">
      <c r="B126" s="77" t="s">
        <v>198</v>
      </c>
      <c r="C126" s="162">
        <v>803</v>
      </c>
      <c r="D126" s="78" t="s">
        <v>208</v>
      </c>
      <c r="E126" s="170">
        <v>11780.640000000001</v>
      </c>
      <c r="F126" s="170">
        <v>0</v>
      </c>
      <c r="G126" s="312">
        <f t="shared" si="8"/>
        <v>12723.091200000003</v>
      </c>
      <c r="H126" s="569">
        <v>116135.1306150122</v>
      </c>
      <c r="I126" s="198">
        <f t="shared" si="9"/>
        <v>128858.22181501219</v>
      </c>
      <c r="K126" s="518"/>
      <c r="L126" s="189"/>
      <c r="M126" s="24"/>
      <c r="N126" s="519"/>
    </row>
    <row r="127" spans="2:14" ht="15.4" x14ac:dyDescent="0.45">
      <c r="B127" s="77" t="s">
        <v>198</v>
      </c>
      <c r="C127" s="162">
        <v>866</v>
      </c>
      <c r="D127" s="78" t="s">
        <v>209</v>
      </c>
      <c r="E127" s="170">
        <v>551333.95200000005</v>
      </c>
      <c r="F127" s="170">
        <v>0</v>
      </c>
      <c r="G127" s="312">
        <f t="shared" si="8"/>
        <v>595440.66816000012</v>
      </c>
      <c r="H127" s="569">
        <v>141899.806227603</v>
      </c>
      <c r="I127" s="198">
        <f t="shared" si="9"/>
        <v>737340.47438760311</v>
      </c>
      <c r="K127" s="518"/>
      <c r="L127" s="189"/>
      <c r="M127" s="24"/>
      <c r="N127" s="519"/>
    </row>
    <row r="128" spans="2:14" ht="15.4" x14ac:dyDescent="0.45">
      <c r="B128" s="77" t="s">
        <v>198</v>
      </c>
      <c r="C128" s="162">
        <v>880</v>
      </c>
      <c r="D128" s="78" t="s">
        <v>210</v>
      </c>
      <c r="E128" s="170">
        <v>76574.16</v>
      </c>
      <c r="F128" s="170">
        <v>0</v>
      </c>
      <c r="G128" s="312">
        <f t="shared" si="8"/>
        <v>82700.092800000013</v>
      </c>
      <c r="H128" s="569">
        <v>37507.857575289585</v>
      </c>
      <c r="I128" s="198">
        <f t="shared" si="9"/>
        <v>120207.9503752896</v>
      </c>
      <c r="K128" s="518"/>
      <c r="L128" s="189"/>
      <c r="M128" s="24"/>
      <c r="N128" s="519"/>
    </row>
    <row r="129" spans="2:14" ht="15.4" x14ac:dyDescent="0.45">
      <c r="B129" s="77" t="s">
        <v>198</v>
      </c>
      <c r="C129" s="162">
        <v>865</v>
      </c>
      <c r="D129" s="78" t="s">
        <v>211</v>
      </c>
      <c r="E129" s="170">
        <v>769275.79200000013</v>
      </c>
      <c r="F129" s="170">
        <v>0</v>
      </c>
      <c r="G129" s="312">
        <f t="shared" si="8"/>
        <v>830817.85536000016</v>
      </c>
      <c r="H129" s="569">
        <v>36153.247912832987</v>
      </c>
      <c r="I129" s="198">
        <f t="shared" si="9"/>
        <v>866971.10327283316</v>
      </c>
      <c r="K129" s="518"/>
      <c r="L129" s="189"/>
      <c r="M129" s="24"/>
      <c r="N129" s="519"/>
    </row>
    <row r="130" spans="2:14" ht="15.4" x14ac:dyDescent="0.45">
      <c r="B130" s="77" t="s">
        <v>212</v>
      </c>
      <c r="C130" s="162">
        <v>330</v>
      </c>
      <c r="D130" s="78" t="s">
        <v>213</v>
      </c>
      <c r="E130" s="170">
        <v>5757198.7680000011</v>
      </c>
      <c r="F130" s="170">
        <v>0</v>
      </c>
      <c r="G130" s="312">
        <f t="shared" si="8"/>
        <v>6217774.6694400012</v>
      </c>
      <c r="H130" s="569">
        <v>872358.17423244542</v>
      </c>
      <c r="I130" s="198">
        <f t="shared" si="9"/>
        <v>7090132.8436724469</v>
      </c>
      <c r="K130" s="518"/>
      <c r="L130" s="189"/>
      <c r="M130" s="24"/>
      <c r="N130" s="519"/>
    </row>
    <row r="131" spans="2:14" ht="15.4" x14ac:dyDescent="0.45">
      <c r="B131" s="77" t="s">
        <v>212</v>
      </c>
      <c r="C131" s="162">
        <v>331</v>
      </c>
      <c r="D131" s="78" t="s">
        <v>214</v>
      </c>
      <c r="E131" s="170">
        <v>580785.55200000003</v>
      </c>
      <c r="F131" s="170">
        <v>0</v>
      </c>
      <c r="G131" s="312">
        <f t="shared" si="8"/>
        <v>627248.39616000012</v>
      </c>
      <c r="H131" s="569">
        <v>115940.97735108962</v>
      </c>
      <c r="I131" s="198">
        <f t="shared" si="9"/>
        <v>743189.37351108971</v>
      </c>
      <c r="K131" s="518"/>
      <c r="L131" s="189"/>
      <c r="M131" s="24"/>
      <c r="N131" s="519"/>
    </row>
    <row r="132" spans="2:14" ht="15.4" x14ac:dyDescent="0.45">
      <c r="B132" s="77" t="s">
        <v>212</v>
      </c>
      <c r="C132" s="162">
        <v>332</v>
      </c>
      <c r="D132" s="78" t="s">
        <v>215</v>
      </c>
      <c r="E132" s="170">
        <v>1450196.7840000002</v>
      </c>
      <c r="F132" s="170">
        <v>0</v>
      </c>
      <c r="G132" s="312">
        <f t="shared" si="8"/>
        <v>1566212.5267200004</v>
      </c>
      <c r="H132" s="569">
        <v>139882.55079903154</v>
      </c>
      <c r="I132" s="198">
        <f t="shared" si="9"/>
        <v>1706095.0775190319</v>
      </c>
      <c r="K132" s="518"/>
      <c r="L132" s="189"/>
      <c r="M132" s="24"/>
      <c r="N132" s="519"/>
    </row>
    <row r="133" spans="2:14" ht="15.4" x14ac:dyDescent="0.45">
      <c r="B133" s="77" t="s">
        <v>212</v>
      </c>
      <c r="C133" s="162">
        <v>884</v>
      </c>
      <c r="D133" s="78" t="s">
        <v>523</v>
      </c>
      <c r="E133" s="170">
        <v>327501.79200000007</v>
      </c>
      <c r="F133" s="170">
        <v>0</v>
      </c>
      <c r="G133" s="312">
        <f t="shared" si="8"/>
        <v>353701.93536000012</v>
      </c>
      <c r="H133" s="569">
        <v>51639.871297820857</v>
      </c>
      <c r="I133" s="198">
        <f t="shared" si="9"/>
        <v>405341.806657821</v>
      </c>
      <c r="K133" s="518"/>
      <c r="L133" s="189"/>
      <c r="M133" s="24"/>
      <c r="N133" s="519"/>
    </row>
    <row r="134" spans="2:14" ht="15.4" x14ac:dyDescent="0.45">
      <c r="B134" s="77" t="s">
        <v>212</v>
      </c>
      <c r="C134" s="162">
        <v>333</v>
      </c>
      <c r="D134" s="78" t="s">
        <v>216</v>
      </c>
      <c r="E134" s="170">
        <v>1159214.9760000003</v>
      </c>
      <c r="F134" s="170">
        <v>0</v>
      </c>
      <c r="G134" s="312">
        <f t="shared" si="8"/>
        <v>1251952.1740800003</v>
      </c>
      <c r="H134" s="569">
        <v>200465.46005230027</v>
      </c>
      <c r="I134" s="198">
        <f t="shared" si="9"/>
        <v>1452417.6341323005</v>
      </c>
      <c r="K134" s="518"/>
      <c r="L134" s="189"/>
      <c r="M134" s="24"/>
      <c r="N134" s="519"/>
    </row>
    <row r="135" spans="2:14" ht="15.4" x14ac:dyDescent="0.45">
      <c r="B135" s="77" t="s">
        <v>212</v>
      </c>
      <c r="C135" s="162">
        <v>893</v>
      </c>
      <c r="D135" s="78" t="s">
        <v>217</v>
      </c>
      <c r="E135" s="170">
        <v>123696.72000000003</v>
      </c>
      <c r="F135" s="170">
        <v>0</v>
      </c>
      <c r="G135" s="312">
        <f t="shared" si="8"/>
        <v>133592.45760000005</v>
      </c>
      <c r="H135" s="569">
        <v>151208.69829539955</v>
      </c>
      <c r="I135" s="198">
        <f t="shared" si="9"/>
        <v>284801.15589539963</v>
      </c>
      <c r="K135" s="518"/>
      <c r="L135" s="189"/>
      <c r="M135" s="24"/>
      <c r="N135" s="519"/>
    </row>
    <row r="136" spans="2:14" ht="15.4" x14ac:dyDescent="0.45">
      <c r="B136" s="77" t="s">
        <v>212</v>
      </c>
      <c r="C136" s="162">
        <v>334</v>
      </c>
      <c r="D136" s="78" t="s">
        <v>218</v>
      </c>
      <c r="E136" s="170">
        <v>0</v>
      </c>
      <c r="F136" s="170">
        <v>0</v>
      </c>
      <c r="G136" s="312">
        <f t="shared" si="8"/>
        <v>0</v>
      </c>
      <c r="H136" s="569">
        <v>175552.91580629547</v>
      </c>
      <c r="I136" s="198">
        <f t="shared" si="9"/>
        <v>175552.91580629547</v>
      </c>
      <c r="K136" s="518"/>
      <c r="L136" s="189"/>
      <c r="M136" s="24"/>
      <c r="N136" s="519"/>
    </row>
    <row r="137" spans="2:14" ht="15.4" x14ac:dyDescent="0.45">
      <c r="B137" s="77" t="s">
        <v>212</v>
      </c>
      <c r="C137" s="162">
        <v>860</v>
      </c>
      <c r="D137" s="78" t="s">
        <v>219</v>
      </c>
      <c r="E137" s="170">
        <v>393473.37599999999</v>
      </c>
      <c r="F137" s="170">
        <v>0</v>
      </c>
      <c r="G137" s="312">
        <f t="shared" si="8"/>
        <v>424951.24608000001</v>
      </c>
      <c r="H137" s="569">
        <v>239228.51132900725</v>
      </c>
      <c r="I137" s="198">
        <f t="shared" ref="I137:I158" si="10">G137  + H137</f>
        <v>664179.75740900729</v>
      </c>
      <c r="K137" s="518"/>
      <c r="L137" s="189"/>
      <c r="M137" s="24"/>
      <c r="N137" s="519"/>
    </row>
    <row r="138" spans="2:14" ht="15.4" x14ac:dyDescent="0.45">
      <c r="B138" s="77" t="s">
        <v>212</v>
      </c>
      <c r="C138" s="162">
        <v>861</v>
      </c>
      <c r="D138" s="78" t="s">
        <v>220</v>
      </c>
      <c r="E138" s="170">
        <v>215055.58320000002</v>
      </c>
      <c r="F138" s="170">
        <v>0</v>
      </c>
      <c r="G138" s="312">
        <f t="shared" ref="G138:G158" si="11">SUM(E138:F138)*(100% + 8%)</f>
        <v>232260.02985600004</v>
      </c>
      <c r="H138" s="569">
        <v>106024.77439999999</v>
      </c>
      <c r="I138" s="198">
        <f t="shared" si="10"/>
        <v>338284.80425600003</v>
      </c>
      <c r="K138" s="518"/>
      <c r="L138" s="189"/>
      <c r="M138" s="24"/>
      <c r="N138" s="519"/>
    </row>
    <row r="139" spans="2:14" ht="15.4" x14ac:dyDescent="0.45">
      <c r="B139" s="77" t="s">
        <v>212</v>
      </c>
      <c r="C139" s="162">
        <v>894</v>
      </c>
      <c r="D139" s="78" t="s">
        <v>221</v>
      </c>
      <c r="E139" s="170">
        <v>23639.032224000002</v>
      </c>
      <c r="F139" s="170">
        <v>0</v>
      </c>
      <c r="G139" s="312">
        <f t="shared" si="11"/>
        <v>25530.154801920005</v>
      </c>
      <c r="H139" s="569">
        <v>63355.062857142846</v>
      </c>
      <c r="I139" s="198">
        <f t="shared" si="10"/>
        <v>88885.217659062851</v>
      </c>
      <c r="K139" s="518"/>
      <c r="L139" s="189"/>
      <c r="M139" s="24"/>
      <c r="N139" s="519"/>
    </row>
    <row r="140" spans="2:14" ht="15.4" x14ac:dyDescent="0.45">
      <c r="B140" s="77" t="s">
        <v>212</v>
      </c>
      <c r="C140" s="162">
        <v>335</v>
      </c>
      <c r="D140" s="78" t="s">
        <v>222</v>
      </c>
      <c r="E140" s="170">
        <v>0</v>
      </c>
      <c r="F140" s="170">
        <v>0</v>
      </c>
      <c r="G140" s="312">
        <f t="shared" si="11"/>
        <v>0</v>
      </c>
      <c r="H140" s="569">
        <v>144861.21892978213</v>
      </c>
      <c r="I140" s="198">
        <f t="shared" si="10"/>
        <v>144861.21892978213</v>
      </c>
      <c r="K140" s="518"/>
      <c r="L140" s="189"/>
      <c r="M140" s="24"/>
      <c r="N140" s="519"/>
    </row>
    <row r="141" spans="2:14" ht="15.4" x14ac:dyDescent="0.45">
      <c r="B141" s="77" t="s">
        <v>212</v>
      </c>
      <c r="C141" s="162">
        <v>937</v>
      </c>
      <c r="D141" s="78" t="s">
        <v>223</v>
      </c>
      <c r="E141" s="170">
        <v>121662.11545937366</v>
      </c>
      <c r="F141" s="170">
        <v>0</v>
      </c>
      <c r="G141" s="312">
        <f t="shared" si="11"/>
        <v>131395.08469612355</v>
      </c>
      <c r="H141" s="569">
        <v>59952.050368038836</v>
      </c>
      <c r="I141" s="198">
        <f t="shared" si="10"/>
        <v>191347.13506416237</v>
      </c>
      <c r="K141" s="518"/>
      <c r="L141" s="189"/>
      <c r="M141" s="24"/>
      <c r="N141" s="519"/>
    </row>
    <row r="142" spans="2:14" ht="15.4" x14ac:dyDescent="0.45">
      <c r="B142" s="77" t="s">
        <v>212</v>
      </c>
      <c r="C142" s="162">
        <v>336</v>
      </c>
      <c r="D142" s="78" t="s">
        <v>224</v>
      </c>
      <c r="E142" s="170">
        <v>514813.96800000005</v>
      </c>
      <c r="F142" s="170">
        <v>0</v>
      </c>
      <c r="G142" s="312">
        <f t="shared" si="11"/>
        <v>555999.08544000005</v>
      </c>
      <c r="H142" s="569">
        <v>174035.57363196139</v>
      </c>
      <c r="I142" s="198">
        <f t="shared" si="10"/>
        <v>730034.65907196142</v>
      </c>
      <c r="K142" s="518"/>
      <c r="L142" s="189"/>
      <c r="M142" s="24"/>
      <c r="N142" s="519"/>
    </row>
    <row r="143" spans="2:14" ht="15.4" x14ac:dyDescent="0.45">
      <c r="B143" s="77" t="s">
        <v>212</v>
      </c>
      <c r="C143" s="162">
        <v>885</v>
      </c>
      <c r="D143" s="78" t="s">
        <v>225</v>
      </c>
      <c r="E143" s="170">
        <v>658537.77600000007</v>
      </c>
      <c r="F143" s="170">
        <v>0</v>
      </c>
      <c r="G143" s="312">
        <f t="shared" si="11"/>
        <v>711220.7980800001</v>
      </c>
      <c r="H143" s="569">
        <v>328921.69156416476</v>
      </c>
      <c r="I143" s="198">
        <f t="shared" si="10"/>
        <v>1040142.4896441649</v>
      </c>
      <c r="K143" s="518"/>
      <c r="L143" s="189"/>
      <c r="M143" s="24"/>
      <c r="N143" s="519"/>
    </row>
    <row r="144" spans="2:14" ht="15.4" x14ac:dyDescent="0.45">
      <c r="B144" s="77" t="s">
        <v>226</v>
      </c>
      <c r="C144" s="162">
        <v>370</v>
      </c>
      <c r="D144" s="78" t="s">
        <v>227</v>
      </c>
      <c r="E144" s="170">
        <v>0</v>
      </c>
      <c r="F144" s="170">
        <v>0</v>
      </c>
      <c r="G144" s="312">
        <f t="shared" si="11"/>
        <v>0</v>
      </c>
      <c r="H144" s="569">
        <v>78465.16396125911</v>
      </c>
      <c r="I144" s="198">
        <f t="shared" si="10"/>
        <v>78465.16396125911</v>
      </c>
      <c r="K144" s="518"/>
      <c r="L144" s="189"/>
      <c r="M144" s="24"/>
      <c r="N144" s="519"/>
    </row>
    <row r="145" spans="2:14" ht="15.4" x14ac:dyDescent="0.45">
      <c r="B145" s="77" t="s">
        <v>226</v>
      </c>
      <c r="C145" s="162">
        <v>380</v>
      </c>
      <c r="D145" s="78" t="s">
        <v>228</v>
      </c>
      <c r="E145" s="170">
        <v>1936737.2160000002</v>
      </c>
      <c r="F145" s="170">
        <v>0</v>
      </c>
      <c r="G145" s="312">
        <f t="shared" si="11"/>
        <v>2091676.1932800005</v>
      </c>
      <c r="H145" s="569">
        <v>249460.56</v>
      </c>
      <c r="I145" s="198">
        <f t="shared" si="10"/>
        <v>2341136.7532800003</v>
      </c>
      <c r="K145" s="518"/>
      <c r="L145" s="189"/>
      <c r="M145" s="24"/>
      <c r="N145" s="519"/>
    </row>
    <row r="146" spans="2:14" ht="15.4" x14ac:dyDescent="0.45">
      <c r="B146" s="77" t="s">
        <v>226</v>
      </c>
      <c r="C146" s="162">
        <v>381</v>
      </c>
      <c r="D146" s="78" t="s">
        <v>229</v>
      </c>
      <c r="E146" s="170">
        <v>0</v>
      </c>
      <c r="F146" s="170">
        <v>0</v>
      </c>
      <c r="G146" s="312">
        <f t="shared" si="11"/>
        <v>0</v>
      </c>
      <c r="H146" s="569">
        <v>88272.622828087216</v>
      </c>
      <c r="I146" s="198">
        <f t="shared" si="10"/>
        <v>88272.622828087216</v>
      </c>
      <c r="K146" s="518"/>
      <c r="L146" s="189"/>
      <c r="M146" s="24"/>
      <c r="N146" s="519"/>
    </row>
    <row r="147" spans="2:14" ht="15.4" x14ac:dyDescent="0.45">
      <c r="B147" s="77" t="s">
        <v>226</v>
      </c>
      <c r="C147" s="162">
        <v>371</v>
      </c>
      <c r="D147" s="78" t="s">
        <v>230</v>
      </c>
      <c r="E147" s="170">
        <v>301584.38400000008</v>
      </c>
      <c r="F147" s="170">
        <v>0</v>
      </c>
      <c r="G147" s="312">
        <f t="shared" si="11"/>
        <v>325711.13472000009</v>
      </c>
      <c r="H147" s="569">
        <v>214947.60370460051</v>
      </c>
      <c r="I147" s="198">
        <f t="shared" si="10"/>
        <v>540658.73842460057</v>
      </c>
      <c r="K147" s="518"/>
      <c r="L147" s="189"/>
      <c r="M147" s="24"/>
      <c r="N147" s="519"/>
    </row>
    <row r="148" spans="2:14" ht="15.4" x14ac:dyDescent="0.45">
      <c r="B148" s="77" t="s">
        <v>226</v>
      </c>
      <c r="C148" s="162">
        <v>811</v>
      </c>
      <c r="D148" s="78" t="s">
        <v>231</v>
      </c>
      <c r="E148" s="170">
        <v>0</v>
      </c>
      <c r="F148" s="170">
        <v>0</v>
      </c>
      <c r="G148" s="312">
        <f t="shared" si="11"/>
        <v>0</v>
      </c>
      <c r="H148" s="569">
        <v>74574.188571428575</v>
      </c>
      <c r="I148" s="198">
        <f t="shared" si="10"/>
        <v>74574.188571428575</v>
      </c>
      <c r="K148" s="518"/>
      <c r="L148" s="189"/>
      <c r="M148" s="24"/>
      <c r="N148" s="519"/>
    </row>
    <row r="149" spans="2:14" ht="15.4" x14ac:dyDescent="0.45">
      <c r="B149" s="77" t="s">
        <v>226</v>
      </c>
      <c r="C149" s="162">
        <v>810</v>
      </c>
      <c r="D149" s="78" t="s">
        <v>232</v>
      </c>
      <c r="E149" s="170">
        <v>280519.20000000007</v>
      </c>
      <c r="F149" s="170">
        <v>0</v>
      </c>
      <c r="G149" s="312">
        <f t="shared" si="11"/>
        <v>302960.73600000009</v>
      </c>
      <c r="H149" s="569">
        <v>303872.00998547225</v>
      </c>
      <c r="I149" s="198">
        <f t="shared" si="10"/>
        <v>606832.74598547234</v>
      </c>
      <c r="K149" s="518"/>
      <c r="L149" s="189"/>
      <c r="M149" s="24"/>
      <c r="N149" s="519"/>
    </row>
    <row r="150" spans="2:14" ht="15.4" x14ac:dyDescent="0.45">
      <c r="B150" s="77" t="s">
        <v>226</v>
      </c>
      <c r="C150" s="162">
        <v>382</v>
      </c>
      <c r="D150" s="78" t="s">
        <v>233</v>
      </c>
      <c r="E150" s="170">
        <v>0</v>
      </c>
      <c r="F150" s="170">
        <v>0</v>
      </c>
      <c r="G150" s="312">
        <f t="shared" si="11"/>
        <v>0</v>
      </c>
      <c r="H150" s="569">
        <v>162792.5075641647</v>
      </c>
      <c r="I150" s="198">
        <f t="shared" si="10"/>
        <v>162792.5075641647</v>
      </c>
      <c r="K150" s="518"/>
      <c r="L150" s="189"/>
      <c r="M150" s="24"/>
      <c r="N150" s="519"/>
    </row>
    <row r="151" spans="2:14" ht="15.4" x14ac:dyDescent="0.45">
      <c r="B151" s="77" t="s">
        <v>226</v>
      </c>
      <c r="C151" s="162">
        <v>383</v>
      </c>
      <c r="D151" s="78" t="s">
        <v>234</v>
      </c>
      <c r="E151" s="170">
        <v>1163338.2000000002</v>
      </c>
      <c r="F151" s="170">
        <v>408504</v>
      </c>
      <c r="G151" s="312">
        <f t="shared" si="11"/>
        <v>1697589.5760000004</v>
      </c>
      <c r="H151" s="569">
        <v>220902.41840677976</v>
      </c>
      <c r="I151" s="198">
        <f t="shared" si="10"/>
        <v>1918491.9944067802</v>
      </c>
      <c r="K151" s="518"/>
      <c r="L151" s="189"/>
      <c r="M151" s="24"/>
      <c r="N151" s="519"/>
    </row>
    <row r="152" spans="2:14" ht="15.4" x14ac:dyDescent="0.45">
      <c r="B152" s="77" t="s">
        <v>226</v>
      </c>
      <c r="C152" s="162">
        <v>812</v>
      </c>
      <c r="D152" s="78" t="s">
        <v>235</v>
      </c>
      <c r="E152" s="170">
        <v>0</v>
      </c>
      <c r="F152" s="170">
        <v>0</v>
      </c>
      <c r="G152" s="312">
        <f t="shared" si="11"/>
        <v>0</v>
      </c>
      <c r="H152" s="569">
        <v>114831.05142857143</v>
      </c>
      <c r="I152" s="198">
        <f t="shared" si="10"/>
        <v>114831.05142857143</v>
      </c>
      <c r="K152" s="518"/>
      <c r="L152" s="189"/>
      <c r="M152" s="24"/>
      <c r="N152" s="519"/>
    </row>
    <row r="153" spans="2:14" ht="15.4" x14ac:dyDescent="0.45">
      <c r="B153" s="77" t="s">
        <v>226</v>
      </c>
      <c r="C153" s="162">
        <v>813</v>
      </c>
      <c r="D153" s="78" t="s">
        <v>236</v>
      </c>
      <c r="E153" s="170">
        <v>0</v>
      </c>
      <c r="F153" s="170">
        <v>0</v>
      </c>
      <c r="G153" s="312">
        <f t="shared" si="11"/>
        <v>0</v>
      </c>
      <c r="H153" s="569">
        <v>52795.885714285709</v>
      </c>
      <c r="I153" s="198">
        <f t="shared" si="10"/>
        <v>52795.885714285709</v>
      </c>
      <c r="K153" s="518"/>
      <c r="L153" s="189"/>
      <c r="M153" s="24"/>
      <c r="N153" s="519"/>
    </row>
    <row r="154" spans="2:14" ht="15.4" x14ac:dyDescent="0.45">
      <c r="B154" s="77" t="s">
        <v>226</v>
      </c>
      <c r="C154" s="162">
        <v>815</v>
      </c>
      <c r="D154" s="78" t="s">
        <v>237</v>
      </c>
      <c r="E154" s="170">
        <v>117806.40000000001</v>
      </c>
      <c r="F154" s="170">
        <v>0</v>
      </c>
      <c r="G154" s="312">
        <f t="shared" si="11"/>
        <v>127230.91200000001</v>
      </c>
      <c r="H154" s="569">
        <v>191452.00231767562</v>
      </c>
      <c r="I154" s="198">
        <f t="shared" si="10"/>
        <v>318682.91431767563</v>
      </c>
      <c r="K154" s="518"/>
      <c r="L154" s="189"/>
      <c r="M154" s="24"/>
      <c r="N154" s="519"/>
    </row>
    <row r="155" spans="2:14" ht="15.4" x14ac:dyDescent="0.45">
      <c r="B155" s="77" t="s">
        <v>226</v>
      </c>
      <c r="C155" s="162">
        <v>372</v>
      </c>
      <c r="D155" s="78" t="s">
        <v>238</v>
      </c>
      <c r="E155" s="170">
        <v>0</v>
      </c>
      <c r="F155" s="170">
        <v>0</v>
      </c>
      <c r="G155" s="312">
        <f t="shared" si="11"/>
        <v>0</v>
      </c>
      <c r="H155" s="569">
        <v>238503.32851331728</v>
      </c>
      <c r="I155" s="198">
        <f t="shared" si="10"/>
        <v>238503.32851331728</v>
      </c>
      <c r="K155" s="518"/>
      <c r="L155" s="189"/>
      <c r="M155" s="24"/>
      <c r="N155" s="519"/>
    </row>
    <row r="156" spans="2:14" ht="15.4" x14ac:dyDescent="0.45">
      <c r="B156" s="77" t="s">
        <v>226</v>
      </c>
      <c r="C156" s="162">
        <v>373</v>
      </c>
      <c r="D156" s="78" t="s">
        <v>239</v>
      </c>
      <c r="E156" s="170">
        <v>1846026.2880000002</v>
      </c>
      <c r="F156" s="170">
        <v>0</v>
      </c>
      <c r="G156" s="312">
        <f t="shared" si="11"/>
        <v>1993708.3910400004</v>
      </c>
      <c r="H156" s="569">
        <v>238428.55240006413</v>
      </c>
      <c r="I156" s="198">
        <f t="shared" si="10"/>
        <v>2232136.9434400643</v>
      </c>
      <c r="K156" s="518"/>
      <c r="L156" s="189"/>
      <c r="M156" s="24"/>
      <c r="N156" s="519"/>
    </row>
    <row r="157" spans="2:14" ht="15.4" x14ac:dyDescent="0.45">
      <c r="B157" s="77" t="s">
        <v>226</v>
      </c>
      <c r="C157" s="162">
        <v>384</v>
      </c>
      <c r="D157" s="78" t="s">
        <v>240</v>
      </c>
      <c r="E157" s="170">
        <v>803295.92419200018</v>
      </c>
      <c r="F157" s="170">
        <v>0</v>
      </c>
      <c r="G157" s="312">
        <f t="shared" si="11"/>
        <v>867559.59812736022</v>
      </c>
      <c r="H157" s="569">
        <v>179850.99279418893</v>
      </c>
      <c r="I157" s="198">
        <f t="shared" si="10"/>
        <v>1047410.5909215491</v>
      </c>
      <c r="K157" s="518"/>
      <c r="L157" s="189"/>
      <c r="M157" s="24"/>
      <c r="N157" s="519"/>
    </row>
    <row r="158" spans="2:14" ht="15.75" thickBot="1" x14ac:dyDescent="0.5">
      <c r="B158" s="90" t="s">
        <v>226</v>
      </c>
      <c r="C158" s="172">
        <v>816</v>
      </c>
      <c r="D158" s="92" t="s">
        <v>241</v>
      </c>
      <c r="E158" s="173">
        <v>254726.88840000003</v>
      </c>
      <c r="F158" s="173">
        <v>0</v>
      </c>
      <c r="G158" s="313">
        <f t="shared" si="11"/>
        <v>275105.03947200003</v>
      </c>
      <c r="H158" s="568">
        <v>175874.68378692499</v>
      </c>
      <c r="I158" s="199">
        <f t="shared" si="10"/>
        <v>450979.72325892502</v>
      </c>
      <c r="K158" s="518"/>
      <c r="L158" s="189"/>
      <c r="M158" s="24"/>
      <c r="N158" s="519"/>
    </row>
    <row r="159" spans="2:14" ht="15" customHeight="1" x14ac:dyDescent="0.45"/>
    <row r="160" spans="2:14" ht="15" customHeight="1" x14ac:dyDescent="0.45"/>
  </sheetData>
  <sortState xmlns:xlrd2="http://schemas.microsoft.com/office/spreadsheetml/2017/richdata2" ref="C9:I18">
    <sortCondition ref="D9:D1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CADC8-017A-44D8-B5DA-5D480EF760D6}">
  <sheetPr codeName="Sheet34">
    <tabColor theme="8"/>
  </sheetPr>
  <dimension ref="A1:C66"/>
  <sheetViews>
    <sheetView tabSelected="1" workbookViewId="0"/>
  </sheetViews>
  <sheetFormatPr defaultColWidth="9" defaultRowHeight="14.25" x14ac:dyDescent="0.45"/>
  <cols>
    <col min="1" max="1" width="4.265625" style="16" customWidth="1"/>
    <col min="2" max="2" width="17.3984375" style="16" customWidth="1"/>
    <col min="3" max="3" width="166" style="16" customWidth="1"/>
    <col min="4" max="16384" width="9" style="16"/>
  </cols>
  <sheetData>
    <row r="1" spans="1:3" s="1" customFormat="1" ht="15" x14ac:dyDescent="0.4"/>
    <row r="2" spans="1:3" s="1" customFormat="1" ht="15" x14ac:dyDescent="0.4"/>
    <row r="3" spans="1:3" s="1" customFormat="1" ht="15" x14ac:dyDescent="0.4"/>
    <row r="4" spans="1:3" s="1" customFormat="1" ht="15" x14ac:dyDescent="0.4"/>
    <row r="5" spans="1:3" s="1" customFormat="1" ht="15" x14ac:dyDescent="0.4"/>
    <row r="6" spans="1:3" s="1" customFormat="1" ht="15" x14ac:dyDescent="0.4"/>
    <row r="7" spans="1:3" s="1" customFormat="1" ht="15" x14ac:dyDescent="0.4"/>
    <row r="8" spans="1:3" s="1" customFormat="1" ht="15" x14ac:dyDescent="0.4"/>
    <row r="9" spans="1:3" s="1" customFormat="1" ht="15" x14ac:dyDescent="0.4"/>
    <row r="10" spans="1:3" s="1" customFormat="1" ht="25.15" x14ac:dyDescent="0.4">
      <c r="A10" s="2" t="s">
        <v>0</v>
      </c>
      <c r="B10" s="2"/>
    </row>
    <row r="11" spans="1:3" s="3" customFormat="1" ht="15" x14ac:dyDescent="0.45"/>
    <row r="12" spans="1:3" s="3" customFormat="1" ht="15" x14ac:dyDescent="0.45">
      <c r="A12" s="4" t="s">
        <v>1</v>
      </c>
      <c r="B12" s="292"/>
    </row>
    <row r="13" spans="1:3" s="3" customFormat="1" ht="15" x14ac:dyDescent="0.45">
      <c r="A13" s="4"/>
      <c r="B13" s="292"/>
    </row>
    <row r="14" spans="1:3" s="3" customFormat="1" ht="15" x14ac:dyDescent="0.45">
      <c r="A14" s="5" t="s">
        <v>2</v>
      </c>
      <c r="B14" s="3" t="s">
        <v>398</v>
      </c>
    </row>
    <row r="15" spans="1:3" s="3" customFormat="1" ht="18" customHeight="1" x14ac:dyDescent="0.45">
      <c r="A15" s="5"/>
      <c r="B15" s="3" t="s">
        <v>471</v>
      </c>
      <c r="C15" s="336"/>
    </row>
    <row r="16" spans="1:3" s="455" customFormat="1" ht="19.5" customHeight="1" x14ac:dyDescent="0.4">
      <c r="A16" s="454" t="s">
        <v>2</v>
      </c>
      <c r="B16" s="455" t="s">
        <v>472</v>
      </c>
      <c r="C16" s="456"/>
    </row>
    <row r="17" spans="1:3" s="3" customFormat="1" ht="15" x14ac:dyDescent="0.45">
      <c r="A17" s="5"/>
      <c r="B17" s="3" t="s">
        <v>376</v>
      </c>
      <c r="C17" s="336"/>
    </row>
    <row r="18" spans="1:3" s="3" customFormat="1" ht="15" x14ac:dyDescent="0.4">
      <c r="A18" s="5"/>
      <c r="B18" s="643" t="s">
        <v>3</v>
      </c>
      <c r="C18" s="292"/>
    </row>
    <row r="19" spans="1:3" s="3" customFormat="1" ht="15" x14ac:dyDescent="0.45"/>
    <row r="20" spans="1:3" s="3" customFormat="1" ht="15" x14ac:dyDescent="0.45">
      <c r="A20" s="4" t="s">
        <v>4</v>
      </c>
      <c r="B20" s="4"/>
    </row>
    <row r="21" spans="1:3" s="3" customFormat="1" ht="15" x14ac:dyDescent="0.45">
      <c r="A21" s="4"/>
      <c r="B21" s="4"/>
    </row>
    <row r="22" spans="1:3" s="3" customFormat="1" ht="15" x14ac:dyDescent="0.45">
      <c r="A22" s="6" t="s">
        <v>5</v>
      </c>
      <c r="B22" s="6"/>
    </row>
    <row r="23" spans="1:3" s="3" customFormat="1" ht="15" x14ac:dyDescent="0.45"/>
    <row r="24" spans="1:3" s="3" customFormat="1" ht="15" x14ac:dyDescent="0.45">
      <c r="A24" s="8" t="s">
        <v>524</v>
      </c>
      <c r="B24" s="7"/>
    </row>
    <row r="25" spans="1:3" s="3" customFormat="1" ht="15" x14ac:dyDescent="0.45">
      <c r="A25" s="7" t="s">
        <v>402</v>
      </c>
      <c r="B25" s="7"/>
    </row>
    <row r="26" spans="1:3" s="3" customFormat="1" ht="15" x14ac:dyDescent="0.45">
      <c r="A26" s="8" t="s">
        <v>399</v>
      </c>
      <c r="B26" s="8"/>
      <c r="C26" s="9"/>
    </row>
    <row r="27" spans="1:3" s="3" customFormat="1" ht="15" x14ac:dyDescent="0.45">
      <c r="A27" s="8" t="s">
        <v>400</v>
      </c>
      <c r="B27" s="8"/>
      <c r="C27" s="9"/>
    </row>
    <row r="28" spans="1:3" s="3" customFormat="1" ht="15" x14ac:dyDescent="0.45">
      <c r="A28" s="8" t="s">
        <v>401</v>
      </c>
      <c r="B28" s="8"/>
      <c r="C28" s="9"/>
    </row>
    <row r="29" spans="1:3" s="3" customFormat="1" ht="15" customHeight="1" x14ac:dyDescent="0.45">
      <c r="A29" s="457" t="s">
        <v>527</v>
      </c>
      <c r="B29" s="457"/>
      <c r="C29" s="458"/>
    </row>
    <row r="30" spans="1:3" s="3" customFormat="1" ht="15" customHeight="1" x14ac:dyDescent="0.45">
      <c r="A30" s="526" t="s">
        <v>525</v>
      </c>
      <c r="B30" s="457"/>
      <c r="C30" s="458"/>
    </row>
    <row r="31" spans="1:3" s="3" customFormat="1" ht="15" customHeight="1" x14ac:dyDescent="0.45">
      <c r="A31" s="8" t="s">
        <v>377</v>
      </c>
      <c r="B31" s="8"/>
      <c r="C31" s="8"/>
    </row>
    <row r="32" spans="1:3" s="3" customFormat="1" ht="15" customHeight="1" x14ac:dyDescent="0.45">
      <c r="A32" s="8" t="s">
        <v>403</v>
      </c>
      <c r="B32" s="8"/>
      <c r="C32" s="8"/>
    </row>
    <row r="33" spans="1:3" s="1" customFormat="1" ht="17.25" customHeight="1" x14ac:dyDescent="0.4">
      <c r="A33" s="8" t="s">
        <v>528</v>
      </c>
      <c r="B33" s="8"/>
      <c r="C33" s="8"/>
    </row>
    <row r="34" spans="1:3" s="1" customFormat="1" ht="17.25" customHeight="1" x14ac:dyDescent="0.4">
      <c r="A34" s="8" t="s">
        <v>526</v>
      </c>
      <c r="B34" s="8"/>
      <c r="C34" s="8"/>
    </row>
    <row r="35" spans="1:3" s="10" customFormat="1" ht="20.25" customHeight="1" x14ac:dyDescent="0.4">
      <c r="A35" s="8" t="s">
        <v>529</v>
      </c>
      <c r="B35" s="8"/>
      <c r="C35" s="8"/>
    </row>
    <row r="36" spans="1:3" s="10" customFormat="1" ht="18.75" customHeight="1" x14ac:dyDescent="0.4">
      <c r="A36" s="8"/>
      <c r="B36" s="8"/>
      <c r="C36" s="8"/>
    </row>
    <row r="37" spans="1:3" s="1" customFormat="1" ht="14.25" customHeight="1" x14ac:dyDescent="0.4">
      <c r="A37" s="335"/>
      <c r="B37" s="478"/>
      <c r="C37" s="478"/>
    </row>
    <row r="38" spans="1:3" s="1" customFormat="1" ht="15" x14ac:dyDescent="0.4">
      <c r="A38" s="11" t="s">
        <v>6</v>
      </c>
      <c r="B38" s="477"/>
      <c r="C38" s="477"/>
    </row>
    <row r="39" spans="1:3" s="1" customFormat="1" ht="15" x14ac:dyDescent="0.4">
      <c r="A39" s="11"/>
      <c r="B39" s="479"/>
      <c r="C39" s="477"/>
    </row>
    <row r="40" spans="1:3" s="1" customFormat="1" ht="15" x14ac:dyDescent="0.4">
      <c r="A40" s="6" t="s">
        <v>7</v>
      </c>
      <c r="B40" s="479"/>
      <c r="C40" s="477"/>
    </row>
    <row r="41" spans="1:3" s="1" customFormat="1" ht="15" x14ac:dyDescent="0.4">
      <c r="B41" s="477"/>
      <c r="C41" s="477"/>
    </row>
    <row r="42" spans="1:3" s="1" customFormat="1" ht="15" x14ac:dyDescent="0.4">
      <c r="B42" s="12" t="s">
        <v>8</v>
      </c>
      <c r="C42" s="1" t="s">
        <v>9</v>
      </c>
    </row>
    <row r="43" spans="1:3" s="1" customFormat="1" ht="15" x14ac:dyDescent="0.4">
      <c r="B43" s="12" t="s">
        <v>370</v>
      </c>
      <c r="C43" s="477" t="s">
        <v>404</v>
      </c>
    </row>
    <row r="44" spans="1:3" s="1" customFormat="1" ht="15" x14ac:dyDescent="0.4">
      <c r="B44" s="12" t="s">
        <v>10</v>
      </c>
      <c r="C44" s="1" t="s">
        <v>11</v>
      </c>
    </row>
    <row r="45" spans="1:3" s="1" customFormat="1" ht="15" x14ac:dyDescent="0.4">
      <c r="B45" s="12" t="s">
        <v>373</v>
      </c>
      <c r="C45" s="477" t="s">
        <v>473</v>
      </c>
    </row>
    <row r="46" spans="1:3" s="1" customFormat="1" ht="15" x14ac:dyDescent="0.4">
      <c r="A46" s="13"/>
      <c r="B46" s="13" t="s">
        <v>12</v>
      </c>
      <c r="C46" s="3" t="s">
        <v>13</v>
      </c>
    </row>
    <row r="47" spans="1:3" s="1" customFormat="1" ht="15" x14ac:dyDescent="0.4">
      <c r="A47" s="13"/>
      <c r="B47" s="13" t="s">
        <v>532</v>
      </c>
      <c r="C47" s="3" t="s">
        <v>533</v>
      </c>
    </row>
    <row r="48" spans="1:3" s="1" customFormat="1" ht="15" x14ac:dyDescent="0.4">
      <c r="A48" s="13"/>
      <c r="B48" s="13" t="s">
        <v>14</v>
      </c>
      <c r="C48" s="3" t="s">
        <v>15</v>
      </c>
    </row>
    <row r="49" spans="1:3" s="1" customFormat="1" ht="15" x14ac:dyDescent="0.4">
      <c r="A49" s="13"/>
      <c r="B49" s="13" t="s">
        <v>16</v>
      </c>
      <c r="C49" s="3" t="s">
        <v>17</v>
      </c>
    </row>
    <row r="50" spans="1:3" s="1" customFormat="1" ht="15" x14ac:dyDescent="0.4">
      <c r="A50" s="14"/>
      <c r="B50" s="14" t="s">
        <v>18</v>
      </c>
      <c r="C50" s="292" t="s">
        <v>19</v>
      </c>
    </row>
    <row r="51" spans="1:3" s="1" customFormat="1" ht="15" x14ac:dyDescent="0.4">
      <c r="A51" s="13"/>
      <c r="B51" s="13" t="s">
        <v>20</v>
      </c>
      <c r="C51" s="3" t="s">
        <v>21</v>
      </c>
    </row>
    <row r="52" spans="1:3" s="1" customFormat="1" ht="15" x14ac:dyDescent="0.4">
      <c r="A52" s="13"/>
      <c r="B52" s="13" t="s">
        <v>22</v>
      </c>
      <c r="C52" s="3" t="s">
        <v>23</v>
      </c>
    </row>
    <row r="53" spans="1:3" s="1" customFormat="1" ht="15" x14ac:dyDescent="0.4">
      <c r="A53" s="13"/>
      <c r="B53" s="13" t="s">
        <v>24</v>
      </c>
      <c r="C53" s="3" t="s">
        <v>25</v>
      </c>
    </row>
    <row r="54" spans="1:3" s="1" customFormat="1" ht="15" x14ac:dyDescent="0.4">
      <c r="A54" s="13"/>
      <c r="B54" s="13" t="s">
        <v>483</v>
      </c>
      <c r="C54" s="3" t="s">
        <v>484</v>
      </c>
    </row>
    <row r="55" spans="1:3" s="1" customFormat="1" ht="15" x14ac:dyDescent="0.4">
      <c r="A55" s="13"/>
      <c r="B55" s="13" t="s">
        <v>26</v>
      </c>
      <c r="C55" s="15" t="s">
        <v>27</v>
      </c>
    </row>
    <row r="56" spans="1:3" s="1" customFormat="1" ht="15" x14ac:dyDescent="0.4">
      <c r="A56" s="13"/>
      <c r="B56" s="13" t="s">
        <v>28</v>
      </c>
      <c r="C56" s="3" t="s">
        <v>29</v>
      </c>
    </row>
    <row r="57" spans="1:3" s="1" customFormat="1" ht="15" x14ac:dyDescent="0.4">
      <c r="A57" s="13"/>
      <c r="B57" s="13" t="s">
        <v>30</v>
      </c>
      <c r="C57" s="3" t="s">
        <v>31</v>
      </c>
    </row>
    <row r="58" spans="1:3" s="1" customFormat="1" ht="15" x14ac:dyDescent="0.4">
      <c r="A58" s="13"/>
      <c r="B58" s="13" t="s">
        <v>32</v>
      </c>
      <c r="C58" s="3" t="s">
        <v>33</v>
      </c>
    </row>
    <row r="59" spans="1:3" s="1" customFormat="1" ht="15" x14ac:dyDescent="0.4">
      <c r="A59" s="13"/>
      <c r="B59" s="13" t="s">
        <v>34</v>
      </c>
      <c r="C59" s="3" t="s">
        <v>35</v>
      </c>
    </row>
    <row r="60" spans="1:3" s="1" customFormat="1" ht="15" x14ac:dyDescent="0.4">
      <c r="A60" s="13"/>
      <c r="B60" s="13" t="s">
        <v>36</v>
      </c>
      <c r="C60" s="3" t="s">
        <v>37</v>
      </c>
    </row>
    <row r="61" spans="1:3" s="1" customFormat="1" ht="15" x14ac:dyDescent="0.4">
      <c r="A61" s="13"/>
      <c r="B61" s="13" t="s">
        <v>38</v>
      </c>
      <c r="C61" s="3" t="s">
        <v>39</v>
      </c>
    </row>
    <row r="62" spans="1:3" s="1" customFormat="1" ht="15" x14ac:dyDescent="0.4">
      <c r="A62" s="13"/>
      <c r="B62" s="13" t="s">
        <v>40</v>
      </c>
      <c r="C62" s="3" t="s">
        <v>41</v>
      </c>
    </row>
    <row r="63" spans="1:3" s="1" customFormat="1" ht="15.75" customHeight="1" x14ac:dyDescent="0.4">
      <c r="A63" s="13"/>
      <c r="B63" s="13" t="s">
        <v>42</v>
      </c>
      <c r="C63" s="641" t="s">
        <v>488</v>
      </c>
    </row>
    <row r="64" spans="1:3" s="1" customFormat="1" ht="15" x14ac:dyDescent="0.4">
      <c r="A64" s="13"/>
      <c r="B64" s="13" t="s">
        <v>43</v>
      </c>
      <c r="C64" s="3" t="s">
        <v>44</v>
      </c>
    </row>
    <row r="65" spans="1:3" s="1" customFormat="1" ht="15" x14ac:dyDescent="0.4">
      <c r="A65" s="13"/>
      <c r="B65" s="13" t="s">
        <v>365</v>
      </c>
      <c r="C65" s="3" t="s">
        <v>368</v>
      </c>
    </row>
    <row r="66" spans="1:3" ht="15" x14ac:dyDescent="0.45">
      <c r="B66" s="321" t="s">
        <v>366</v>
      </c>
      <c r="C66" s="322" t="s">
        <v>367</v>
      </c>
    </row>
  </sheetData>
  <hyperlinks>
    <hyperlink ref="B18" r:id="rId1" xr:uid="{755BD549-D0C4-43C1-BDC3-97633E70CF6C}"/>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31D7-326E-4870-9656-7BD24D50A767}">
  <sheetPr codeName="Sheet35">
    <tabColor theme="7" tint="0.79998168889431442"/>
  </sheetPr>
  <dimension ref="A1:L34"/>
  <sheetViews>
    <sheetView showGridLines="0" zoomScale="70" zoomScaleNormal="70" workbookViewId="0"/>
  </sheetViews>
  <sheetFormatPr defaultColWidth="11.265625" defaultRowHeight="14.25" x14ac:dyDescent="0.45"/>
  <cols>
    <col min="1" max="1" width="11.265625" customWidth="1"/>
    <col min="2" max="9" width="26.3984375" customWidth="1"/>
    <col min="10" max="10" width="30.265625" customWidth="1"/>
    <col min="11" max="11" width="24" customWidth="1"/>
    <col min="12" max="12" width="11.265625" customWidth="1"/>
    <col min="13" max="13" width="16" bestFit="1" customWidth="1"/>
  </cols>
  <sheetData>
    <row r="1" spans="1:10" ht="15.4" x14ac:dyDescent="0.45">
      <c r="A1" s="17"/>
      <c r="B1" s="17"/>
      <c r="C1" s="17"/>
      <c r="D1" s="17"/>
      <c r="E1" s="17"/>
      <c r="F1" s="17"/>
      <c r="G1" s="17"/>
      <c r="H1" s="17"/>
      <c r="I1" s="17"/>
      <c r="J1" s="17"/>
    </row>
    <row r="2" spans="1:10" ht="15.4" x14ac:dyDescent="0.45">
      <c r="A2" s="17"/>
      <c r="B2" s="17"/>
      <c r="C2" s="17"/>
      <c r="D2" s="17"/>
      <c r="E2" s="17"/>
      <c r="F2" s="17"/>
      <c r="G2" s="17"/>
    </row>
    <row r="3" spans="1:10" ht="15.4" x14ac:dyDescent="0.45">
      <c r="A3" s="17"/>
      <c r="B3" s="17"/>
      <c r="C3" s="17"/>
      <c r="D3" s="17"/>
      <c r="E3" s="17"/>
      <c r="F3" s="17"/>
      <c r="G3" s="17"/>
    </row>
    <row r="4" spans="1:10" ht="15.4" x14ac:dyDescent="0.45">
      <c r="A4" s="17"/>
      <c r="B4" s="17"/>
      <c r="C4" s="17"/>
      <c r="D4" s="17"/>
      <c r="E4" s="17"/>
      <c r="F4" s="17"/>
      <c r="G4" s="17"/>
    </row>
    <row r="5" spans="1:10" ht="25.15" x14ac:dyDescent="0.7">
      <c r="A5" s="17"/>
      <c r="B5" s="18" t="s">
        <v>426</v>
      </c>
      <c r="C5" s="17"/>
      <c r="D5" s="17"/>
      <c r="E5" s="17"/>
      <c r="F5" s="17"/>
      <c r="G5" s="17"/>
    </row>
    <row r="6" spans="1:10" ht="15.4" x14ac:dyDescent="0.45">
      <c r="A6" s="17"/>
      <c r="B6" s="17" t="s">
        <v>45</v>
      </c>
      <c r="C6" s="17"/>
      <c r="D6" s="17"/>
      <c r="E6" s="17"/>
      <c r="F6" s="17"/>
      <c r="G6" s="17"/>
      <c r="I6" s="600"/>
    </row>
    <row r="7" spans="1:10" ht="17.25" customHeight="1" x14ac:dyDescent="0.45">
      <c r="A7" s="17"/>
      <c r="B7" s="19" t="s">
        <v>444</v>
      </c>
      <c r="C7" s="17"/>
      <c r="D7" s="17"/>
      <c r="E7" s="17"/>
      <c r="F7" s="17"/>
      <c r="G7" s="17"/>
    </row>
    <row r="8" spans="1:10" ht="17.25" customHeight="1" x14ac:dyDescent="0.45">
      <c r="A8" s="17"/>
      <c r="B8" s="19" t="s">
        <v>46</v>
      </c>
      <c r="C8" s="17"/>
      <c r="D8" s="17"/>
      <c r="E8" s="17"/>
      <c r="F8" s="17"/>
      <c r="G8" s="17"/>
    </row>
    <row r="9" spans="1:10" ht="17.25" customHeight="1" x14ac:dyDescent="0.45">
      <c r="A9" s="17"/>
      <c r="B9" s="21"/>
      <c r="C9" s="17"/>
      <c r="D9" s="17"/>
      <c r="E9" s="26"/>
      <c r="F9" s="17"/>
      <c r="G9" s="17"/>
      <c r="J9" s="20"/>
    </row>
    <row r="10" spans="1:10" ht="38.25" customHeight="1" thickBot="1" x14ac:dyDescent="0.5">
      <c r="A10" s="17"/>
      <c r="B10" s="642"/>
      <c r="C10" s="17"/>
      <c r="D10" s="17"/>
      <c r="E10" s="640"/>
      <c r="F10" s="17"/>
      <c r="G10" s="17"/>
      <c r="H10" s="17"/>
      <c r="I10" s="17"/>
      <c r="J10" s="17"/>
    </row>
    <row r="11" spans="1:10" ht="63.75" customHeight="1" thickBot="1" x14ac:dyDescent="0.5">
      <c r="A11" s="17"/>
      <c r="B11" s="22"/>
      <c r="C11" s="17"/>
      <c r="D11" s="17"/>
      <c r="E11" s="17"/>
      <c r="F11" s="395" t="s">
        <v>47</v>
      </c>
      <c r="G11" s="396"/>
      <c r="H11" s="396"/>
      <c r="I11" s="397"/>
      <c r="J11" s="17"/>
    </row>
    <row r="12" spans="1:10" ht="63.75" customHeight="1" thickBot="1" x14ac:dyDescent="0.5">
      <c r="A12" s="17"/>
      <c r="B12" s="386" t="s">
        <v>445</v>
      </c>
      <c r="C12" s="387"/>
      <c r="D12" s="388"/>
      <c r="E12" s="647">
        <v>8880000000</v>
      </c>
      <c r="F12" s="392" t="s">
        <v>486</v>
      </c>
      <c r="G12" s="393"/>
      <c r="H12" s="393"/>
      <c r="I12" s="394"/>
      <c r="J12" s="17"/>
    </row>
    <row r="13" spans="1:10" ht="63.75" customHeight="1" thickBot="1" x14ac:dyDescent="0.5">
      <c r="A13" s="17"/>
      <c r="B13" s="386" t="s">
        <v>48</v>
      </c>
      <c r="C13" s="387"/>
      <c r="D13" s="388"/>
      <c r="E13" s="646">
        <v>175000000</v>
      </c>
      <c r="F13" s="392" t="s">
        <v>468</v>
      </c>
      <c r="G13" s="393"/>
      <c r="H13" s="393"/>
      <c r="I13" s="394"/>
      <c r="J13" s="17"/>
    </row>
    <row r="14" spans="1:10" ht="63.75" customHeight="1" thickBot="1" x14ac:dyDescent="0.5">
      <c r="A14" s="17"/>
      <c r="B14" s="386" t="s">
        <v>49</v>
      </c>
      <c r="C14" s="387"/>
      <c r="D14" s="388"/>
      <c r="E14" s="647">
        <f>E12-E13</f>
        <v>8705000000</v>
      </c>
      <c r="F14" s="392" t="s">
        <v>446</v>
      </c>
      <c r="G14" s="393"/>
      <c r="H14" s="393"/>
      <c r="I14" s="394"/>
    </row>
    <row r="15" spans="1:10" ht="63.75" customHeight="1" thickBot="1" x14ac:dyDescent="0.5">
      <c r="A15" s="17"/>
      <c r="B15" s="17"/>
      <c r="C15" s="17"/>
      <c r="D15" s="17"/>
      <c r="E15" s="17"/>
      <c r="F15" s="17"/>
      <c r="G15" s="17"/>
      <c r="H15" s="17"/>
      <c r="I15" s="17"/>
      <c r="J15" s="17"/>
    </row>
    <row r="16" spans="1:10" ht="63.75" customHeight="1" thickBot="1" x14ac:dyDescent="0.5">
      <c r="A16" s="17"/>
      <c r="B16" s="386" t="s">
        <v>50</v>
      </c>
      <c r="C16" s="387"/>
      <c r="D16" s="388"/>
      <c r="E16" s="647">
        <f>E14</f>
        <v>8705000000</v>
      </c>
      <c r="F16" s="392" t="s">
        <v>51</v>
      </c>
      <c r="G16" s="393"/>
      <c r="H16" s="393"/>
      <c r="I16" s="394"/>
      <c r="J16" s="17"/>
    </row>
    <row r="17" spans="1:12" ht="63.75" customHeight="1" thickBot="1" x14ac:dyDescent="0.5">
      <c r="A17" s="17"/>
      <c r="B17" s="386" t="s">
        <v>52</v>
      </c>
      <c r="C17" s="387"/>
      <c r="D17" s="388"/>
      <c r="E17" s="646">
        <f>'2022-23 StepbyStep Allocations'!H8</f>
        <v>764795123.01026654</v>
      </c>
      <c r="F17" s="392" t="s">
        <v>487</v>
      </c>
      <c r="G17" s="393"/>
      <c r="H17" s="393"/>
      <c r="I17" s="394"/>
      <c r="J17" s="23"/>
    </row>
    <row r="18" spans="1:12" ht="63.75" customHeight="1" thickBot="1" x14ac:dyDescent="0.5">
      <c r="A18" s="17"/>
      <c r="B18" s="386" t="s">
        <v>53</v>
      </c>
      <c r="C18" s="387"/>
      <c r="D18" s="388"/>
      <c r="E18" s="646">
        <f>'2022-23 StepbyStep Allocations'!I8</f>
        <v>2786086264.0003986</v>
      </c>
      <c r="F18" s="392" t="s">
        <v>54</v>
      </c>
      <c r="G18" s="393"/>
      <c r="H18" s="393"/>
      <c r="I18" s="394"/>
      <c r="J18" s="565"/>
    </row>
    <row r="19" spans="1:12" ht="63.75" customHeight="1" thickBot="1" x14ac:dyDescent="0.5">
      <c r="A19" s="17"/>
      <c r="B19" s="386" t="s">
        <v>489</v>
      </c>
      <c r="C19" s="387"/>
      <c r="D19" s="388"/>
      <c r="E19" s="646">
        <f>'2022-23 StepbyStep Allocations'!BF8</f>
        <v>125766492.92963447</v>
      </c>
      <c r="F19" s="392" t="s">
        <v>490</v>
      </c>
      <c r="G19" s="393"/>
      <c r="H19" s="393"/>
      <c r="I19" s="394"/>
      <c r="J19" s="23"/>
    </row>
    <row r="20" spans="1:12" ht="63.75" customHeight="1" thickBot="1" x14ac:dyDescent="0.5">
      <c r="A20" s="17"/>
      <c r="B20" s="386" t="s">
        <v>55</v>
      </c>
      <c r="C20" s="387"/>
      <c r="D20" s="388"/>
      <c r="E20" s="646">
        <f>'2022-23 StepbyStep Allocations'!BD8</f>
        <v>198544013.45723048</v>
      </c>
      <c r="F20" s="392" t="s">
        <v>467</v>
      </c>
      <c r="G20" s="393"/>
      <c r="H20" s="393"/>
      <c r="I20" s="394"/>
    </row>
    <row r="21" spans="1:12" ht="63.75" customHeight="1" thickBot="1" x14ac:dyDescent="0.5">
      <c r="A21" s="17"/>
      <c r="B21" s="386" t="s">
        <v>56</v>
      </c>
      <c r="C21" s="387"/>
      <c r="D21" s="388"/>
      <c r="E21" s="646">
        <f>'2022-23 StepbyStep Allocations'!BN8-'2022-23 StepbyStep Allocations'!BE8</f>
        <v>-65163116.966708183</v>
      </c>
      <c r="F21" s="392" t="s">
        <v>530</v>
      </c>
      <c r="G21" s="393"/>
      <c r="H21" s="393"/>
      <c r="I21" s="394"/>
    </row>
    <row r="22" spans="1:12" ht="63.75" customHeight="1" thickBot="1" x14ac:dyDescent="0.5">
      <c r="A22" s="17"/>
      <c r="B22" s="389" t="s">
        <v>57</v>
      </c>
      <c r="C22" s="390"/>
      <c r="D22" s="391"/>
      <c r="E22" s="644">
        <v>4894971223.5691805</v>
      </c>
      <c r="F22" s="392" t="s">
        <v>58</v>
      </c>
      <c r="G22" s="393"/>
      <c r="H22" s="393"/>
      <c r="I22" s="394"/>
      <c r="J22" s="24"/>
      <c r="K22" s="24"/>
      <c r="L22" s="25"/>
    </row>
    <row r="23" spans="1:12" ht="63.75" customHeight="1" thickBot="1" x14ac:dyDescent="0.5">
      <c r="A23" s="17"/>
      <c r="B23" s="17"/>
      <c r="C23" s="17"/>
      <c r="D23" s="17"/>
      <c r="E23" s="26"/>
      <c r="F23" s="26"/>
      <c r="G23" s="17"/>
      <c r="H23" s="17"/>
      <c r="I23" s="17"/>
      <c r="J23" s="27"/>
    </row>
    <row r="24" spans="1:12" ht="42.75" customHeight="1" thickBot="1" x14ac:dyDescent="0.5">
      <c r="A24" s="17"/>
      <c r="B24" s="254" t="s">
        <v>59</v>
      </c>
      <c r="C24" s="254"/>
      <c r="D24" s="255" t="s">
        <v>60</v>
      </c>
      <c r="E24" s="617" t="s">
        <v>61</v>
      </c>
      <c r="F24" s="256" t="s">
        <v>62</v>
      </c>
      <c r="G24" s="256"/>
      <c r="H24" s="256"/>
      <c r="I24" s="256"/>
      <c r="J24" s="17"/>
    </row>
    <row r="25" spans="1:12" ht="63.75" customHeight="1" thickBot="1" x14ac:dyDescent="0.5">
      <c r="A25" s="17"/>
      <c r="B25" s="256" t="s">
        <v>63</v>
      </c>
      <c r="C25" s="256"/>
      <c r="D25" s="257">
        <v>0.5</v>
      </c>
      <c r="E25" s="645">
        <f>D25*$E$22</f>
        <v>2447485611.7845902</v>
      </c>
      <c r="F25" s="392" t="s">
        <v>491</v>
      </c>
      <c r="G25" s="393"/>
      <c r="H25" s="393"/>
      <c r="I25" s="394"/>
      <c r="J25" s="17"/>
    </row>
    <row r="26" spans="1:12" ht="63.75" customHeight="1" thickBot="1" x14ac:dyDescent="0.5">
      <c r="A26" s="17"/>
      <c r="B26" s="256" t="s">
        <v>64</v>
      </c>
      <c r="C26" s="256"/>
      <c r="D26" s="257">
        <v>0.1</v>
      </c>
      <c r="E26" s="645">
        <f t="shared" ref="E26:E31" si="0">D26*$E$22</f>
        <v>489497122.3569181</v>
      </c>
      <c r="F26" s="392" t="s">
        <v>492</v>
      </c>
      <c r="G26" s="393"/>
      <c r="H26" s="393"/>
      <c r="I26" s="394"/>
      <c r="J26" s="17"/>
    </row>
    <row r="27" spans="1:12" ht="63.75" customHeight="1" thickBot="1" x14ac:dyDescent="0.5">
      <c r="A27" s="17"/>
      <c r="B27" s="256" t="s">
        <v>65</v>
      </c>
      <c r="C27" s="256"/>
      <c r="D27" s="257">
        <v>0.1</v>
      </c>
      <c r="E27" s="645">
        <f t="shared" si="0"/>
        <v>489497122.3569181</v>
      </c>
      <c r="F27" s="392" t="s">
        <v>493</v>
      </c>
      <c r="G27" s="393"/>
      <c r="H27" s="393"/>
      <c r="I27" s="394"/>
      <c r="J27" s="17"/>
    </row>
    <row r="28" spans="1:12" ht="63.75" customHeight="1" thickBot="1" x14ac:dyDescent="0.5">
      <c r="A28" s="17"/>
      <c r="B28" s="256" t="s">
        <v>66</v>
      </c>
      <c r="C28" s="256"/>
      <c r="D28" s="257">
        <v>7.4999999999999997E-2</v>
      </c>
      <c r="E28" s="645">
        <f t="shared" si="0"/>
        <v>367122841.76768851</v>
      </c>
      <c r="F28" s="392" t="s">
        <v>67</v>
      </c>
      <c r="G28" s="393"/>
      <c r="H28" s="393"/>
      <c r="I28" s="394"/>
      <c r="J28" s="17"/>
    </row>
    <row r="29" spans="1:12" ht="63.75" customHeight="1" thickBot="1" x14ac:dyDescent="0.5">
      <c r="A29" s="17"/>
      <c r="B29" s="256" t="s">
        <v>68</v>
      </c>
      <c r="C29" s="256"/>
      <c r="D29" s="257">
        <v>7.4999999999999997E-2</v>
      </c>
      <c r="E29" s="645">
        <f t="shared" si="0"/>
        <v>367122841.76768851</v>
      </c>
      <c r="F29" s="392" t="s">
        <v>509</v>
      </c>
      <c r="G29" s="393"/>
      <c r="H29" s="393"/>
      <c r="I29" s="394"/>
      <c r="J29" s="17"/>
    </row>
    <row r="30" spans="1:12" ht="82.5" customHeight="1" thickBot="1" x14ac:dyDescent="0.5">
      <c r="A30" s="17"/>
      <c r="B30" s="256" t="s">
        <v>69</v>
      </c>
      <c r="C30" s="256"/>
      <c r="D30" s="257">
        <v>7.4999999999999997E-2</v>
      </c>
      <c r="E30" s="645">
        <f t="shared" si="0"/>
        <v>367122841.76768851</v>
      </c>
      <c r="F30" s="392" t="s">
        <v>494</v>
      </c>
      <c r="G30" s="393"/>
      <c r="H30" s="393"/>
      <c r="I30" s="394"/>
      <c r="J30" s="17"/>
    </row>
    <row r="31" spans="1:12" ht="63.75" customHeight="1" thickBot="1" x14ac:dyDescent="0.5">
      <c r="A31" s="17"/>
      <c r="B31" s="256" t="s">
        <v>70</v>
      </c>
      <c r="C31" s="256"/>
      <c r="D31" s="257">
        <v>7.4999999999999997E-2</v>
      </c>
      <c r="E31" s="645">
        <f t="shared" si="0"/>
        <v>367122841.76768851</v>
      </c>
      <c r="F31" s="392" t="s">
        <v>495</v>
      </c>
      <c r="G31" s="393"/>
      <c r="H31" s="393"/>
      <c r="I31" s="394"/>
      <c r="J31" s="17"/>
    </row>
    <row r="32" spans="1:12" ht="63.75" customHeight="1" thickBot="1" x14ac:dyDescent="0.5">
      <c r="A32" s="17"/>
      <c r="B32" s="254" t="s">
        <v>71</v>
      </c>
      <c r="C32" s="254"/>
      <c r="D32" s="258">
        <v>0.99999999999999978</v>
      </c>
      <c r="E32" s="644">
        <f>SUM(E25:E31)</f>
        <v>4894971223.5691814</v>
      </c>
      <c r="F32" s="392"/>
      <c r="G32" s="393"/>
      <c r="H32" s="393"/>
      <c r="I32" s="394"/>
      <c r="J32" s="28"/>
    </row>
    <row r="33" spans="5:5" ht="49.5" customHeight="1" x14ac:dyDescent="0.45">
      <c r="E33" s="24"/>
    </row>
    <row r="34" spans="5:5" ht="15" customHeight="1" x14ac:dyDescent="0.45">
      <c r="E34" s="2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EFDC7-2ACD-4AF8-AC63-7EB4D9147F49}">
  <sheetPr codeName="Sheet36">
    <tabColor theme="4"/>
  </sheetPr>
  <dimension ref="B1:T171"/>
  <sheetViews>
    <sheetView showGridLines="0" zoomScale="80" zoomScaleNormal="80" workbookViewId="0"/>
  </sheetViews>
  <sheetFormatPr defaultColWidth="9" defaultRowHeight="14.25" x14ac:dyDescent="0.45"/>
  <cols>
    <col min="1" max="1" width="6" customWidth="1"/>
    <col min="2" max="2" width="32.59765625" customWidth="1"/>
    <col min="3" max="3" width="12.59765625" customWidth="1"/>
    <col min="4" max="4" width="35.265625" bestFit="1" customWidth="1"/>
    <col min="5" max="5" width="42.86328125" customWidth="1"/>
    <col min="6" max="9" width="30" customWidth="1"/>
    <col min="10" max="10" width="27.265625" customWidth="1"/>
    <col min="11" max="12" width="30" customWidth="1"/>
    <col min="13" max="14" width="42.86328125" customWidth="1"/>
    <col min="19" max="19" width="15.73046875" bestFit="1" customWidth="1"/>
  </cols>
  <sheetData>
    <row r="1" spans="2:14" s="203" customFormat="1" ht="25.15" x14ac:dyDescent="0.45">
      <c r="B1" s="30" t="s">
        <v>411</v>
      </c>
      <c r="C1" s="200"/>
      <c r="D1" s="200"/>
      <c r="E1" s="201"/>
      <c r="F1" s="201"/>
      <c r="G1" s="201"/>
      <c r="H1"/>
      <c r="I1"/>
      <c r="J1"/>
      <c r="K1"/>
      <c r="L1"/>
      <c r="M1"/>
    </row>
    <row r="2" spans="2:14" s="203" customFormat="1" ht="25.5" thickBot="1" x14ac:dyDescent="0.5">
      <c r="B2" s="204"/>
      <c r="C2" s="200"/>
      <c r="D2" s="200"/>
      <c r="E2" s="200"/>
      <c r="F2" s="200"/>
      <c r="G2" s="200"/>
      <c r="H2"/>
      <c r="I2"/>
      <c r="J2"/>
      <c r="K2" s="200"/>
      <c r="L2" s="200"/>
      <c r="M2" s="200"/>
      <c r="N2" s="200"/>
    </row>
    <row r="3" spans="2:14" s="203" customFormat="1" ht="15" x14ac:dyDescent="0.35">
      <c r="B3" s="205" t="s">
        <v>531</v>
      </c>
      <c r="C3" s="206"/>
      <c r="D3" s="206"/>
      <c r="E3" s="206"/>
      <c r="F3" s="206"/>
      <c r="G3" s="206"/>
      <c r="H3" s="206"/>
      <c r="I3" s="206"/>
      <c r="J3" s="206"/>
      <c r="K3" s="206"/>
      <c r="L3" s="206"/>
      <c r="M3" s="206"/>
      <c r="N3" s="207"/>
    </row>
    <row r="4" spans="2:14" s="203" customFormat="1" ht="15.75" customHeight="1" x14ac:dyDescent="0.35">
      <c r="B4" s="208"/>
      <c r="C4" s="269"/>
      <c r="D4" s="269"/>
      <c r="E4" s="269"/>
      <c r="F4" s="269"/>
      <c r="G4" s="269"/>
      <c r="H4" s="269"/>
      <c r="I4" s="269"/>
      <c r="J4" s="269"/>
      <c r="K4" s="269"/>
      <c r="L4" s="269"/>
      <c r="M4" s="269"/>
      <c r="N4" s="209"/>
    </row>
    <row r="5" spans="2:14" s="203" customFormat="1" ht="22.5" customHeight="1" x14ac:dyDescent="0.7">
      <c r="B5" s="398" t="s">
        <v>72</v>
      </c>
      <c r="C5" s="270"/>
      <c r="D5" s="270"/>
      <c r="E5" s="270"/>
      <c r="F5" s="270"/>
      <c r="G5" s="270"/>
      <c r="H5" s="270"/>
      <c r="I5" s="270"/>
      <c r="J5" s="270"/>
      <c r="K5" s="270"/>
      <c r="L5" s="270"/>
      <c r="M5" s="270"/>
      <c r="N5" s="210"/>
    </row>
    <row r="6" spans="2:14" s="203" customFormat="1" ht="15.75" customHeight="1" x14ac:dyDescent="0.4">
      <c r="B6" s="268" t="s">
        <v>500</v>
      </c>
      <c r="C6" s="337"/>
      <c r="D6" s="337"/>
      <c r="E6" s="337"/>
      <c r="F6" s="337"/>
      <c r="G6" s="337"/>
      <c r="H6" s="337"/>
      <c r="I6" s="337"/>
      <c r="J6" s="337"/>
      <c r="K6" s="337"/>
      <c r="L6" s="337"/>
      <c r="M6" s="337"/>
      <c r="N6" s="338"/>
    </row>
    <row r="7" spans="2:14" s="203" customFormat="1" ht="15" x14ac:dyDescent="0.4">
      <c r="B7" s="268" t="s">
        <v>374</v>
      </c>
      <c r="C7" s="337"/>
      <c r="D7" s="337"/>
      <c r="E7" s="337"/>
      <c r="F7" s="337"/>
      <c r="G7" s="337"/>
      <c r="H7" s="337"/>
      <c r="I7" s="337"/>
      <c r="J7" s="337"/>
      <c r="K7" s="337"/>
      <c r="L7" s="337"/>
      <c r="M7" s="337"/>
      <c r="N7" s="338"/>
    </row>
    <row r="8" spans="2:14" s="203" customFormat="1" ht="25.15" x14ac:dyDescent="0.7">
      <c r="B8" s="398" t="s">
        <v>466</v>
      </c>
      <c r="C8" s="270"/>
      <c r="D8" s="270"/>
      <c r="E8" s="270"/>
      <c r="F8" s="270"/>
      <c r="G8" s="270"/>
      <c r="H8" s="270"/>
      <c r="I8" s="270"/>
      <c r="J8" s="270"/>
      <c r="K8" s="270"/>
      <c r="L8" s="270"/>
      <c r="M8" s="270"/>
      <c r="N8" s="210"/>
    </row>
    <row r="9" spans="2:14" s="203" customFormat="1" ht="15" x14ac:dyDescent="0.4">
      <c r="B9" s="268"/>
      <c r="C9" s="293"/>
      <c r="D9" s="293"/>
      <c r="E9" s="293"/>
      <c r="F9" s="293"/>
      <c r="G9" s="293"/>
      <c r="H9" s="293"/>
      <c r="I9" s="293"/>
      <c r="J9" s="293"/>
      <c r="K9" s="293"/>
      <c r="L9" s="307"/>
      <c r="M9" s="337"/>
      <c r="N9" s="294"/>
    </row>
    <row r="10" spans="2:14" s="203" customFormat="1" ht="15" x14ac:dyDescent="0.4">
      <c r="B10" s="268" t="s">
        <v>427</v>
      </c>
      <c r="C10" s="293"/>
      <c r="D10" s="293"/>
      <c r="E10" s="293"/>
      <c r="F10" s="293"/>
      <c r="G10" s="293"/>
      <c r="H10" s="293"/>
      <c r="I10" s="293"/>
      <c r="J10" s="293"/>
      <c r="K10" s="293"/>
      <c r="L10" s="307"/>
      <c r="M10" s="337"/>
      <c r="N10" s="294"/>
    </row>
    <row r="11" spans="2:14" s="203" customFormat="1" ht="15" x14ac:dyDescent="0.4">
      <c r="B11" s="268" t="s">
        <v>499</v>
      </c>
      <c r="C11" s="319"/>
      <c r="D11" s="319"/>
      <c r="E11" s="319"/>
      <c r="F11" s="319"/>
      <c r="G11" s="319"/>
      <c r="H11" s="319"/>
      <c r="I11" s="319"/>
      <c r="J11" s="319"/>
      <c r="K11" s="319"/>
      <c r="L11" s="319"/>
      <c r="M11" s="337"/>
      <c r="N11" s="320"/>
    </row>
    <row r="12" spans="2:14" s="203" customFormat="1" ht="15.4" thickBot="1" x14ac:dyDescent="0.45">
      <c r="B12" s="211"/>
      <c r="C12" s="212"/>
      <c r="D12" s="212"/>
      <c r="E12" s="212"/>
      <c r="F12" s="212"/>
      <c r="G12" s="212"/>
      <c r="H12" s="212"/>
      <c r="I12" s="212"/>
      <c r="J12" s="212"/>
      <c r="K12" s="212"/>
      <c r="L12" s="212"/>
      <c r="M12" s="212"/>
      <c r="N12" s="213"/>
    </row>
    <row r="13" spans="2:14" s="203" customFormat="1" ht="15.4" thickBot="1" x14ac:dyDescent="0.4">
      <c r="B13" s="214"/>
      <c r="C13" s="200"/>
      <c r="D13" s="200"/>
      <c r="E13" s="200"/>
      <c r="F13" s="200"/>
      <c r="G13" s="200"/>
      <c r="H13" s="200"/>
      <c r="I13" s="200"/>
      <c r="J13" s="200"/>
      <c r="K13" s="200"/>
      <c r="L13" s="200"/>
      <c r="M13" s="200"/>
      <c r="N13" s="200"/>
    </row>
    <row r="14" spans="2:14" s="215" customFormat="1" ht="15.4" thickBot="1" x14ac:dyDescent="0.5">
      <c r="E14" s="216"/>
      <c r="F14" s="217"/>
      <c r="G14" s="217"/>
      <c r="H14" s="217"/>
      <c r="I14" s="217"/>
      <c r="J14" s="217"/>
      <c r="K14" s="217"/>
      <c r="L14" s="217"/>
      <c r="M14" s="217"/>
      <c r="N14" s="218"/>
    </row>
    <row r="15" spans="2:14" s="215" customFormat="1" ht="25.25" customHeight="1" thickBot="1" x14ac:dyDescent="0.5">
      <c r="E15" s="399" t="s">
        <v>429</v>
      </c>
      <c r="F15" s="400"/>
      <c r="G15" s="400"/>
      <c r="H15" s="400"/>
      <c r="I15" s="400"/>
      <c r="J15" s="400"/>
      <c r="K15" s="400"/>
      <c r="L15" s="400"/>
      <c r="M15" s="400"/>
      <c r="N15" s="401"/>
    </row>
    <row r="16" spans="2:14" s="215" customFormat="1" ht="104.25" customHeight="1" x14ac:dyDescent="0.4">
      <c r="B16" s="339" t="s">
        <v>73</v>
      </c>
      <c r="C16" s="342" t="s">
        <v>74</v>
      </c>
      <c r="D16" s="345" t="s">
        <v>75</v>
      </c>
      <c r="E16" s="402" t="s">
        <v>481</v>
      </c>
      <c r="F16" s="404" t="s">
        <v>428</v>
      </c>
      <c r="G16" s="405"/>
      <c r="H16" s="406"/>
      <c r="I16" s="407" t="s">
        <v>430</v>
      </c>
      <c r="J16" s="408"/>
      <c r="K16" s="409"/>
      <c r="L16" s="469" t="s">
        <v>497</v>
      </c>
      <c r="M16" s="469" t="s">
        <v>432</v>
      </c>
      <c r="N16" s="469" t="s">
        <v>510</v>
      </c>
    </row>
    <row r="17" spans="2:20" s="224" customFormat="1" ht="102.4" customHeight="1" thickBot="1" x14ac:dyDescent="0.5">
      <c r="B17" s="340"/>
      <c r="C17" s="343"/>
      <c r="D17" s="346"/>
      <c r="E17" s="403" t="s">
        <v>496</v>
      </c>
      <c r="F17" s="219" t="s">
        <v>76</v>
      </c>
      <c r="G17" s="334" t="str">
        <f>"ACA-weighted basic entitlement unit rate (£4,660 per pupil)"</f>
        <v>ACA-weighted basic entitlement unit rate (£4,660 per pupil)</v>
      </c>
      <c r="H17" s="220" t="str">
        <f>"Basic entitlement factor*"</f>
        <v>Basic entitlement factor*</v>
      </c>
      <c r="I17" s="221" t="s">
        <v>431</v>
      </c>
      <c r="J17" s="222" t="s">
        <v>77</v>
      </c>
      <c r="K17" s="223" t="s">
        <v>78</v>
      </c>
      <c r="L17" s="517" t="s">
        <v>482</v>
      </c>
      <c r="M17" s="517" t="s">
        <v>498</v>
      </c>
      <c r="N17" s="517" t="s">
        <v>511</v>
      </c>
    </row>
    <row r="18" spans="2:20" s="224" customFormat="1" ht="15.4" thickBot="1" x14ac:dyDescent="0.5">
      <c r="B18" s="341"/>
      <c r="C18" s="344"/>
      <c r="D18" s="347"/>
      <c r="E18" s="225" t="s">
        <v>79</v>
      </c>
      <c r="F18" s="226" t="s">
        <v>80</v>
      </c>
      <c r="G18" s="227" t="s">
        <v>81</v>
      </c>
      <c r="H18" s="228" t="s">
        <v>82</v>
      </c>
      <c r="I18" s="229" t="s">
        <v>83</v>
      </c>
      <c r="J18" s="230" t="s">
        <v>84</v>
      </c>
      <c r="K18" s="202" t="s">
        <v>85</v>
      </c>
      <c r="L18" s="308" t="s">
        <v>371</v>
      </c>
      <c r="M18" s="228" t="s">
        <v>389</v>
      </c>
      <c r="N18" s="228" t="s">
        <v>390</v>
      </c>
    </row>
    <row r="19" spans="2:20" s="215" customFormat="1" ht="15.4" thickBot="1" x14ac:dyDescent="0.45">
      <c r="B19" s="231"/>
      <c r="C19" s="232"/>
      <c r="D19" s="233" t="s">
        <v>86</v>
      </c>
      <c r="E19" s="234">
        <f>SUM(E21:E171)</f>
        <v>7814438384.0601025</v>
      </c>
      <c r="F19" s="235"/>
      <c r="G19" s="236"/>
      <c r="H19" s="237">
        <f>SUM(H21:H171)</f>
        <v>764795123.01026654</v>
      </c>
      <c r="I19" s="235"/>
      <c r="J19" s="237">
        <f>SUM(J21:J171)</f>
        <v>16051560</v>
      </c>
      <c r="K19" s="238"/>
      <c r="L19" s="309">
        <f>SUM(L21:L171)</f>
        <v>125766492.92963447</v>
      </c>
      <c r="M19" s="239">
        <f>SUM(M21:M171)</f>
        <v>8705000000</v>
      </c>
      <c r="N19" s="239">
        <f>SUM(N21:N171)</f>
        <v>8721093559.9999981</v>
      </c>
      <c r="S19" s="468"/>
    </row>
    <row r="20" spans="2:20" s="215" customFormat="1" ht="15.4" thickBot="1" x14ac:dyDescent="0.45">
      <c r="B20" s="231"/>
      <c r="C20" s="232"/>
      <c r="D20" s="233" t="s">
        <v>87</v>
      </c>
      <c r="E20" s="602"/>
      <c r="F20" s="235"/>
      <c r="G20" s="236"/>
      <c r="H20" s="237">
        <f>H19-H171</f>
        <v>717511268.01026654</v>
      </c>
      <c r="I20" s="235"/>
      <c r="J20" s="240"/>
      <c r="K20" s="238"/>
      <c r="L20" s="606"/>
      <c r="M20" s="239">
        <f>M19-M171</f>
        <v>8657716145</v>
      </c>
      <c r="N20" s="239">
        <f>N19-N171</f>
        <v>8604550204.9999981</v>
      </c>
      <c r="T20" s="468"/>
    </row>
    <row r="21" spans="2:20" s="215" customFormat="1" ht="15" x14ac:dyDescent="0.4">
      <c r="B21" s="272" t="s">
        <v>88</v>
      </c>
      <c r="C21" s="273">
        <v>831</v>
      </c>
      <c r="D21" s="274" t="s">
        <v>89</v>
      </c>
      <c r="E21" s="275">
        <f>INDEX('2022-23 StepbyStep Allocations'!$BN$9:$BN$159, MATCH(C21, '2022-23 StepbyStep Allocations'!$C$9:$C$159, 0))</f>
        <v>43786923.208025262</v>
      </c>
      <c r="F21" s="276">
        <f>'2022-23 StepbyStep Allocations'!G9</f>
        <v>821.5</v>
      </c>
      <c r="G21" s="277">
        <f>'2022-23 StepbyStep Allocations'!F9</f>
        <v>4660</v>
      </c>
      <c r="H21" s="278">
        <f>INDEX('2022-23 StepbyStep Allocations'!$H$9:$H$159, MATCH(C21, '2022-23 StepbyStep Allocations'!$C$9:$C$159, 0))</f>
        <v>3828190</v>
      </c>
      <c r="I21" s="279">
        <f>'2022-23 StepbyStep Allocations'!BG9</f>
        <v>127.5</v>
      </c>
      <c r="J21" s="277">
        <f>'2022-23 StepbyStep Allocations'!BH9</f>
        <v>0</v>
      </c>
      <c r="K21" s="603">
        <f>INDEX('2022-23 StepbyStep Allocations'!$BI$9:$BI$159, MATCH(C21,'2022-23 StepbyStep Allocations'!$C$9:$C$159,0))</f>
        <v>765000</v>
      </c>
      <c r="L21" s="607">
        <f>INDEX('2022-23 StepbyStep Allocations'!$BF$9:$BF$159, MATCH(C21,'2022-23 StepbyStep Allocations'!$C$9:$C$159, 0))</f>
        <v>500028.3504270644</v>
      </c>
      <c r="M21" s="280">
        <f>E21+H21+L21</f>
        <v>48115141.558452323</v>
      </c>
      <c r="N21" s="278">
        <f>E21+H21+K21+L21</f>
        <v>48880141.558452323</v>
      </c>
      <c r="T21" s="468"/>
    </row>
    <row r="22" spans="2:20" s="215" customFormat="1" ht="15" x14ac:dyDescent="0.4">
      <c r="B22" s="245" t="s">
        <v>88</v>
      </c>
      <c r="C22" s="246">
        <v>830</v>
      </c>
      <c r="D22" s="247" t="s">
        <v>90</v>
      </c>
      <c r="E22" s="333">
        <f>INDEX('2022-23 StepbyStep Allocations'!$BN$9:$BN$159, MATCH(C22, '2022-23 StepbyStep Allocations'!$C$9:$C$159, 0))</f>
        <v>93082403.08961904</v>
      </c>
      <c r="F22" s="241">
        <f>'2022-23 StepbyStep Allocations'!G10</f>
        <v>1145</v>
      </c>
      <c r="G22" s="242">
        <f>'2022-23 StepbyStep Allocations'!F10</f>
        <v>4660</v>
      </c>
      <c r="H22" s="243">
        <f>INDEX('2022-23 StepbyStep Allocations'!$H$9:$H$159, MATCH(C22, '2022-23 StepbyStep Allocations'!$C$9:$C$159, 0))</f>
        <v>5335700</v>
      </c>
      <c r="I22" s="244">
        <f>'2022-23 StepbyStep Allocations'!BG10</f>
        <v>-455.5</v>
      </c>
      <c r="J22" s="242">
        <f>'2022-23 StepbyStep Allocations'!BH10</f>
        <v>0</v>
      </c>
      <c r="K22" s="604">
        <f>INDEX('2022-23 StepbyStep Allocations'!$BI$9:$BI$159, MATCH(C22,'2022-23 StepbyStep Allocations'!$C$9:$C$159,0))</f>
        <v>-2733000</v>
      </c>
      <c r="L22" s="608">
        <f>INDEX('2022-23 StepbyStep Allocations'!$BF$9:$BF$159, MATCH(C22,'2022-23 StepbyStep Allocations'!$C$9:$C$159, 0))</f>
        <v>294182.59077966108</v>
      </c>
      <c r="M22" s="331">
        <f t="shared" ref="M22:M86" si="0">E22+H22+L22</f>
        <v>98712285.680398703</v>
      </c>
      <c r="N22" s="243">
        <f>E22+H22+K22+L22</f>
        <v>95979285.680398703</v>
      </c>
      <c r="T22" s="468"/>
    </row>
    <row r="23" spans="2:20" s="215" customFormat="1" ht="15" x14ac:dyDescent="0.4">
      <c r="B23" s="245" t="s">
        <v>88</v>
      </c>
      <c r="C23" s="246">
        <v>856</v>
      </c>
      <c r="D23" s="247" t="s">
        <v>91</v>
      </c>
      <c r="E23" s="333">
        <f>INDEX('2022-23 StepbyStep Allocations'!$BN$9:$BN$159, MATCH(C23, '2022-23 StepbyStep Allocations'!$C$9:$C$159, 0))</f>
        <v>60802225.581595697</v>
      </c>
      <c r="F23" s="241">
        <f>'2022-23 StepbyStep Allocations'!G11</f>
        <v>1138</v>
      </c>
      <c r="G23" s="242">
        <f>'2022-23 StepbyStep Allocations'!F11</f>
        <v>4660</v>
      </c>
      <c r="H23" s="243">
        <f>INDEX('2022-23 StepbyStep Allocations'!$H$9:$H$159, MATCH(C23, '2022-23 StepbyStep Allocations'!$C$9:$C$159, 0))</f>
        <v>5303080</v>
      </c>
      <c r="I23" s="244">
        <f>'2022-23 StepbyStep Allocations'!BG11</f>
        <v>-91</v>
      </c>
      <c r="J23" s="242">
        <f>'2022-23 StepbyStep Allocations'!BH11</f>
        <v>6000</v>
      </c>
      <c r="K23" s="604">
        <f>INDEX('2022-23 StepbyStep Allocations'!$BI$9:$BI$159, MATCH(C23,'2022-23 StepbyStep Allocations'!$C$9:$C$159,0))</f>
        <v>-540000</v>
      </c>
      <c r="L23" s="608">
        <f>INDEX('2022-23 StepbyStep Allocations'!$BF$9:$BF$159, MATCH(C23,'2022-23 StepbyStep Allocations'!$C$9:$C$159, 0))</f>
        <v>2725211.6077739089</v>
      </c>
      <c r="M23" s="331">
        <f t="shared" si="0"/>
        <v>68830517.189369604</v>
      </c>
      <c r="N23" s="243">
        <f t="shared" ref="N23:N53" si="1">E23+H23+K23+L23</f>
        <v>68290517.189369604</v>
      </c>
      <c r="T23" s="468"/>
    </row>
    <row r="24" spans="2:20" s="215" customFormat="1" ht="15" x14ac:dyDescent="0.4">
      <c r="B24" s="245" t="s">
        <v>88</v>
      </c>
      <c r="C24" s="246">
        <v>855</v>
      </c>
      <c r="D24" s="247" t="s">
        <v>92</v>
      </c>
      <c r="E24" s="333">
        <f>INDEX('2022-23 StepbyStep Allocations'!$BN$9:$BN$159, MATCH(C24, '2022-23 StepbyStep Allocations'!$C$9:$C$159, 0))</f>
        <v>81540489.861412629</v>
      </c>
      <c r="F24" s="241">
        <f>'2022-23 StepbyStep Allocations'!G12</f>
        <v>1870</v>
      </c>
      <c r="G24" s="242">
        <f>'2022-23 StepbyStep Allocations'!F12</f>
        <v>4660</v>
      </c>
      <c r="H24" s="243">
        <f>INDEX('2022-23 StepbyStep Allocations'!$H$9:$H$159, MATCH(C24, '2022-23 StepbyStep Allocations'!$C$9:$C$159, 0))</f>
        <v>8714200</v>
      </c>
      <c r="I24" s="244">
        <f>'2022-23 StepbyStep Allocations'!BG12</f>
        <v>-181</v>
      </c>
      <c r="J24" s="242">
        <f>'2022-23 StepbyStep Allocations'!BH12</f>
        <v>553167</v>
      </c>
      <c r="K24" s="604">
        <f>INDEX('2022-23 StepbyStep Allocations'!$BI$9:$BI$159, MATCH(C24,'2022-23 StepbyStep Allocations'!$C$9:$C$159,0))</f>
        <v>-532833</v>
      </c>
      <c r="L24" s="608">
        <f>INDEX('2022-23 StepbyStep Allocations'!$BF$9:$BF$159, MATCH(C24,'2022-23 StepbyStep Allocations'!$C$9:$C$159, 0))</f>
        <v>828232.65028818278</v>
      </c>
      <c r="M24" s="331">
        <f t="shared" si="0"/>
        <v>91082922.511700809</v>
      </c>
      <c r="N24" s="243">
        <f t="shared" si="1"/>
        <v>90550089.511700809</v>
      </c>
      <c r="T24" s="468"/>
    </row>
    <row r="25" spans="2:20" s="215" customFormat="1" ht="15" x14ac:dyDescent="0.4">
      <c r="B25" s="245" t="s">
        <v>88</v>
      </c>
      <c r="C25" s="246">
        <v>925</v>
      </c>
      <c r="D25" s="247" t="s">
        <v>93</v>
      </c>
      <c r="E25" s="333">
        <f>INDEX('2022-23 StepbyStep Allocations'!$BN$9:$BN$159, MATCH(C25, '2022-23 StepbyStep Allocations'!$C$9:$C$159, 0))</f>
        <v>98977746.659876898</v>
      </c>
      <c r="F25" s="241">
        <f>'2022-23 StepbyStep Allocations'!G13</f>
        <v>2122</v>
      </c>
      <c r="G25" s="242">
        <f>'2022-23 StepbyStep Allocations'!F13</f>
        <v>4660</v>
      </c>
      <c r="H25" s="243">
        <f>INDEX('2022-23 StepbyStep Allocations'!$H$9:$H$159, MATCH(C25, '2022-23 StepbyStep Allocations'!$C$9:$C$159, 0))</f>
        <v>9888520</v>
      </c>
      <c r="I25" s="244">
        <f>'2022-23 StepbyStep Allocations'!BG13</f>
        <v>-211.5</v>
      </c>
      <c r="J25" s="242">
        <f>'2022-23 StepbyStep Allocations'!BH13</f>
        <v>0</v>
      </c>
      <c r="K25" s="604">
        <f>INDEX('2022-23 StepbyStep Allocations'!$BI$9:$BI$159, MATCH(C25,'2022-23 StepbyStep Allocations'!$C$9:$C$159,0))</f>
        <v>-1269000</v>
      </c>
      <c r="L25" s="608">
        <f>INDEX('2022-23 StepbyStep Allocations'!$BF$9:$BF$159, MATCH(C25,'2022-23 StepbyStep Allocations'!$C$9:$C$159, 0))</f>
        <v>2696791.6391613432</v>
      </c>
      <c r="M25" s="331">
        <f t="shared" si="0"/>
        <v>111563058.29903825</v>
      </c>
      <c r="N25" s="243">
        <f t="shared" si="1"/>
        <v>110294058.29903825</v>
      </c>
      <c r="T25" s="468"/>
    </row>
    <row r="26" spans="2:20" s="215" customFormat="1" ht="15" x14ac:dyDescent="0.4">
      <c r="B26" s="245" t="s">
        <v>88</v>
      </c>
      <c r="C26" s="246">
        <v>940</v>
      </c>
      <c r="D26" s="247" t="s">
        <v>358</v>
      </c>
      <c r="E26" s="333">
        <f>INDEX('2022-23 StepbyStep Allocations'!$BN$9:$BN$159, MATCH(C26, '2022-23 StepbyStep Allocations'!$C$9:$C$159, 0))</f>
        <v>45822047.563717291</v>
      </c>
      <c r="F26" s="241">
        <f>'2022-23 StepbyStep Allocations'!G14</f>
        <v>1079.5</v>
      </c>
      <c r="G26" s="242">
        <f>'2022-23 StepbyStep Allocations'!F14</f>
        <v>4683.8722851769671</v>
      </c>
      <c r="H26" s="243">
        <f>INDEX('2022-23 StepbyStep Allocations'!$H$9:$H$159, MATCH(C26, '2022-23 StepbyStep Allocations'!$C$9:$C$159, 0))</f>
        <v>5056240.1318485364</v>
      </c>
      <c r="I26" s="244">
        <f>'2022-23 StepbyStep Allocations'!BG14</f>
        <v>-269</v>
      </c>
      <c r="J26" s="242">
        <f>'2022-23 StepbyStep Allocations'!BH14</f>
        <v>78000</v>
      </c>
      <c r="K26" s="604">
        <f>INDEX('2022-23 StepbyStep Allocations'!$BI$9:$BI$159, MATCH(C26,'2022-23 StepbyStep Allocations'!$C$9:$C$159,0))</f>
        <v>-1536000</v>
      </c>
      <c r="L26" s="608">
        <f>INDEX('2022-23 StepbyStep Allocations'!$BF$9:$BF$159, MATCH(C26,'2022-23 StepbyStep Allocations'!$C$9:$C$159, 0))</f>
        <v>20899.113985472242</v>
      </c>
      <c r="M26" s="331">
        <f t="shared" si="0"/>
        <v>50899186.809551299</v>
      </c>
      <c r="N26" s="243">
        <f t="shared" si="1"/>
        <v>49363186.809551299</v>
      </c>
      <c r="T26" s="468"/>
    </row>
    <row r="27" spans="2:20" s="215" customFormat="1" ht="15" x14ac:dyDescent="0.4">
      <c r="B27" s="245" t="s">
        <v>88</v>
      </c>
      <c r="C27" s="246">
        <v>892</v>
      </c>
      <c r="D27" s="247" t="s">
        <v>95</v>
      </c>
      <c r="E27" s="333">
        <f>INDEX('2022-23 StepbyStep Allocations'!$BN$9:$BN$159, MATCH(C27, '2022-23 StepbyStep Allocations'!$C$9:$C$159, 0))</f>
        <v>44434294.621986903</v>
      </c>
      <c r="F27" s="241">
        <f>'2022-23 StepbyStep Allocations'!G15</f>
        <v>630.47618999999997</v>
      </c>
      <c r="G27" s="242">
        <f>'2022-23 StepbyStep Allocations'!F15</f>
        <v>4680.0997583411599</v>
      </c>
      <c r="H27" s="243">
        <f>INDEX('2022-23 StepbyStep Allocations'!$H$9:$H$159, MATCH(C27, '2022-23 StepbyStep Allocations'!$C$9:$C$159, 0))</f>
        <v>2950691.4644588553</v>
      </c>
      <c r="I27" s="244">
        <f>'2022-23 StepbyStep Allocations'!BG15</f>
        <v>17</v>
      </c>
      <c r="J27" s="242">
        <f>'2022-23 StepbyStep Allocations'!BH15</f>
        <v>0</v>
      </c>
      <c r="K27" s="604">
        <f>INDEX('2022-23 StepbyStep Allocations'!$BI$9:$BI$159, MATCH(C27,'2022-23 StepbyStep Allocations'!$C$9:$C$159,0))</f>
        <v>102000</v>
      </c>
      <c r="L27" s="608">
        <f>INDEX('2022-23 StepbyStep Allocations'!$BF$9:$BF$159, MATCH(C27,'2022-23 StepbyStep Allocations'!$C$9:$C$159, 0))</f>
        <v>2440482.1944048307</v>
      </c>
      <c r="M27" s="331">
        <f t="shared" ref="M27" si="2">E27+H27+L27</f>
        <v>49825468.280850589</v>
      </c>
      <c r="N27" s="243">
        <f t="shared" ref="N27" si="3">E27+H27+K27+L27</f>
        <v>49927468.280850589</v>
      </c>
      <c r="T27" s="468"/>
    </row>
    <row r="28" spans="2:20" s="215" customFormat="1" ht="15" x14ac:dyDescent="0.4">
      <c r="B28" s="245" t="s">
        <v>88</v>
      </c>
      <c r="C28" s="246">
        <v>891</v>
      </c>
      <c r="D28" s="247" t="s">
        <v>96</v>
      </c>
      <c r="E28" s="333">
        <f>INDEX('2022-23 StepbyStep Allocations'!$BN$9:$BN$159, MATCH(C28, '2022-23 StepbyStep Allocations'!$C$9:$C$159, 0))</f>
        <v>94884473.859526947</v>
      </c>
      <c r="F28" s="241">
        <f>'2022-23 StepbyStep Allocations'!G16</f>
        <v>1295.1666660000001</v>
      </c>
      <c r="G28" s="242">
        <f>'2022-23 StepbyStep Allocations'!F16</f>
        <v>4680.0997583411599</v>
      </c>
      <c r="H28" s="243">
        <f>INDEX('2022-23 StepbyStep Allocations'!$H$9:$H$159, MATCH(C28, '2022-23 StepbyStep Allocations'!$C$9:$C$159, 0))</f>
        <v>6061509.200558126</v>
      </c>
      <c r="I28" s="244">
        <f>'2022-23 StepbyStep Allocations'!BG16</f>
        <v>-389</v>
      </c>
      <c r="J28" s="242">
        <f>'2022-23 StepbyStep Allocations'!BH16</f>
        <v>0</v>
      </c>
      <c r="K28" s="604">
        <f>INDEX('2022-23 StepbyStep Allocations'!$BI$9:$BI$159, MATCH(C28,'2022-23 StepbyStep Allocations'!$C$9:$C$159,0))</f>
        <v>-2334000</v>
      </c>
      <c r="L28" s="608">
        <f>INDEX('2022-23 StepbyStep Allocations'!$BF$9:$BF$159, MATCH(C28,'2022-23 StepbyStep Allocations'!$C$9:$C$159, 0))</f>
        <v>43414.098159806352</v>
      </c>
      <c r="M28" s="331">
        <f t="shared" si="0"/>
        <v>100989397.15824488</v>
      </c>
      <c r="N28" s="243">
        <f t="shared" si="1"/>
        <v>98655397.158244878</v>
      </c>
      <c r="T28" s="468"/>
    </row>
    <row r="29" spans="2:20" s="215" customFormat="1" ht="15" x14ac:dyDescent="0.4">
      <c r="B29" s="245" t="s">
        <v>88</v>
      </c>
      <c r="C29" s="246">
        <v>857</v>
      </c>
      <c r="D29" s="247" t="s">
        <v>97</v>
      </c>
      <c r="E29" s="333">
        <f>INDEX('2022-23 StepbyStep Allocations'!$BN$9:$BN$159, MATCH(C29, '2022-23 StepbyStep Allocations'!$C$9:$C$159, 0))</f>
        <v>5130882.2787310928</v>
      </c>
      <c r="F29" s="241">
        <f>'2022-23 StepbyStep Allocations'!G17</f>
        <v>35</v>
      </c>
      <c r="G29" s="242">
        <f>'2022-23 StepbyStep Allocations'!F17</f>
        <v>4660</v>
      </c>
      <c r="H29" s="243">
        <f>INDEX('2022-23 StepbyStep Allocations'!$H$9:$H$159, MATCH(C29, '2022-23 StepbyStep Allocations'!$C$9:$C$159, 0))</f>
        <v>163100</v>
      </c>
      <c r="I29" s="244">
        <f>'2022-23 StepbyStep Allocations'!BG17</f>
        <v>-46</v>
      </c>
      <c r="J29" s="242">
        <f>'2022-23 StepbyStep Allocations'!BH17</f>
        <v>0</v>
      </c>
      <c r="K29" s="604">
        <f>INDEX('2022-23 StepbyStep Allocations'!$BI$9:$BI$159, MATCH(C29,'2022-23 StepbyStep Allocations'!$C$9:$C$159,0))</f>
        <v>-276000</v>
      </c>
      <c r="L29" s="608">
        <f>INDEX('2022-23 StepbyStep Allocations'!$BF$9:$BF$159, MATCH(C29,'2022-23 StepbyStep Allocations'!$C$9:$C$159, 0))</f>
        <v>0</v>
      </c>
      <c r="M29" s="331">
        <f t="shared" si="0"/>
        <v>5293982.2787310928</v>
      </c>
      <c r="N29" s="243">
        <f t="shared" si="1"/>
        <v>5017982.2787310928</v>
      </c>
      <c r="T29" s="468"/>
    </row>
    <row r="30" spans="2:20" s="215" customFormat="1" ht="15" x14ac:dyDescent="0.4">
      <c r="B30" s="245" t="s">
        <v>88</v>
      </c>
      <c r="C30" s="246">
        <v>941</v>
      </c>
      <c r="D30" s="247" t="s">
        <v>359</v>
      </c>
      <c r="E30" s="333">
        <f>INDEX('2022-23 StepbyStep Allocations'!$BN$9:$BN$159, MATCH(C30, '2022-23 StepbyStep Allocations'!$C$9:$C$159, 0))</f>
        <v>49020632.515593871</v>
      </c>
      <c r="F30" s="241">
        <f>'2022-23 StepbyStep Allocations'!G18</f>
        <v>1162.5</v>
      </c>
      <c r="G30" s="242">
        <f>'2022-23 StepbyStep Allocations'!F18</f>
        <v>4683.8722851769671</v>
      </c>
      <c r="H30" s="243">
        <f>INDEX('2022-23 StepbyStep Allocations'!$H$9:$H$159, MATCH(C30, '2022-23 StepbyStep Allocations'!$C$9:$C$159, 0))</f>
        <v>5445001.5315182246</v>
      </c>
      <c r="I30" s="244">
        <f>'2022-23 StepbyStep Allocations'!BG18</f>
        <v>101</v>
      </c>
      <c r="J30" s="242">
        <f>'2022-23 StepbyStep Allocations'!BH18</f>
        <v>1404000</v>
      </c>
      <c r="K30" s="604">
        <f>INDEX('2022-23 StepbyStep Allocations'!$BI$9:$BI$159, MATCH(C30,'2022-23 StepbyStep Allocations'!$C$9:$C$159,0))</f>
        <v>2010000</v>
      </c>
      <c r="L30" s="608">
        <f>INDEX('2022-23 StepbyStep Allocations'!$BF$9:$BF$159, MATCH(C30,'2022-23 StepbyStep Allocations'!$C$9:$C$159, 0))</f>
        <v>1985500.8920153498</v>
      </c>
      <c r="M30" s="331">
        <f t="shared" si="0"/>
        <v>56451134.939127445</v>
      </c>
      <c r="N30" s="243">
        <f t="shared" si="1"/>
        <v>58461134.939127445</v>
      </c>
      <c r="T30" s="468"/>
    </row>
    <row r="31" spans="2:20" s="215" customFormat="1" ht="15" x14ac:dyDescent="0.4">
      <c r="B31" s="245" t="s">
        <v>98</v>
      </c>
      <c r="C31" s="246">
        <v>822</v>
      </c>
      <c r="D31" s="247" t="s">
        <v>520</v>
      </c>
      <c r="E31" s="333">
        <f>INDEX('2022-23 StepbyStep Allocations'!$BN$9:$BN$159, MATCH(C31, '2022-23 StepbyStep Allocations'!$C$9:$C$159, 0))</f>
        <v>25752576.354592338</v>
      </c>
      <c r="F31" s="241">
        <f>'2022-23 StepbyStep Allocations'!G19</f>
        <v>407.5</v>
      </c>
      <c r="G31" s="242">
        <f>'2022-23 StepbyStep Allocations'!F19</f>
        <v>4773.9304468085484</v>
      </c>
      <c r="H31" s="243">
        <f>INDEX('2022-23 StepbyStep Allocations'!$H$9:$H$159, MATCH(C31, '2022-23 StepbyStep Allocations'!$C$9:$C$159, 0))</f>
        <v>1945376.6570744833</v>
      </c>
      <c r="I31" s="244">
        <f>'2022-23 StepbyStep Allocations'!BG19</f>
        <v>85</v>
      </c>
      <c r="J31" s="242">
        <f>'2022-23 StepbyStep Allocations'!BH19</f>
        <v>0</v>
      </c>
      <c r="K31" s="604">
        <f>INDEX('2022-23 StepbyStep Allocations'!$BI$9:$BI$159, MATCH(C31,'2022-23 StepbyStep Allocations'!$C$9:$C$159,0))</f>
        <v>510000</v>
      </c>
      <c r="L31" s="608">
        <f>INDEX('2022-23 StepbyStep Allocations'!$BF$9:$BF$159, MATCH(C31,'2022-23 StepbyStep Allocations'!$C$9:$C$159, 0))</f>
        <v>913697.46775535122</v>
      </c>
      <c r="M31" s="331">
        <f t="shared" si="0"/>
        <v>28611650.479422174</v>
      </c>
      <c r="N31" s="243">
        <f t="shared" si="1"/>
        <v>29121650.479422174</v>
      </c>
      <c r="T31" s="468"/>
    </row>
    <row r="32" spans="2:20" s="215" customFormat="1" ht="15" x14ac:dyDescent="0.4">
      <c r="B32" s="245" t="s">
        <v>98</v>
      </c>
      <c r="C32" s="246">
        <v>873</v>
      </c>
      <c r="D32" s="247" t="s">
        <v>99</v>
      </c>
      <c r="E32" s="333">
        <f>INDEX('2022-23 StepbyStep Allocations'!$BN$9:$BN$159, MATCH(C32, '2022-23 StepbyStep Allocations'!$C$9:$C$159, 0))</f>
        <v>81434030.070489198</v>
      </c>
      <c r="F32" s="241">
        <f>'2022-23 StepbyStep Allocations'!G20</f>
        <v>1593.4999990000001</v>
      </c>
      <c r="G32" s="242">
        <f>'2022-23 StepbyStep Allocations'!F20</f>
        <v>4753.3005845479875</v>
      </c>
      <c r="H32" s="243">
        <f>INDEX('2022-23 StepbyStep Allocations'!$H$9:$H$159, MATCH(C32, '2022-23 StepbyStep Allocations'!$C$9:$C$159, 0))</f>
        <v>7574384.4767239178</v>
      </c>
      <c r="I32" s="244">
        <f>'2022-23 StepbyStep Allocations'!BG20</f>
        <v>-84.5</v>
      </c>
      <c r="J32" s="242">
        <f>'2022-23 StepbyStep Allocations'!BH20</f>
        <v>738877</v>
      </c>
      <c r="K32" s="604">
        <f>INDEX('2022-23 StepbyStep Allocations'!$BI$9:$BI$159, MATCH(C32,'2022-23 StepbyStep Allocations'!$C$9:$C$159,0))</f>
        <v>231877</v>
      </c>
      <c r="L32" s="608">
        <f>INDEX('2022-23 StepbyStep Allocations'!$BF$9:$BF$159, MATCH(C32,'2022-23 StepbyStep Allocations'!$C$9:$C$159, 0))</f>
        <v>893801.14064755465</v>
      </c>
      <c r="M32" s="331">
        <f t="shared" si="0"/>
        <v>89902215.687860683</v>
      </c>
      <c r="N32" s="243">
        <f t="shared" si="1"/>
        <v>90134092.687860683</v>
      </c>
      <c r="T32" s="468"/>
    </row>
    <row r="33" spans="2:20" s="215" customFormat="1" ht="15" x14ac:dyDescent="0.4">
      <c r="B33" s="245" t="s">
        <v>98</v>
      </c>
      <c r="C33" s="246">
        <v>823</v>
      </c>
      <c r="D33" s="247" t="s">
        <v>100</v>
      </c>
      <c r="E33" s="333">
        <f>INDEX('2022-23 StepbyStep Allocations'!$BN$9:$BN$159, MATCH(C33, '2022-23 StepbyStep Allocations'!$C$9:$C$159, 0))</f>
        <v>34294186.593531586</v>
      </c>
      <c r="F33" s="241">
        <f>'2022-23 StepbyStep Allocations'!G21</f>
        <v>738</v>
      </c>
      <c r="G33" s="242">
        <f>'2022-23 StepbyStep Allocations'!F21</f>
        <v>4773.9304468085484</v>
      </c>
      <c r="H33" s="243">
        <f>INDEX('2022-23 StepbyStep Allocations'!$H$9:$H$159, MATCH(C33, '2022-23 StepbyStep Allocations'!$C$9:$C$159, 0))</f>
        <v>3523160.6697447086</v>
      </c>
      <c r="I33" s="244">
        <f>'2022-23 StepbyStep Allocations'!BG21</f>
        <v>52</v>
      </c>
      <c r="J33" s="242">
        <f>'2022-23 StepbyStep Allocations'!BH21</f>
        <v>0</v>
      </c>
      <c r="K33" s="604">
        <f>INDEX('2022-23 StepbyStep Allocations'!$BI$9:$BI$159, MATCH(C33,'2022-23 StepbyStep Allocations'!$C$9:$C$159,0))</f>
        <v>312000</v>
      </c>
      <c r="L33" s="608">
        <f>INDEX('2022-23 StepbyStep Allocations'!$BF$9:$BF$159, MATCH(C33,'2022-23 StepbyStep Allocations'!$C$9:$C$159, 0))</f>
        <v>951412.25828490849</v>
      </c>
      <c r="M33" s="331">
        <f t="shared" si="0"/>
        <v>38768759.521561205</v>
      </c>
      <c r="N33" s="243">
        <f t="shared" si="1"/>
        <v>39080759.521561205</v>
      </c>
      <c r="T33" s="468"/>
    </row>
    <row r="34" spans="2:20" s="215" customFormat="1" ht="15" x14ac:dyDescent="0.4">
      <c r="B34" s="245" t="s">
        <v>98</v>
      </c>
      <c r="C34" s="246">
        <v>881</v>
      </c>
      <c r="D34" s="247" t="s">
        <v>101</v>
      </c>
      <c r="E34" s="333">
        <f>INDEX('2022-23 StepbyStep Allocations'!$BN$9:$BN$159, MATCH(C34, '2022-23 StepbyStep Allocations'!$C$9:$C$159, 0))</f>
        <v>180660035.24357492</v>
      </c>
      <c r="F34" s="241">
        <f>'2022-23 StepbyStep Allocations'!G22</f>
        <v>3430.333333</v>
      </c>
      <c r="G34" s="242">
        <f>'2022-23 StepbyStep Allocations'!F22</f>
        <v>4751.485073439284</v>
      </c>
      <c r="H34" s="243">
        <f>INDEX('2022-23 StepbyStep Allocations'!$H$9:$H$159, MATCH(C34, '2022-23 StepbyStep Allocations'!$C$9:$C$159, 0))</f>
        <v>16299177.62867073</v>
      </c>
      <c r="I34" s="244">
        <f>'2022-23 StepbyStep Allocations'!BG22</f>
        <v>-307</v>
      </c>
      <c r="J34" s="242">
        <f>'2022-23 StepbyStep Allocations'!BH22</f>
        <v>6000</v>
      </c>
      <c r="K34" s="604">
        <f>INDEX('2022-23 StepbyStep Allocations'!$BI$9:$BI$159, MATCH(C34,'2022-23 StepbyStep Allocations'!$C$9:$C$159,0))</f>
        <v>-1836000</v>
      </c>
      <c r="L34" s="608">
        <f>INDEX('2022-23 StepbyStep Allocations'!$BF$9:$BF$159, MATCH(C34,'2022-23 StepbyStep Allocations'!$C$9:$C$159, 0))</f>
        <v>722496.16291525448</v>
      </c>
      <c r="M34" s="331">
        <f t="shared" si="0"/>
        <v>197681709.0351609</v>
      </c>
      <c r="N34" s="243">
        <f t="shared" si="1"/>
        <v>195845709.0351609</v>
      </c>
      <c r="T34" s="468"/>
    </row>
    <row r="35" spans="2:20" s="215" customFormat="1" ht="15" x14ac:dyDescent="0.4">
      <c r="B35" s="245" t="s">
        <v>98</v>
      </c>
      <c r="C35" s="246">
        <v>919</v>
      </c>
      <c r="D35" s="247" t="s">
        <v>102</v>
      </c>
      <c r="E35" s="333">
        <f>INDEX('2022-23 StepbyStep Allocations'!$BN$9:$BN$159, MATCH(C35, '2022-23 StepbyStep Allocations'!$C$9:$C$159, 0))</f>
        <v>141225045.87058076</v>
      </c>
      <c r="F35" s="241">
        <f>'2022-23 StepbyStep Allocations'!G23</f>
        <v>2756.8333320000002</v>
      </c>
      <c r="G35" s="242">
        <f>'2022-23 StepbyStep Allocations'!F23</f>
        <v>4913.2482495952281</v>
      </c>
      <c r="H35" s="243">
        <f>INDEX('2022-23 StepbyStep Allocations'!$H$9:$H$159, MATCH(C35, '2022-23 StepbyStep Allocations'!$C$9:$C$159, 0))</f>
        <v>13545006.542874781</v>
      </c>
      <c r="I35" s="244">
        <f>'2022-23 StepbyStep Allocations'!BG23</f>
        <v>167</v>
      </c>
      <c r="J35" s="242">
        <f>'2022-23 StepbyStep Allocations'!BH23</f>
        <v>18000</v>
      </c>
      <c r="K35" s="604">
        <f>INDEX('2022-23 StepbyStep Allocations'!$BI$9:$BI$159, MATCH(C35,'2022-23 StepbyStep Allocations'!$C$9:$C$159,0))</f>
        <v>1020000</v>
      </c>
      <c r="L35" s="608">
        <f>INDEX('2022-23 StepbyStep Allocations'!$BF$9:$BF$159, MATCH(C35,'2022-23 StepbyStep Allocations'!$C$9:$C$159, 0))</f>
        <v>2218613.7728755949</v>
      </c>
      <c r="M35" s="331">
        <f t="shared" si="0"/>
        <v>156988666.18633115</v>
      </c>
      <c r="N35" s="243">
        <f t="shared" si="1"/>
        <v>158008666.18633115</v>
      </c>
      <c r="T35" s="468"/>
    </row>
    <row r="36" spans="2:20" s="215" customFormat="1" ht="15" x14ac:dyDescent="0.4">
      <c r="B36" s="245" t="s">
        <v>98</v>
      </c>
      <c r="C36" s="246">
        <v>821</v>
      </c>
      <c r="D36" s="247" t="s">
        <v>103</v>
      </c>
      <c r="E36" s="333">
        <f>INDEX('2022-23 StepbyStep Allocations'!$BN$9:$BN$159, MATCH(C36, '2022-23 StepbyStep Allocations'!$C$9:$C$159, 0))</f>
        <v>37371491.654295087</v>
      </c>
      <c r="F36" s="241">
        <f>'2022-23 StepbyStep Allocations'!G24</f>
        <v>636.5</v>
      </c>
      <c r="G36" s="242">
        <f>'2022-23 StepbyStep Allocations'!F24</f>
        <v>4773.9304468085484</v>
      </c>
      <c r="H36" s="243">
        <f>INDEX('2022-23 StepbyStep Allocations'!$H$9:$H$159, MATCH(C36, '2022-23 StepbyStep Allocations'!$C$9:$C$159, 0))</f>
        <v>3038606.729393641</v>
      </c>
      <c r="I36" s="244">
        <f>'2022-23 StepbyStep Allocations'!BG24</f>
        <v>-228</v>
      </c>
      <c r="J36" s="242">
        <f>'2022-23 StepbyStep Allocations'!BH24</f>
        <v>0</v>
      </c>
      <c r="K36" s="604">
        <f>INDEX('2022-23 StepbyStep Allocations'!$BI$9:$BI$159, MATCH(C36,'2022-23 StepbyStep Allocations'!$C$9:$C$159,0))</f>
        <v>-1368000</v>
      </c>
      <c r="L36" s="608">
        <f>INDEX('2022-23 StepbyStep Allocations'!$BF$9:$BF$159, MATCH(C36,'2022-23 StepbyStep Allocations'!$C$9:$C$159, 0))</f>
        <v>133033.91438846922</v>
      </c>
      <c r="M36" s="331">
        <f t="shared" si="0"/>
        <v>40543132.298077196</v>
      </c>
      <c r="N36" s="243">
        <f t="shared" si="1"/>
        <v>39175132.298077196</v>
      </c>
      <c r="T36" s="468"/>
    </row>
    <row r="37" spans="2:20" s="215" customFormat="1" ht="15" x14ac:dyDescent="0.4">
      <c r="B37" s="245" t="s">
        <v>98</v>
      </c>
      <c r="C37" s="246">
        <v>926</v>
      </c>
      <c r="D37" s="247" t="s">
        <v>104</v>
      </c>
      <c r="E37" s="333">
        <f>INDEX('2022-23 StepbyStep Allocations'!$BN$9:$BN$159, MATCH(C37, '2022-23 StepbyStep Allocations'!$C$9:$C$159, 0))</f>
        <v>104393383.36099045</v>
      </c>
      <c r="F37" s="241">
        <f>'2022-23 StepbyStep Allocations'!G25</f>
        <v>2305</v>
      </c>
      <c r="G37" s="242">
        <f>'2022-23 StepbyStep Allocations'!F25</f>
        <v>4660</v>
      </c>
      <c r="H37" s="243">
        <f>INDEX('2022-23 StepbyStep Allocations'!$H$9:$H$159, MATCH(C37, '2022-23 StepbyStep Allocations'!$C$9:$C$159, 0))</f>
        <v>10741300</v>
      </c>
      <c r="I37" s="244">
        <f>'2022-23 StepbyStep Allocations'!BG25</f>
        <v>-98</v>
      </c>
      <c r="J37" s="242">
        <f>'2022-23 StepbyStep Allocations'!BH25</f>
        <v>0</v>
      </c>
      <c r="K37" s="604">
        <f>INDEX('2022-23 StepbyStep Allocations'!$BI$9:$BI$159, MATCH(C37,'2022-23 StepbyStep Allocations'!$C$9:$C$159,0))</f>
        <v>-588000</v>
      </c>
      <c r="L37" s="608">
        <f>INDEX('2022-23 StepbyStep Allocations'!$BF$9:$BF$159, MATCH(C37,'2022-23 StepbyStep Allocations'!$C$9:$C$159, 0))</f>
        <v>364454.9414721551</v>
      </c>
      <c r="M37" s="331">
        <f t="shared" si="0"/>
        <v>115499138.30246261</v>
      </c>
      <c r="N37" s="243">
        <f t="shared" si="1"/>
        <v>114911138.30246261</v>
      </c>
      <c r="T37" s="468"/>
    </row>
    <row r="38" spans="2:20" s="215" customFormat="1" ht="15" x14ac:dyDescent="0.4">
      <c r="B38" s="245" t="s">
        <v>98</v>
      </c>
      <c r="C38" s="246">
        <v>874</v>
      </c>
      <c r="D38" s="247" t="s">
        <v>105</v>
      </c>
      <c r="E38" s="333">
        <f>INDEX('2022-23 StepbyStep Allocations'!$BN$9:$BN$159, MATCH(C38, '2022-23 StepbyStep Allocations'!$C$9:$C$159, 0))</f>
        <v>36297272.91892685</v>
      </c>
      <c r="F38" s="241">
        <f>'2022-23 StepbyStep Allocations'!G26</f>
        <v>746.5</v>
      </c>
      <c r="G38" s="242">
        <f>'2022-23 StepbyStep Allocations'!F26</f>
        <v>4753.3005845479875</v>
      </c>
      <c r="H38" s="243">
        <f>INDEX('2022-23 StepbyStep Allocations'!$H$9:$H$159, MATCH(C38, '2022-23 StepbyStep Allocations'!$C$9:$C$159, 0))</f>
        <v>3548338.8863650728</v>
      </c>
      <c r="I38" s="244">
        <f>'2022-23 StepbyStep Allocations'!BG26</f>
        <v>239</v>
      </c>
      <c r="J38" s="242">
        <f>'2022-23 StepbyStep Allocations'!BH26</f>
        <v>0</v>
      </c>
      <c r="K38" s="604">
        <f>INDEX('2022-23 StepbyStep Allocations'!$BI$9:$BI$159, MATCH(C38,'2022-23 StepbyStep Allocations'!$C$9:$C$159,0))</f>
        <v>1434000</v>
      </c>
      <c r="L38" s="608">
        <f>INDEX('2022-23 StepbyStep Allocations'!$BF$9:$BF$159, MATCH(C38,'2022-23 StepbyStep Allocations'!$C$9:$C$159, 0))</f>
        <v>508335.13086062972</v>
      </c>
      <c r="M38" s="331">
        <f t="shared" si="0"/>
        <v>40353946.936152548</v>
      </c>
      <c r="N38" s="243">
        <f t="shared" si="1"/>
        <v>41787946.936152548</v>
      </c>
      <c r="T38" s="468"/>
    </row>
    <row r="39" spans="2:20" s="215" customFormat="1" ht="15" x14ac:dyDescent="0.4">
      <c r="B39" s="245" t="s">
        <v>98</v>
      </c>
      <c r="C39" s="246">
        <v>882</v>
      </c>
      <c r="D39" s="247" t="s">
        <v>106</v>
      </c>
      <c r="E39" s="333">
        <f>INDEX('2022-23 StepbyStep Allocations'!$BN$9:$BN$159, MATCH(C39, '2022-23 StepbyStep Allocations'!$C$9:$C$159, 0))</f>
        <v>24406105.866744269</v>
      </c>
      <c r="F39" s="241">
        <f>'2022-23 StepbyStep Allocations'!G27</f>
        <v>603</v>
      </c>
      <c r="G39" s="242">
        <f>'2022-23 StepbyStep Allocations'!F27</f>
        <v>4685.7333750675016</v>
      </c>
      <c r="H39" s="243">
        <f>INDEX('2022-23 StepbyStep Allocations'!$H$9:$H$159, MATCH(C39, '2022-23 StepbyStep Allocations'!$C$9:$C$159, 0))</f>
        <v>2825497.2251657033</v>
      </c>
      <c r="I39" s="244">
        <f>'2022-23 StepbyStep Allocations'!BG27</f>
        <v>59</v>
      </c>
      <c r="J39" s="242">
        <f>'2022-23 StepbyStep Allocations'!BH27</f>
        <v>0</v>
      </c>
      <c r="K39" s="604">
        <f>INDEX('2022-23 StepbyStep Allocations'!$BI$9:$BI$159, MATCH(C39,'2022-23 StepbyStep Allocations'!$C$9:$C$159,0))</f>
        <v>354000</v>
      </c>
      <c r="L39" s="608">
        <f>INDEX('2022-23 StepbyStep Allocations'!$BF$9:$BF$159, MATCH(C39,'2022-23 StepbyStep Allocations'!$C$9:$C$159, 0))</f>
        <v>132654.05164629544</v>
      </c>
      <c r="M39" s="331">
        <f t="shared" si="0"/>
        <v>27364257.143556267</v>
      </c>
      <c r="N39" s="243">
        <f t="shared" si="1"/>
        <v>27718257.143556267</v>
      </c>
      <c r="T39" s="468"/>
    </row>
    <row r="40" spans="2:20" s="215" customFormat="1" ht="15" x14ac:dyDescent="0.4">
      <c r="B40" s="245" t="s">
        <v>98</v>
      </c>
      <c r="C40" s="246">
        <v>935</v>
      </c>
      <c r="D40" s="247" t="s">
        <v>107</v>
      </c>
      <c r="E40" s="333">
        <f>INDEX('2022-23 StepbyStep Allocations'!$BN$9:$BN$159, MATCH(C40, '2022-23 StepbyStep Allocations'!$C$9:$C$159, 0))</f>
        <v>83684473.635256439</v>
      </c>
      <c r="F40" s="241">
        <f>'2022-23 StepbyStep Allocations'!G28</f>
        <v>1589.1666660000001</v>
      </c>
      <c r="G40" s="242">
        <f>'2022-23 StepbyStep Allocations'!F28</f>
        <v>4660.1736862600756</v>
      </c>
      <c r="H40" s="243">
        <f>INDEX('2022-23 StepbyStep Allocations'!$H$9:$H$159, MATCH(C40, '2022-23 StepbyStep Allocations'!$C$9:$C$159, 0))</f>
        <v>7405792.6799748549</v>
      </c>
      <c r="I40" s="244">
        <f>'2022-23 StepbyStep Allocations'!BG28</f>
        <v>77</v>
      </c>
      <c r="J40" s="242">
        <f>'2022-23 StepbyStep Allocations'!BH28</f>
        <v>356995</v>
      </c>
      <c r="K40" s="604">
        <f>INDEX('2022-23 StepbyStep Allocations'!$BI$9:$BI$159, MATCH(C40,'2022-23 StepbyStep Allocations'!$C$9:$C$159,0))</f>
        <v>818995</v>
      </c>
      <c r="L40" s="608">
        <f>INDEX('2022-23 StepbyStep Allocations'!$BF$9:$BF$159, MATCH(C40,'2022-23 StepbyStep Allocations'!$C$9:$C$159, 0))</f>
        <v>552605.92868571426</v>
      </c>
      <c r="M40" s="331">
        <f t="shared" si="0"/>
        <v>91642872.243917003</v>
      </c>
      <c r="N40" s="243">
        <f t="shared" si="1"/>
        <v>92461867.243917003</v>
      </c>
      <c r="T40" s="468"/>
    </row>
    <row r="41" spans="2:20" s="215" customFormat="1" ht="15" x14ac:dyDescent="0.4">
      <c r="B41" s="245" t="s">
        <v>98</v>
      </c>
      <c r="C41" s="246">
        <v>883</v>
      </c>
      <c r="D41" s="247" t="s">
        <v>108</v>
      </c>
      <c r="E41" s="333">
        <f>INDEX('2022-23 StepbyStep Allocations'!$BN$9:$BN$159, MATCH(C41, '2022-23 StepbyStep Allocations'!$C$9:$C$159, 0))</f>
        <v>29915576.197524849</v>
      </c>
      <c r="F41" s="241">
        <f>'2022-23 StepbyStep Allocations'!G29</f>
        <v>422</v>
      </c>
      <c r="G41" s="242">
        <f>'2022-23 StepbyStep Allocations'!F29</f>
        <v>4877.3021292780322</v>
      </c>
      <c r="H41" s="243">
        <f>INDEX('2022-23 StepbyStep Allocations'!$H$9:$H$159, MATCH(C41, '2022-23 StepbyStep Allocations'!$C$9:$C$159, 0))</f>
        <v>2058221.4985553296</v>
      </c>
      <c r="I41" s="244">
        <f>'2022-23 StepbyStep Allocations'!BG29</f>
        <v>-112</v>
      </c>
      <c r="J41" s="242">
        <f>'2022-23 StepbyStep Allocations'!BH29</f>
        <v>18000</v>
      </c>
      <c r="K41" s="604">
        <f>INDEX('2022-23 StepbyStep Allocations'!$BI$9:$BI$159, MATCH(C41,'2022-23 StepbyStep Allocations'!$C$9:$C$159,0))</f>
        <v>-654000</v>
      </c>
      <c r="L41" s="608">
        <f>INDEX('2022-23 StepbyStep Allocations'!$BF$9:$BF$159, MATCH(C41,'2022-23 StepbyStep Allocations'!$C$9:$C$159, 0))</f>
        <v>62311.320953995179</v>
      </c>
      <c r="M41" s="331">
        <f t="shared" si="0"/>
        <v>32036109.017034173</v>
      </c>
      <c r="N41" s="243">
        <f t="shared" si="1"/>
        <v>31382109.017034173</v>
      </c>
      <c r="T41" s="468"/>
    </row>
    <row r="42" spans="2:20" s="215" customFormat="1" ht="15" x14ac:dyDescent="0.4">
      <c r="B42" s="245" t="s">
        <v>109</v>
      </c>
      <c r="C42" s="246">
        <v>202</v>
      </c>
      <c r="D42" s="247" t="s">
        <v>110</v>
      </c>
      <c r="E42" s="333">
        <f>INDEX('2022-23 StepbyStep Allocations'!$BN$9:$BN$159, MATCH(C42, '2022-23 StepbyStep Allocations'!$C$9:$C$159, 0))</f>
        <v>40652749.295803383</v>
      </c>
      <c r="F42" s="241">
        <f>'2022-23 StepbyStep Allocations'!G30</f>
        <v>365</v>
      </c>
      <c r="G42" s="242">
        <f>'2022-23 StepbyStep Allocations'!F30</f>
        <v>5644.9507750852836</v>
      </c>
      <c r="H42" s="243">
        <f>INDEX('2022-23 StepbyStep Allocations'!$H$9:$H$159, MATCH(C42, '2022-23 StepbyStep Allocations'!$C$9:$C$159, 0))</f>
        <v>2060407.0329061286</v>
      </c>
      <c r="I42" s="244">
        <f>'2022-23 StepbyStep Allocations'!BG30</f>
        <v>276</v>
      </c>
      <c r="J42" s="242">
        <f>'2022-23 StepbyStep Allocations'!BH30</f>
        <v>12000</v>
      </c>
      <c r="K42" s="604">
        <f>INDEX('2022-23 StepbyStep Allocations'!$BI$9:$BI$159, MATCH(C42,'2022-23 StepbyStep Allocations'!$C$9:$C$159,0))</f>
        <v>1668000</v>
      </c>
      <c r="L42" s="608">
        <f>INDEX('2022-23 StepbyStep Allocations'!$BF$9:$BF$159, MATCH(C42,'2022-23 StepbyStep Allocations'!$C$9:$C$159, 0))</f>
        <v>3968349.080200668</v>
      </c>
      <c r="M42" s="331">
        <f t="shared" si="0"/>
        <v>46681505.408910178</v>
      </c>
      <c r="N42" s="243">
        <f t="shared" si="1"/>
        <v>48349505.408910178</v>
      </c>
      <c r="T42" s="468"/>
    </row>
    <row r="43" spans="2:20" s="215" customFormat="1" ht="15" x14ac:dyDescent="0.4">
      <c r="B43" s="245" t="s">
        <v>109</v>
      </c>
      <c r="C43" s="246">
        <v>204</v>
      </c>
      <c r="D43" s="247" t="s">
        <v>111</v>
      </c>
      <c r="E43" s="333">
        <f>INDEX('2022-23 StepbyStep Allocations'!$BN$9:$BN$159, MATCH(C43, '2022-23 StepbyStep Allocations'!$C$9:$C$159, 0))</f>
        <v>53695304.302428208</v>
      </c>
      <c r="F43" s="241">
        <f>'2022-23 StepbyStep Allocations'!G31</f>
        <v>663</v>
      </c>
      <c r="G43" s="242">
        <f>'2022-23 StepbyStep Allocations'!F31</f>
        <v>5644.9507750852836</v>
      </c>
      <c r="H43" s="243">
        <f>INDEX('2022-23 StepbyStep Allocations'!$H$9:$H$159, MATCH(C43, '2022-23 StepbyStep Allocations'!$C$9:$C$159, 0))</f>
        <v>3742602.3638815428</v>
      </c>
      <c r="I43" s="244">
        <f>'2022-23 StepbyStep Allocations'!BG31</f>
        <v>-150</v>
      </c>
      <c r="J43" s="242">
        <f>'2022-23 StepbyStep Allocations'!BH31</f>
        <v>18000</v>
      </c>
      <c r="K43" s="604">
        <f>INDEX('2022-23 StepbyStep Allocations'!$BI$9:$BI$159, MATCH(C43,'2022-23 StepbyStep Allocations'!$C$9:$C$159,0))</f>
        <v>-882000</v>
      </c>
      <c r="L43" s="608">
        <f>INDEX('2022-23 StepbyStep Allocations'!$BF$9:$BF$159, MATCH(C43,'2022-23 StepbyStep Allocations'!$C$9:$C$159, 0))</f>
        <v>220203.1458934625</v>
      </c>
      <c r="M43" s="331">
        <f t="shared" si="0"/>
        <v>57658109.812203214</v>
      </c>
      <c r="N43" s="243">
        <f t="shared" si="1"/>
        <v>56776109.812203214</v>
      </c>
      <c r="T43" s="468"/>
    </row>
    <row r="44" spans="2:20" s="215" customFormat="1" ht="15" x14ac:dyDescent="0.4">
      <c r="B44" s="245" t="s">
        <v>109</v>
      </c>
      <c r="C44" s="246">
        <v>205</v>
      </c>
      <c r="D44" s="247" t="s">
        <v>112</v>
      </c>
      <c r="E44" s="333">
        <f>INDEX('2022-23 StepbyStep Allocations'!$BN$9:$BN$159, MATCH(C44, '2022-23 StepbyStep Allocations'!$C$9:$C$159, 0))</f>
        <v>25555933.783444058</v>
      </c>
      <c r="F44" s="241">
        <f>'2022-23 StepbyStep Allocations'!G32</f>
        <v>575.5</v>
      </c>
      <c r="G44" s="242">
        <f>'2022-23 StepbyStep Allocations'!F32</f>
        <v>5644.9507750852836</v>
      </c>
      <c r="H44" s="243">
        <f>INDEX('2022-23 StepbyStep Allocations'!$H$9:$H$159, MATCH(C44, '2022-23 StepbyStep Allocations'!$C$9:$C$159, 0))</f>
        <v>3248669.1710615805</v>
      </c>
      <c r="I44" s="244">
        <f>'2022-23 StepbyStep Allocations'!BG32</f>
        <v>445</v>
      </c>
      <c r="J44" s="242">
        <f>'2022-23 StepbyStep Allocations'!BH32</f>
        <v>6000</v>
      </c>
      <c r="K44" s="604">
        <f>INDEX('2022-23 StepbyStep Allocations'!$BI$9:$BI$159, MATCH(C44,'2022-23 StepbyStep Allocations'!$C$9:$C$159,0))</f>
        <v>2676000</v>
      </c>
      <c r="L44" s="608">
        <f>INDEX('2022-23 StepbyStep Allocations'!$BF$9:$BF$159, MATCH(C44,'2022-23 StepbyStep Allocations'!$C$9:$C$159, 0))</f>
        <v>609018.03670217935</v>
      </c>
      <c r="M44" s="331">
        <f t="shared" si="0"/>
        <v>29413620.991207816</v>
      </c>
      <c r="N44" s="243">
        <f t="shared" si="1"/>
        <v>32089620.991207816</v>
      </c>
      <c r="T44" s="468"/>
    </row>
    <row r="45" spans="2:20" s="215" customFormat="1" ht="15" x14ac:dyDescent="0.4">
      <c r="B45" s="245" t="s">
        <v>109</v>
      </c>
      <c r="C45" s="246">
        <v>309</v>
      </c>
      <c r="D45" s="247" t="s">
        <v>113</v>
      </c>
      <c r="E45" s="333">
        <f>INDEX('2022-23 StepbyStep Allocations'!$BN$9:$BN$159, MATCH(C45, '2022-23 StepbyStep Allocations'!$C$9:$C$159, 0))</f>
        <v>45500915.543118551</v>
      </c>
      <c r="F45" s="241">
        <f>'2022-23 StepbyStep Allocations'!G33</f>
        <v>522</v>
      </c>
      <c r="G45" s="242">
        <f>'2022-23 StepbyStep Allocations'!F33</f>
        <v>5252.0951199029341</v>
      </c>
      <c r="H45" s="243">
        <f>INDEX('2022-23 StepbyStep Allocations'!$H$9:$H$159, MATCH(C45, '2022-23 StepbyStep Allocations'!$C$9:$C$159, 0))</f>
        <v>2741593.6525893318</v>
      </c>
      <c r="I45" s="244">
        <f>'2022-23 StepbyStep Allocations'!BG33</f>
        <v>-38</v>
      </c>
      <c r="J45" s="242">
        <f>'2022-23 StepbyStep Allocations'!BH33</f>
        <v>540000</v>
      </c>
      <c r="K45" s="604">
        <f>INDEX('2022-23 StepbyStep Allocations'!$BI$9:$BI$159, MATCH(C45,'2022-23 StepbyStep Allocations'!$C$9:$C$159,0))</f>
        <v>312000</v>
      </c>
      <c r="L45" s="608">
        <f>INDEX('2022-23 StepbyStep Allocations'!$BF$9:$BF$159, MATCH(C45,'2022-23 StepbyStep Allocations'!$C$9:$C$159, 0))</f>
        <v>917030.75009026658</v>
      </c>
      <c r="M45" s="331">
        <f t="shared" si="0"/>
        <v>49159539.945798144</v>
      </c>
      <c r="N45" s="243">
        <f t="shared" si="1"/>
        <v>49471539.945798144</v>
      </c>
      <c r="T45" s="468"/>
    </row>
    <row r="46" spans="2:20" s="215" customFormat="1" ht="15" x14ac:dyDescent="0.4">
      <c r="B46" s="245" t="s">
        <v>109</v>
      </c>
      <c r="C46" s="246">
        <v>206</v>
      </c>
      <c r="D46" s="247" t="s">
        <v>114</v>
      </c>
      <c r="E46" s="333">
        <f>INDEX('2022-23 StepbyStep Allocations'!$BN$9:$BN$159, MATCH(C46, '2022-23 StepbyStep Allocations'!$C$9:$C$159, 0))</f>
        <v>36743327.717105411</v>
      </c>
      <c r="F46" s="241">
        <f>'2022-23 StepbyStep Allocations'!G34</f>
        <v>572.5</v>
      </c>
      <c r="G46" s="242">
        <f>'2022-23 StepbyStep Allocations'!F34</f>
        <v>5644.9507750852836</v>
      </c>
      <c r="H46" s="243">
        <f>INDEX('2022-23 StepbyStep Allocations'!$H$9:$H$159, MATCH(C46, '2022-23 StepbyStep Allocations'!$C$9:$C$159, 0))</f>
        <v>3231734.318736325</v>
      </c>
      <c r="I46" s="244">
        <f>'2022-23 StepbyStep Allocations'!BG34</f>
        <v>-18</v>
      </c>
      <c r="J46" s="242">
        <f>'2022-23 StepbyStep Allocations'!BH34</f>
        <v>292997</v>
      </c>
      <c r="K46" s="604">
        <f>INDEX('2022-23 StepbyStep Allocations'!$BI$9:$BI$159, MATCH(C46,'2022-23 StepbyStep Allocations'!$C$9:$C$159,0))</f>
        <v>184997</v>
      </c>
      <c r="L46" s="608">
        <f>INDEX('2022-23 StepbyStep Allocations'!$BF$9:$BF$159, MATCH(C46,'2022-23 StepbyStep Allocations'!$C$9:$C$159, 0))</f>
        <v>210841.48144794203</v>
      </c>
      <c r="M46" s="331">
        <f t="shared" si="0"/>
        <v>40185903.517289676</v>
      </c>
      <c r="N46" s="243">
        <f t="shared" si="1"/>
        <v>40370900.517289676</v>
      </c>
      <c r="T46" s="468"/>
    </row>
    <row r="47" spans="2:20" s="215" customFormat="1" ht="15" x14ac:dyDescent="0.4">
      <c r="B47" s="245" t="s">
        <v>109</v>
      </c>
      <c r="C47" s="246">
        <v>207</v>
      </c>
      <c r="D47" s="247" t="s">
        <v>115</v>
      </c>
      <c r="E47" s="333">
        <f>INDEX('2022-23 StepbyStep Allocations'!$BN$9:$BN$159, MATCH(C47, '2022-23 StepbyStep Allocations'!$C$9:$C$159, 0))</f>
        <v>18307378.410390951</v>
      </c>
      <c r="F47" s="241">
        <f>'2022-23 StepbyStep Allocations'!G35</f>
        <v>162</v>
      </c>
      <c r="G47" s="242">
        <f>'2022-23 StepbyStep Allocations'!F35</f>
        <v>5644.9507750852836</v>
      </c>
      <c r="H47" s="243">
        <f>INDEX('2022-23 StepbyStep Allocations'!$H$9:$H$159, MATCH(C47, '2022-23 StepbyStep Allocations'!$C$9:$C$159, 0))</f>
        <v>914482.02556381596</v>
      </c>
      <c r="I47" s="244">
        <f>'2022-23 StepbyStep Allocations'!BG35</f>
        <v>147</v>
      </c>
      <c r="J47" s="242">
        <f>'2022-23 StepbyStep Allocations'!BH35</f>
        <v>0</v>
      </c>
      <c r="K47" s="604">
        <f>INDEX('2022-23 StepbyStep Allocations'!$BI$9:$BI$159, MATCH(C47,'2022-23 StepbyStep Allocations'!$C$9:$C$159,0))</f>
        <v>882000</v>
      </c>
      <c r="L47" s="608">
        <f>INDEX('2022-23 StepbyStep Allocations'!$BF$9:$BF$159, MATCH(C47,'2022-23 StepbyStep Allocations'!$C$9:$C$159, 0))</f>
        <v>2516466.3534769979</v>
      </c>
      <c r="M47" s="331">
        <f t="shared" si="0"/>
        <v>21738326.789431766</v>
      </c>
      <c r="N47" s="243">
        <f t="shared" si="1"/>
        <v>22620326.789431766</v>
      </c>
      <c r="T47" s="468"/>
    </row>
    <row r="48" spans="2:20" s="215" customFormat="1" ht="15" x14ac:dyDescent="0.4">
      <c r="B48" s="245" t="s">
        <v>109</v>
      </c>
      <c r="C48" s="246">
        <v>208</v>
      </c>
      <c r="D48" s="247" t="s">
        <v>116</v>
      </c>
      <c r="E48" s="333">
        <f>INDEX('2022-23 StepbyStep Allocations'!$BN$9:$BN$159, MATCH(C48, '2022-23 StepbyStep Allocations'!$C$9:$C$159, 0))</f>
        <v>52848046.288043804</v>
      </c>
      <c r="F48" s="241">
        <f>'2022-23 StepbyStep Allocations'!G36</f>
        <v>699.5</v>
      </c>
      <c r="G48" s="242">
        <f>'2022-23 StepbyStep Allocations'!F36</f>
        <v>5644.9507750852836</v>
      </c>
      <c r="H48" s="243">
        <f>INDEX('2022-23 StepbyStep Allocations'!$H$9:$H$159, MATCH(C48, '2022-23 StepbyStep Allocations'!$C$9:$C$159, 0))</f>
        <v>3948643.0671721557</v>
      </c>
      <c r="I48" s="244">
        <f>'2022-23 StepbyStep Allocations'!BG36</f>
        <v>-167</v>
      </c>
      <c r="J48" s="242">
        <f>'2022-23 StepbyStep Allocations'!BH36</f>
        <v>153905</v>
      </c>
      <c r="K48" s="604">
        <f>INDEX('2022-23 StepbyStep Allocations'!$BI$9:$BI$159, MATCH(C48,'2022-23 StepbyStep Allocations'!$C$9:$C$159,0))</f>
        <v>-848095</v>
      </c>
      <c r="L48" s="608">
        <f>INDEX('2022-23 StepbyStep Allocations'!$BF$9:$BF$159, MATCH(C48,'2022-23 StepbyStep Allocations'!$C$9:$C$159, 0))</f>
        <v>123939.14875731403</v>
      </c>
      <c r="M48" s="331">
        <f t="shared" si="0"/>
        <v>56920628.503973275</v>
      </c>
      <c r="N48" s="243">
        <f t="shared" si="1"/>
        <v>56072533.503973275</v>
      </c>
      <c r="T48" s="468"/>
    </row>
    <row r="49" spans="2:20" s="215" customFormat="1" ht="15" x14ac:dyDescent="0.4">
      <c r="B49" s="245" t="s">
        <v>109</v>
      </c>
      <c r="C49" s="246">
        <v>209</v>
      </c>
      <c r="D49" s="247" t="s">
        <v>117</v>
      </c>
      <c r="E49" s="333">
        <f>INDEX('2022-23 StepbyStep Allocations'!$BN$9:$BN$159, MATCH(C49, '2022-23 StepbyStep Allocations'!$C$9:$C$159, 0))</f>
        <v>63834660.252464615</v>
      </c>
      <c r="F49" s="241">
        <f>'2022-23 StepbyStep Allocations'!G37</f>
        <v>929.5</v>
      </c>
      <c r="G49" s="242">
        <f>'2022-23 StepbyStep Allocations'!F37</f>
        <v>5644.9507750852836</v>
      </c>
      <c r="H49" s="243">
        <f>INDEX('2022-23 StepbyStep Allocations'!$H$9:$H$159, MATCH(C49, '2022-23 StepbyStep Allocations'!$C$9:$C$159, 0))</f>
        <v>5246981.7454417711</v>
      </c>
      <c r="I49" s="244">
        <f>'2022-23 StepbyStep Allocations'!BG37</f>
        <v>-413.5</v>
      </c>
      <c r="J49" s="242">
        <f>'2022-23 StepbyStep Allocations'!BH37</f>
        <v>6000</v>
      </c>
      <c r="K49" s="604">
        <f>INDEX('2022-23 StepbyStep Allocations'!$BI$9:$BI$159, MATCH(C49,'2022-23 StepbyStep Allocations'!$C$9:$C$159,0))</f>
        <v>-2475000</v>
      </c>
      <c r="L49" s="608">
        <f>INDEX('2022-23 StepbyStep Allocations'!$BF$9:$BF$159, MATCH(C49,'2022-23 StepbyStep Allocations'!$C$9:$C$159, 0))</f>
        <v>386813.37220134353</v>
      </c>
      <c r="M49" s="331">
        <f t="shared" si="0"/>
        <v>69468455.370107725</v>
      </c>
      <c r="N49" s="243">
        <f t="shared" si="1"/>
        <v>66993455.370107733</v>
      </c>
      <c r="T49" s="468"/>
    </row>
    <row r="50" spans="2:20" s="215" customFormat="1" ht="15" x14ac:dyDescent="0.4">
      <c r="B50" s="245" t="s">
        <v>109</v>
      </c>
      <c r="C50" s="246">
        <v>316</v>
      </c>
      <c r="D50" s="247" t="s">
        <v>118</v>
      </c>
      <c r="E50" s="333">
        <f>INDEX('2022-23 StepbyStep Allocations'!$BN$9:$BN$159, MATCH(C50, '2022-23 StepbyStep Allocations'!$C$9:$C$159, 0))</f>
        <v>64071879.060612053</v>
      </c>
      <c r="F50" s="241">
        <f>'2022-23 StepbyStep Allocations'!G38</f>
        <v>196</v>
      </c>
      <c r="G50" s="242">
        <f>'2022-23 StepbyStep Allocations'!F38</f>
        <v>5252.0951199029341</v>
      </c>
      <c r="H50" s="243">
        <f>INDEX('2022-23 StepbyStep Allocations'!$H$9:$H$159, MATCH(C50, '2022-23 StepbyStep Allocations'!$C$9:$C$159, 0))</f>
        <v>1029410.6435009751</v>
      </c>
      <c r="I50" s="244">
        <f>'2022-23 StepbyStep Allocations'!BG38</f>
        <v>-84</v>
      </c>
      <c r="J50" s="242">
        <f>'2022-23 StepbyStep Allocations'!BH38</f>
        <v>6000</v>
      </c>
      <c r="K50" s="604">
        <f>INDEX('2022-23 StepbyStep Allocations'!$BI$9:$BI$159, MATCH(C50,'2022-23 StepbyStep Allocations'!$C$9:$C$159,0))</f>
        <v>-498000</v>
      </c>
      <c r="L50" s="608">
        <f>INDEX('2022-23 StepbyStep Allocations'!$BF$9:$BF$159, MATCH(C50,'2022-23 StepbyStep Allocations'!$C$9:$C$159, 0))</f>
        <v>274258.87598062959</v>
      </c>
      <c r="M50" s="331">
        <f t="shared" si="0"/>
        <v>65375548.580093659</v>
      </c>
      <c r="N50" s="243">
        <f t="shared" si="1"/>
        <v>64877548.580093659</v>
      </c>
      <c r="T50" s="468"/>
    </row>
    <row r="51" spans="2:20" s="215" customFormat="1" ht="15" x14ac:dyDescent="0.4">
      <c r="B51" s="245" t="s">
        <v>109</v>
      </c>
      <c r="C51" s="246">
        <v>210</v>
      </c>
      <c r="D51" s="247" t="s">
        <v>119</v>
      </c>
      <c r="E51" s="333">
        <f>INDEX('2022-23 StepbyStep Allocations'!$BN$9:$BN$159, MATCH(C51, '2022-23 StepbyStep Allocations'!$C$9:$C$159, 0))</f>
        <v>55175438.296234347</v>
      </c>
      <c r="F51" s="241">
        <f>'2022-23 StepbyStep Allocations'!G39</f>
        <v>788.5</v>
      </c>
      <c r="G51" s="242">
        <f>'2022-23 StepbyStep Allocations'!F39</f>
        <v>5644.9507750852836</v>
      </c>
      <c r="H51" s="243">
        <f>INDEX('2022-23 StepbyStep Allocations'!$H$9:$H$159, MATCH(C51, '2022-23 StepbyStep Allocations'!$C$9:$C$159, 0))</f>
        <v>4451043.6861547465</v>
      </c>
      <c r="I51" s="244">
        <f>'2022-23 StepbyStep Allocations'!BG39</f>
        <v>-313</v>
      </c>
      <c r="J51" s="242">
        <f>'2022-23 StepbyStep Allocations'!BH39</f>
        <v>396599</v>
      </c>
      <c r="K51" s="604">
        <f>INDEX('2022-23 StepbyStep Allocations'!$BI$9:$BI$159, MATCH(C51,'2022-23 StepbyStep Allocations'!$C$9:$C$159,0))</f>
        <v>-1481401</v>
      </c>
      <c r="L51" s="608">
        <f>INDEX('2022-23 StepbyStep Allocations'!$BF$9:$BF$159, MATCH(C51,'2022-23 StepbyStep Allocations'!$C$9:$C$159, 0))</f>
        <v>3462450.2887056484</v>
      </c>
      <c r="M51" s="331">
        <f t="shared" si="0"/>
        <v>63088932.271094739</v>
      </c>
      <c r="N51" s="243">
        <f t="shared" si="1"/>
        <v>61607531.271094739</v>
      </c>
      <c r="T51" s="468"/>
    </row>
    <row r="52" spans="2:20" s="215" customFormat="1" ht="15" x14ac:dyDescent="0.4">
      <c r="B52" s="245" t="s">
        <v>109</v>
      </c>
      <c r="C52" s="246">
        <v>211</v>
      </c>
      <c r="D52" s="247" t="s">
        <v>120</v>
      </c>
      <c r="E52" s="333">
        <f>INDEX('2022-23 StepbyStep Allocations'!$BN$9:$BN$159, MATCH(C52, '2022-23 StepbyStep Allocations'!$C$9:$C$159, 0))</f>
        <v>63979373.087099917</v>
      </c>
      <c r="F52" s="241">
        <f>'2022-23 StepbyStep Allocations'!G40</f>
        <v>769</v>
      </c>
      <c r="G52" s="242">
        <f>'2022-23 StepbyStep Allocations'!F40</f>
        <v>5644.9507750852836</v>
      </c>
      <c r="H52" s="243">
        <f>INDEX('2022-23 StepbyStep Allocations'!$H$9:$H$159, MATCH(C52, '2022-23 StepbyStep Allocations'!$C$9:$C$159, 0))</f>
        <v>4340967.146040583</v>
      </c>
      <c r="I52" s="244">
        <f>'2022-23 StepbyStep Allocations'!BG40</f>
        <v>403</v>
      </c>
      <c r="J52" s="242">
        <f>'2022-23 StepbyStep Allocations'!BH40</f>
        <v>0</v>
      </c>
      <c r="K52" s="604">
        <f>INDEX('2022-23 StepbyStep Allocations'!$BI$9:$BI$159, MATCH(C52,'2022-23 StepbyStep Allocations'!$C$9:$C$159,0))</f>
        <v>2418000</v>
      </c>
      <c r="L52" s="608">
        <f>INDEX('2022-23 StepbyStep Allocations'!$BF$9:$BF$159, MATCH(C52,'2022-23 StepbyStep Allocations'!$C$9:$C$159, 0))</f>
        <v>815293.9837714287</v>
      </c>
      <c r="M52" s="331">
        <f t="shared" si="0"/>
        <v>69135634.216911927</v>
      </c>
      <c r="N52" s="243">
        <f t="shared" si="1"/>
        <v>71553634.216911927</v>
      </c>
      <c r="T52" s="468"/>
    </row>
    <row r="53" spans="2:20" s="215" customFormat="1" ht="15" x14ac:dyDescent="0.4">
      <c r="B53" s="245" t="s">
        <v>109</v>
      </c>
      <c r="C53" s="246">
        <v>212</v>
      </c>
      <c r="D53" s="247" t="s">
        <v>121</v>
      </c>
      <c r="E53" s="333">
        <f>INDEX('2022-23 StepbyStep Allocations'!$BN$9:$BN$159, MATCH(C53, '2022-23 StepbyStep Allocations'!$C$9:$C$159, 0))</f>
        <v>48783718.616008192</v>
      </c>
      <c r="F53" s="241">
        <f>'2022-23 StepbyStep Allocations'!G41</f>
        <v>1039.5</v>
      </c>
      <c r="G53" s="242">
        <f>'2022-23 StepbyStep Allocations'!F41</f>
        <v>5644.9507750852836</v>
      </c>
      <c r="H53" s="243">
        <f>INDEX('2022-23 StepbyStep Allocations'!$H$9:$H$159, MATCH(C53, '2022-23 StepbyStep Allocations'!$C$9:$C$159, 0))</f>
        <v>5867926.3307011519</v>
      </c>
      <c r="I53" s="244">
        <f>'2022-23 StepbyStep Allocations'!BG41</f>
        <v>139.5</v>
      </c>
      <c r="J53" s="242">
        <f>'2022-23 StepbyStep Allocations'!BH41</f>
        <v>18000</v>
      </c>
      <c r="K53" s="604">
        <f>INDEX('2022-23 StepbyStep Allocations'!$BI$9:$BI$159, MATCH(C53,'2022-23 StepbyStep Allocations'!$C$9:$C$159,0))</f>
        <v>855000</v>
      </c>
      <c r="L53" s="608">
        <f>INDEX('2022-23 StepbyStep Allocations'!$BF$9:$BF$159, MATCH(C53,'2022-23 StepbyStep Allocations'!$C$9:$C$159, 0))</f>
        <v>1397816.8582325135</v>
      </c>
      <c r="M53" s="331">
        <f t="shared" si="0"/>
        <v>56049461.804941855</v>
      </c>
      <c r="N53" s="243">
        <f t="shared" si="1"/>
        <v>56904461.804941855</v>
      </c>
      <c r="T53" s="468"/>
    </row>
    <row r="54" spans="2:20" s="215" customFormat="1" ht="15" x14ac:dyDescent="0.4">
      <c r="B54" s="245" t="s">
        <v>109</v>
      </c>
      <c r="C54" s="246">
        <v>213</v>
      </c>
      <c r="D54" s="247" t="s">
        <v>122</v>
      </c>
      <c r="E54" s="333">
        <f>INDEX('2022-23 StepbyStep Allocations'!$BN$9:$BN$159, MATCH(C54, '2022-23 StepbyStep Allocations'!$C$9:$C$159, 0))</f>
        <v>32931612.490830604</v>
      </c>
      <c r="F54" s="241">
        <f>'2022-23 StepbyStep Allocations'!G42</f>
        <v>278.5</v>
      </c>
      <c r="G54" s="242">
        <f>'2022-23 StepbyStep Allocations'!F42</f>
        <v>5644.9507750852836</v>
      </c>
      <c r="H54" s="243">
        <f>INDEX('2022-23 StepbyStep Allocations'!$H$9:$H$159, MATCH(C54, '2022-23 StepbyStep Allocations'!$C$9:$C$159, 0))</f>
        <v>1572118.7908612515</v>
      </c>
      <c r="I54" s="244">
        <f>'2022-23 StepbyStep Allocations'!BG42</f>
        <v>-69</v>
      </c>
      <c r="J54" s="242">
        <f>'2022-23 StepbyStep Allocations'!BH42</f>
        <v>12000</v>
      </c>
      <c r="K54" s="604">
        <f>INDEX('2022-23 StepbyStep Allocations'!$BI$9:$BI$159, MATCH(C54,'2022-23 StepbyStep Allocations'!$C$9:$C$159,0))</f>
        <v>-402000</v>
      </c>
      <c r="L54" s="608">
        <f>INDEX('2022-23 StepbyStep Allocations'!$BF$9:$BF$159, MATCH(C54,'2022-23 StepbyStep Allocations'!$C$9:$C$159, 0))</f>
        <v>634943.07556217245</v>
      </c>
      <c r="M54" s="331">
        <f t="shared" si="0"/>
        <v>35138674.357254028</v>
      </c>
      <c r="N54" s="243">
        <f t="shared" ref="N54:N85" si="4">E54+H54+K54+L54</f>
        <v>34736674.357254028</v>
      </c>
      <c r="T54" s="468"/>
    </row>
    <row r="55" spans="2:20" s="215" customFormat="1" ht="15" x14ac:dyDescent="0.4">
      <c r="B55" s="245" t="s">
        <v>123</v>
      </c>
      <c r="C55" s="246">
        <v>840</v>
      </c>
      <c r="D55" s="247" t="s">
        <v>521</v>
      </c>
      <c r="E55" s="333">
        <f>INDEX('2022-23 StepbyStep Allocations'!$BN$9:$BN$159, MATCH(C55, '2022-23 StepbyStep Allocations'!$C$9:$C$159, 0))</f>
        <v>69329055.028386921</v>
      </c>
      <c r="F55" s="241">
        <f>'2022-23 StepbyStep Allocations'!G43</f>
        <v>1545</v>
      </c>
      <c r="G55" s="242">
        <f>'2022-23 StepbyStep Allocations'!F43</f>
        <v>4660</v>
      </c>
      <c r="H55" s="243">
        <f>INDEX('2022-23 StepbyStep Allocations'!$H$9:$H$159, MATCH(C55, '2022-23 StepbyStep Allocations'!$C$9:$C$159, 0))</f>
        <v>7199700</v>
      </c>
      <c r="I55" s="244">
        <f>'2022-23 StepbyStep Allocations'!BG43</f>
        <v>-152</v>
      </c>
      <c r="J55" s="242">
        <f>'2022-23 StepbyStep Allocations'!BH43</f>
        <v>0</v>
      </c>
      <c r="K55" s="604">
        <f>INDEX('2022-23 StepbyStep Allocations'!$BI$9:$BI$159, MATCH(C55,'2022-23 StepbyStep Allocations'!$C$9:$C$159,0))</f>
        <v>-912000</v>
      </c>
      <c r="L55" s="608">
        <f>INDEX('2022-23 StepbyStep Allocations'!$BF$9:$BF$159, MATCH(C55,'2022-23 StepbyStep Allocations'!$C$9:$C$159, 0))</f>
        <v>1341241.8670628574</v>
      </c>
      <c r="M55" s="331">
        <f t="shared" ref="M55" si="5">E55+H55+L55</f>
        <v>77869996.895449772</v>
      </c>
      <c r="N55" s="243">
        <f t="shared" ref="N55" si="6">E55+H55+K55+L55</f>
        <v>76957996.895449772</v>
      </c>
      <c r="T55" s="468"/>
    </row>
    <row r="56" spans="2:20" s="215" customFormat="1" ht="15" x14ac:dyDescent="0.4">
      <c r="B56" s="245" t="s">
        <v>123</v>
      </c>
      <c r="C56" s="246">
        <v>841</v>
      </c>
      <c r="D56" s="247" t="s">
        <v>124</v>
      </c>
      <c r="E56" s="333">
        <f>INDEX('2022-23 StepbyStep Allocations'!$BN$9:$BN$159, MATCH(C56, '2022-23 StepbyStep Allocations'!$C$9:$C$159, 0))</f>
        <v>15418547.276250914</v>
      </c>
      <c r="F56" s="241">
        <f>'2022-23 StepbyStep Allocations'!G44</f>
        <v>352</v>
      </c>
      <c r="G56" s="242">
        <f>'2022-23 StepbyStep Allocations'!F44</f>
        <v>4660</v>
      </c>
      <c r="H56" s="243">
        <f>INDEX('2022-23 StepbyStep Allocations'!$H$9:$H$159, MATCH(C56, '2022-23 StepbyStep Allocations'!$C$9:$C$159, 0))</f>
        <v>1640320</v>
      </c>
      <c r="I56" s="244">
        <f>'2022-23 StepbyStep Allocations'!BG44</f>
        <v>39</v>
      </c>
      <c r="J56" s="242">
        <f>'2022-23 StepbyStep Allocations'!BH44</f>
        <v>0</v>
      </c>
      <c r="K56" s="604">
        <f>INDEX('2022-23 StepbyStep Allocations'!$BI$9:$BI$159, MATCH(C56,'2022-23 StepbyStep Allocations'!$C$9:$C$159,0))</f>
        <v>234000</v>
      </c>
      <c r="L56" s="608">
        <f>INDEX('2022-23 StepbyStep Allocations'!$BF$9:$BF$159, MATCH(C56,'2022-23 StepbyStep Allocations'!$C$9:$C$159, 0))</f>
        <v>163404.15284087171</v>
      </c>
      <c r="M56" s="331">
        <f t="shared" si="0"/>
        <v>17222271.429091785</v>
      </c>
      <c r="N56" s="243">
        <f t="shared" si="4"/>
        <v>17456271.429091785</v>
      </c>
      <c r="T56" s="468"/>
    </row>
    <row r="57" spans="2:20" s="215" customFormat="1" ht="15" x14ac:dyDescent="0.4">
      <c r="B57" s="245" t="s">
        <v>123</v>
      </c>
      <c r="C57" s="246">
        <v>390</v>
      </c>
      <c r="D57" s="247" t="s">
        <v>125</v>
      </c>
      <c r="E57" s="333">
        <f>INDEX('2022-23 StepbyStep Allocations'!$BN$9:$BN$159, MATCH(C57, '2022-23 StepbyStep Allocations'!$C$9:$C$159, 0))</f>
        <v>27215679.14073569</v>
      </c>
      <c r="F57" s="241">
        <f>'2022-23 StepbyStep Allocations'!G45</f>
        <v>718</v>
      </c>
      <c r="G57" s="242">
        <f>'2022-23 StepbyStep Allocations'!F45</f>
        <v>4660</v>
      </c>
      <c r="H57" s="243">
        <f>INDEX('2022-23 StepbyStep Allocations'!$H$9:$H$159, MATCH(C57, '2022-23 StepbyStep Allocations'!$C$9:$C$159, 0))</f>
        <v>3345880</v>
      </c>
      <c r="I57" s="244">
        <f>'2022-23 StepbyStep Allocations'!BG45</f>
        <v>7</v>
      </c>
      <c r="J57" s="242">
        <f>'2022-23 StepbyStep Allocations'!BH45</f>
        <v>0</v>
      </c>
      <c r="K57" s="604">
        <f>INDEX('2022-23 StepbyStep Allocations'!$BI$9:$BI$159, MATCH(C57,'2022-23 StepbyStep Allocations'!$C$9:$C$159,0))</f>
        <v>42000</v>
      </c>
      <c r="L57" s="608">
        <f>INDEX('2022-23 StepbyStep Allocations'!$BF$9:$BF$159, MATCH(C57,'2022-23 StepbyStep Allocations'!$C$9:$C$159, 0))</f>
        <v>87691.665142857193</v>
      </c>
      <c r="M57" s="331">
        <f t="shared" si="0"/>
        <v>30649250.805878546</v>
      </c>
      <c r="N57" s="243">
        <f t="shared" si="4"/>
        <v>30691250.805878546</v>
      </c>
      <c r="T57" s="468"/>
    </row>
    <row r="58" spans="2:20" s="215" customFormat="1" ht="15" x14ac:dyDescent="0.4">
      <c r="B58" s="245" t="s">
        <v>123</v>
      </c>
      <c r="C58" s="246">
        <v>805</v>
      </c>
      <c r="D58" s="247" t="s">
        <v>126</v>
      </c>
      <c r="E58" s="333">
        <f>INDEX('2022-23 StepbyStep Allocations'!$BN$9:$BN$159, MATCH(C58, '2022-23 StepbyStep Allocations'!$C$9:$C$159, 0))</f>
        <v>14884490.058607109</v>
      </c>
      <c r="F58" s="241">
        <f>'2022-23 StepbyStep Allocations'!G46</f>
        <v>312.83333299999998</v>
      </c>
      <c r="G58" s="242">
        <f>'2022-23 StepbyStep Allocations'!F46</f>
        <v>4660</v>
      </c>
      <c r="H58" s="243">
        <f>INDEX('2022-23 StepbyStep Allocations'!$H$9:$H$159, MATCH(C58, '2022-23 StepbyStep Allocations'!$C$9:$C$159, 0))</f>
        <v>1457803.3317799999</v>
      </c>
      <c r="I58" s="244">
        <f>'2022-23 StepbyStep Allocations'!BG46</f>
        <v>-55</v>
      </c>
      <c r="J58" s="242">
        <f>'2022-23 StepbyStep Allocations'!BH46</f>
        <v>0</v>
      </c>
      <c r="K58" s="604">
        <f>INDEX('2022-23 StepbyStep Allocations'!$BI$9:$BI$159, MATCH(C58,'2022-23 StepbyStep Allocations'!$C$9:$C$159,0))</f>
        <v>-330000</v>
      </c>
      <c r="L58" s="608">
        <f>INDEX('2022-23 StepbyStep Allocations'!$BF$9:$BF$159, MATCH(C58,'2022-23 StepbyStep Allocations'!$C$9:$C$159, 0))</f>
        <v>53142.600101694901</v>
      </c>
      <c r="M58" s="331">
        <f t="shared" si="0"/>
        <v>16395435.990488803</v>
      </c>
      <c r="N58" s="243">
        <f t="shared" si="4"/>
        <v>16065435.990488803</v>
      </c>
      <c r="T58" s="468"/>
    </row>
    <row r="59" spans="2:20" s="215" customFormat="1" ht="15" x14ac:dyDescent="0.4">
      <c r="B59" s="245" t="s">
        <v>123</v>
      </c>
      <c r="C59" s="246">
        <v>806</v>
      </c>
      <c r="D59" s="247" t="s">
        <v>127</v>
      </c>
      <c r="E59" s="333">
        <f>INDEX('2022-23 StepbyStep Allocations'!$BN$9:$BN$159, MATCH(C59, '2022-23 StepbyStep Allocations'!$C$9:$C$159, 0))</f>
        <v>27345275.03207989</v>
      </c>
      <c r="F59" s="241">
        <f>'2022-23 StepbyStep Allocations'!G47</f>
        <v>584</v>
      </c>
      <c r="G59" s="242">
        <f>'2022-23 StepbyStep Allocations'!F47</f>
        <v>4660</v>
      </c>
      <c r="H59" s="243">
        <f>INDEX('2022-23 StepbyStep Allocations'!$H$9:$H$159, MATCH(C59, '2022-23 StepbyStep Allocations'!$C$9:$C$159, 0))</f>
        <v>2721440</v>
      </c>
      <c r="I59" s="244">
        <f>'2022-23 StepbyStep Allocations'!BG47</f>
        <v>73.5</v>
      </c>
      <c r="J59" s="242">
        <f>'2022-23 StepbyStep Allocations'!BH47</f>
        <v>395667</v>
      </c>
      <c r="K59" s="604">
        <f>INDEX('2022-23 StepbyStep Allocations'!$BI$9:$BI$159, MATCH(C59,'2022-23 StepbyStep Allocations'!$C$9:$C$159,0))</f>
        <v>836667</v>
      </c>
      <c r="L59" s="608">
        <f>INDEX('2022-23 StepbyStep Allocations'!$BF$9:$BF$159, MATCH(C59,'2022-23 StepbyStep Allocations'!$C$9:$C$159, 0))</f>
        <v>1614851.8117615497</v>
      </c>
      <c r="M59" s="331">
        <f t="shared" si="0"/>
        <v>31681566.843841441</v>
      </c>
      <c r="N59" s="243">
        <f t="shared" si="4"/>
        <v>32518233.843841441</v>
      </c>
      <c r="T59" s="468"/>
    </row>
    <row r="60" spans="2:20" s="215" customFormat="1" ht="15" x14ac:dyDescent="0.4">
      <c r="B60" s="245" t="s">
        <v>123</v>
      </c>
      <c r="C60" s="246">
        <v>391</v>
      </c>
      <c r="D60" s="247" t="s">
        <v>128</v>
      </c>
      <c r="E60" s="333">
        <f>INDEX('2022-23 StepbyStep Allocations'!$BN$9:$BN$159, MATCH(C60, '2022-23 StepbyStep Allocations'!$C$9:$C$159, 0))</f>
        <v>43966166.079053119</v>
      </c>
      <c r="F60" s="241">
        <f>'2022-23 StepbyStep Allocations'!G48</f>
        <v>768.5</v>
      </c>
      <c r="G60" s="242">
        <f>'2022-23 StepbyStep Allocations'!F48</f>
        <v>4660</v>
      </c>
      <c r="H60" s="243">
        <f>INDEX('2022-23 StepbyStep Allocations'!$H$9:$H$159, MATCH(C60, '2022-23 StepbyStep Allocations'!$C$9:$C$159, 0))</f>
        <v>3581210</v>
      </c>
      <c r="I60" s="244">
        <f>'2022-23 StepbyStep Allocations'!BG48</f>
        <v>-187.5</v>
      </c>
      <c r="J60" s="242">
        <f>'2022-23 StepbyStep Allocations'!BH48</f>
        <v>0</v>
      </c>
      <c r="K60" s="604">
        <f>INDEX('2022-23 StepbyStep Allocations'!$BI$9:$BI$159, MATCH(C60,'2022-23 StepbyStep Allocations'!$C$9:$C$159,0))</f>
        <v>-1125000</v>
      </c>
      <c r="L60" s="608">
        <f>INDEX('2022-23 StepbyStep Allocations'!$BF$9:$BF$159, MATCH(C60,'2022-23 StepbyStep Allocations'!$C$9:$C$159, 0))</f>
        <v>2691648.3903544806</v>
      </c>
      <c r="M60" s="331">
        <f t="shared" si="0"/>
        <v>50239024.469407603</v>
      </c>
      <c r="N60" s="243">
        <f t="shared" si="4"/>
        <v>49114024.469407603</v>
      </c>
      <c r="T60" s="468"/>
    </row>
    <row r="61" spans="2:20" s="215" customFormat="1" ht="15" x14ac:dyDescent="0.4">
      <c r="B61" s="245" t="s">
        <v>123</v>
      </c>
      <c r="C61" s="246">
        <v>392</v>
      </c>
      <c r="D61" s="247" t="s">
        <v>129</v>
      </c>
      <c r="E61" s="333">
        <f>INDEX('2022-23 StepbyStep Allocations'!$BN$9:$BN$159, MATCH(C61, '2022-23 StepbyStep Allocations'!$C$9:$C$159, 0))</f>
        <v>26015203.701644938</v>
      </c>
      <c r="F61" s="241">
        <f>'2022-23 StepbyStep Allocations'!G49</f>
        <v>704</v>
      </c>
      <c r="G61" s="242">
        <f>'2022-23 StepbyStep Allocations'!F49</f>
        <v>4660</v>
      </c>
      <c r="H61" s="243">
        <f>INDEX('2022-23 StepbyStep Allocations'!$H$9:$H$159, MATCH(C61, '2022-23 StepbyStep Allocations'!$C$9:$C$159, 0))</f>
        <v>3280640</v>
      </c>
      <c r="I61" s="244">
        <f>'2022-23 StepbyStep Allocations'!BG49</f>
        <v>-109</v>
      </c>
      <c r="J61" s="242">
        <f>'2022-23 StepbyStep Allocations'!BH49</f>
        <v>0</v>
      </c>
      <c r="K61" s="604">
        <f>INDEX('2022-23 StepbyStep Allocations'!$BI$9:$BI$159, MATCH(C61,'2022-23 StepbyStep Allocations'!$C$9:$C$159,0))</f>
        <v>-654000</v>
      </c>
      <c r="L61" s="608">
        <f>INDEX('2022-23 StepbyStep Allocations'!$BF$9:$BF$159, MATCH(C61,'2022-23 StepbyStep Allocations'!$C$9:$C$159, 0))</f>
        <v>188204.57332203403</v>
      </c>
      <c r="M61" s="331">
        <f t="shared" si="0"/>
        <v>29484048.274966974</v>
      </c>
      <c r="N61" s="243">
        <f t="shared" si="4"/>
        <v>28830048.274966974</v>
      </c>
      <c r="T61" s="468"/>
    </row>
    <row r="62" spans="2:20" s="215" customFormat="1" ht="15" x14ac:dyDescent="0.4">
      <c r="B62" s="245" t="s">
        <v>123</v>
      </c>
      <c r="C62" s="246">
        <v>929</v>
      </c>
      <c r="D62" s="247" t="s">
        <v>130</v>
      </c>
      <c r="E62" s="333">
        <f>INDEX('2022-23 StepbyStep Allocations'!$BN$9:$BN$159, MATCH(C62, '2022-23 StepbyStep Allocations'!$C$9:$C$159, 0))</f>
        <v>39915623.684527792</v>
      </c>
      <c r="F62" s="241">
        <f>'2022-23 StepbyStep Allocations'!G50</f>
        <v>1083.25</v>
      </c>
      <c r="G62" s="242">
        <f>'2022-23 StepbyStep Allocations'!F50</f>
        <v>4660</v>
      </c>
      <c r="H62" s="243">
        <f>INDEX('2022-23 StepbyStep Allocations'!$H$9:$H$159, MATCH(C62, '2022-23 StepbyStep Allocations'!$C$9:$C$159, 0))</f>
        <v>5047945</v>
      </c>
      <c r="I62" s="244">
        <f>'2022-23 StepbyStep Allocations'!BG50</f>
        <v>-178.5</v>
      </c>
      <c r="J62" s="242">
        <f>'2022-23 StepbyStep Allocations'!BH50</f>
        <v>0</v>
      </c>
      <c r="K62" s="604">
        <f>INDEX('2022-23 StepbyStep Allocations'!$BI$9:$BI$159, MATCH(C62,'2022-23 StepbyStep Allocations'!$C$9:$C$159,0))</f>
        <v>-1071000</v>
      </c>
      <c r="L62" s="608">
        <f>INDEX('2022-23 StepbyStep Allocations'!$BF$9:$BF$159, MATCH(C62,'2022-23 StepbyStep Allocations'!$C$9:$C$159, 0))</f>
        <v>31211.350208232456</v>
      </c>
      <c r="M62" s="331">
        <f t="shared" si="0"/>
        <v>44994780.034736022</v>
      </c>
      <c r="N62" s="243">
        <f t="shared" si="4"/>
        <v>43923780.034736022</v>
      </c>
      <c r="T62" s="468"/>
    </row>
    <row r="63" spans="2:20" s="215" customFormat="1" ht="15" x14ac:dyDescent="0.4">
      <c r="B63" s="245" t="s">
        <v>123</v>
      </c>
      <c r="C63" s="246">
        <v>807</v>
      </c>
      <c r="D63" s="247" t="s">
        <v>131</v>
      </c>
      <c r="E63" s="333">
        <f>INDEX('2022-23 StepbyStep Allocations'!$BN$9:$BN$159, MATCH(C63, '2022-23 StepbyStep Allocations'!$C$9:$C$159, 0))</f>
        <v>21149591.618473187</v>
      </c>
      <c r="F63" s="241">
        <f>'2022-23 StepbyStep Allocations'!G51</f>
        <v>441.5</v>
      </c>
      <c r="G63" s="242">
        <f>'2022-23 StepbyStep Allocations'!F51</f>
        <v>4660</v>
      </c>
      <c r="H63" s="243">
        <f>INDEX('2022-23 StepbyStep Allocations'!$H$9:$H$159, MATCH(C63, '2022-23 StepbyStep Allocations'!$C$9:$C$159, 0))</f>
        <v>2057390</v>
      </c>
      <c r="I63" s="244">
        <f>'2022-23 StepbyStep Allocations'!BG51</f>
        <v>-93.5</v>
      </c>
      <c r="J63" s="242">
        <f>'2022-23 StepbyStep Allocations'!BH51</f>
        <v>60000</v>
      </c>
      <c r="K63" s="604">
        <f>INDEX('2022-23 StepbyStep Allocations'!$BI$9:$BI$159, MATCH(C63,'2022-23 StepbyStep Allocations'!$C$9:$C$159,0))</f>
        <v>-501000</v>
      </c>
      <c r="L63" s="608">
        <f>INDEX('2022-23 StepbyStep Allocations'!$BF$9:$BF$159, MATCH(C63,'2022-23 StepbyStep Allocations'!$C$9:$C$159, 0))</f>
        <v>233358.31419622284</v>
      </c>
      <c r="M63" s="331">
        <f t="shared" si="0"/>
        <v>23440339.932669409</v>
      </c>
      <c r="N63" s="243">
        <f t="shared" si="4"/>
        <v>22939339.932669409</v>
      </c>
      <c r="T63" s="468"/>
    </row>
    <row r="64" spans="2:20" s="215" customFormat="1" ht="15" x14ac:dyDescent="0.4">
      <c r="B64" s="245" t="s">
        <v>123</v>
      </c>
      <c r="C64" s="246">
        <v>393</v>
      </c>
      <c r="D64" s="247" t="s">
        <v>132</v>
      </c>
      <c r="E64" s="333">
        <f>INDEX('2022-23 StepbyStep Allocations'!$BN$9:$BN$159, MATCH(C64, '2022-23 StepbyStep Allocations'!$C$9:$C$159, 0))</f>
        <v>22014789.787268795</v>
      </c>
      <c r="F64" s="241">
        <f>'2022-23 StepbyStep Allocations'!G52</f>
        <v>583</v>
      </c>
      <c r="G64" s="242">
        <f>'2022-23 StepbyStep Allocations'!F52</f>
        <v>4660</v>
      </c>
      <c r="H64" s="243">
        <f>INDEX('2022-23 StepbyStep Allocations'!$H$9:$H$159, MATCH(C64, '2022-23 StepbyStep Allocations'!$C$9:$C$159, 0))</f>
        <v>2716780</v>
      </c>
      <c r="I64" s="244">
        <f>'2022-23 StepbyStep Allocations'!BG52</f>
        <v>-12</v>
      </c>
      <c r="J64" s="242">
        <f>'2022-23 StepbyStep Allocations'!BH52</f>
        <v>0</v>
      </c>
      <c r="K64" s="604">
        <f>INDEX('2022-23 StepbyStep Allocations'!$BI$9:$BI$159, MATCH(C64,'2022-23 StepbyStep Allocations'!$C$9:$C$159,0))</f>
        <v>-72000</v>
      </c>
      <c r="L64" s="608">
        <f>INDEX('2022-23 StepbyStep Allocations'!$BF$9:$BF$159, MATCH(C64,'2022-23 StepbyStep Allocations'!$C$9:$C$159, 0))</f>
        <v>42896.657142857141</v>
      </c>
      <c r="M64" s="331">
        <f t="shared" si="0"/>
        <v>24774466.444411654</v>
      </c>
      <c r="N64" s="243">
        <f t="shared" si="4"/>
        <v>24702466.444411654</v>
      </c>
      <c r="T64" s="468"/>
    </row>
    <row r="65" spans="2:20" s="215" customFormat="1" ht="15" x14ac:dyDescent="0.4">
      <c r="B65" s="245" t="s">
        <v>123</v>
      </c>
      <c r="C65" s="246">
        <v>808</v>
      </c>
      <c r="D65" s="247" t="s">
        <v>133</v>
      </c>
      <c r="E65" s="333">
        <f>INDEX('2022-23 StepbyStep Allocations'!$BN$9:$BN$159, MATCH(C65, '2022-23 StepbyStep Allocations'!$C$9:$C$159, 0))</f>
        <v>31234547.327616122</v>
      </c>
      <c r="F65" s="241">
        <f>'2022-23 StepbyStep Allocations'!G53</f>
        <v>680.5</v>
      </c>
      <c r="G65" s="242">
        <f>'2022-23 StepbyStep Allocations'!F53</f>
        <v>4660</v>
      </c>
      <c r="H65" s="243">
        <f>INDEX('2022-23 StepbyStep Allocations'!$H$9:$H$159, MATCH(C65, '2022-23 StepbyStep Allocations'!$C$9:$C$159, 0))</f>
        <v>3171130</v>
      </c>
      <c r="I65" s="244">
        <f>'2022-23 StepbyStep Allocations'!BG53</f>
        <v>-70</v>
      </c>
      <c r="J65" s="242">
        <f>'2022-23 StepbyStep Allocations'!BH53</f>
        <v>0</v>
      </c>
      <c r="K65" s="604">
        <f>INDEX('2022-23 StepbyStep Allocations'!$BI$9:$BI$159, MATCH(C65,'2022-23 StepbyStep Allocations'!$C$9:$C$159,0))</f>
        <v>-420000</v>
      </c>
      <c r="L65" s="608">
        <f>INDEX('2022-23 StepbyStep Allocations'!$BF$9:$BF$159, MATCH(C65,'2022-23 StepbyStep Allocations'!$C$9:$C$159, 0))</f>
        <v>86532.942348668308</v>
      </c>
      <c r="M65" s="331">
        <f t="shared" si="0"/>
        <v>34492210.269964792</v>
      </c>
      <c r="N65" s="243">
        <f t="shared" si="4"/>
        <v>34072210.269964792</v>
      </c>
      <c r="T65" s="468"/>
    </row>
    <row r="66" spans="2:20" s="215" customFormat="1" ht="15" x14ac:dyDescent="0.4">
      <c r="B66" s="245" t="s">
        <v>123</v>
      </c>
      <c r="C66" s="246">
        <v>394</v>
      </c>
      <c r="D66" s="247" t="s">
        <v>134</v>
      </c>
      <c r="E66" s="333">
        <f>INDEX('2022-23 StepbyStep Allocations'!$BN$9:$BN$159, MATCH(C66, '2022-23 StepbyStep Allocations'!$C$9:$C$159, 0))</f>
        <v>31822648.272720616</v>
      </c>
      <c r="F66" s="241">
        <f>'2022-23 StepbyStep Allocations'!G54</f>
        <v>834.5</v>
      </c>
      <c r="G66" s="242">
        <f>'2022-23 StepbyStep Allocations'!F54</f>
        <v>4660</v>
      </c>
      <c r="H66" s="243">
        <f>INDEX('2022-23 StepbyStep Allocations'!$H$9:$H$159, MATCH(C66, '2022-23 StepbyStep Allocations'!$C$9:$C$159, 0))</f>
        <v>3888770</v>
      </c>
      <c r="I66" s="244">
        <f>'2022-23 StepbyStep Allocations'!BG54</f>
        <v>-73</v>
      </c>
      <c r="J66" s="242">
        <f>'2022-23 StepbyStep Allocations'!BH54</f>
        <v>540167</v>
      </c>
      <c r="K66" s="604">
        <f>INDEX('2022-23 StepbyStep Allocations'!$BI$9:$BI$159, MATCH(C66,'2022-23 StepbyStep Allocations'!$C$9:$C$159,0))</f>
        <v>102167</v>
      </c>
      <c r="L66" s="608">
        <f>INDEX('2022-23 StepbyStep Allocations'!$BF$9:$BF$159, MATCH(C66,'2022-23 StepbyStep Allocations'!$C$9:$C$159, 0))</f>
        <v>181758.66049878934</v>
      </c>
      <c r="M66" s="331">
        <f t="shared" si="0"/>
        <v>35893176.93321941</v>
      </c>
      <c r="N66" s="243">
        <f t="shared" si="4"/>
        <v>35995343.93321941</v>
      </c>
      <c r="T66" s="468"/>
    </row>
    <row r="67" spans="2:20" s="215" customFormat="1" ht="15" x14ac:dyDescent="0.4">
      <c r="B67" s="245" t="s">
        <v>135</v>
      </c>
      <c r="C67" s="246">
        <v>889</v>
      </c>
      <c r="D67" s="247" t="s">
        <v>136</v>
      </c>
      <c r="E67" s="333">
        <f>INDEX('2022-23 StepbyStep Allocations'!$BN$9:$BN$159, MATCH(C67, '2022-23 StepbyStep Allocations'!$C$9:$C$159, 0))</f>
        <v>25462390.766210761</v>
      </c>
      <c r="F67" s="241">
        <f>'2022-23 StepbyStep Allocations'!G55</f>
        <v>348.5</v>
      </c>
      <c r="G67" s="242">
        <f>'2022-23 StepbyStep Allocations'!F55</f>
        <v>4660</v>
      </c>
      <c r="H67" s="243">
        <f>INDEX('2022-23 StepbyStep Allocations'!$H$9:$H$159, MATCH(C67, '2022-23 StepbyStep Allocations'!$C$9:$C$159, 0))</f>
        <v>1624010</v>
      </c>
      <c r="I67" s="244">
        <f>'2022-23 StepbyStep Allocations'!BG55</f>
        <v>22.5</v>
      </c>
      <c r="J67" s="242">
        <f>'2022-23 StepbyStep Allocations'!BH55</f>
        <v>239000</v>
      </c>
      <c r="K67" s="604">
        <f>INDEX('2022-23 StepbyStep Allocations'!$BI$9:$BI$159, MATCH(C67,'2022-23 StepbyStep Allocations'!$C$9:$C$159,0))</f>
        <v>374000</v>
      </c>
      <c r="L67" s="608">
        <f>INDEX('2022-23 StepbyStep Allocations'!$BF$9:$BF$159, MATCH(C67,'2022-23 StepbyStep Allocations'!$C$9:$C$159, 0))</f>
        <v>664182.63144364185</v>
      </c>
      <c r="M67" s="331">
        <f t="shared" si="0"/>
        <v>27750583.397654403</v>
      </c>
      <c r="N67" s="243">
        <f t="shared" si="4"/>
        <v>28124583.397654403</v>
      </c>
      <c r="T67" s="468"/>
    </row>
    <row r="68" spans="2:20" s="215" customFormat="1" ht="15" x14ac:dyDescent="0.4">
      <c r="B68" s="245" t="s">
        <v>135</v>
      </c>
      <c r="C68" s="246">
        <v>890</v>
      </c>
      <c r="D68" s="247" t="s">
        <v>137</v>
      </c>
      <c r="E68" s="333">
        <f>INDEX('2022-23 StepbyStep Allocations'!$BN$9:$BN$159, MATCH(C68, '2022-23 StepbyStep Allocations'!$C$9:$C$159, 0))</f>
        <v>22939862.721126184</v>
      </c>
      <c r="F68" s="241">
        <f>'2022-23 StepbyStep Allocations'!G56</f>
        <v>657.5</v>
      </c>
      <c r="G68" s="242">
        <f>'2022-23 StepbyStep Allocations'!F56</f>
        <v>4660</v>
      </c>
      <c r="H68" s="243">
        <f>INDEX('2022-23 StepbyStep Allocations'!$H$9:$H$159, MATCH(C68, '2022-23 StepbyStep Allocations'!$C$9:$C$159, 0))</f>
        <v>3063950</v>
      </c>
      <c r="I68" s="244">
        <f>'2022-23 StepbyStep Allocations'!BG56</f>
        <v>36</v>
      </c>
      <c r="J68" s="242">
        <f>'2022-23 StepbyStep Allocations'!BH56</f>
        <v>261334</v>
      </c>
      <c r="K68" s="604">
        <f>INDEX('2022-23 StepbyStep Allocations'!$BI$9:$BI$159, MATCH(C68,'2022-23 StepbyStep Allocations'!$C$9:$C$159,0))</f>
        <v>477334</v>
      </c>
      <c r="L68" s="608">
        <f>INDEX('2022-23 StepbyStep Allocations'!$BF$9:$BF$159, MATCH(C68,'2022-23 StepbyStep Allocations'!$C$9:$C$159, 0))</f>
        <v>1605241.0666971433</v>
      </c>
      <c r="M68" s="331">
        <f t="shared" si="0"/>
        <v>27609053.787823327</v>
      </c>
      <c r="N68" s="243">
        <f t="shared" si="4"/>
        <v>28086387.787823327</v>
      </c>
      <c r="T68" s="468"/>
    </row>
    <row r="69" spans="2:20" s="215" customFormat="1" ht="15" x14ac:dyDescent="0.4">
      <c r="B69" s="245" t="s">
        <v>135</v>
      </c>
      <c r="C69" s="246">
        <v>350</v>
      </c>
      <c r="D69" s="247" t="s">
        <v>138</v>
      </c>
      <c r="E69" s="333">
        <f>INDEX('2022-23 StepbyStep Allocations'!$BN$9:$BN$159, MATCH(C69, '2022-23 StepbyStep Allocations'!$C$9:$C$159, 0))</f>
        <v>46581992.100242279</v>
      </c>
      <c r="F69" s="241">
        <f>'2022-23 StepbyStep Allocations'!G57</f>
        <v>1008.166666</v>
      </c>
      <c r="G69" s="242">
        <f>'2022-23 StepbyStep Allocations'!F57</f>
        <v>4699.6710732916163</v>
      </c>
      <c r="H69" s="243">
        <f>INDEX('2022-23 StepbyStep Allocations'!$H$9:$H$159, MATCH(C69, '2022-23 StepbyStep Allocations'!$C$9:$C$159, 0))</f>
        <v>4738051.7172570499</v>
      </c>
      <c r="I69" s="244">
        <f>'2022-23 StepbyStep Allocations'!BG57</f>
        <v>-110.75</v>
      </c>
      <c r="J69" s="242">
        <f>'2022-23 StepbyStep Allocations'!BH57</f>
        <v>0</v>
      </c>
      <c r="K69" s="604">
        <f>INDEX('2022-23 StepbyStep Allocations'!$BI$9:$BI$159, MATCH(C69,'2022-23 StepbyStep Allocations'!$C$9:$C$159,0))</f>
        <v>-664500</v>
      </c>
      <c r="L69" s="608">
        <f>INDEX('2022-23 StepbyStep Allocations'!$BF$9:$BF$159, MATCH(C69,'2022-23 StepbyStep Allocations'!$C$9:$C$159, 0))</f>
        <v>187702.56600968534</v>
      </c>
      <c r="M69" s="331">
        <f t="shared" si="0"/>
        <v>51507746.383509018</v>
      </c>
      <c r="N69" s="243">
        <f t="shared" si="4"/>
        <v>50843246.383509018</v>
      </c>
      <c r="T69" s="468"/>
    </row>
    <row r="70" spans="2:20" s="203" customFormat="1" ht="15" x14ac:dyDescent="0.4">
      <c r="B70" s="245" t="s">
        <v>135</v>
      </c>
      <c r="C70" s="246">
        <v>351</v>
      </c>
      <c r="D70" s="247" t="s">
        <v>139</v>
      </c>
      <c r="E70" s="333">
        <f>INDEX('2022-23 StepbyStep Allocations'!$BN$9:$BN$159, MATCH(C70, '2022-23 StepbyStep Allocations'!$C$9:$C$159, 0))</f>
        <v>36430516.598003089</v>
      </c>
      <c r="F70" s="241">
        <f>'2022-23 StepbyStep Allocations'!G58</f>
        <v>529</v>
      </c>
      <c r="G70" s="242">
        <f>'2022-23 StepbyStep Allocations'!F58</f>
        <v>4699.6710732916163</v>
      </c>
      <c r="H70" s="243">
        <f>INDEX('2022-23 StepbyStep Allocations'!$H$9:$H$159, MATCH(C70, '2022-23 StepbyStep Allocations'!$C$9:$C$159, 0))</f>
        <v>2486125.997771265</v>
      </c>
      <c r="I70" s="244">
        <f>'2022-23 StepbyStep Allocations'!BG58</f>
        <v>1.5</v>
      </c>
      <c r="J70" s="242">
        <f>'2022-23 StepbyStep Allocations'!BH58</f>
        <v>6000</v>
      </c>
      <c r="K70" s="604">
        <f>INDEX('2022-23 StepbyStep Allocations'!$BI$9:$BI$159, MATCH(C70,'2022-23 StepbyStep Allocations'!$C$9:$C$159,0))</f>
        <v>15000</v>
      </c>
      <c r="L70" s="608">
        <f>INDEX('2022-23 StepbyStep Allocations'!$BF$9:$BF$159, MATCH(C70,'2022-23 StepbyStep Allocations'!$C$9:$C$159, 0))</f>
        <v>338234.53189375543</v>
      </c>
      <c r="M70" s="331">
        <f t="shared" si="0"/>
        <v>39254877.127668105</v>
      </c>
      <c r="N70" s="243">
        <f t="shared" si="4"/>
        <v>39269877.127668105</v>
      </c>
      <c r="T70" s="468"/>
    </row>
    <row r="71" spans="2:20" s="203" customFormat="1" ht="15" x14ac:dyDescent="0.4">
      <c r="B71" s="245" t="s">
        <v>135</v>
      </c>
      <c r="C71" s="246">
        <v>895</v>
      </c>
      <c r="D71" s="247" t="s">
        <v>140</v>
      </c>
      <c r="E71" s="333">
        <f>INDEX('2022-23 StepbyStep Allocations'!$BN$9:$BN$159, MATCH(C71, '2022-23 StepbyStep Allocations'!$C$9:$C$159, 0))</f>
        <v>44576104.96111989</v>
      </c>
      <c r="F71" s="241">
        <f>'2022-23 StepbyStep Allocations'!G59</f>
        <v>598.999999</v>
      </c>
      <c r="G71" s="242">
        <f>'2022-23 StepbyStep Allocations'!F59</f>
        <v>4686.366612276267</v>
      </c>
      <c r="H71" s="243">
        <f>INDEX('2022-23 StepbyStep Allocations'!$H$9:$H$159, MATCH(C71, '2022-23 StepbyStep Allocations'!$C$9:$C$159, 0))</f>
        <v>2807133.5960671175</v>
      </c>
      <c r="I71" s="244">
        <f>'2022-23 StepbyStep Allocations'!BG59</f>
        <v>46</v>
      </c>
      <c r="J71" s="242">
        <f>'2022-23 StepbyStep Allocations'!BH59</f>
        <v>326444</v>
      </c>
      <c r="K71" s="604">
        <f>INDEX('2022-23 StepbyStep Allocations'!$BI$9:$BI$159, MATCH(C71,'2022-23 StepbyStep Allocations'!$C$9:$C$159,0))</f>
        <v>602444</v>
      </c>
      <c r="L71" s="608">
        <f>INDEX('2022-23 StepbyStep Allocations'!$BF$9:$BF$159, MATCH(C71,'2022-23 StepbyStep Allocations'!$C$9:$C$159, 0))</f>
        <v>104983.49498305091</v>
      </c>
      <c r="M71" s="331">
        <f t="shared" si="0"/>
        <v>47488222.052170053</v>
      </c>
      <c r="N71" s="243">
        <f t="shared" si="4"/>
        <v>48090666.052170053</v>
      </c>
      <c r="T71" s="468"/>
    </row>
    <row r="72" spans="2:20" s="203" customFormat="1" ht="15" x14ac:dyDescent="0.4">
      <c r="B72" s="245" t="s">
        <v>135</v>
      </c>
      <c r="C72" s="246">
        <v>896</v>
      </c>
      <c r="D72" s="247" t="s">
        <v>141</v>
      </c>
      <c r="E72" s="333">
        <f>INDEX('2022-23 StepbyStep Allocations'!$BN$9:$BN$159, MATCH(C72, '2022-23 StepbyStep Allocations'!$C$9:$C$159, 0))</f>
        <v>44068093.915438212</v>
      </c>
      <c r="F72" s="241">
        <f>'2022-23 StepbyStep Allocations'!G60</f>
        <v>1083</v>
      </c>
      <c r="G72" s="242">
        <f>'2022-23 StepbyStep Allocations'!F60</f>
        <v>4686.366612276267</v>
      </c>
      <c r="H72" s="243">
        <f>INDEX('2022-23 StepbyStep Allocations'!$H$9:$H$159, MATCH(C72, '2022-23 StepbyStep Allocations'!$C$9:$C$159, 0))</f>
        <v>5075335.0410951972</v>
      </c>
      <c r="I72" s="244">
        <f>'2022-23 StepbyStep Allocations'!BG60</f>
        <v>-45</v>
      </c>
      <c r="J72" s="242">
        <f>'2022-23 StepbyStep Allocations'!BH60</f>
        <v>0</v>
      </c>
      <c r="K72" s="604">
        <f>INDEX('2022-23 StepbyStep Allocations'!$BI$9:$BI$159, MATCH(C72,'2022-23 StepbyStep Allocations'!$C$9:$C$159,0))</f>
        <v>-270000</v>
      </c>
      <c r="L72" s="608">
        <f>INDEX('2022-23 StepbyStep Allocations'!$BF$9:$BF$159, MATCH(C72,'2022-23 StepbyStep Allocations'!$C$9:$C$159, 0))</f>
        <v>805777.9973040492</v>
      </c>
      <c r="M72" s="331">
        <f t="shared" si="0"/>
        <v>49949206.953837462</v>
      </c>
      <c r="N72" s="243">
        <f t="shared" si="4"/>
        <v>49679206.953837462</v>
      </c>
      <c r="T72" s="468"/>
    </row>
    <row r="73" spans="2:20" s="203" customFormat="1" ht="15" x14ac:dyDescent="0.4">
      <c r="B73" s="245" t="s">
        <v>135</v>
      </c>
      <c r="C73" s="246">
        <v>909</v>
      </c>
      <c r="D73" s="247" t="s">
        <v>142</v>
      </c>
      <c r="E73" s="333">
        <f>INDEX('2022-23 StepbyStep Allocations'!$BN$9:$BN$159, MATCH(C73, '2022-23 StepbyStep Allocations'!$C$9:$C$159, 0))</f>
        <v>54075616.219392389</v>
      </c>
      <c r="F73" s="241">
        <f>'2022-23 StepbyStep Allocations'!G61</f>
        <v>725.5</v>
      </c>
      <c r="G73" s="242">
        <f>'2022-23 StepbyStep Allocations'!F61</f>
        <v>4660</v>
      </c>
      <c r="H73" s="243">
        <f>INDEX('2022-23 StepbyStep Allocations'!$H$9:$H$159, MATCH(C73, '2022-23 StepbyStep Allocations'!$C$9:$C$159, 0))</f>
        <v>3380830</v>
      </c>
      <c r="I73" s="244">
        <f>'2022-23 StepbyStep Allocations'!BG61</f>
        <v>-114.5</v>
      </c>
      <c r="J73" s="242">
        <f>'2022-23 StepbyStep Allocations'!BH61</f>
        <v>4000</v>
      </c>
      <c r="K73" s="604">
        <f>INDEX('2022-23 StepbyStep Allocations'!$BI$9:$BI$159, MATCH(C73,'2022-23 StepbyStep Allocations'!$C$9:$C$159,0))</f>
        <v>-683000</v>
      </c>
      <c r="L73" s="608">
        <f>INDEX('2022-23 StepbyStep Allocations'!$BF$9:$BF$159, MATCH(C73,'2022-23 StepbyStep Allocations'!$C$9:$C$159, 0))</f>
        <v>1215294.866108278</v>
      </c>
      <c r="M73" s="331">
        <f t="shared" si="0"/>
        <v>58671741.085500665</v>
      </c>
      <c r="N73" s="243">
        <f t="shared" si="4"/>
        <v>57988741.085500665</v>
      </c>
      <c r="T73" s="468"/>
    </row>
    <row r="74" spans="2:20" s="203" customFormat="1" ht="15" x14ac:dyDescent="0.4">
      <c r="B74" s="245" t="s">
        <v>135</v>
      </c>
      <c r="C74" s="246">
        <v>876</v>
      </c>
      <c r="D74" s="247" t="s">
        <v>143</v>
      </c>
      <c r="E74" s="333">
        <f>INDEX('2022-23 StepbyStep Allocations'!$BN$9:$BN$159, MATCH(C74, '2022-23 StepbyStep Allocations'!$C$9:$C$159, 0))</f>
        <v>20953982.433384173</v>
      </c>
      <c r="F74" s="241">
        <f>'2022-23 StepbyStep Allocations'!G62</f>
        <v>441.5</v>
      </c>
      <c r="G74" s="242">
        <f>'2022-23 StepbyStep Allocations'!F62</f>
        <v>4686.366612276267</v>
      </c>
      <c r="H74" s="243">
        <f>INDEX('2022-23 StepbyStep Allocations'!$H$9:$H$159, MATCH(C74, '2022-23 StepbyStep Allocations'!$C$9:$C$159, 0))</f>
        <v>2069030.8593199719</v>
      </c>
      <c r="I74" s="244">
        <f>'2022-23 StepbyStep Allocations'!BG62</f>
        <v>-28</v>
      </c>
      <c r="J74" s="242">
        <f>'2022-23 StepbyStep Allocations'!BH62</f>
        <v>0</v>
      </c>
      <c r="K74" s="604">
        <f>INDEX('2022-23 StepbyStep Allocations'!$BI$9:$BI$159, MATCH(C74,'2022-23 StepbyStep Allocations'!$C$9:$C$159,0))</f>
        <v>-168000</v>
      </c>
      <c r="L74" s="608">
        <f>INDEX('2022-23 StepbyStep Allocations'!$BF$9:$BF$159, MATCH(C74,'2022-23 StepbyStep Allocations'!$C$9:$C$159, 0))</f>
        <v>67644.32397094433</v>
      </c>
      <c r="M74" s="331">
        <f t="shared" si="0"/>
        <v>23090657.616675086</v>
      </c>
      <c r="N74" s="243">
        <f t="shared" si="4"/>
        <v>22922657.616675086</v>
      </c>
      <c r="T74" s="468"/>
    </row>
    <row r="75" spans="2:20" s="203" customFormat="1" ht="15" x14ac:dyDescent="0.4">
      <c r="B75" s="245" t="s">
        <v>135</v>
      </c>
      <c r="C75" s="246">
        <v>340</v>
      </c>
      <c r="D75" s="247" t="s">
        <v>144</v>
      </c>
      <c r="E75" s="333">
        <f>INDEX('2022-23 StepbyStep Allocations'!$BN$9:$BN$159, MATCH(C75, '2022-23 StepbyStep Allocations'!$C$9:$C$159, 0))</f>
        <v>27158261.060901739</v>
      </c>
      <c r="F75" s="241">
        <f>'2022-23 StepbyStep Allocations'!G63</f>
        <v>606.5</v>
      </c>
      <c r="G75" s="242">
        <f>'2022-23 StepbyStep Allocations'!F63</f>
        <v>4668.143342146408</v>
      </c>
      <c r="H75" s="243">
        <f>INDEX('2022-23 StepbyStep Allocations'!$H$9:$H$159, MATCH(C75, '2022-23 StepbyStep Allocations'!$C$9:$C$159, 0))</f>
        <v>2831228.9370117965</v>
      </c>
      <c r="I75" s="244">
        <f>'2022-23 StepbyStep Allocations'!BG63</f>
        <v>-192</v>
      </c>
      <c r="J75" s="242">
        <f>'2022-23 StepbyStep Allocations'!BH63</f>
        <v>0</v>
      </c>
      <c r="K75" s="604">
        <f>INDEX('2022-23 StepbyStep Allocations'!$BI$9:$BI$159, MATCH(C75,'2022-23 StepbyStep Allocations'!$C$9:$C$159,0))</f>
        <v>-1152000</v>
      </c>
      <c r="L75" s="608">
        <f>INDEX('2022-23 StepbyStep Allocations'!$BF$9:$BF$159, MATCH(C75,'2022-23 StepbyStep Allocations'!$C$9:$C$159, 0))</f>
        <v>246655.65241458532</v>
      </c>
      <c r="M75" s="331">
        <f t="shared" si="0"/>
        <v>30236145.650328122</v>
      </c>
      <c r="N75" s="243">
        <f t="shared" si="4"/>
        <v>29084145.650328122</v>
      </c>
      <c r="T75" s="468"/>
    </row>
    <row r="76" spans="2:20" s="203" customFormat="1" ht="15" x14ac:dyDescent="0.4">
      <c r="B76" s="245" t="s">
        <v>135</v>
      </c>
      <c r="C76" s="246">
        <v>888</v>
      </c>
      <c r="D76" s="247" t="s">
        <v>145</v>
      </c>
      <c r="E76" s="333">
        <f>INDEX('2022-23 StepbyStep Allocations'!$BN$9:$BN$159, MATCH(C76, '2022-23 StepbyStep Allocations'!$C$9:$C$159, 0))</f>
        <v>151476061.60064152</v>
      </c>
      <c r="F76" s="241">
        <f>'2022-23 StepbyStep Allocations'!G64</f>
        <v>3147.5</v>
      </c>
      <c r="G76" s="242">
        <f>'2022-23 StepbyStep Allocations'!F64</f>
        <v>4660</v>
      </c>
      <c r="H76" s="243">
        <f>INDEX('2022-23 StepbyStep Allocations'!$H$9:$H$159, MATCH(C76, '2022-23 StepbyStep Allocations'!$C$9:$C$159, 0))</f>
        <v>14667350</v>
      </c>
      <c r="I76" s="244">
        <f>'2022-23 StepbyStep Allocations'!BG64</f>
        <v>-258.5</v>
      </c>
      <c r="J76" s="242">
        <f>'2022-23 StepbyStep Allocations'!BH64</f>
        <v>93000</v>
      </c>
      <c r="K76" s="604">
        <f>INDEX('2022-23 StepbyStep Allocations'!$BI$9:$BI$159, MATCH(C76,'2022-23 StepbyStep Allocations'!$C$9:$C$159,0))</f>
        <v>-1458000</v>
      </c>
      <c r="L76" s="608">
        <f>INDEX('2022-23 StepbyStep Allocations'!$BF$9:$BF$159, MATCH(C76,'2022-23 StepbyStep Allocations'!$C$9:$C$159, 0))</f>
        <v>1507192.8217714289</v>
      </c>
      <c r="M76" s="331">
        <f t="shared" si="0"/>
        <v>167650604.42241296</v>
      </c>
      <c r="N76" s="243">
        <f t="shared" si="4"/>
        <v>166192604.42241296</v>
      </c>
      <c r="T76" s="468"/>
    </row>
    <row r="77" spans="2:20" s="203" customFormat="1" ht="15" x14ac:dyDescent="0.4">
      <c r="B77" s="245" t="s">
        <v>135</v>
      </c>
      <c r="C77" s="246">
        <v>341</v>
      </c>
      <c r="D77" s="247" t="s">
        <v>146</v>
      </c>
      <c r="E77" s="333">
        <f>INDEX('2022-23 StepbyStep Allocations'!$BN$9:$BN$159, MATCH(C77, '2022-23 StepbyStep Allocations'!$C$9:$C$159, 0))</f>
        <v>66113835.242540084</v>
      </c>
      <c r="F77" s="241">
        <f>'2022-23 StepbyStep Allocations'!G65</f>
        <v>1539.5</v>
      </c>
      <c r="G77" s="242">
        <f>'2022-23 StepbyStep Allocations'!F65</f>
        <v>4668.143342146408</v>
      </c>
      <c r="H77" s="243">
        <f>INDEX('2022-23 StepbyStep Allocations'!$H$9:$H$159, MATCH(C77, '2022-23 StepbyStep Allocations'!$C$9:$C$159, 0))</f>
        <v>7186606.6752343951</v>
      </c>
      <c r="I77" s="244">
        <f>'2022-23 StepbyStep Allocations'!BG65</f>
        <v>-92</v>
      </c>
      <c r="J77" s="242">
        <f>'2022-23 StepbyStep Allocations'!BH65</f>
        <v>0</v>
      </c>
      <c r="K77" s="604">
        <f>INDEX('2022-23 StepbyStep Allocations'!$BI$9:$BI$159, MATCH(C77,'2022-23 StepbyStep Allocations'!$C$9:$C$159,0))</f>
        <v>-552000</v>
      </c>
      <c r="L77" s="608">
        <f>INDEX('2022-23 StepbyStep Allocations'!$BF$9:$BF$159, MATCH(C77,'2022-23 StepbyStep Allocations'!$C$9:$C$159, 0))</f>
        <v>1266454.9984537191</v>
      </c>
      <c r="M77" s="331">
        <f t="shared" si="0"/>
        <v>74566896.916228205</v>
      </c>
      <c r="N77" s="243">
        <f t="shared" si="4"/>
        <v>74014896.916228205</v>
      </c>
      <c r="T77" s="468"/>
    </row>
    <row r="78" spans="2:20" s="203" customFormat="1" ht="15" x14ac:dyDescent="0.4">
      <c r="B78" s="245" t="s">
        <v>135</v>
      </c>
      <c r="C78" s="246">
        <v>352</v>
      </c>
      <c r="D78" s="247" t="s">
        <v>147</v>
      </c>
      <c r="E78" s="333">
        <f>INDEX('2022-23 StepbyStep Allocations'!$BN$9:$BN$159, MATCH(C78, '2022-23 StepbyStep Allocations'!$C$9:$C$159, 0))</f>
        <v>97808748.643620744</v>
      </c>
      <c r="F78" s="241">
        <f>'2022-23 StepbyStep Allocations'!G66</f>
        <v>1900</v>
      </c>
      <c r="G78" s="242">
        <f>'2022-23 StepbyStep Allocations'!F66</f>
        <v>4699.6710732916163</v>
      </c>
      <c r="H78" s="243">
        <f>INDEX('2022-23 StepbyStep Allocations'!$H$9:$H$159, MATCH(C78, '2022-23 StepbyStep Allocations'!$C$9:$C$159, 0))</f>
        <v>8929375.0392540712</v>
      </c>
      <c r="I78" s="244">
        <f>'2022-23 StepbyStep Allocations'!BG66</f>
        <v>-79.5</v>
      </c>
      <c r="J78" s="242">
        <f>'2022-23 StepbyStep Allocations'!BH66</f>
        <v>252419</v>
      </c>
      <c r="K78" s="604">
        <f>INDEX('2022-23 StepbyStep Allocations'!$BI$9:$BI$159, MATCH(C78,'2022-23 StepbyStep Allocations'!$C$9:$C$159,0))</f>
        <v>-224581</v>
      </c>
      <c r="L78" s="608">
        <f>INDEX('2022-23 StepbyStep Allocations'!$BF$9:$BF$159, MATCH(C78,'2022-23 StepbyStep Allocations'!$C$9:$C$159, 0))</f>
        <v>2815308.5120379669</v>
      </c>
      <c r="M78" s="331">
        <f t="shared" si="0"/>
        <v>109553432.19491278</v>
      </c>
      <c r="N78" s="243">
        <f t="shared" si="4"/>
        <v>109328851.19491278</v>
      </c>
      <c r="T78" s="468"/>
    </row>
    <row r="79" spans="2:20" s="203" customFormat="1" ht="15" x14ac:dyDescent="0.4">
      <c r="B79" s="245" t="s">
        <v>135</v>
      </c>
      <c r="C79" s="246">
        <v>353</v>
      </c>
      <c r="D79" s="247" t="s">
        <v>148</v>
      </c>
      <c r="E79" s="333">
        <f>INDEX('2022-23 StepbyStep Allocations'!$BN$9:$BN$159, MATCH(C79, '2022-23 StepbyStep Allocations'!$C$9:$C$159, 0))</f>
        <v>42313391.932710335</v>
      </c>
      <c r="F79" s="241">
        <f>'2022-23 StepbyStep Allocations'!G67</f>
        <v>1059.5</v>
      </c>
      <c r="G79" s="242">
        <f>'2022-23 StepbyStep Allocations'!F67</f>
        <v>4699.6710732916163</v>
      </c>
      <c r="H79" s="243">
        <f>INDEX('2022-23 StepbyStep Allocations'!$H$9:$H$159, MATCH(C79, '2022-23 StepbyStep Allocations'!$C$9:$C$159, 0))</f>
        <v>4979301.5021524671</v>
      </c>
      <c r="I79" s="244">
        <f>'2022-23 StepbyStep Allocations'!BG67</f>
        <v>125</v>
      </c>
      <c r="J79" s="242">
        <f>'2022-23 StepbyStep Allocations'!BH67</f>
        <v>228000</v>
      </c>
      <c r="K79" s="604">
        <f>INDEX('2022-23 StepbyStep Allocations'!$BI$9:$BI$159, MATCH(C79,'2022-23 StepbyStep Allocations'!$C$9:$C$159,0))</f>
        <v>978000</v>
      </c>
      <c r="L79" s="608">
        <f>INDEX('2022-23 StepbyStep Allocations'!$BF$9:$BF$159, MATCH(C79,'2022-23 StepbyStep Allocations'!$C$9:$C$159, 0))</f>
        <v>633700.26233694702</v>
      </c>
      <c r="M79" s="331">
        <f t="shared" si="0"/>
        <v>47926393.697199747</v>
      </c>
      <c r="N79" s="243">
        <f t="shared" si="4"/>
        <v>48904393.697199747</v>
      </c>
      <c r="T79" s="468"/>
    </row>
    <row r="80" spans="2:20" s="203" customFormat="1" ht="15" x14ac:dyDescent="0.4">
      <c r="B80" s="245" t="s">
        <v>135</v>
      </c>
      <c r="C80" s="246">
        <v>354</v>
      </c>
      <c r="D80" s="247" t="s">
        <v>149</v>
      </c>
      <c r="E80" s="333">
        <f>INDEX('2022-23 StepbyStep Allocations'!$BN$9:$BN$159, MATCH(C80, '2022-23 StepbyStep Allocations'!$C$9:$C$159, 0))</f>
        <v>32541725.533451185</v>
      </c>
      <c r="F80" s="241">
        <f>'2022-23 StepbyStep Allocations'!G68</f>
        <v>700.5</v>
      </c>
      <c r="G80" s="242">
        <f>'2022-23 StepbyStep Allocations'!F68</f>
        <v>4699.6710732916163</v>
      </c>
      <c r="H80" s="243">
        <f>INDEX('2022-23 StepbyStep Allocations'!$H$9:$H$159, MATCH(C80, '2022-23 StepbyStep Allocations'!$C$9:$C$159, 0))</f>
        <v>3292119.5868407772</v>
      </c>
      <c r="I80" s="244">
        <f>'2022-23 StepbyStep Allocations'!BG68</f>
        <v>-94</v>
      </c>
      <c r="J80" s="242">
        <f>'2022-23 StepbyStep Allocations'!BH68</f>
        <v>18000</v>
      </c>
      <c r="K80" s="604">
        <f>INDEX('2022-23 StepbyStep Allocations'!$BI$9:$BI$159, MATCH(C80,'2022-23 StepbyStep Allocations'!$C$9:$C$159,0))</f>
        <v>-546000</v>
      </c>
      <c r="L80" s="608">
        <f>INDEX('2022-23 StepbyStep Allocations'!$BF$9:$BF$159, MATCH(C80,'2022-23 StepbyStep Allocations'!$C$9:$C$159, 0))</f>
        <v>105591.77142857142</v>
      </c>
      <c r="M80" s="331">
        <f t="shared" si="0"/>
        <v>35939436.891720533</v>
      </c>
      <c r="N80" s="243">
        <f t="shared" si="4"/>
        <v>35393436.891720533</v>
      </c>
      <c r="T80" s="468"/>
    </row>
    <row r="81" spans="2:20" s="203" customFormat="1" ht="15" x14ac:dyDescent="0.4">
      <c r="B81" s="245" t="s">
        <v>135</v>
      </c>
      <c r="C81" s="246">
        <v>355</v>
      </c>
      <c r="D81" s="247" t="s">
        <v>150</v>
      </c>
      <c r="E81" s="333">
        <f>INDEX('2022-23 StepbyStep Allocations'!$BN$9:$BN$159, MATCH(C81, '2022-23 StepbyStep Allocations'!$C$9:$C$159, 0))</f>
        <v>42283275.224176496</v>
      </c>
      <c r="F81" s="241">
        <f>'2022-23 StepbyStep Allocations'!G69</f>
        <v>905.5</v>
      </c>
      <c r="G81" s="242">
        <f>'2022-23 StepbyStep Allocations'!F69</f>
        <v>4699.6710732916163</v>
      </c>
      <c r="H81" s="243">
        <f>INDEX('2022-23 StepbyStep Allocations'!$H$9:$H$159, MATCH(C81, '2022-23 StepbyStep Allocations'!$C$9:$C$159, 0))</f>
        <v>4255552.1568655586</v>
      </c>
      <c r="I81" s="244">
        <f>'2022-23 StepbyStep Allocations'!BG69</f>
        <v>-65</v>
      </c>
      <c r="J81" s="242">
        <f>'2022-23 StepbyStep Allocations'!BH69</f>
        <v>6000</v>
      </c>
      <c r="K81" s="604">
        <f>INDEX('2022-23 StepbyStep Allocations'!$BI$9:$BI$159, MATCH(C81,'2022-23 StepbyStep Allocations'!$C$9:$C$159,0))</f>
        <v>-384000</v>
      </c>
      <c r="L81" s="608">
        <f>INDEX('2022-23 StepbyStep Allocations'!$BF$9:$BF$159, MATCH(C81,'2022-23 StepbyStep Allocations'!$C$9:$C$159, 0))</f>
        <v>210268.49733656179</v>
      </c>
      <c r="M81" s="331">
        <f t="shared" si="0"/>
        <v>46749095.878378615</v>
      </c>
      <c r="N81" s="243">
        <f t="shared" si="4"/>
        <v>46365095.878378615</v>
      </c>
      <c r="T81" s="468"/>
    </row>
    <row r="82" spans="2:20" s="203" customFormat="1" ht="15" x14ac:dyDescent="0.4">
      <c r="B82" s="245" t="s">
        <v>135</v>
      </c>
      <c r="C82" s="246">
        <v>343</v>
      </c>
      <c r="D82" s="247" t="s">
        <v>151</v>
      </c>
      <c r="E82" s="333">
        <f>INDEX('2022-23 StepbyStep Allocations'!$BN$9:$BN$159, MATCH(C82, '2022-23 StepbyStep Allocations'!$C$9:$C$159, 0))</f>
        <v>35843224.865313813</v>
      </c>
      <c r="F82" s="241">
        <f>'2022-23 StepbyStep Allocations'!G70</f>
        <v>748</v>
      </c>
      <c r="G82" s="242">
        <f>'2022-23 StepbyStep Allocations'!F70</f>
        <v>4668.143342146408</v>
      </c>
      <c r="H82" s="243">
        <f>INDEX('2022-23 StepbyStep Allocations'!$H$9:$H$159, MATCH(C82, '2022-23 StepbyStep Allocations'!$C$9:$C$159, 0))</f>
        <v>3491771.219925513</v>
      </c>
      <c r="I82" s="244">
        <f>'2022-23 StepbyStep Allocations'!BG70</f>
        <v>-41</v>
      </c>
      <c r="J82" s="242">
        <f>'2022-23 StepbyStep Allocations'!BH70</f>
        <v>0</v>
      </c>
      <c r="K82" s="604">
        <f>INDEX('2022-23 StepbyStep Allocations'!$BI$9:$BI$159, MATCH(C82,'2022-23 StepbyStep Allocations'!$C$9:$C$159,0))</f>
        <v>-246000</v>
      </c>
      <c r="L82" s="608">
        <f>INDEX('2022-23 StepbyStep Allocations'!$BF$9:$BF$159, MATCH(C82,'2022-23 StepbyStep Allocations'!$C$9:$C$159, 0))</f>
        <v>155572.92965133174</v>
      </c>
      <c r="M82" s="331">
        <f t="shared" si="0"/>
        <v>39490569.014890663</v>
      </c>
      <c r="N82" s="243">
        <f t="shared" si="4"/>
        <v>39244569.014890663</v>
      </c>
      <c r="T82" s="468"/>
    </row>
    <row r="83" spans="2:20" s="203" customFormat="1" ht="15" x14ac:dyDescent="0.4">
      <c r="B83" s="245" t="s">
        <v>135</v>
      </c>
      <c r="C83" s="246">
        <v>342</v>
      </c>
      <c r="D83" s="247" t="s">
        <v>522</v>
      </c>
      <c r="E83" s="333">
        <f>INDEX('2022-23 StepbyStep Allocations'!$BN$9:$BN$159, MATCH(C83, '2022-23 StepbyStep Allocations'!$C$9:$C$159, 0))</f>
        <v>26703277.196402706</v>
      </c>
      <c r="F83" s="241">
        <f>'2022-23 StepbyStep Allocations'!G71</f>
        <v>445</v>
      </c>
      <c r="G83" s="242">
        <f>'2022-23 StepbyStep Allocations'!F71</f>
        <v>4668.143342146408</v>
      </c>
      <c r="H83" s="243">
        <f>INDEX('2022-23 StepbyStep Allocations'!$H$9:$H$159, MATCH(C83, '2022-23 StepbyStep Allocations'!$C$9:$C$159, 0))</f>
        <v>2077323.7872551517</v>
      </c>
      <c r="I83" s="244">
        <f>'2022-23 StepbyStep Allocations'!BG71</f>
        <v>29.5</v>
      </c>
      <c r="J83" s="242">
        <f>'2022-23 StepbyStep Allocations'!BH71</f>
        <v>0</v>
      </c>
      <c r="K83" s="604">
        <f>INDEX('2022-23 StepbyStep Allocations'!$BI$9:$BI$159, MATCH(C83,'2022-23 StepbyStep Allocations'!$C$9:$C$159,0))</f>
        <v>177000</v>
      </c>
      <c r="L83" s="608">
        <f>INDEX('2022-23 StepbyStep Allocations'!$BF$9:$BF$159, MATCH(C83,'2022-23 StepbyStep Allocations'!$C$9:$C$159, 0))</f>
        <v>94984.723399515744</v>
      </c>
      <c r="M83" s="331">
        <f t="shared" si="0"/>
        <v>28875585.707057375</v>
      </c>
      <c r="N83" s="243">
        <f t="shared" si="4"/>
        <v>29052585.707057375</v>
      </c>
      <c r="T83" s="468"/>
    </row>
    <row r="84" spans="2:20" s="203" customFormat="1" ht="15" x14ac:dyDescent="0.4">
      <c r="B84" s="245" t="s">
        <v>135</v>
      </c>
      <c r="C84" s="246">
        <v>356</v>
      </c>
      <c r="D84" s="247" t="s">
        <v>152</v>
      </c>
      <c r="E84" s="333">
        <f>INDEX('2022-23 StepbyStep Allocations'!$BN$9:$BN$159, MATCH(C84, '2022-23 StepbyStep Allocations'!$C$9:$C$159, 0))</f>
        <v>37961404.053445362</v>
      </c>
      <c r="F84" s="241">
        <f>'2022-23 StepbyStep Allocations'!G72</f>
        <v>750</v>
      </c>
      <c r="G84" s="242">
        <f>'2022-23 StepbyStep Allocations'!F72</f>
        <v>4699.6710732916163</v>
      </c>
      <c r="H84" s="243">
        <f>INDEX('2022-23 StepbyStep Allocations'!$H$9:$H$159, MATCH(C84, '2022-23 StepbyStep Allocations'!$C$9:$C$159, 0))</f>
        <v>3524753.3049687124</v>
      </c>
      <c r="I84" s="244">
        <f>'2022-23 StepbyStep Allocations'!BG72</f>
        <v>-135</v>
      </c>
      <c r="J84" s="242">
        <f>'2022-23 StepbyStep Allocations'!BH72</f>
        <v>0</v>
      </c>
      <c r="K84" s="604">
        <f>INDEX('2022-23 StepbyStep Allocations'!$BI$9:$BI$159, MATCH(C84,'2022-23 StepbyStep Allocations'!$C$9:$C$159,0))</f>
        <v>-810000</v>
      </c>
      <c r="L84" s="608">
        <f>INDEX('2022-23 StepbyStep Allocations'!$BF$9:$BF$159, MATCH(C84,'2022-23 StepbyStep Allocations'!$C$9:$C$159, 0))</f>
        <v>236257.11261501216</v>
      </c>
      <c r="M84" s="331">
        <f t="shared" si="0"/>
        <v>41722414.471029088</v>
      </c>
      <c r="N84" s="243">
        <f t="shared" si="4"/>
        <v>40912414.471029088</v>
      </c>
      <c r="T84" s="468"/>
    </row>
    <row r="85" spans="2:20" s="203" customFormat="1" ht="15" x14ac:dyDescent="0.4">
      <c r="B85" s="245" t="s">
        <v>135</v>
      </c>
      <c r="C85" s="246">
        <v>357</v>
      </c>
      <c r="D85" s="247" t="s">
        <v>153</v>
      </c>
      <c r="E85" s="333">
        <f>INDEX('2022-23 StepbyStep Allocations'!$BN$9:$BN$159, MATCH(C85, '2022-23 StepbyStep Allocations'!$C$9:$C$159, 0))</f>
        <v>28532578.935382321</v>
      </c>
      <c r="F85" s="241">
        <f>'2022-23 StepbyStep Allocations'!G73</f>
        <v>698.5</v>
      </c>
      <c r="G85" s="242">
        <f>'2022-23 StepbyStep Allocations'!F73</f>
        <v>4699.6710732916163</v>
      </c>
      <c r="H85" s="243">
        <f>INDEX('2022-23 StepbyStep Allocations'!$H$9:$H$159, MATCH(C85, '2022-23 StepbyStep Allocations'!$C$9:$C$159, 0))</f>
        <v>3282720.2446941938</v>
      </c>
      <c r="I85" s="244">
        <f>'2022-23 StepbyStep Allocations'!BG73</f>
        <v>-127.5</v>
      </c>
      <c r="J85" s="242">
        <f>'2022-23 StepbyStep Allocations'!BH73</f>
        <v>30000</v>
      </c>
      <c r="K85" s="604">
        <f>INDEX('2022-23 StepbyStep Allocations'!$BI$9:$BI$159, MATCH(C85,'2022-23 StepbyStep Allocations'!$C$9:$C$159,0))</f>
        <v>-735000</v>
      </c>
      <c r="L85" s="608">
        <f>INDEX('2022-23 StepbyStep Allocations'!$BF$9:$BF$159, MATCH(C85,'2022-23 StepbyStep Allocations'!$C$9:$C$159, 0))</f>
        <v>186990.650188862</v>
      </c>
      <c r="M85" s="331">
        <f t="shared" si="0"/>
        <v>32002289.83026538</v>
      </c>
      <c r="N85" s="243">
        <f t="shared" si="4"/>
        <v>31267289.83026538</v>
      </c>
      <c r="T85" s="468"/>
    </row>
    <row r="86" spans="2:20" s="203" customFormat="1" ht="15" x14ac:dyDescent="0.4">
      <c r="B86" s="245" t="s">
        <v>135</v>
      </c>
      <c r="C86" s="246">
        <v>358</v>
      </c>
      <c r="D86" s="247" t="s">
        <v>154</v>
      </c>
      <c r="E86" s="333">
        <f>INDEX('2022-23 StepbyStep Allocations'!$BN$9:$BN$159, MATCH(C86, '2022-23 StepbyStep Allocations'!$C$9:$C$159, 0))</f>
        <v>31840082.757996622</v>
      </c>
      <c r="F86" s="241">
        <f>'2022-23 StepbyStep Allocations'!G74</f>
        <v>781</v>
      </c>
      <c r="G86" s="242">
        <f>'2022-23 StepbyStep Allocations'!F74</f>
        <v>4699.6710732916163</v>
      </c>
      <c r="H86" s="243">
        <f>INDEX('2022-23 StepbyStep Allocations'!$H$9:$H$159, MATCH(C86, '2022-23 StepbyStep Allocations'!$C$9:$C$159, 0))</f>
        <v>3670443.1082407525</v>
      </c>
      <c r="I86" s="244">
        <f>'2022-23 StepbyStep Allocations'!BG74</f>
        <v>-68</v>
      </c>
      <c r="J86" s="242">
        <f>'2022-23 StepbyStep Allocations'!BH74</f>
        <v>4824</v>
      </c>
      <c r="K86" s="604">
        <f>INDEX('2022-23 StepbyStep Allocations'!$BI$9:$BI$159, MATCH(C86,'2022-23 StepbyStep Allocations'!$C$9:$C$159,0))</f>
        <v>-403176</v>
      </c>
      <c r="L86" s="608">
        <f>INDEX('2022-23 StepbyStep Allocations'!$BF$9:$BF$159, MATCH(C86,'2022-23 StepbyStep Allocations'!$C$9:$C$159, 0))</f>
        <v>66271.946527845081</v>
      </c>
      <c r="M86" s="331">
        <f t="shared" si="0"/>
        <v>35576797.812765218</v>
      </c>
      <c r="N86" s="243">
        <f t="shared" ref="N86:N117" si="7">E86+H86+K86+L86</f>
        <v>35173621.812765218</v>
      </c>
      <c r="T86" s="468"/>
    </row>
    <row r="87" spans="2:20" s="203" customFormat="1" ht="15" x14ac:dyDescent="0.4">
      <c r="B87" s="245" t="s">
        <v>135</v>
      </c>
      <c r="C87" s="246">
        <v>877</v>
      </c>
      <c r="D87" s="247" t="s">
        <v>155</v>
      </c>
      <c r="E87" s="333">
        <f>INDEX('2022-23 StepbyStep Allocations'!$BN$9:$BN$159, MATCH(C87, '2022-23 StepbyStep Allocations'!$C$9:$C$159, 0))</f>
        <v>26223182.7158526</v>
      </c>
      <c r="F87" s="241">
        <f>'2022-23 StepbyStep Allocations'!G75</f>
        <v>466</v>
      </c>
      <c r="G87" s="242">
        <f>'2022-23 StepbyStep Allocations'!F75</f>
        <v>4686.366612276267</v>
      </c>
      <c r="H87" s="243">
        <f>INDEX('2022-23 StepbyStep Allocations'!$H$9:$H$159, MATCH(C87, '2022-23 StepbyStep Allocations'!$C$9:$C$159, 0))</f>
        <v>2183846.8413207405</v>
      </c>
      <c r="I87" s="244">
        <f>'2022-23 StepbyStep Allocations'!BG75</f>
        <v>-82</v>
      </c>
      <c r="J87" s="242">
        <f>'2022-23 StepbyStep Allocations'!BH75</f>
        <v>0</v>
      </c>
      <c r="K87" s="604">
        <f>INDEX('2022-23 StepbyStep Allocations'!$BI$9:$BI$159, MATCH(C87,'2022-23 StepbyStep Allocations'!$C$9:$C$159,0))</f>
        <v>-492000</v>
      </c>
      <c r="L87" s="608">
        <f>INDEX('2022-23 StepbyStep Allocations'!$BF$9:$BF$159, MATCH(C87,'2022-23 StepbyStep Allocations'!$C$9:$C$159, 0))</f>
        <v>438094.39066126884</v>
      </c>
      <c r="M87" s="331">
        <f t="shared" ref="M87:M150" si="8">E87+H87+L87</f>
        <v>28845123.947834611</v>
      </c>
      <c r="N87" s="243">
        <f t="shared" si="7"/>
        <v>28353123.947834611</v>
      </c>
      <c r="T87" s="468"/>
    </row>
    <row r="88" spans="2:20" s="203" customFormat="1" ht="15" x14ac:dyDescent="0.4">
      <c r="B88" s="245" t="s">
        <v>135</v>
      </c>
      <c r="C88" s="246">
        <v>359</v>
      </c>
      <c r="D88" s="247" t="s">
        <v>156</v>
      </c>
      <c r="E88" s="333">
        <f>INDEX('2022-23 StepbyStep Allocations'!$BN$9:$BN$159, MATCH(C88, '2022-23 StepbyStep Allocations'!$C$9:$C$159, 0))</f>
        <v>40030986.047141179</v>
      </c>
      <c r="F88" s="241">
        <f>'2022-23 StepbyStep Allocations'!G76</f>
        <v>940.5</v>
      </c>
      <c r="G88" s="242">
        <f>'2022-23 StepbyStep Allocations'!F76</f>
        <v>4699.6710732916163</v>
      </c>
      <c r="H88" s="243">
        <f>INDEX('2022-23 StepbyStep Allocations'!$H$9:$H$159, MATCH(C88, '2022-23 StepbyStep Allocations'!$C$9:$C$159, 0))</f>
        <v>4420040.644430765</v>
      </c>
      <c r="I88" s="244">
        <f>'2022-23 StepbyStep Allocations'!BG76</f>
        <v>-150.5</v>
      </c>
      <c r="J88" s="242">
        <f>'2022-23 StepbyStep Allocations'!BH76</f>
        <v>0</v>
      </c>
      <c r="K88" s="604">
        <f>INDEX('2022-23 StepbyStep Allocations'!$BI$9:$BI$159, MATCH(C88,'2022-23 StepbyStep Allocations'!$C$9:$C$159,0))</f>
        <v>-903000</v>
      </c>
      <c r="L88" s="608">
        <f>INDEX('2022-23 StepbyStep Allocations'!$BF$9:$BF$159, MATCH(C88,'2022-23 StepbyStep Allocations'!$C$9:$C$159, 0))</f>
        <v>175433.63808426159</v>
      </c>
      <c r="M88" s="331">
        <f t="shared" si="8"/>
        <v>44626460.329656206</v>
      </c>
      <c r="N88" s="243">
        <f t="shared" si="7"/>
        <v>43723460.329656206</v>
      </c>
      <c r="T88" s="468"/>
    </row>
    <row r="89" spans="2:20" s="203" customFormat="1" ht="15" x14ac:dyDescent="0.4">
      <c r="B89" s="245" t="s">
        <v>135</v>
      </c>
      <c r="C89" s="246">
        <v>344</v>
      </c>
      <c r="D89" s="247" t="s">
        <v>157</v>
      </c>
      <c r="E89" s="333">
        <f>INDEX('2022-23 StepbyStep Allocations'!$BN$9:$BN$159, MATCH(C89, '2022-23 StepbyStep Allocations'!$C$9:$C$159, 0))</f>
        <v>45286803.673323773</v>
      </c>
      <c r="F89" s="241">
        <f>'2022-23 StepbyStep Allocations'!G77</f>
        <v>1198</v>
      </c>
      <c r="G89" s="242">
        <f>'2022-23 StepbyStep Allocations'!F77</f>
        <v>4668.143342146408</v>
      </c>
      <c r="H89" s="243">
        <f>INDEX('2022-23 StepbyStep Allocations'!$H$9:$H$159, MATCH(C89, '2022-23 StepbyStep Allocations'!$C$9:$C$159, 0))</f>
        <v>5592435.723891397</v>
      </c>
      <c r="I89" s="244">
        <f>'2022-23 StepbyStep Allocations'!BG77</f>
        <v>-96</v>
      </c>
      <c r="J89" s="242">
        <f>'2022-23 StepbyStep Allocations'!BH77</f>
        <v>0</v>
      </c>
      <c r="K89" s="604">
        <f>INDEX('2022-23 StepbyStep Allocations'!$BI$9:$BI$159, MATCH(C89,'2022-23 StepbyStep Allocations'!$C$9:$C$159,0))</f>
        <v>-576000</v>
      </c>
      <c r="L89" s="608">
        <f>INDEX('2022-23 StepbyStep Allocations'!$BF$9:$BF$159, MATCH(C89,'2022-23 StepbyStep Allocations'!$C$9:$C$159, 0))</f>
        <v>1822824.2374814919</v>
      </c>
      <c r="M89" s="331">
        <f t="shared" si="8"/>
        <v>52702063.634696662</v>
      </c>
      <c r="N89" s="243">
        <f t="shared" si="7"/>
        <v>52126063.634696662</v>
      </c>
      <c r="T89" s="468"/>
    </row>
    <row r="90" spans="2:20" s="203" customFormat="1" ht="15" x14ac:dyDescent="0.4">
      <c r="B90" s="245" t="s">
        <v>158</v>
      </c>
      <c r="C90" s="246">
        <v>301</v>
      </c>
      <c r="D90" s="247" t="s">
        <v>159</v>
      </c>
      <c r="E90" s="333">
        <f>INDEX('2022-23 StepbyStep Allocations'!$BN$9:$BN$159, MATCH(C90, '2022-23 StepbyStep Allocations'!$C$9:$C$159, 0))</f>
        <v>42629560.601358324</v>
      </c>
      <c r="F90" s="241">
        <f>'2022-23 StepbyStep Allocations'!G78</f>
        <v>526</v>
      </c>
      <c r="G90" s="242">
        <f>'2022-23 StepbyStep Allocations'!F78</f>
        <v>5252.0951199029341</v>
      </c>
      <c r="H90" s="243">
        <f>INDEX('2022-23 StepbyStep Allocations'!$H$9:$H$159, MATCH(C90, '2022-23 StepbyStep Allocations'!$C$9:$C$159, 0))</f>
        <v>2762602.0330689433</v>
      </c>
      <c r="I90" s="244">
        <f>'2022-23 StepbyStep Allocations'!BG78</f>
        <v>44.5</v>
      </c>
      <c r="J90" s="242">
        <f>'2022-23 StepbyStep Allocations'!BH78</f>
        <v>1054061</v>
      </c>
      <c r="K90" s="604">
        <f>INDEX('2022-23 StepbyStep Allocations'!$BI$9:$BI$159, MATCH(C90,'2022-23 StepbyStep Allocations'!$C$9:$C$159,0))</f>
        <v>1321061</v>
      </c>
      <c r="L90" s="608">
        <f>INDEX('2022-23 StepbyStep Allocations'!$BF$9:$BF$159, MATCH(C90,'2022-23 StepbyStep Allocations'!$C$9:$C$159, 0))</f>
        <v>148382.28</v>
      </c>
      <c r="M90" s="331">
        <f t="shared" si="8"/>
        <v>45540544.914427266</v>
      </c>
      <c r="N90" s="243">
        <f t="shared" si="7"/>
        <v>46861605.914427266</v>
      </c>
      <c r="T90" s="468"/>
    </row>
    <row r="91" spans="2:20" s="203" customFormat="1" ht="15" x14ac:dyDescent="0.4">
      <c r="B91" s="245" t="s">
        <v>158</v>
      </c>
      <c r="C91" s="246">
        <v>302</v>
      </c>
      <c r="D91" s="247" t="s">
        <v>160</v>
      </c>
      <c r="E91" s="333">
        <f>INDEX('2022-23 StepbyStep Allocations'!$BN$9:$BN$159, MATCH(C91, '2022-23 StepbyStep Allocations'!$C$9:$C$159, 0))</f>
        <v>59478856.606542982</v>
      </c>
      <c r="F91" s="241">
        <f>'2022-23 StepbyStep Allocations'!G79</f>
        <v>819.5</v>
      </c>
      <c r="G91" s="242">
        <f>'2022-23 StepbyStep Allocations'!F79</f>
        <v>5194.5860077949546</v>
      </c>
      <c r="H91" s="243">
        <f>INDEX('2022-23 StepbyStep Allocations'!$H$9:$H$159, MATCH(C91, '2022-23 StepbyStep Allocations'!$C$9:$C$159, 0))</f>
        <v>4256963.2333879657</v>
      </c>
      <c r="I91" s="244">
        <f>'2022-23 StepbyStep Allocations'!BG79</f>
        <v>75</v>
      </c>
      <c r="J91" s="242">
        <f>'2022-23 StepbyStep Allocations'!BH79</f>
        <v>234000</v>
      </c>
      <c r="K91" s="604">
        <f>INDEX('2022-23 StepbyStep Allocations'!$BI$9:$BI$159, MATCH(C91,'2022-23 StepbyStep Allocations'!$C$9:$C$159,0))</f>
        <v>684000</v>
      </c>
      <c r="L91" s="608">
        <f>INDEX('2022-23 StepbyStep Allocations'!$BF$9:$BF$159, MATCH(C91,'2022-23 StepbyStep Allocations'!$C$9:$C$159, 0))</f>
        <v>883860.67671253718</v>
      </c>
      <c r="M91" s="331">
        <f t="shared" si="8"/>
        <v>64619680.516643487</v>
      </c>
      <c r="N91" s="243">
        <f t="shared" si="7"/>
        <v>65303680.516643487</v>
      </c>
      <c r="T91" s="468"/>
    </row>
    <row r="92" spans="2:20" s="203" customFormat="1" ht="15" x14ac:dyDescent="0.4">
      <c r="B92" s="245" t="s">
        <v>158</v>
      </c>
      <c r="C92" s="246">
        <v>303</v>
      </c>
      <c r="D92" s="247" t="s">
        <v>161</v>
      </c>
      <c r="E92" s="333">
        <f>INDEX('2022-23 StepbyStep Allocations'!$BN$9:$BN$159, MATCH(C92, '2022-23 StepbyStep Allocations'!$C$9:$C$159, 0))</f>
        <v>40209168.500896707</v>
      </c>
      <c r="F92" s="241">
        <f>'2022-23 StepbyStep Allocations'!G80</f>
        <v>696</v>
      </c>
      <c r="G92" s="242">
        <f>'2022-23 StepbyStep Allocations'!F80</f>
        <v>5076.0119481283255</v>
      </c>
      <c r="H92" s="243">
        <f>INDEX('2022-23 StepbyStep Allocations'!$H$9:$H$159, MATCH(C92, '2022-23 StepbyStep Allocations'!$C$9:$C$159, 0))</f>
        <v>3532904.3158973143</v>
      </c>
      <c r="I92" s="244">
        <f>'2022-23 StepbyStep Allocations'!BG80</f>
        <v>-251</v>
      </c>
      <c r="J92" s="242">
        <f>'2022-23 StepbyStep Allocations'!BH80</f>
        <v>500785</v>
      </c>
      <c r="K92" s="604">
        <f>INDEX('2022-23 StepbyStep Allocations'!$BI$9:$BI$159, MATCH(C92,'2022-23 StepbyStep Allocations'!$C$9:$C$159,0))</f>
        <v>-1005215</v>
      </c>
      <c r="L92" s="608">
        <f>INDEX('2022-23 StepbyStep Allocations'!$BF$9:$BF$159, MATCH(C92,'2022-23 StepbyStep Allocations'!$C$9:$C$159, 0))</f>
        <v>474098.18008523004</v>
      </c>
      <c r="M92" s="331">
        <f t="shared" si="8"/>
        <v>44216170.99687925</v>
      </c>
      <c r="N92" s="243">
        <f t="shared" si="7"/>
        <v>43210955.99687925</v>
      </c>
      <c r="T92" s="468"/>
    </row>
    <row r="93" spans="2:20" s="203" customFormat="1" ht="15" x14ac:dyDescent="0.4">
      <c r="B93" s="245" t="s">
        <v>158</v>
      </c>
      <c r="C93" s="246">
        <v>304</v>
      </c>
      <c r="D93" s="247" t="s">
        <v>162</v>
      </c>
      <c r="E93" s="333">
        <f>INDEX('2022-23 StepbyStep Allocations'!$BN$9:$BN$159, MATCH(C93, '2022-23 StepbyStep Allocations'!$C$9:$C$159, 0))</f>
        <v>69682376.370385781</v>
      </c>
      <c r="F93" s="241">
        <f>'2022-23 StepbyStep Allocations'!G81</f>
        <v>902.5</v>
      </c>
      <c r="G93" s="242">
        <f>'2022-23 StepbyStep Allocations'!F81</f>
        <v>5370.6691795695169</v>
      </c>
      <c r="H93" s="243">
        <f>INDEX('2022-23 StepbyStep Allocations'!$H$9:$H$159, MATCH(C93, '2022-23 StepbyStep Allocations'!$C$9:$C$159, 0))</f>
        <v>4847028.9345614891</v>
      </c>
      <c r="I93" s="244">
        <f>'2022-23 StepbyStep Allocations'!BG81</f>
        <v>-437</v>
      </c>
      <c r="J93" s="242">
        <f>'2022-23 StepbyStep Allocations'!BH81</f>
        <v>144000</v>
      </c>
      <c r="K93" s="604">
        <f>INDEX('2022-23 StepbyStep Allocations'!$BI$9:$BI$159, MATCH(C93,'2022-23 StepbyStep Allocations'!$C$9:$C$159,0))</f>
        <v>-2478000</v>
      </c>
      <c r="L93" s="608">
        <f>INDEX('2022-23 StepbyStep Allocations'!$BF$9:$BF$159, MATCH(C93,'2022-23 StepbyStep Allocations'!$C$9:$C$159, 0))</f>
        <v>251683.0997917676</v>
      </c>
      <c r="M93" s="331">
        <f t="shared" si="8"/>
        <v>74781088.404739037</v>
      </c>
      <c r="N93" s="243">
        <f t="shared" si="7"/>
        <v>72303088.404739037</v>
      </c>
      <c r="T93" s="468"/>
    </row>
    <row r="94" spans="2:20" s="203" customFormat="1" ht="15" x14ac:dyDescent="0.4">
      <c r="B94" s="245" t="s">
        <v>158</v>
      </c>
      <c r="C94" s="246">
        <v>305</v>
      </c>
      <c r="D94" s="247" t="s">
        <v>163</v>
      </c>
      <c r="E94" s="333">
        <f>INDEX('2022-23 StepbyStep Allocations'!$BN$9:$BN$159, MATCH(C94, '2022-23 StepbyStep Allocations'!$C$9:$C$159, 0))</f>
        <v>57213596.623758376</v>
      </c>
      <c r="F94" s="241">
        <f>'2022-23 StepbyStep Allocations'!G82</f>
        <v>994.5</v>
      </c>
      <c r="G94" s="242">
        <f>'2022-23 StepbyStep Allocations'!F82</f>
        <v>5076.0119481283255</v>
      </c>
      <c r="H94" s="243">
        <f>INDEX('2022-23 StepbyStep Allocations'!$H$9:$H$159, MATCH(C94, '2022-23 StepbyStep Allocations'!$C$9:$C$159, 0))</f>
        <v>5048093.8824136201</v>
      </c>
      <c r="I94" s="244">
        <f>'2022-23 StepbyStep Allocations'!BG82</f>
        <v>192.5</v>
      </c>
      <c r="J94" s="242">
        <f>'2022-23 StepbyStep Allocations'!BH82</f>
        <v>0</v>
      </c>
      <c r="K94" s="604">
        <f>INDEX('2022-23 StepbyStep Allocations'!$BI$9:$BI$159, MATCH(C94,'2022-23 StepbyStep Allocations'!$C$9:$C$159,0))</f>
        <v>1155000</v>
      </c>
      <c r="L94" s="608">
        <f>INDEX('2022-23 StepbyStep Allocations'!$BF$9:$BF$159, MATCH(C94,'2022-23 StepbyStep Allocations'!$C$9:$C$159, 0))</f>
        <v>1005243.8879467313</v>
      </c>
      <c r="M94" s="331">
        <f t="shared" si="8"/>
        <v>63266934.394118726</v>
      </c>
      <c r="N94" s="243">
        <f t="shared" si="7"/>
        <v>64421934.394118726</v>
      </c>
      <c r="T94" s="468"/>
    </row>
    <row r="95" spans="2:20" s="203" customFormat="1" ht="15" x14ac:dyDescent="0.4">
      <c r="B95" s="245" t="s">
        <v>158</v>
      </c>
      <c r="C95" s="246">
        <v>306</v>
      </c>
      <c r="D95" s="247" t="s">
        <v>164</v>
      </c>
      <c r="E95" s="333">
        <f>INDEX('2022-23 StepbyStep Allocations'!$BN$9:$BN$159, MATCH(C95, '2022-23 StepbyStep Allocations'!$C$9:$C$159, 0))</f>
        <v>73484935.3114447</v>
      </c>
      <c r="F95" s="241">
        <f>'2022-23 StepbyStep Allocations'!G83</f>
        <v>1288.1666660000001</v>
      </c>
      <c r="G95" s="242">
        <f>'2022-23 StepbyStep Allocations'!F83</f>
        <v>5076.0119481283255</v>
      </c>
      <c r="H95" s="243">
        <f>INDEX('2022-23 StepbyStep Allocations'!$H$9:$H$159, MATCH(C95, '2022-23 StepbyStep Allocations'!$C$9:$C$159, 0))</f>
        <v>6538749.3877966302</v>
      </c>
      <c r="I95" s="244">
        <f>'2022-23 StepbyStep Allocations'!BG83</f>
        <v>-398.5</v>
      </c>
      <c r="J95" s="242">
        <f>'2022-23 StepbyStep Allocations'!BH83</f>
        <v>467496</v>
      </c>
      <c r="K95" s="604">
        <f>INDEX('2022-23 StepbyStep Allocations'!$BI$9:$BI$159, MATCH(C95,'2022-23 StepbyStep Allocations'!$C$9:$C$159,0))</f>
        <v>-1923504</v>
      </c>
      <c r="L95" s="608">
        <f>INDEX('2022-23 StepbyStep Allocations'!$BF$9:$BF$159, MATCH(C95,'2022-23 StepbyStep Allocations'!$C$9:$C$159, 0))</f>
        <v>731702.17961786897</v>
      </c>
      <c r="M95" s="331">
        <f t="shared" si="8"/>
        <v>80755386.878859192</v>
      </c>
      <c r="N95" s="243">
        <f t="shared" si="7"/>
        <v>78831882.878859192</v>
      </c>
      <c r="T95" s="468"/>
    </row>
    <row r="96" spans="2:20" s="203" customFormat="1" ht="15" x14ac:dyDescent="0.4">
      <c r="B96" s="245" t="s">
        <v>158</v>
      </c>
      <c r="C96" s="246">
        <v>307</v>
      </c>
      <c r="D96" s="247" t="s">
        <v>165</v>
      </c>
      <c r="E96" s="333">
        <f>INDEX('2022-23 StepbyStep Allocations'!$BN$9:$BN$159, MATCH(C96, '2022-23 StepbyStep Allocations'!$C$9:$C$159, 0))</f>
        <v>64601283.044135705</v>
      </c>
      <c r="F96" s="241">
        <f>'2022-23 StepbyStep Allocations'!G84</f>
        <v>1032</v>
      </c>
      <c r="G96" s="242">
        <f>'2022-23 StepbyStep Allocations'!F84</f>
        <v>5370.6691795695169</v>
      </c>
      <c r="H96" s="243">
        <f>INDEX('2022-23 StepbyStep Allocations'!$H$9:$H$159, MATCH(C96, '2022-23 StepbyStep Allocations'!$C$9:$C$159, 0))</f>
        <v>5542530.593315741</v>
      </c>
      <c r="I96" s="244">
        <f>'2022-23 StepbyStep Allocations'!BG84</f>
        <v>-331</v>
      </c>
      <c r="J96" s="242">
        <f>'2022-23 StepbyStep Allocations'!BH84</f>
        <v>18000</v>
      </c>
      <c r="K96" s="604">
        <f>INDEX('2022-23 StepbyStep Allocations'!$BI$9:$BI$159, MATCH(C96,'2022-23 StepbyStep Allocations'!$C$9:$C$159,0))</f>
        <v>-1968000</v>
      </c>
      <c r="L96" s="608">
        <f>INDEX('2022-23 StepbyStep Allocations'!$BF$9:$BF$159, MATCH(C96,'2022-23 StepbyStep Allocations'!$C$9:$C$159, 0))</f>
        <v>204084.86374818411</v>
      </c>
      <c r="M96" s="331">
        <f t="shared" si="8"/>
        <v>70347898.501199618</v>
      </c>
      <c r="N96" s="243">
        <f t="shared" si="7"/>
        <v>68379898.501199618</v>
      </c>
      <c r="T96" s="468"/>
    </row>
    <row r="97" spans="2:20" s="203" customFormat="1" ht="15" x14ac:dyDescent="0.4">
      <c r="B97" s="245" t="s">
        <v>158</v>
      </c>
      <c r="C97" s="246">
        <v>308</v>
      </c>
      <c r="D97" s="247" t="s">
        <v>166</v>
      </c>
      <c r="E97" s="333">
        <f>INDEX('2022-23 StepbyStep Allocations'!$BN$9:$BN$159, MATCH(C97, '2022-23 StepbyStep Allocations'!$C$9:$C$159, 0))</f>
        <v>60553113.269129574</v>
      </c>
      <c r="F97" s="241">
        <f>'2022-23 StepbyStep Allocations'!G85</f>
        <v>1084.5</v>
      </c>
      <c r="G97" s="242">
        <f>'2022-23 StepbyStep Allocations'!F85</f>
        <v>5076.0119481283255</v>
      </c>
      <c r="H97" s="243">
        <f>INDEX('2022-23 StepbyStep Allocations'!$H$9:$H$159, MATCH(C97, '2022-23 StepbyStep Allocations'!$C$9:$C$159, 0))</f>
        <v>5504934.9577451693</v>
      </c>
      <c r="I97" s="244">
        <f>'2022-23 StepbyStep Allocations'!BG85</f>
        <v>-239.5</v>
      </c>
      <c r="J97" s="242">
        <f>'2022-23 StepbyStep Allocations'!BH85</f>
        <v>18000</v>
      </c>
      <c r="K97" s="604">
        <f>INDEX('2022-23 StepbyStep Allocations'!$BI$9:$BI$159, MATCH(C97,'2022-23 StepbyStep Allocations'!$C$9:$C$159,0))</f>
        <v>-1419000</v>
      </c>
      <c r="L97" s="608">
        <f>INDEX('2022-23 StepbyStep Allocations'!$BF$9:$BF$159, MATCH(C97,'2022-23 StepbyStep Allocations'!$C$9:$C$159, 0))</f>
        <v>600438.61508439737</v>
      </c>
      <c r="M97" s="331">
        <f t="shared" si="8"/>
        <v>66658486.841959141</v>
      </c>
      <c r="N97" s="243">
        <f t="shared" si="7"/>
        <v>65239486.841959141</v>
      </c>
      <c r="T97" s="468"/>
    </row>
    <row r="98" spans="2:20" s="203" customFormat="1" ht="15" x14ac:dyDescent="0.4">
      <c r="B98" s="245" t="s">
        <v>158</v>
      </c>
      <c r="C98" s="246">
        <v>203</v>
      </c>
      <c r="D98" s="247" t="s">
        <v>167</v>
      </c>
      <c r="E98" s="333">
        <f>INDEX('2022-23 StepbyStep Allocations'!$BN$9:$BN$159, MATCH(C98, '2022-23 StepbyStep Allocations'!$C$9:$C$159, 0))</f>
        <v>57248805.329099849</v>
      </c>
      <c r="F98" s="241">
        <f>'2022-23 StepbyStep Allocations'!G86</f>
        <v>602.5</v>
      </c>
      <c r="G98" s="242">
        <f>'2022-23 StepbyStep Allocations'!F86</f>
        <v>5644.9507750852836</v>
      </c>
      <c r="H98" s="243">
        <f>INDEX('2022-23 StepbyStep Allocations'!$H$9:$H$159, MATCH(C98, '2022-23 StepbyStep Allocations'!$C$9:$C$159, 0))</f>
        <v>3401082.8419888834</v>
      </c>
      <c r="I98" s="244">
        <f>'2022-23 StepbyStep Allocations'!BG86</f>
        <v>25</v>
      </c>
      <c r="J98" s="242">
        <f>'2022-23 StepbyStep Allocations'!BH86</f>
        <v>0</v>
      </c>
      <c r="K98" s="604">
        <f>INDEX('2022-23 StepbyStep Allocations'!$BI$9:$BI$159, MATCH(C98,'2022-23 StepbyStep Allocations'!$C$9:$C$159,0))</f>
        <v>150000</v>
      </c>
      <c r="L98" s="608">
        <f>INDEX('2022-23 StepbyStep Allocations'!$BF$9:$BF$159, MATCH(C98,'2022-23 StepbyStep Allocations'!$C$9:$C$159, 0))</f>
        <v>775364.24640088971</v>
      </c>
      <c r="M98" s="331">
        <f t="shared" si="8"/>
        <v>61425252.417489626</v>
      </c>
      <c r="N98" s="243">
        <f t="shared" si="7"/>
        <v>61575252.417489626</v>
      </c>
      <c r="T98" s="468"/>
    </row>
    <row r="99" spans="2:20" s="203" customFormat="1" ht="15" x14ac:dyDescent="0.4">
      <c r="B99" s="245" t="s">
        <v>158</v>
      </c>
      <c r="C99" s="246">
        <v>310</v>
      </c>
      <c r="D99" s="247" t="s">
        <v>168</v>
      </c>
      <c r="E99" s="333">
        <f>INDEX('2022-23 StepbyStep Allocations'!$BN$9:$BN$159, MATCH(C99, '2022-23 StepbyStep Allocations'!$C$9:$C$159, 0))</f>
        <v>39629057.881461725</v>
      </c>
      <c r="F99" s="241">
        <f>'2022-23 StepbyStep Allocations'!G87</f>
        <v>594</v>
      </c>
      <c r="G99" s="242">
        <f>'2022-23 StepbyStep Allocations'!F87</f>
        <v>5194.5860077949546</v>
      </c>
      <c r="H99" s="243">
        <f>INDEX('2022-23 StepbyStep Allocations'!$H$9:$H$159, MATCH(C99, '2022-23 StepbyStep Allocations'!$C$9:$C$159, 0))</f>
        <v>3085584.0886302032</v>
      </c>
      <c r="I99" s="244">
        <f>'2022-23 StepbyStep Allocations'!BG87</f>
        <v>-262</v>
      </c>
      <c r="J99" s="242">
        <f>'2022-23 StepbyStep Allocations'!BH87</f>
        <v>12000</v>
      </c>
      <c r="K99" s="604">
        <f>INDEX('2022-23 StepbyStep Allocations'!$BI$9:$BI$159, MATCH(C99,'2022-23 StepbyStep Allocations'!$C$9:$C$159,0))</f>
        <v>-1560000</v>
      </c>
      <c r="L99" s="608">
        <f>INDEX('2022-23 StepbyStep Allocations'!$BF$9:$BF$159, MATCH(C99,'2022-23 StepbyStep Allocations'!$C$9:$C$159, 0))</f>
        <v>343304.21096790629</v>
      </c>
      <c r="M99" s="331">
        <f t="shared" si="8"/>
        <v>43057946.18105983</v>
      </c>
      <c r="N99" s="243">
        <f t="shared" si="7"/>
        <v>41497946.18105983</v>
      </c>
      <c r="T99" s="468"/>
    </row>
    <row r="100" spans="2:20" s="203" customFormat="1" ht="15" x14ac:dyDescent="0.4">
      <c r="B100" s="245" t="s">
        <v>158</v>
      </c>
      <c r="C100" s="246">
        <v>311</v>
      </c>
      <c r="D100" s="247" t="s">
        <v>169</v>
      </c>
      <c r="E100" s="333">
        <f>INDEX('2022-23 StepbyStep Allocations'!$BN$9:$BN$159, MATCH(C100, '2022-23 StepbyStep Allocations'!$C$9:$C$159, 0))</f>
        <v>34215334.397348948</v>
      </c>
      <c r="F100" s="241">
        <f>'2022-23 StepbyStep Allocations'!G88</f>
        <v>415.5</v>
      </c>
      <c r="G100" s="242">
        <f>'2022-23 StepbyStep Allocations'!F88</f>
        <v>5076.0119481283255</v>
      </c>
      <c r="H100" s="243">
        <f>INDEX('2022-23 StepbyStep Allocations'!$H$9:$H$159, MATCH(C100, '2022-23 StepbyStep Allocations'!$C$9:$C$159, 0))</f>
        <v>2109082.964447319</v>
      </c>
      <c r="I100" s="244">
        <f>'2022-23 StepbyStep Allocations'!BG88</f>
        <v>-229</v>
      </c>
      <c r="J100" s="242">
        <f>'2022-23 StepbyStep Allocations'!BH88</f>
        <v>24000</v>
      </c>
      <c r="K100" s="604">
        <f>INDEX('2022-23 StepbyStep Allocations'!$BI$9:$BI$159, MATCH(C100,'2022-23 StepbyStep Allocations'!$C$9:$C$159,0))</f>
        <v>-1350000</v>
      </c>
      <c r="L100" s="608">
        <f>INDEX('2022-23 StepbyStep Allocations'!$BF$9:$BF$159, MATCH(C100,'2022-23 StepbyStep Allocations'!$C$9:$C$159, 0))</f>
        <v>135746.38629942859</v>
      </c>
      <c r="M100" s="331">
        <f t="shared" si="8"/>
        <v>36460163.748095699</v>
      </c>
      <c r="N100" s="243">
        <f t="shared" si="7"/>
        <v>35110163.748095699</v>
      </c>
      <c r="T100" s="468"/>
    </row>
    <row r="101" spans="2:20" s="203" customFormat="1" ht="15" x14ac:dyDescent="0.4">
      <c r="B101" s="245" t="s">
        <v>158</v>
      </c>
      <c r="C101" s="246">
        <v>312</v>
      </c>
      <c r="D101" s="247" t="s">
        <v>170</v>
      </c>
      <c r="E101" s="333">
        <f>INDEX('2022-23 StepbyStep Allocations'!$BN$9:$BN$159, MATCH(C101, '2022-23 StepbyStep Allocations'!$C$9:$C$159, 0))</f>
        <v>47548490.649167389</v>
      </c>
      <c r="F101" s="241">
        <f>'2022-23 StepbyStep Allocations'!G89</f>
        <v>968.5</v>
      </c>
      <c r="G101" s="242">
        <f>'2022-23 StepbyStep Allocations'!F89</f>
        <v>5194.5860077949546</v>
      </c>
      <c r="H101" s="243">
        <f>INDEX('2022-23 StepbyStep Allocations'!$H$9:$H$159, MATCH(C101, '2022-23 StepbyStep Allocations'!$C$9:$C$159, 0))</f>
        <v>5030956.5485494137</v>
      </c>
      <c r="I101" s="244">
        <f>'2022-23 StepbyStep Allocations'!BG89</f>
        <v>193</v>
      </c>
      <c r="J101" s="242">
        <f>'2022-23 StepbyStep Allocations'!BH89</f>
        <v>12000</v>
      </c>
      <c r="K101" s="604">
        <f>INDEX('2022-23 StepbyStep Allocations'!$BI$9:$BI$159, MATCH(C101,'2022-23 StepbyStep Allocations'!$C$9:$C$159,0))</f>
        <v>1170000</v>
      </c>
      <c r="L101" s="608">
        <f>INDEX('2022-23 StepbyStep Allocations'!$BF$9:$BF$159, MATCH(C101,'2022-23 StepbyStep Allocations'!$C$9:$C$159, 0))</f>
        <v>189324.33513317199</v>
      </c>
      <c r="M101" s="331">
        <f t="shared" si="8"/>
        <v>52768771.532849975</v>
      </c>
      <c r="N101" s="243">
        <f t="shared" si="7"/>
        <v>53938771.532849975</v>
      </c>
      <c r="T101" s="468"/>
    </row>
    <row r="102" spans="2:20" s="203" customFormat="1" ht="15" x14ac:dyDescent="0.4">
      <c r="B102" s="245" t="s">
        <v>158</v>
      </c>
      <c r="C102" s="246">
        <v>313</v>
      </c>
      <c r="D102" s="247" t="s">
        <v>171</v>
      </c>
      <c r="E102" s="333">
        <f>INDEX('2022-23 StepbyStep Allocations'!$BN$9:$BN$159, MATCH(C102, '2022-23 StepbyStep Allocations'!$C$9:$C$159, 0))</f>
        <v>57836805.3011005</v>
      </c>
      <c r="F102" s="241">
        <f>'2022-23 StepbyStep Allocations'!G90</f>
        <v>985</v>
      </c>
      <c r="G102" s="242">
        <f>'2022-23 StepbyStep Allocations'!F90</f>
        <v>5194.5860077949546</v>
      </c>
      <c r="H102" s="243">
        <f>INDEX('2022-23 StepbyStep Allocations'!$H$9:$H$159, MATCH(C102, '2022-23 StepbyStep Allocations'!$C$9:$C$159, 0))</f>
        <v>5116667.21767803</v>
      </c>
      <c r="I102" s="244">
        <f>'2022-23 StepbyStep Allocations'!BG90</f>
        <v>-185</v>
      </c>
      <c r="J102" s="242">
        <f>'2022-23 StepbyStep Allocations'!BH90</f>
        <v>30000</v>
      </c>
      <c r="K102" s="604">
        <f>INDEX('2022-23 StepbyStep Allocations'!$BI$9:$BI$159, MATCH(C102,'2022-23 StepbyStep Allocations'!$C$9:$C$159,0))</f>
        <v>-1080000</v>
      </c>
      <c r="L102" s="608">
        <f>INDEX('2022-23 StepbyStep Allocations'!$BF$9:$BF$159, MATCH(C102,'2022-23 StepbyStep Allocations'!$C$9:$C$159, 0))</f>
        <v>1655411.6437750908</v>
      </c>
      <c r="M102" s="331">
        <f t="shared" si="8"/>
        <v>64608884.162553623</v>
      </c>
      <c r="N102" s="243">
        <f t="shared" si="7"/>
        <v>63528884.162553623</v>
      </c>
      <c r="T102" s="468"/>
    </row>
    <row r="103" spans="2:20" s="203" customFormat="1" ht="15" x14ac:dyDescent="0.4">
      <c r="B103" s="245" t="s">
        <v>158</v>
      </c>
      <c r="C103" s="246">
        <v>314</v>
      </c>
      <c r="D103" s="247" t="s">
        <v>172</v>
      </c>
      <c r="E103" s="333">
        <f>INDEX('2022-23 StepbyStep Allocations'!$BN$9:$BN$159, MATCH(C103, '2022-23 StepbyStep Allocations'!$C$9:$C$159, 0))</f>
        <v>25129318.443230078</v>
      </c>
      <c r="F103" s="241">
        <f>'2022-23 StepbyStep Allocations'!G91</f>
        <v>552</v>
      </c>
      <c r="G103" s="242">
        <f>'2022-23 StepbyStep Allocations'!F91</f>
        <v>5194.5860077949546</v>
      </c>
      <c r="H103" s="243">
        <f>INDEX('2022-23 StepbyStep Allocations'!$H$9:$H$159, MATCH(C103, '2022-23 StepbyStep Allocations'!$C$9:$C$159, 0))</f>
        <v>2867411.4763028151</v>
      </c>
      <c r="I103" s="244">
        <f>'2022-23 StepbyStep Allocations'!BG91</f>
        <v>-66</v>
      </c>
      <c r="J103" s="242">
        <f>'2022-23 StepbyStep Allocations'!BH91</f>
        <v>12000</v>
      </c>
      <c r="K103" s="604">
        <f>INDEX('2022-23 StepbyStep Allocations'!$BI$9:$BI$159, MATCH(C103,'2022-23 StepbyStep Allocations'!$C$9:$C$159,0))</f>
        <v>-384000</v>
      </c>
      <c r="L103" s="608">
        <f>INDEX('2022-23 StepbyStep Allocations'!$BF$9:$BF$159, MATCH(C103,'2022-23 StepbyStep Allocations'!$C$9:$C$159, 0))</f>
        <v>103872.07965133173</v>
      </c>
      <c r="M103" s="331">
        <f t="shared" si="8"/>
        <v>28100601.999184225</v>
      </c>
      <c r="N103" s="243">
        <f t="shared" si="7"/>
        <v>27716601.999184225</v>
      </c>
      <c r="T103" s="468"/>
    </row>
    <row r="104" spans="2:20" s="203" customFormat="1" ht="15" x14ac:dyDescent="0.4">
      <c r="B104" s="245" t="s">
        <v>158</v>
      </c>
      <c r="C104" s="246">
        <v>315</v>
      </c>
      <c r="D104" s="247" t="s">
        <v>173</v>
      </c>
      <c r="E104" s="333">
        <f>INDEX('2022-23 StepbyStep Allocations'!$BN$9:$BN$159, MATCH(C104, '2022-23 StepbyStep Allocations'!$C$9:$C$159, 0))</f>
        <v>41029410.337503672</v>
      </c>
      <c r="F104" s="241">
        <f>'2022-23 StepbyStep Allocations'!G92</f>
        <v>679</v>
      </c>
      <c r="G104" s="242">
        <f>'2022-23 StepbyStep Allocations'!F92</f>
        <v>5370.6691795695169</v>
      </c>
      <c r="H104" s="243">
        <f>INDEX('2022-23 StepbyStep Allocations'!$H$9:$H$159, MATCH(C104, '2022-23 StepbyStep Allocations'!$C$9:$C$159, 0))</f>
        <v>3646684.372927702</v>
      </c>
      <c r="I104" s="244">
        <f>'2022-23 StepbyStep Allocations'!BG92</f>
        <v>-360</v>
      </c>
      <c r="J104" s="242">
        <f>'2022-23 StepbyStep Allocations'!BH92</f>
        <v>12000</v>
      </c>
      <c r="K104" s="604">
        <f>INDEX('2022-23 StepbyStep Allocations'!$BI$9:$BI$159, MATCH(C104,'2022-23 StepbyStep Allocations'!$C$9:$C$159,0))</f>
        <v>-2148000</v>
      </c>
      <c r="L104" s="608">
        <f>INDEX('2022-23 StepbyStep Allocations'!$BF$9:$BF$159, MATCH(C104,'2022-23 StepbyStep Allocations'!$C$9:$C$159, 0))</f>
        <v>159309.9633849879</v>
      </c>
      <c r="M104" s="331">
        <f t="shared" si="8"/>
        <v>44835404.673816361</v>
      </c>
      <c r="N104" s="243">
        <f t="shared" si="7"/>
        <v>42687404.673816361</v>
      </c>
      <c r="T104" s="468"/>
    </row>
    <row r="105" spans="2:20" s="203" customFormat="1" ht="15" x14ac:dyDescent="0.4">
      <c r="B105" s="245" t="s">
        <v>158</v>
      </c>
      <c r="C105" s="246">
        <v>317</v>
      </c>
      <c r="D105" s="247" t="s">
        <v>174</v>
      </c>
      <c r="E105" s="333">
        <f>INDEX('2022-23 StepbyStep Allocations'!$BN$9:$BN$159, MATCH(C105, '2022-23 StepbyStep Allocations'!$C$9:$C$159, 0))</f>
        <v>53115893.209551662</v>
      </c>
      <c r="F105" s="241">
        <f>'2022-23 StepbyStep Allocations'!G93</f>
        <v>634</v>
      </c>
      <c r="G105" s="242">
        <f>'2022-23 StepbyStep Allocations'!F93</f>
        <v>5076.0119481283255</v>
      </c>
      <c r="H105" s="243">
        <f>INDEX('2022-23 StepbyStep Allocations'!$H$9:$H$159, MATCH(C105, '2022-23 StepbyStep Allocations'!$C$9:$C$159, 0))</f>
        <v>3218191.5751133584</v>
      </c>
      <c r="I105" s="244">
        <f>'2022-23 StepbyStep Allocations'!BG93</f>
        <v>-310</v>
      </c>
      <c r="J105" s="242">
        <f>'2022-23 StepbyStep Allocations'!BH93</f>
        <v>12000</v>
      </c>
      <c r="K105" s="604">
        <f>INDEX('2022-23 StepbyStep Allocations'!$BI$9:$BI$159, MATCH(C105,'2022-23 StepbyStep Allocations'!$C$9:$C$159,0))</f>
        <v>-1848000</v>
      </c>
      <c r="L105" s="608">
        <f>INDEX('2022-23 StepbyStep Allocations'!$BF$9:$BF$159, MATCH(C105,'2022-23 StepbyStep Allocations'!$C$9:$C$159, 0))</f>
        <v>282322.29106743168</v>
      </c>
      <c r="M105" s="331">
        <f t="shared" si="8"/>
        <v>56616407.075732447</v>
      </c>
      <c r="N105" s="243">
        <f t="shared" si="7"/>
        <v>54768407.075732447</v>
      </c>
      <c r="T105" s="468"/>
    </row>
    <row r="106" spans="2:20" s="203" customFormat="1" ht="15" x14ac:dyDescent="0.4">
      <c r="B106" s="245" t="s">
        <v>158</v>
      </c>
      <c r="C106" s="246">
        <v>318</v>
      </c>
      <c r="D106" s="247" t="s">
        <v>175</v>
      </c>
      <c r="E106" s="333">
        <f>INDEX('2022-23 StepbyStep Allocations'!$BN$9:$BN$159, MATCH(C106, '2022-23 StepbyStep Allocations'!$C$9:$C$159, 0))</f>
        <v>30220630.49463072</v>
      </c>
      <c r="F106" s="241">
        <f>'2022-23 StepbyStep Allocations'!G94</f>
        <v>429</v>
      </c>
      <c r="G106" s="242">
        <f>'2022-23 StepbyStep Allocations'!F94</f>
        <v>5194.5860077949546</v>
      </c>
      <c r="H106" s="243">
        <f>INDEX('2022-23 StepbyStep Allocations'!$H$9:$H$159, MATCH(C106, '2022-23 StepbyStep Allocations'!$C$9:$C$159, 0))</f>
        <v>2228477.3973440356</v>
      </c>
      <c r="I106" s="244">
        <f>'2022-23 StepbyStep Allocations'!BG94</f>
        <v>41</v>
      </c>
      <c r="J106" s="242">
        <f>'2022-23 StepbyStep Allocations'!BH94</f>
        <v>166988</v>
      </c>
      <c r="K106" s="604">
        <f>INDEX('2022-23 StepbyStep Allocations'!$BI$9:$BI$159, MATCH(C106,'2022-23 StepbyStep Allocations'!$C$9:$C$159,0))</f>
        <v>412988</v>
      </c>
      <c r="L106" s="608">
        <f>INDEX('2022-23 StepbyStep Allocations'!$BF$9:$BF$159, MATCH(C106,'2022-23 StepbyStep Allocations'!$C$9:$C$159, 0))</f>
        <v>43421.31712832932</v>
      </c>
      <c r="M106" s="331">
        <f t="shared" si="8"/>
        <v>32492529.209103085</v>
      </c>
      <c r="N106" s="243">
        <f t="shared" si="7"/>
        <v>32905517.209103085</v>
      </c>
      <c r="T106" s="468"/>
    </row>
    <row r="107" spans="2:20" s="203" customFormat="1" ht="15" x14ac:dyDescent="0.4">
      <c r="B107" s="245" t="s">
        <v>158</v>
      </c>
      <c r="C107" s="246">
        <v>319</v>
      </c>
      <c r="D107" s="247" t="s">
        <v>176</v>
      </c>
      <c r="E107" s="333">
        <f>INDEX('2022-23 StepbyStep Allocations'!$BN$9:$BN$159, MATCH(C107, '2022-23 StepbyStep Allocations'!$C$9:$C$159, 0))</f>
        <v>46632714.148760371</v>
      </c>
      <c r="F107" s="241">
        <f>'2022-23 StepbyStep Allocations'!G95</f>
        <v>674.5</v>
      </c>
      <c r="G107" s="242">
        <f>'2022-23 StepbyStep Allocations'!F95</f>
        <v>5194.5860077949546</v>
      </c>
      <c r="H107" s="243">
        <f>INDEX('2022-23 StepbyStep Allocations'!$H$9:$H$159, MATCH(C107, '2022-23 StepbyStep Allocations'!$C$9:$C$159, 0))</f>
        <v>3503748.2622576971</v>
      </c>
      <c r="I107" s="244">
        <f>'2022-23 StepbyStep Allocations'!BG95</f>
        <v>-21</v>
      </c>
      <c r="J107" s="242">
        <f>'2022-23 StepbyStep Allocations'!BH95</f>
        <v>0</v>
      </c>
      <c r="K107" s="604">
        <f>INDEX('2022-23 StepbyStep Allocations'!$BI$9:$BI$159, MATCH(C107,'2022-23 StepbyStep Allocations'!$C$9:$C$159,0))</f>
        <v>-126000</v>
      </c>
      <c r="L107" s="608">
        <f>INDEX('2022-23 StepbyStep Allocations'!$BF$9:$BF$159, MATCH(C107,'2022-23 StepbyStep Allocations'!$C$9:$C$159, 0))</f>
        <v>547059.71905046026</v>
      </c>
      <c r="M107" s="331">
        <f t="shared" si="8"/>
        <v>50683522.130068526</v>
      </c>
      <c r="N107" s="243">
        <f t="shared" si="7"/>
        <v>50557522.130068526</v>
      </c>
      <c r="T107" s="468"/>
    </row>
    <row r="108" spans="2:20" s="203" customFormat="1" ht="15" x14ac:dyDescent="0.4">
      <c r="B108" s="245" t="s">
        <v>158</v>
      </c>
      <c r="C108" s="246">
        <v>320</v>
      </c>
      <c r="D108" s="247" t="s">
        <v>177</v>
      </c>
      <c r="E108" s="333">
        <f>INDEX('2022-23 StepbyStep Allocations'!$BN$9:$BN$159, MATCH(C108, '2022-23 StepbyStep Allocations'!$C$9:$C$159, 0))</f>
        <v>44594197.539080679</v>
      </c>
      <c r="F108" s="241">
        <f>'2022-23 StepbyStep Allocations'!G96</f>
        <v>789</v>
      </c>
      <c r="G108" s="242">
        <f>'2022-23 StepbyStep Allocations'!F96</f>
        <v>5076.0119481283255</v>
      </c>
      <c r="H108" s="243">
        <f>INDEX('2022-23 StepbyStep Allocations'!$H$9:$H$159, MATCH(C108, '2022-23 StepbyStep Allocations'!$C$9:$C$159, 0))</f>
        <v>4004973.4270732487</v>
      </c>
      <c r="I108" s="244">
        <f>'2022-23 StepbyStep Allocations'!BG96</f>
        <v>120.5</v>
      </c>
      <c r="J108" s="242">
        <f>'2022-23 StepbyStep Allocations'!BH96</f>
        <v>0</v>
      </c>
      <c r="K108" s="604">
        <f>INDEX('2022-23 StepbyStep Allocations'!$BI$9:$BI$159, MATCH(C108,'2022-23 StepbyStep Allocations'!$C$9:$C$159,0))</f>
        <v>723000</v>
      </c>
      <c r="L108" s="608">
        <f>INDEX('2022-23 StepbyStep Allocations'!$BF$9:$BF$159, MATCH(C108,'2022-23 StepbyStep Allocations'!$C$9:$C$159, 0))</f>
        <v>739509.12160639232</v>
      </c>
      <c r="M108" s="331">
        <f t="shared" si="8"/>
        <v>49338680.087760322</v>
      </c>
      <c r="N108" s="243">
        <f t="shared" si="7"/>
        <v>50061680.087760322</v>
      </c>
      <c r="T108" s="468"/>
    </row>
    <row r="109" spans="2:20" s="203" customFormat="1" ht="15" x14ac:dyDescent="0.4">
      <c r="B109" s="245" t="s">
        <v>178</v>
      </c>
      <c r="C109" s="246">
        <v>867</v>
      </c>
      <c r="D109" s="247" t="s">
        <v>179</v>
      </c>
      <c r="E109" s="333">
        <f>INDEX('2022-23 StepbyStep Allocations'!$BN$9:$BN$159, MATCH(C109, '2022-23 StepbyStep Allocations'!$C$9:$C$159, 0))</f>
        <v>20522637.447365809</v>
      </c>
      <c r="F109" s="241">
        <f>'2022-23 StepbyStep Allocations'!G97</f>
        <v>259</v>
      </c>
      <c r="G109" s="242">
        <f>'2022-23 StepbyStep Allocations'!F97</f>
        <v>5018.3593112232102</v>
      </c>
      <c r="H109" s="243">
        <f>INDEX('2022-23 StepbyStep Allocations'!$H$9:$H$159, MATCH(C109, '2022-23 StepbyStep Allocations'!$C$9:$C$159, 0))</f>
        <v>1299755.0616068114</v>
      </c>
      <c r="I109" s="244">
        <f>'2022-23 StepbyStep Allocations'!BG97</f>
        <v>-168</v>
      </c>
      <c r="J109" s="242">
        <f>'2022-23 StepbyStep Allocations'!BH97</f>
        <v>36000</v>
      </c>
      <c r="K109" s="604">
        <f>INDEX('2022-23 StepbyStep Allocations'!$BI$9:$BI$159, MATCH(C109,'2022-23 StepbyStep Allocations'!$C$9:$C$159,0))</f>
        <v>-972000</v>
      </c>
      <c r="L109" s="608">
        <f>INDEX('2022-23 StepbyStep Allocations'!$BF$9:$BF$159, MATCH(C109,'2022-23 StepbyStep Allocations'!$C$9:$C$159, 0))</f>
        <v>66044.114186924955</v>
      </c>
      <c r="M109" s="331">
        <f t="shared" si="8"/>
        <v>21888436.623159546</v>
      </c>
      <c r="N109" s="243">
        <f t="shared" si="7"/>
        <v>20916436.623159546</v>
      </c>
      <c r="T109" s="468"/>
    </row>
    <row r="110" spans="2:20" s="203" customFormat="1" ht="15" x14ac:dyDescent="0.4">
      <c r="B110" s="245" t="s">
        <v>178</v>
      </c>
      <c r="C110" s="246">
        <v>846</v>
      </c>
      <c r="D110" s="247" t="s">
        <v>180</v>
      </c>
      <c r="E110" s="333">
        <f>INDEX('2022-23 StepbyStep Allocations'!$BN$9:$BN$159, MATCH(C110, '2022-23 StepbyStep Allocations'!$C$9:$C$159, 0))</f>
        <v>31202293.415892135</v>
      </c>
      <c r="F110" s="241">
        <f>'2022-23 StepbyStep Allocations'!G98</f>
        <v>492</v>
      </c>
      <c r="G110" s="242">
        <f>'2022-23 StepbyStep Allocations'!F98</f>
        <v>4672.295911477745</v>
      </c>
      <c r="H110" s="243">
        <f>INDEX('2022-23 StepbyStep Allocations'!$H$9:$H$159, MATCH(C110, '2022-23 StepbyStep Allocations'!$C$9:$C$159, 0))</f>
        <v>2298769.5884470507</v>
      </c>
      <c r="I110" s="244">
        <f>'2022-23 StepbyStep Allocations'!BG98</f>
        <v>-73</v>
      </c>
      <c r="J110" s="242">
        <f>'2022-23 StepbyStep Allocations'!BH98</f>
        <v>0</v>
      </c>
      <c r="K110" s="604">
        <f>INDEX('2022-23 StepbyStep Allocations'!$BI$9:$BI$159, MATCH(C110,'2022-23 StepbyStep Allocations'!$C$9:$C$159,0))</f>
        <v>-438000</v>
      </c>
      <c r="L110" s="608">
        <f>INDEX('2022-23 StepbyStep Allocations'!$BF$9:$BF$159, MATCH(C110,'2022-23 StepbyStep Allocations'!$C$9:$C$159, 0))</f>
        <v>83897.367854721626</v>
      </c>
      <c r="M110" s="331">
        <f t="shared" si="8"/>
        <v>33584960.372193903</v>
      </c>
      <c r="N110" s="243">
        <f t="shared" si="7"/>
        <v>33146960.372193906</v>
      </c>
      <c r="T110" s="468"/>
    </row>
    <row r="111" spans="2:20" s="203" customFormat="1" ht="15" x14ac:dyDescent="0.4">
      <c r="B111" s="245" t="s">
        <v>178</v>
      </c>
      <c r="C111" s="246">
        <v>825</v>
      </c>
      <c r="D111" s="247" t="s">
        <v>181</v>
      </c>
      <c r="E111" s="333">
        <f>INDEX('2022-23 StepbyStep Allocations'!$BN$9:$BN$159, MATCH(C111, '2022-23 StepbyStep Allocations'!$C$9:$C$159, 0))</f>
        <v>100276772.94838892</v>
      </c>
      <c r="F111" s="241">
        <f>'2022-23 StepbyStep Allocations'!G99</f>
        <v>1675.5</v>
      </c>
      <c r="G111" s="242">
        <f>'2022-23 StepbyStep Allocations'!F99</f>
        <v>4891.12481450633</v>
      </c>
      <c r="H111" s="243">
        <f>INDEX('2022-23 StepbyStep Allocations'!$H$9:$H$159, MATCH(C111, '2022-23 StepbyStep Allocations'!$C$9:$C$159, 0))</f>
        <v>8195079.6267053559</v>
      </c>
      <c r="I111" s="244">
        <f>'2022-23 StepbyStep Allocations'!BG99</f>
        <v>-313</v>
      </c>
      <c r="J111" s="242">
        <f>'2022-23 StepbyStep Allocations'!BH99</f>
        <v>96000</v>
      </c>
      <c r="K111" s="604">
        <f>INDEX('2022-23 StepbyStep Allocations'!$BI$9:$BI$159, MATCH(C111,'2022-23 StepbyStep Allocations'!$C$9:$C$159,0))</f>
        <v>-1782000</v>
      </c>
      <c r="L111" s="608">
        <f>INDEX('2022-23 StepbyStep Allocations'!$BF$9:$BF$159, MATCH(C111,'2022-23 StepbyStep Allocations'!$C$9:$C$159, 0))</f>
        <v>568427.53239457717</v>
      </c>
      <c r="M111" s="331">
        <f t="shared" si="8"/>
        <v>109040280.10748886</v>
      </c>
      <c r="N111" s="243">
        <f t="shared" si="7"/>
        <v>107258280.10748886</v>
      </c>
      <c r="T111" s="468"/>
    </row>
    <row r="112" spans="2:20" s="203" customFormat="1" ht="15" x14ac:dyDescent="0.4">
      <c r="B112" s="245" t="s">
        <v>178</v>
      </c>
      <c r="C112" s="246">
        <v>845</v>
      </c>
      <c r="D112" s="247" t="s">
        <v>182</v>
      </c>
      <c r="E112" s="333">
        <f>INDEX('2022-23 StepbyStep Allocations'!$BN$9:$BN$159, MATCH(C112, '2022-23 StepbyStep Allocations'!$C$9:$C$159, 0))</f>
        <v>66061811.058697149</v>
      </c>
      <c r="F112" s="241">
        <f>'2022-23 StepbyStep Allocations'!G100</f>
        <v>1216</v>
      </c>
      <c r="G112" s="242">
        <f>'2022-23 StepbyStep Allocations'!F100</f>
        <v>4672.295911477745</v>
      </c>
      <c r="H112" s="243">
        <f>INDEX('2022-23 StepbyStep Allocations'!$H$9:$H$159, MATCH(C112, '2022-23 StepbyStep Allocations'!$C$9:$C$159, 0))</f>
        <v>5681511.8283569375</v>
      </c>
      <c r="I112" s="244">
        <f>'2022-23 StepbyStep Allocations'!BG100</f>
        <v>-231</v>
      </c>
      <c r="J112" s="242">
        <f>'2022-23 StepbyStep Allocations'!BH100</f>
        <v>531041</v>
      </c>
      <c r="K112" s="604">
        <f>INDEX('2022-23 StepbyStep Allocations'!$BI$9:$BI$159, MATCH(C112,'2022-23 StepbyStep Allocations'!$C$9:$C$159,0))</f>
        <v>-854959</v>
      </c>
      <c r="L112" s="608">
        <f>INDEX('2022-23 StepbyStep Allocations'!$BF$9:$BF$159, MATCH(C112,'2022-23 StepbyStep Allocations'!$C$9:$C$159, 0))</f>
        <v>226576.38357385003</v>
      </c>
      <c r="M112" s="331">
        <f t="shared" si="8"/>
        <v>71969899.270627931</v>
      </c>
      <c r="N112" s="243">
        <f t="shared" si="7"/>
        <v>71114940.270627931</v>
      </c>
      <c r="T112" s="468"/>
    </row>
    <row r="113" spans="2:20" s="203" customFormat="1" ht="15" x14ac:dyDescent="0.4">
      <c r="B113" s="245" t="s">
        <v>178</v>
      </c>
      <c r="C113" s="246">
        <v>850</v>
      </c>
      <c r="D113" s="247" t="s">
        <v>183</v>
      </c>
      <c r="E113" s="333">
        <f>INDEX('2022-23 StepbyStep Allocations'!$BN$9:$BN$159, MATCH(C113, '2022-23 StepbyStep Allocations'!$C$9:$C$159, 0))</f>
        <v>149173137.62343711</v>
      </c>
      <c r="F113" s="241">
        <f>'2022-23 StepbyStep Allocations'!G101</f>
        <v>3356</v>
      </c>
      <c r="G113" s="242">
        <f>'2022-23 StepbyStep Allocations'!F101</f>
        <v>4763.082706806902</v>
      </c>
      <c r="H113" s="243">
        <f>INDEX('2022-23 StepbyStep Allocations'!$H$9:$H$159, MATCH(C113, '2022-23 StepbyStep Allocations'!$C$9:$C$159, 0))</f>
        <v>15984905.564043963</v>
      </c>
      <c r="I113" s="244">
        <f>'2022-23 StepbyStep Allocations'!BG101</f>
        <v>-283</v>
      </c>
      <c r="J113" s="242">
        <f>'2022-23 StepbyStep Allocations'!BH101</f>
        <v>0</v>
      </c>
      <c r="K113" s="604">
        <f>INDEX('2022-23 StepbyStep Allocations'!$BI$9:$BI$159, MATCH(C113,'2022-23 StepbyStep Allocations'!$C$9:$C$159,0))</f>
        <v>-1698000</v>
      </c>
      <c r="L113" s="608">
        <f>INDEX('2022-23 StepbyStep Allocations'!$BF$9:$BF$159, MATCH(C113,'2022-23 StepbyStep Allocations'!$C$9:$C$159, 0))</f>
        <v>5089876.3985005729</v>
      </c>
      <c r="M113" s="331">
        <f t="shared" si="8"/>
        <v>170247919.58598164</v>
      </c>
      <c r="N113" s="243">
        <f t="shared" si="7"/>
        <v>168549919.58598164</v>
      </c>
      <c r="T113" s="468"/>
    </row>
    <row r="114" spans="2:20" s="203" customFormat="1" ht="15" x14ac:dyDescent="0.4">
      <c r="B114" s="245" t="s">
        <v>178</v>
      </c>
      <c r="C114" s="246">
        <v>921</v>
      </c>
      <c r="D114" s="247" t="s">
        <v>184</v>
      </c>
      <c r="E114" s="333">
        <f>INDEX('2022-23 StepbyStep Allocations'!$BN$9:$BN$159, MATCH(C114, '2022-23 StepbyStep Allocations'!$C$9:$C$159, 0))</f>
        <v>18056150.538423479</v>
      </c>
      <c r="F114" s="241">
        <f>'2022-23 StepbyStep Allocations'!G102</f>
        <v>293</v>
      </c>
      <c r="G114" s="242">
        <f>'2022-23 StepbyStep Allocations'!F102</f>
        <v>4763.082706806902</v>
      </c>
      <c r="H114" s="243">
        <f>INDEX('2022-23 StepbyStep Allocations'!$H$9:$H$159, MATCH(C114, '2022-23 StepbyStep Allocations'!$C$9:$C$159, 0))</f>
        <v>1395583.2330944224</v>
      </c>
      <c r="I114" s="244">
        <f>'2022-23 StepbyStep Allocations'!BG102</f>
        <v>-60</v>
      </c>
      <c r="J114" s="242">
        <f>'2022-23 StepbyStep Allocations'!BH102</f>
        <v>0</v>
      </c>
      <c r="K114" s="604">
        <f>INDEX('2022-23 StepbyStep Allocations'!$BI$9:$BI$159, MATCH(C114,'2022-23 StepbyStep Allocations'!$C$9:$C$159,0))</f>
        <v>-360000</v>
      </c>
      <c r="L114" s="608">
        <f>INDEX('2022-23 StepbyStep Allocations'!$BF$9:$BF$159, MATCH(C114,'2022-23 StepbyStep Allocations'!$C$9:$C$159, 0))</f>
        <v>64267.531293005217</v>
      </c>
      <c r="M114" s="331">
        <f t="shared" si="8"/>
        <v>19516001.302810907</v>
      </c>
      <c r="N114" s="243">
        <f t="shared" si="7"/>
        <v>19156001.302810907</v>
      </c>
      <c r="T114" s="468"/>
    </row>
    <row r="115" spans="2:20" s="203" customFormat="1" ht="15" x14ac:dyDescent="0.4">
      <c r="B115" s="245" t="s">
        <v>178</v>
      </c>
      <c r="C115" s="246">
        <v>886</v>
      </c>
      <c r="D115" s="247" t="s">
        <v>185</v>
      </c>
      <c r="E115" s="333">
        <f>INDEX('2022-23 StepbyStep Allocations'!$BN$9:$BN$159, MATCH(C115, '2022-23 StepbyStep Allocations'!$C$9:$C$159, 0))</f>
        <v>238929895.87465346</v>
      </c>
      <c r="F115" s="241">
        <f>'2022-23 StepbyStep Allocations'!G103</f>
        <v>6050.5</v>
      </c>
      <c r="G115" s="242">
        <f>'2022-23 StepbyStep Allocations'!F103</f>
        <v>4698.4810078148275</v>
      </c>
      <c r="H115" s="243">
        <f>INDEX('2022-23 StepbyStep Allocations'!$H$9:$H$159, MATCH(C115, '2022-23 StepbyStep Allocations'!$C$9:$C$159, 0))</f>
        <v>28428159.337783612</v>
      </c>
      <c r="I115" s="244">
        <f>'2022-23 StepbyStep Allocations'!BG103</f>
        <v>-601</v>
      </c>
      <c r="J115" s="242">
        <f>'2022-23 StepbyStep Allocations'!BH103</f>
        <v>1194501</v>
      </c>
      <c r="K115" s="604">
        <f>INDEX('2022-23 StepbyStep Allocations'!$BI$9:$BI$159, MATCH(C115,'2022-23 StepbyStep Allocations'!$C$9:$C$159,0))</f>
        <v>-2411499</v>
      </c>
      <c r="L115" s="608">
        <f>INDEX('2022-23 StepbyStep Allocations'!$BF$9:$BF$159, MATCH(C115,'2022-23 StepbyStep Allocations'!$C$9:$C$159, 0))</f>
        <v>4344538.2085736236</v>
      </c>
      <c r="M115" s="331">
        <f t="shared" si="8"/>
        <v>271702593.42101067</v>
      </c>
      <c r="N115" s="243">
        <f t="shared" si="7"/>
        <v>269291094.42101067</v>
      </c>
      <c r="T115" s="468"/>
    </row>
    <row r="116" spans="2:20" s="203" customFormat="1" ht="15" x14ac:dyDescent="0.4">
      <c r="B116" s="245" t="s">
        <v>178</v>
      </c>
      <c r="C116" s="246">
        <v>887</v>
      </c>
      <c r="D116" s="247" t="s">
        <v>186</v>
      </c>
      <c r="E116" s="333">
        <f>INDEX('2022-23 StepbyStep Allocations'!$BN$9:$BN$159, MATCH(C116, '2022-23 StepbyStep Allocations'!$C$9:$C$159, 0))</f>
        <v>44021666.456116058</v>
      </c>
      <c r="F116" s="241">
        <f>'2022-23 StepbyStep Allocations'!G104</f>
        <v>1103.5</v>
      </c>
      <c r="G116" s="242">
        <f>'2022-23 StepbyStep Allocations'!F104</f>
        <v>4665.1312886492378</v>
      </c>
      <c r="H116" s="243">
        <f>INDEX('2022-23 StepbyStep Allocations'!$H$9:$H$159, MATCH(C116, '2022-23 StepbyStep Allocations'!$C$9:$C$159, 0))</f>
        <v>5147972.3770244336</v>
      </c>
      <c r="I116" s="244">
        <f>'2022-23 StepbyStep Allocations'!BG104</f>
        <v>-103</v>
      </c>
      <c r="J116" s="242">
        <f>'2022-23 StepbyStep Allocations'!BH104</f>
        <v>315809</v>
      </c>
      <c r="K116" s="604">
        <f>INDEX('2022-23 StepbyStep Allocations'!$BI$9:$BI$159, MATCH(C116,'2022-23 StepbyStep Allocations'!$C$9:$C$159,0))</f>
        <v>-302191</v>
      </c>
      <c r="L116" s="608">
        <f>INDEX('2022-23 StepbyStep Allocations'!$BF$9:$BF$159, MATCH(C116,'2022-23 StepbyStep Allocations'!$C$9:$C$159, 0))</f>
        <v>178617.99524939485</v>
      </c>
      <c r="M116" s="331">
        <f t="shared" si="8"/>
        <v>49348256.82838989</v>
      </c>
      <c r="N116" s="243">
        <f t="shared" si="7"/>
        <v>49046065.82838989</v>
      </c>
      <c r="T116" s="468"/>
    </row>
    <row r="117" spans="2:20" s="203" customFormat="1" ht="15" x14ac:dyDescent="0.4">
      <c r="B117" s="245" t="s">
        <v>178</v>
      </c>
      <c r="C117" s="246">
        <v>826</v>
      </c>
      <c r="D117" s="247" t="s">
        <v>187</v>
      </c>
      <c r="E117" s="333">
        <f>INDEX('2022-23 StepbyStep Allocations'!$BN$9:$BN$159, MATCH(C117, '2022-23 StepbyStep Allocations'!$C$9:$C$159, 0))</f>
        <v>47876149.788406193</v>
      </c>
      <c r="F117" s="241">
        <f>'2022-23 StepbyStep Allocations'!G105</f>
        <v>902</v>
      </c>
      <c r="G117" s="242">
        <f>'2022-23 StepbyStep Allocations'!F105</f>
        <v>4868.4301998915444</v>
      </c>
      <c r="H117" s="243">
        <f>INDEX('2022-23 StepbyStep Allocations'!$H$9:$H$159, MATCH(C117, '2022-23 StepbyStep Allocations'!$C$9:$C$159, 0))</f>
        <v>4391324.0403021732</v>
      </c>
      <c r="I117" s="244">
        <f>'2022-23 StepbyStep Allocations'!BG105</f>
        <v>12</v>
      </c>
      <c r="J117" s="242">
        <f>'2022-23 StepbyStep Allocations'!BH105</f>
        <v>0</v>
      </c>
      <c r="K117" s="604">
        <f>INDEX('2022-23 StepbyStep Allocations'!$BI$9:$BI$159, MATCH(C117,'2022-23 StepbyStep Allocations'!$C$9:$C$159,0))</f>
        <v>72000</v>
      </c>
      <c r="L117" s="608">
        <f>INDEX('2022-23 StepbyStep Allocations'!$BF$9:$BF$159, MATCH(C117,'2022-23 StepbyStep Allocations'!$C$9:$C$159, 0))</f>
        <v>211772.63083292995</v>
      </c>
      <c r="M117" s="331">
        <f t="shared" si="8"/>
        <v>52479246.459541298</v>
      </c>
      <c r="N117" s="243">
        <f t="shared" si="7"/>
        <v>52551246.459541298</v>
      </c>
      <c r="T117" s="468"/>
    </row>
    <row r="118" spans="2:20" s="203" customFormat="1" ht="15" x14ac:dyDescent="0.4">
      <c r="B118" s="245" t="s">
        <v>178</v>
      </c>
      <c r="C118" s="246">
        <v>931</v>
      </c>
      <c r="D118" s="247" t="s">
        <v>188</v>
      </c>
      <c r="E118" s="333">
        <f>INDEX('2022-23 StepbyStep Allocations'!$BN$9:$BN$159, MATCH(C118, '2022-23 StepbyStep Allocations'!$C$9:$C$159, 0))</f>
        <v>76798540.23873955</v>
      </c>
      <c r="F118" s="241">
        <f>'2022-23 StepbyStep Allocations'!G106</f>
        <v>1526.833333</v>
      </c>
      <c r="G118" s="242">
        <f>'2022-23 StepbyStep Allocations'!F106</f>
        <v>4821.2937390974985</v>
      </c>
      <c r="H118" s="243">
        <f>INDEX('2022-23 StepbyStep Allocations'!$H$9:$H$159, MATCH(C118, '2022-23 StepbyStep Allocations'!$C$9:$C$159, 0))</f>
        <v>7361311.9890382662</v>
      </c>
      <c r="I118" s="244">
        <f>'2022-23 StepbyStep Allocations'!BG106</f>
        <v>345</v>
      </c>
      <c r="J118" s="242">
        <f>'2022-23 StepbyStep Allocations'!BH106</f>
        <v>6000</v>
      </c>
      <c r="K118" s="604">
        <f>INDEX('2022-23 StepbyStep Allocations'!$BI$9:$BI$159, MATCH(C118,'2022-23 StepbyStep Allocations'!$C$9:$C$159,0))</f>
        <v>2076000</v>
      </c>
      <c r="L118" s="608">
        <f>INDEX('2022-23 StepbyStep Allocations'!$BF$9:$BF$159, MATCH(C118,'2022-23 StepbyStep Allocations'!$C$9:$C$159, 0))</f>
        <v>2250939.3982031969</v>
      </c>
      <c r="M118" s="331">
        <f t="shared" si="8"/>
        <v>86410791.625981003</v>
      </c>
      <c r="N118" s="243">
        <f t="shared" ref="N118:N149" si="9">E118+H118+K118+L118</f>
        <v>88486791.625981003</v>
      </c>
      <c r="T118" s="468"/>
    </row>
    <row r="119" spans="2:20" s="203" customFormat="1" ht="15" x14ac:dyDescent="0.4">
      <c r="B119" s="245" t="s">
        <v>178</v>
      </c>
      <c r="C119" s="246">
        <v>851</v>
      </c>
      <c r="D119" s="247" t="s">
        <v>189</v>
      </c>
      <c r="E119" s="333">
        <f>INDEX('2022-23 StepbyStep Allocations'!$BN$9:$BN$159, MATCH(C119, '2022-23 StepbyStep Allocations'!$C$9:$C$159, 0))</f>
        <v>26777786.157130089</v>
      </c>
      <c r="F119" s="241">
        <f>'2022-23 StepbyStep Allocations'!G107</f>
        <v>627</v>
      </c>
      <c r="G119" s="242">
        <f>'2022-23 StepbyStep Allocations'!F107</f>
        <v>4763.082706806902</v>
      </c>
      <c r="H119" s="243">
        <f>INDEX('2022-23 StepbyStep Allocations'!$H$9:$H$159, MATCH(C119, '2022-23 StepbyStep Allocations'!$C$9:$C$159, 0))</f>
        <v>2986452.8571679275</v>
      </c>
      <c r="I119" s="244">
        <f>'2022-23 StepbyStep Allocations'!BG107</f>
        <v>30.5</v>
      </c>
      <c r="J119" s="242">
        <f>'2022-23 StepbyStep Allocations'!BH107</f>
        <v>0</v>
      </c>
      <c r="K119" s="604">
        <f>INDEX('2022-23 StepbyStep Allocations'!$BI$9:$BI$159, MATCH(C119,'2022-23 StepbyStep Allocations'!$C$9:$C$159,0))</f>
        <v>183000</v>
      </c>
      <c r="L119" s="608">
        <f>INDEX('2022-23 StepbyStep Allocations'!$BF$9:$BF$159, MATCH(C119,'2022-23 StepbyStep Allocations'!$C$9:$C$159, 0))</f>
        <v>891919.17414431018</v>
      </c>
      <c r="M119" s="331">
        <f t="shared" si="8"/>
        <v>30656158.188442323</v>
      </c>
      <c r="N119" s="243">
        <f t="shared" si="9"/>
        <v>30839158.188442323</v>
      </c>
      <c r="T119" s="468"/>
    </row>
    <row r="120" spans="2:20" s="203" customFormat="1" ht="15" x14ac:dyDescent="0.4">
      <c r="B120" s="245" t="s">
        <v>178</v>
      </c>
      <c r="C120" s="246">
        <v>870</v>
      </c>
      <c r="D120" s="247" t="s">
        <v>190</v>
      </c>
      <c r="E120" s="333">
        <f>INDEX('2022-23 StepbyStep Allocations'!$BN$9:$BN$159, MATCH(C120, '2022-23 StepbyStep Allocations'!$C$9:$C$159, 0))</f>
        <v>26665842.511150274</v>
      </c>
      <c r="F120" s="241">
        <f>'2022-23 StepbyStep Allocations'!G108</f>
        <v>332</v>
      </c>
      <c r="G120" s="242">
        <f>'2022-23 StepbyStep Allocations'!F108</f>
        <v>4912.4887501228695</v>
      </c>
      <c r="H120" s="243">
        <f>INDEX('2022-23 StepbyStep Allocations'!$H$9:$H$159, MATCH(C120, '2022-23 StepbyStep Allocations'!$C$9:$C$159, 0))</f>
        <v>1630946.2650407928</v>
      </c>
      <c r="I120" s="244">
        <f>'2022-23 StepbyStep Allocations'!BG108</f>
        <v>-326</v>
      </c>
      <c r="J120" s="242">
        <f>'2022-23 StepbyStep Allocations'!BH108</f>
        <v>0</v>
      </c>
      <c r="K120" s="604">
        <f>INDEX('2022-23 StepbyStep Allocations'!$BI$9:$BI$159, MATCH(C120,'2022-23 StepbyStep Allocations'!$C$9:$C$159,0))</f>
        <v>-1956000</v>
      </c>
      <c r="L120" s="608">
        <f>INDEX('2022-23 StepbyStep Allocations'!$BF$9:$BF$159, MATCH(C120,'2022-23 StepbyStep Allocations'!$C$9:$C$159, 0))</f>
        <v>296282.80786285718</v>
      </c>
      <c r="M120" s="331">
        <f t="shared" si="8"/>
        <v>28593071.584053922</v>
      </c>
      <c r="N120" s="243">
        <f t="shared" si="9"/>
        <v>26637071.584053922</v>
      </c>
      <c r="T120" s="468"/>
    </row>
    <row r="121" spans="2:20" s="203" customFormat="1" ht="15" x14ac:dyDescent="0.4">
      <c r="B121" s="245" t="s">
        <v>178</v>
      </c>
      <c r="C121" s="246">
        <v>871</v>
      </c>
      <c r="D121" s="247" t="s">
        <v>191</v>
      </c>
      <c r="E121" s="333">
        <f>INDEX('2022-23 StepbyStep Allocations'!$BN$9:$BN$159, MATCH(C121, '2022-23 StepbyStep Allocations'!$C$9:$C$159, 0))</f>
        <v>28751904.87397223</v>
      </c>
      <c r="F121" s="241">
        <f>'2022-23 StepbyStep Allocations'!G109</f>
        <v>384.5</v>
      </c>
      <c r="G121" s="242">
        <f>'2022-23 StepbyStep Allocations'!F109</f>
        <v>5018.3593112232102</v>
      </c>
      <c r="H121" s="243">
        <f>INDEX('2022-23 StepbyStep Allocations'!$H$9:$H$159, MATCH(C121, '2022-23 StepbyStep Allocations'!$C$9:$C$159, 0))</f>
        <v>1929559.1551653242</v>
      </c>
      <c r="I121" s="244">
        <f>'2022-23 StepbyStep Allocations'!BG109</f>
        <v>-87</v>
      </c>
      <c r="J121" s="242">
        <f>'2022-23 StepbyStep Allocations'!BH109</f>
        <v>60000</v>
      </c>
      <c r="K121" s="604">
        <f>INDEX('2022-23 StepbyStep Allocations'!$BI$9:$BI$159, MATCH(C121,'2022-23 StepbyStep Allocations'!$C$9:$C$159,0))</f>
        <v>-462000</v>
      </c>
      <c r="L121" s="608">
        <f>INDEX('2022-23 StepbyStep Allocations'!$BF$9:$BF$159, MATCH(C121,'2022-23 StepbyStep Allocations'!$C$9:$C$159, 0))</f>
        <v>314760.43499531015</v>
      </c>
      <c r="M121" s="331">
        <f t="shared" si="8"/>
        <v>30996224.464132864</v>
      </c>
      <c r="N121" s="243">
        <f t="shared" si="9"/>
        <v>30534224.464132864</v>
      </c>
      <c r="T121" s="468"/>
    </row>
    <row r="122" spans="2:20" s="203" customFormat="1" ht="15" x14ac:dyDescent="0.4">
      <c r="B122" s="245" t="s">
        <v>178</v>
      </c>
      <c r="C122" s="246">
        <v>852</v>
      </c>
      <c r="D122" s="247" t="s">
        <v>192</v>
      </c>
      <c r="E122" s="333">
        <f>INDEX('2022-23 StepbyStep Allocations'!$BN$9:$BN$159, MATCH(C122, '2022-23 StepbyStep Allocations'!$C$9:$C$159, 0))</f>
        <v>33915045.029824652</v>
      </c>
      <c r="F122" s="241">
        <f>'2022-23 StepbyStep Allocations'!G110</f>
        <v>803.36666600000001</v>
      </c>
      <c r="G122" s="242">
        <f>'2022-23 StepbyStep Allocations'!F110</f>
        <v>4763.082706806902</v>
      </c>
      <c r="H122" s="243">
        <f>INDEX('2022-23 StepbyStep Allocations'!$H$9:$H$159, MATCH(C122, '2022-23 StepbyStep Allocations'!$C$9:$C$159, 0))</f>
        <v>3826501.8740497166</v>
      </c>
      <c r="I122" s="244">
        <f>'2022-23 StepbyStep Allocations'!BG110</f>
        <v>-38.5</v>
      </c>
      <c r="J122" s="242">
        <f>'2022-23 StepbyStep Allocations'!BH110</f>
        <v>0</v>
      </c>
      <c r="K122" s="604">
        <f>INDEX('2022-23 StepbyStep Allocations'!$BI$9:$BI$159, MATCH(C122,'2022-23 StepbyStep Allocations'!$C$9:$C$159,0))</f>
        <v>-231000</v>
      </c>
      <c r="L122" s="608">
        <f>INDEX('2022-23 StepbyStep Allocations'!$BF$9:$BF$159, MATCH(C122,'2022-23 StepbyStep Allocations'!$C$9:$C$159, 0))</f>
        <v>133766.80576271191</v>
      </c>
      <c r="M122" s="331">
        <f t="shared" si="8"/>
        <v>37875313.709637076</v>
      </c>
      <c r="N122" s="243">
        <f t="shared" si="9"/>
        <v>37644313.709637076</v>
      </c>
      <c r="T122" s="468"/>
    </row>
    <row r="123" spans="2:20" s="203" customFormat="1" ht="15" x14ac:dyDescent="0.4">
      <c r="B123" s="245" t="s">
        <v>178</v>
      </c>
      <c r="C123" s="246">
        <v>936</v>
      </c>
      <c r="D123" s="247" t="s">
        <v>193</v>
      </c>
      <c r="E123" s="333">
        <f>INDEX('2022-23 StepbyStep Allocations'!$BN$9:$BN$159, MATCH(C123, '2022-23 StepbyStep Allocations'!$C$9:$C$159, 0))</f>
        <v>173593103.71350449</v>
      </c>
      <c r="F123" s="241">
        <f>'2022-23 StepbyStep Allocations'!G111</f>
        <v>3618.1666649999997</v>
      </c>
      <c r="G123" s="242">
        <f>'2022-23 StepbyStep Allocations'!F111</f>
        <v>5018.3593112232102</v>
      </c>
      <c r="H123" s="243">
        <f>INDEX('2022-23 StepbyStep Allocations'!$H$9:$H$159, MATCH(C123, '2022-23 StepbyStep Allocations'!$C$9:$C$159, 0))</f>
        <v>18157260.372860178</v>
      </c>
      <c r="I123" s="244">
        <f>'2022-23 StepbyStep Allocations'!BG111</f>
        <v>-501</v>
      </c>
      <c r="J123" s="242">
        <f>'2022-23 StepbyStep Allocations'!BH111</f>
        <v>18000</v>
      </c>
      <c r="K123" s="604">
        <f>INDEX('2022-23 StepbyStep Allocations'!$BI$9:$BI$159, MATCH(C123,'2022-23 StepbyStep Allocations'!$C$9:$C$159,0))</f>
        <v>-2988000</v>
      </c>
      <c r="L123" s="608">
        <f>INDEX('2022-23 StepbyStep Allocations'!$BF$9:$BF$159, MATCH(C123,'2022-23 StepbyStep Allocations'!$C$9:$C$159, 0))</f>
        <v>1062287.4563657145</v>
      </c>
      <c r="M123" s="331">
        <f t="shared" si="8"/>
        <v>192812651.54273039</v>
      </c>
      <c r="N123" s="243">
        <f t="shared" si="9"/>
        <v>189824651.54273039</v>
      </c>
      <c r="T123" s="468"/>
    </row>
    <row r="124" spans="2:20" s="203" customFormat="1" ht="15" x14ac:dyDescent="0.4">
      <c r="B124" s="245" t="s">
        <v>178</v>
      </c>
      <c r="C124" s="246">
        <v>869</v>
      </c>
      <c r="D124" s="247" t="s">
        <v>194</v>
      </c>
      <c r="E124" s="333">
        <f>INDEX('2022-23 StepbyStep Allocations'!$BN$9:$BN$159, MATCH(C124, '2022-23 StepbyStep Allocations'!$C$9:$C$159, 0))</f>
        <v>22072164.526800938</v>
      </c>
      <c r="F124" s="241">
        <f>'2022-23 StepbyStep Allocations'!G112</f>
        <v>437.5</v>
      </c>
      <c r="G124" s="242">
        <f>'2022-23 StepbyStep Allocations'!F112</f>
        <v>4912.4887501228695</v>
      </c>
      <c r="H124" s="243">
        <f>INDEX('2022-23 StepbyStep Allocations'!$H$9:$H$159, MATCH(C124, '2022-23 StepbyStep Allocations'!$C$9:$C$159, 0))</f>
        <v>2149213.8281787555</v>
      </c>
      <c r="I124" s="244">
        <f>'2022-23 StepbyStep Allocations'!BG112</f>
        <v>124</v>
      </c>
      <c r="J124" s="242">
        <f>'2022-23 StepbyStep Allocations'!BH112</f>
        <v>6000</v>
      </c>
      <c r="K124" s="604">
        <f>INDEX('2022-23 StepbyStep Allocations'!$BI$9:$BI$159, MATCH(C124,'2022-23 StepbyStep Allocations'!$C$9:$C$159,0))</f>
        <v>750000</v>
      </c>
      <c r="L124" s="608">
        <f>INDEX('2022-23 StepbyStep Allocations'!$BF$9:$BF$159, MATCH(C124,'2022-23 StepbyStep Allocations'!$C$9:$C$159, 0))</f>
        <v>207394.25797384995</v>
      </c>
      <c r="M124" s="331">
        <f t="shared" si="8"/>
        <v>24428772.612953544</v>
      </c>
      <c r="N124" s="243">
        <f t="shared" si="9"/>
        <v>25178772.612953544</v>
      </c>
      <c r="T124" s="468"/>
    </row>
    <row r="125" spans="2:20" s="203" customFormat="1" ht="15" x14ac:dyDescent="0.4">
      <c r="B125" s="245" t="s">
        <v>178</v>
      </c>
      <c r="C125" s="246">
        <v>938</v>
      </c>
      <c r="D125" s="247" t="s">
        <v>195</v>
      </c>
      <c r="E125" s="333">
        <f>INDEX('2022-23 StepbyStep Allocations'!$BN$9:$BN$159, MATCH(C125, '2022-23 StepbyStep Allocations'!$C$9:$C$159, 0))</f>
        <v>96856211.782464489</v>
      </c>
      <c r="F125" s="241">
        <f>'2022-23 StepbyStep Allocations'!G113</f>
        <v>2292</v>
      </c>
      <c r="G125" s="242">
        <f>'2022-23 StepbyStep Allocations'!F113</f>
        <v>4714.2580635850709</v>
      </c>
      <c r="H125" s="243">
        <f>INDEX('2022-23 StepbyStep Allocations'!$H$9:$H$159, MATCH(C125, '2022-23 StepbyStep Allocations'!$C$9:$C$159, 0))</f>
        <v>10805079.481736982</v>
      </c>
      <c r="I125" s="244">
        <f>'2022-23 StepbyStep Allocations'!BG113</f>
        <v>-176</v>
      </c>
      <c r="J125" s="242">
        <f>'2022-23 StepbyStep Allocations'!BH113</f>
        <v>6000</v>
      </c>
      <c r="K125" s="604">
        <f>INDEX('2022-23 StepbyStep Allocations'!$BI$9:$BI$159, MATCH(C125,'2022-23 StepbyStep Allocations'!$C$9:$C$159,0))</f>
        <v>-1050000</v>
      </c>
      <c r="L125" s="608">
        <f>INDEX('2022-23 StepbyStep Allocations'!$BF$9:$BF$159, MATCH(C125,'2022-23 StepbyStep Allocations'!$C$9:$C$159, 0))</f>
        <v>909734.74780846504</v>
      </c>
      <c r="M125" s="331">
        <f t="shared" si="8"/>
        <v>108571026.01200995</v>
      </c>
      <c r="N125" s="243">
        <f t="shared" si="9"/>
        <v>107521026.01200995</v>
      </c>
      <c r="T125" s="468"/>
    </row>
    <row r="126" spans="2:20" s="203" customFormat="1" ht="15" x14ac:dyDescent="0.4">
      <c r="B126" s="245" t="s">
        <v>178</v>
      </c>
      <c r="C126" s="246">
        <v>868</v>
      </c>
      <c r="D126" s="247" t="s">
        <v>196</v>
      </c>
      <c r="E126" s="333">
        <f>INDEX('2022-23 StepbyStep Allocations'!$BN$9:$BN$159, MATCH(C126, '2022-23 StepbyStep Allocations'!$C$9:$C$159, 0))</f>
        <v>22077053.026726488</v>
      </c>
      <c r="F126" s="241">
        <f>'2022-23 StepbyStep Allocations'!G114</f>
        <v>413</v>
      </c>
      <c r="G126" s="242">
        <f>'2022-23 StepbyStep Allocations'!F114</f>
        <v>5018.3593112232102</v>
      </c>
      <c r="H126" s="243">
        <f>INDEX('2022-23 StepbyStep Allocations'!$H$9:$H$159, MATCH(C126, '2022-23 StepbyStep Allocations'!$C$9:$C$159, 0))</f>
        <v>2072582.3955351857</v>
      </c>
      <c r="I126" s="244">
        <f>'2022-23 StepbyStep Allocations'!BG114</f>
        <v>299</v>
      </c>
      <c r="J126" s="242">
        <f>'2022-23 StepbyStep Allocations'!BH114</f>
        <v>207225</v>
      </c>
      <c r="K126" s="604">
        <f>INDEX('2022-23 StepbyStep Allocations'!$BI$9:$BI$159, MATCH(C126,'2022-23 StepbyStep Allocations'!$C$9:$C$159,0))</f>
        <v>2001225</v>
      </c>
      <c r="L126" s="608">
        <f>INDEX('2022-23 StepbyStep Allocations'!$BF$9:$BF$159, MATCH(C126,'2022-23 StepbyStep Allocations'!$C$9:$C$159, 0))</f>
        <v>68800.622509714289</v>
      </c>
      <c r="M126" s="331">
        <f t="shared" si="8"/>
        <v>24218436.044771388</v>
      </c>
      <c r="N126" s="243">
        <f t="shared" si="9"/>
        <v>26219661.044771388</v>
      </c>
      <c r="T126" s="468"/>
    </row>
    <row r="127" spans="2:20" s="203" customFormat="1" ht="15" x14ac:dyDescent="0.4">
      <c r="B127" s="245" t="s">
        <v>178</v>
      </c>
      <c r="C127" s="246">
        <v>872</v>
      </c>
      <c r="D127" s="247" t="s">
        <v>197</v>
      </c>
      <c r="E127" s="333">
        <f>INDEX('2022-23 StepbyStep Allocations'!$BN$9:$BN$159, MATCH(C127, '2022-23 StepbyStep Allocations'!$C$9:$C$159, 0))</f>
        <v>23384388.391185325</v>
      </c>
      <c r="F127" s="241">
        <f>'2022-23 StepbyStep Allocations'!G115</f>
        <v>331</v>
      </c>
      <c r="G127" s="242">
        <f>'2022-23 StepbyStep Allocations'!F115</f>
        <v>4912.4887501228695</v>
      </c>
      <c r="H127" s="243">
        <f>INDEX('2022-23 StepbyStep Allocations'!$H$9:$H$159, MATCH(C127, '2022-23 StepbyStep Allocations'!$C$9:$C$159, 0))</f>
        <v>1626033.7762906698</v>
      </c>
      <c r="I127" s="244">
        <f>'2022-23 StepbyStep Allocations'!BG115</f>
        <v>-105</v>
      </c>
      <c r="J127" s="242">
        <f>'2022-23 StepbyStep Allocations'!BH115</f>
        <v>48000</v>
      </c>
      <c r="K127" s="604">
        <f>INDEX('2022-23 StepbyStep Allocations'!$BI$9:$BI$159, MATCH(C127,'2022-23 StepbyStep Allocations'!$C$9:$C$159,0))</f>
        <v>-582000</v>
      </c>
      <c r="L127" s="608">
        <f>INDEX('2022-23 StepbyStep Allocations'!$BF$9:$BF$159, MATCH(C127,'2022-23 StepbyStep Allocations'!$C$9:$C$159, 0))</f>
        <v>385341.96951864415</v>
      </c>
      <c r="M127" s="331">
        <f t="shared" si="8"/>
        <v>25395764.136994638</v>
      </c>
      <c r="N127" s="243">
        <f t="shared" si="9"/>
        <v>24813764.136994638</v>
      </c>
      <c r="T127" s="468"/>
    </row>
    <row r="128" spans="2:20" s="203" customFormat="1" ht="15" x14ac:dyDescent="0.4">
      <c r="B128" s="245" t="s">
        <v>198</v>
      </c>
      <c r="C128" s="246">
        <v>800</v>
      </c>
      <c r="D128" s="247" t="s">
        <v>199</v>
      </c>
      <c r="E128" s="333">
        <f>INDEX('2022-23 StepbyStep Allocations'!$BN$9:$BN$159, MATCH(C128, '2022-23 StepbyStep Allocations'!$C$9:$C$159, 0))</f>
        <v>28011925.948285002</v>
      </c>
      <c r="F128" s="241">
        <f>'2022-23 StepbyStep Allocations'!G116</f>
        <v>563</v>
      </c>
      <c r="G128" s="242">
        <f>'2022-23 StepbyStep Allocations'!F116</f>
        <v>4766.2215711639274</v>
      </c>
      <c r="H128" s="243">
        <f>INDEX('2022-23 StepbyStep Allocations'!$H$9:$H$159, MATCH(C128, '2022-23 StepbyStep Allocations'!$C$9:$C$159, 0))</f>
        <v>2683382.7445652913</v>
      </c>
      <c r="I128" s="244">
        <f>'2022-23 StepbyStep Allocations'!BG116</f>
        <v>28</v>
      </c>
      <c r="J128" s="242">
        <f>'2022-23 StepbyStep Allocations'!BH116</f>
        <v>12000</v>
      </c>
      <c r="K128" s="604">
        <f>INDEX('2022-23 StepbyStep Allocations'!$BI$9:$BI$159, MATCH(C128,'2022-23 StepbyStep Allocations'!$C$9:$C$159,0))</f>
        <v>180000</v>
      </c>
      <c r="L128" s="608">
        <f>INDEX('2022-23 StepbyStep Allocations'!$BF$9:$BF$159, MATCH(C128,'2022-23 StepbyStep Allocations'!$C$9:$C$159, 0))</f>
        <v>419635.78457259096</v>
      </c>
      <c r="M128" s="331">
        <f t="shared" si="8"/>
        <v>31114944.477422882</v>
      </c>
      <c r="N128" s="243">
        <f t="shared" si="9"/>
        <v>31294944.477422882</v>
      </c>
      <c r="T128" s="468"/>
    </row>
    <row r="129" spans="2:20" s="203" customFormat="1" ht="15" x14ac:dyDescent="0.4">
      <c r="B129" s="245" t="s">
        <v>198</v>
      </c>
      <c r="C129" s="246">
        <v>839</v>
      </c>
      <c r="D129" s="247" t="s">
        <v>317</v>
      </c>
      <c r="E129" s="333">
        <f>INDEX('2022-23 StepbyStep Allocations'!$BN$9:$BN$159, MATCH(C129, '2022-23 StepbyStep Allocations'!$C$9:$C$159, 0))</f>
        <v>47211892.637045756</v>
      </c>
      <c r="F129" s="241">
        <f>'2022-23 StepbyStep Allocations'!G117</f>
        <v>923</v>
      </c>
      <c r="G129" s="242">
        <f>'2022-23 StepbyStep Allocations'!F117</f>
        <v>4660</v>
      </c>
      <c r="H129" s="243">
        <f>INDEX('2022-23 StepbyStep Allocations'!$H$9:$H$159, MATCH(C129, '2022-23 StepbyStep Allocations'!$C$9:$C$159, 0))</f>
        <v>4301180</v>
      </c>
      <c r="I129" s="244">
        <f>'2022-23 StepbyStep Allocations'!BG117</f>
        <v>-212</v>
      </c>
      <c r="J129" s="242">
        <f>'2022-23 StepbyStep Allocations'!BH117</f>
        <v>24000</v>
      </c>
      <c r="K129" s="604">
        <f>INDEX('2022-23 StepbyStep Allocations'!$BI$9:$BI$159, MATCH(C129,'2022-23 StepbyStep Allocations'!$C$9:$C$159,0))</f>
        <v>-1248000</v>
      </c>
      <c r="L129" s="608">
        <f>INDEX('2022-23 StepbyStep Allocations'!$BF$9:$BF$159, MATCH(C129,'2022-23 StepbyStep Allocations'!$C$9:$C$159, 0))</f>
        <v>1365140.2081727849</v>
      </c>
      <c r="M129" s="331">
        <f t="shared" si="8"/>
        <v>52878212.845218539</v>
      </c>
      <c r="N129" s="243">
        <f t="shared" si="9"/>
        <v>51630212.845218539</v>
      </c>
      <c r="T129" s="468"/>
    </row>
    <row r="130" spans="2:20" s="203" customFormat="1" ht="15" x14ac:dyDescent="0.4">
      <c r="B130" s="245" t="s">
        <v>198</v>
      </c>
      <c r="C130" s="246">
        <v>801</v>
      </c>
      <c r="D130" s="247" t="s">
        <v>200</v>
      </c>
      <c r="E130" s="333">
        <f>INDEX('2022-23 StepbyStep Allocations'!$BN$9:$BN$159, MATCH(C130, '2022-23 StepbyStep Allocations'!$C$9:$C$159, 0))</f>
        <v>65232651.155227654</v>
      </c>
      <c r="F130" s="241">
        <f>'2022-23 StepbyStep Allocations'!G118</f>
        <v>1219.5</v>
      </c>
      <c r="G130" s="242">
        <f>'2022-23 StepbyStep Allocations'!F118</f>
        <v>4766.2215711639274</v>
      </c>
      <c r="H130" s="243">
        <f>INDEX('2022-23 StepbyStep Allocations'!$H$9:$H$159, MATCH(C130, '2022-23 StepbyStep Allocations'!$C$9:$C$159, 0))</f>
        <v>5812407.2060344098</v>
      </c>
      <c r="I130" s="244">
        <f>'2022-23 StepbyStep Allocations'!BG118</f>
        <v>117</v>
      </c>
      <c r="J130" s="242">
        <f>'2022-23 StepbyStep Allocations'!BH118</f>
        <v>524249</v>
      </c>
      <c r="K130" s="604">
        <f>INDEX('2022-23 StepbyStep Allocations'!$BI$9:$BI$159, MATCH(C130,'2022-23 StepbyStep Allocations'!$C$9:$C$159,0))</f>
        <v>1226249</v>
      </c>
      <c r="L130" s="608">
        <f>INDEX('2022-23 StepbyStep Allocations'!$BF$9:$BF$159, MATCH(C130,'2022-23 StepbyStep Allocations'!$C$9:$C$159, 0))</f>
        <v>2897894.1946538938</v>
      </c>
      <c r="M130" s="331">
        <f t="shared" si="8"/>
        <v>73942952.555915967</v>
      </c>
      <c r="N130" s="243">
        <f t="shared" si="9"/>
        <v>75169201.555915967</v>
      </c>
      <c r="T130" s="468"/>
    </row>
    <row r="131" spans="2:20" s="203" customFormat="1" ht="15" x14ac:dyDescent="0.4">
      <c r="B131" s="245" t="s">
        <v>198</v>
      </c>
      <c r="C131" s="246">
        <v>908</v>
      </c>
      <c r="D131" s="247" t="s">
        <v>201</v>
      </c>
      <c r="E131" s="333">
        <f>INDEX('2022-23 StepbyStep Allocations'!$BN$9:$BN$159, MATCH(C131, '2022-23 StepbyStep Allocations'!$C$9:$C$159, 0))</f>
        <v>60355088.684158862</v>
      </c>
      <c r="F131" s="241">
        <f>'2022-23 StepbyStep Allocations'!G119</f>
        <v>532.16666599999996</v>
      </c>
      <c r="G131" s="242">
        <f>'2022-23 StepbyStep Allocations'!F119</f>
        <v>4660</v>
      </c>
      <c r="H131" s="243">
        <f>INDEX('2022-23 StepbyStep Allocations'!$H$9:$H$159, MATCH(C131, '2022-23 StepbyStep Allocations'!$C$9:$C$159, 0))</f>
        <v>2479896.6635599998</v>
      </c>
      <c r="I131" s="244">
        <f>'2022-23 StepbyStep Allocations'!BG119</f>
        <v>-1</v>
      </c>
      <c r="J131" s="242">
        <f>'2022-23 StepbyStep Allocations'!BH119</f>
        <v>0</v>
      </c>
      <c r="K131" s="604">
        <f>INDEX('2022-23 StepbyStep Allocations'!$BI$9:$BI$159, MATCH(C131,'2022-23 StepbyStep Allocations'!$C$9:$C$159,0))</f>
        <v>-6000</v>
      </c>
      <c r="L131" s="608">
        <f>INDEX('2022-23 StepbyStep Allocations'!$BF$9:$BF$159, MATCH(C131,'2022-23 StepbyStep Allocations'!$C$9:$C$159, 0))</f>
        <v>1756430.4743610406</v>
      </c>
      <c r="M131" s="331">
        <f t="shared" si="8"/>
        <v>64591415.822079904</v>
      </c>
      <c r="N131" s="243">
        <f t="shared" si="9"/>
        <v>64585415.822079904</v>
      </c>
      <c r="T131" s="468"/>
    </row>
    <row r="132" spans="2:20" s="203" customFormat="1" ht="15" x14ac:dyDescent="0.4">
      <c r="B132" s="245" t="s">
        <v>198</v>
      </c>
      <c r="C132" s="246">
        <v>878</v>
      </c>
      <c r="D132" s="247" t="s">
        <v>202</v>
      </c>
      <c r="E132" s="333">
        <f>INDEX('2022-23 StepbyStep Allocations'!$BN$9:$BN$159, MATCH(C132, '2022-23 StepbyStep Allocations'!$C$9:$C$159, 0))</f>
        <v>86180602.615391731</v>
      </c>
      <c r="F132" s="241">
        <f>'2022-23 StepbyStep Allocations'!G120</f>
        <v>1847.5</v>
      </c>
      <c r="G132" s="242">
        <f>'2022-23 StepbyStep Allocations'!F120</f>
        <v>4660</v>
      </c>
      <c r="H132" s="243">
        <f>INDEX('2022-23 StepbyStep Allocations'!$H$9:$H$159, MATCH(C132, '2022-23 StepbyStep Allocations'!$C$9:$C$159, 0))</f>
        <v>8609350</v>
      </c>
      <c r="I132" s="244">
        <f>'2022-23 StepbyStep Allocations'!BG120</f>
        <v>-509</v>
      </c>
      <c r="J132" s="242">
        <f>'2022-23 StepbyStep Allocations'!BH120</f>
        <v>910333</v>
      </c>
      <c r="K132" s="604">
        <f>INDEX('2022-23 StepbyStep Allocations'!$BI$9:$BI$159, MATCH(C132,'2022-23 StepbyStep Allocations'!$C$9:$C$159,0))</f>
        <v>-2143667</v>
      </c>
      <c r="L132" s="608">
        <f>INDEX('2022-23 StepbyStep Allocations'!$BF$9:$BF$159, MATCH(C132,'2022-23 StepbyStep Allocations'!$C$9:$C$159, 0))</f>
        <v>2719222.4542293474</v>
      </c>
      <c r="M132" s="331">
        <f t="shared" si="8"/>
        <v>97509175.069621086</v>
      </c>
      <c r="N132" s="243">
        <f t="shared" si="9"/>
        <v>95365508.069621086</v>
      </c>
      <c r="T132" s="468"/>
    </row>
    <row r="133" spans="2:20" s="203" customFormat="1" ht="15" x14ac:dyDescent="0.4">
      <c r="B133" s="245" t="s">
        <v>198</v>
      </c>
      <c r="C133" s="246">
        <v>838</v>
      </c>
      <c r="D133" s="247" t="s">
        <v>203</v>
      </c>
      <c r="E133" s="333">
        <f>INDEX('2022-23 StepbyStep Allocations'!$BN$9:$BN$159, MATCH(C133, '2022-23 StepbyStep Allocations'!$C$9:$C$159, 0))</f>
        <v>42832914.140731059</v>
      </c>
      <c r="F133" s="241">
        <f>'2022-23 StepbyStep Allocations'!G121</f>
        <v>848</v>
      </c>
      <c r="G133" s="242">
        <f>'2022-23 StepbyStep Allocations'!F121</f>
        <v>4660</v>
      </c>
      <c r="H133" s="243">
        <f>INDEX('2022-23 StepbyStep Allocations'!$H$9:$H$159, MATCH(C133, '2022-23 StepbyStep Allocations'!$C$9:$C$159, 0))</f>
        <v>3951680</v>
      </c>
      <c r="I133" s="244">
        <f>'2022-23 StepbyStep Allocations'!BG121</f>
        <v>-107</v>
      </c>
      <c r="J133" s="242">
        <f>'2022-23 StepbyStep Allocations'!BH121</f>
        <v>268000</v>
      </c>
      <c r="K133" s="604">
        <f>INDEX('2022-23 StepbyStep Allocations'!$BI$9:$BI$159, MATCH(C133,'2022-23 StepbyStep Allocations'!$C$9:$C$159,0))</f>
        <v>-374000</v>
      </c>
      <c r="L133" s="608">
        <f>INDEX('2022-23 StepbyStep Allocations'!$BF$9:$BF$159, MATCH(C133,'2022-23 StepbyStep Allocations'!$C$9:$C$159, 0))</f>
        <v>182674.72620823249</v>
      </c>
      <c r="M133" s="331">
        <f t="shared" si="8"/>
        <v>46967268.866939291</v>
      </c>
      <c r="N133" s="243">
        <f t="shared" si="9"/>
        <v>46593268.866939291</v>
      </c>
      <c r="T133" s="468"/>
    </row>
    <row r="134" spans="2:20" s="203" customFormat="1" ht="15" x14ac:dyDescent="0.4">
      <c r="B134" s="245" t="s">
        <v>198</v>
      </c>
      <c r="C134" s="246">
        <v>916</v>
      </c>
      <c r="D134" s="247" t="s">
        <v>204</v>
      </c>
      <c r="E134" s="333">
        <f>INDEX('2022-23 StepbyStep Allocations'!$BN$9:$BN$159, MATCH(C134, '2022-23 StepbyStep Allocations'!$C$9:$C$159, 0))</f>
        <v>72459926.536327511</v>
      </c>
      <c r="F134" s="241">
        <f>'2022-23 StepbyStep Allocations'!G122</f>
        <v>1490.9999990000001</v>
      </c>
      <c r="G134" s="242">
        <f>'2022-23 StepbyStep Allocations'!F122</f>
        <v>4705.7727924537066</v>
      </c>
      <c r="H134" s="243">
        <f>INDEX('2022-23 StepbyStep Allocations'!$H$9:$H$159, MATCH(C134, '2022-23 StepbyStep Allocations'!$C$9:$C$159, 0))</f>
        <v>7016307.2288427046</v>
      </c>
      <c r="I134" s="244">
        <f>'2022-23 StepbyStep Allocations'!BG122</f>
        <v>-190</v>
      </c>
      <c r="J134" s="242">
        <f>'2022-23 StepbyStep Allocations'!BH122</f>
        <v>12000</v>
      </c>
      <c r="K134" s="604">
        <f>INDEX('2022-23 StepbyStep Allocations'!$BI$9:$BI$159, MATCH(C134,'2022-23 StepbyStep Allocations'!$C$9:$C$159,0))</f>
        <v>-1128000</v>
      </c>
      <c r="L134" s="608">
        <f>INDEX('2022-23 StepbyStep Allocations'!$BF$9:$BF$159, MATCH(C134,'2022-23 StepbyStep Allocations'!$C$9:$C$159, 0))</f>
        <v>2413039.3999024956</v>
      </c>
      <c r="M134" s="331">
        <f t="shared" si="8"/>
        <v>81889273.165072709</v>
      </c>
      <c r="N134" s="243">
        <f t="shared" si="9"/>
        <v>80761273.165072709</v>
      </c>
      <c r="T134" s="468"/>
    </row>
    <row r="135" spans="2:20" s="203" customFormat="1" ht="15" x14ac:dyDescent="0.4">
      <c r="B135" s="245" t="s">
        <v>198</v>
      </c>
      <c r="C135" s="246">
        <v>802</v>
      </c>
      <c r="D135" s="247" t="s">
        <v>205</v>
      </c>
      <c r="E135" s="333">
        <f>INDEX('2022-23 StepbyStep Allocations'!$BN$9:$BN$159, MATCH(C135, '2022-23 StepbyStep Allocations'!$C$9:$C$159, 0))</f>
        <v>28908852.495611105</v>
      </c>
      <c r="F135" s="241">
        <f>'2022-23 StepbyStep Allocations'!G123</f>
        <v>450.999999</v>
      </c>
      <c r="G135" s="242">
        <f>'2022-23 StepbyStep Allocations'!F123</f>
        <v>4766.2215711639274</v>
      </c>
      <c r="H135" s="243">
        <f>INDEX('2022-23 StepbyStep Allocations'!$H$9:$H$159, MATCH(C135, '2022-23 StepbyStep Allocations'!$C$9:$C$159, 0))</f>
        <v>2149565.9238287099</v>
      </c>
      <c r="I135" s="244">
        <f>'2022-23 StepbyStep Allocations'!BG123</f>
        <v>-48</v>
      </c>
      <c r="J135" s="242">
        <f>'2022-23 StepbyStep Allocations'!BH123</f>
        <v>0</v>
      </c>
      <c r="K135" s="604">
        <f>INDEX('2022-23 StepbyStep Allocations'!$BI$9:$BI$159, MATCH(C135,'2022-23 StepbyStep Allocations'!$C$9:$C$159,0))</f>
        <v>-288000</v>
      </c>
      <c r="L135" s="608">
        <f>INDEX('2022-23 StepbyStep Allocations'!$BF$9:$BF$159, MATCH(C135,'2022-23 StepbyStep Allocations'!$C$9:$C$159, 0))</f>
        <v>92212.66559806306</v>
      </c>
      <c r="M135" s="331">
        <f t="shared" si="8"/>
        <v>31150631.08503788</v>
      </c>
      <c r="N135" s="243">
        <f t="shared" si="9"/>
        <v>30862631.08503788</v>
      </c>
      <c r="T135" s="468"/>
    </row>
    <row r="136" spans="2:20" s="203" customFormat="1" ht="15" x14ac:dyDescent="0.4">
      <c r="B136" s="245" t="s">
        <v>198</v>
      </c>
      <c r="C136" s="246">
        <v>879</v>
      </c>
      <c r="D136" s="247" t="s">
        <v>206</v>
      </c>
      <c r="E136" s="333">
        <f>INDEX('2022-23 StepbyStep Allocations'!$BN$9:$BN$159, MATCH(C136, '2022-23 StepbyStep Allocations'!$C$9:$C$159, 0))</f>
        <v>36214399.967137247</v>
      </c>
      <c r="F136" s="241">
        <f>'2022-23 StepbyStep Allocations'!G124</f>
        <v>710</v>
      </c>
      <c r="G136" s="242">
        <f>'2022-23 StepbyStep Allocations'!F124</f>
        <v>4660</v>
      </c>
      <c r="H136" s="243">
        <f>INDEX('2022-23 StepbyStep Allocations'!$H$9:$H$159, MATCH(C136, '2022-23 StepbyStep Allocations'!$C$9:$C$159, 0))</f>
        <v>3308600</v>
      </c>
      <c r="I136" s="244">
        <f>'2022-23 StepbyStep Allocations'!BG124</f>
        <v>70</v>
      </c>
      <c r="J136" s="242">
        <f>'2022-23 StepbyStep Allocations'!BH124</f>
        <v>6000</v>
      </c>
      <c r="K136" s="604">
        <f>INDEX('2022-23 StepbyStep Allocations'!$BI$9:$BI$159, MATCH(C136,'2022-23 StepbyStep Allocations'!$C$9:$C$159,0))</f>
        <v>426000</v>
      </c>
      <c r="L136" s="608">
        <f>INDEX('2022-23 StepbyStep Allocations'!$BF$9:$BF$159, MATCH(C136,'2022-23 StepbyStep Allocations'!$C$9:$C$159, 0))</f>
        <v>984802.30191573873</v>
      </c>
      <c r="M136" s="331">
        <f t="shared" si="8"/>
        <v>40507802.269052982</v>
      </c>
      <c r="N136" s="243">
        <f t="shared" si="9"/>
        <v>40933802.269052982</v>
      </c>
      <c r="T136" s="468"/>
    </row>
    <row r="137" spans="2:20" s="203" customFormat="1" ht="15" x14ac:dyDescent="0.4">
      <c r="B137" s="245" t="s">
        <v>198</v>
      </c>
      <c r="C137" s="246">
        <v>933</v>
      </c>
      <c r="D137" s="247" t="s">
        <v>207</v>
      </c>
      <c r="E137" s="333">
        <f>INDEX('2022-23 StepbyStep Allocations'!$BN$9:$BN$159, MATCH(C137, '2022-23 StepbyStep Allocations'!$C$9:$C$159, 0))</f>
        <v>64806328.870646432</v>
      </c>
      <c r="F137" s="241">
        <f>'2022-23 StepbyStep Allocations'!G125</f>
        <v>1038</v>
      </c>
      <c r="G137" s="242">
        <f>'2022-23 StepbyStep Allocations'!F125</f>
        <v>4660</v>
      </c>
      <c r="H137" s="243">
        <f>INDEX('2022-23 StepbyStep Allocations'!$H$9:$H$159, MATCH(C137, '2022-23 StepbyStep Allocations'!$C$9:$C$159, 0))</f>
        <v>4837080</v>
      </c>
      <c r="I137" s="244">
        <f>'2022-23 StepbyStep Allocations'!BG125</f>
        <v>-113</v>
      </c>
      <c r="J137" s="242">
        <f>'2022-23 StepbyStep Allocations'!BH125</f>
        <v>6000</v>
      </c>
      <c r="K137" s="604">
        <f>INDEX('2022-23 StepbyStep Allocations'!$BI$9:$BI$159, MATCH(C137,'2022-23 StepbyStep Allocations'!$C$9:$C$159,0))</f>
        <v>-672000</v>
      </c>
      <c r="L137" s="608">
        <f>INDEX('2022-23 StepbyStep Allocations'!$BF$9:$BF$159, MATCH(C137,'2022-23 StepbyStep Allocations'!$C$9:$C$159, 0))</f>
        <v>2938656.5069831684</v>
      </c>
      <c r="M137" s="331">
        <f t="shared" si="8"/>
        <v>72582065.377629608</v>
      </c>
      <c r="N137" s="243">
        <f t="shared" si="9"/>
        <v>71910065.377629608</v>
      </c>
      <c r="T137" s="468"/>
    </row>
    <row r="138" spans="2:20" s="203" customFormat="1" ht="15" x14ac:dyDescent="0.4">
      <c r="B138" s="245" t="s">
        <v>198</v>
      </c>
      <c r="C138" s="246">
        <v>803</v>
      </c>
      <c r="D138" s="247" t="s">
        <v>208</v>
      </c>
      <c r="E138" s="333">
        <f>INDEX('2022-23 StepbyStep Allocations'!$BN$9:$BN$159, MATCH(C138, '2022-23 StepbyStep Allocations'!$C$9:$C$159, 0))</f>
        <v>39310686.398432724</v>
      </c>
      <c r="F138" s="241">
        <f>'2022-23 StepbyStep Allocations'!G126</f>
        <v>639</v>
      </c>
      <c r="G138" s="242">
        <f>'2022-23 StepbyStep Allocations'!F126</f>
        <v>4766.2215711639274</v>
      </c>
      <c r="H138" s="243">
        <f>INDEX('2022-23 StepbyStep Allocations'!$H$9:$H$159, MATCH(C138, '2022-23 StepbyStep Allocations'!$C$9:$C$159, 0))</f>
        <v>3045615.5839737495</v>
      </c>
      <c r="I138" s="244">
        <f>'2022-23 StepbyStep Allocations'!BG126</f>
        <v>-21.5</v>
      </c>
      <c r="J138" s="242">
        <f>'2022-23 StepbyStep Allocations'!BH126</f>
        <v>493885</v>
      </c>
      <c r="K138" s="604">
        <f>INDEX('2022-23 StepbyStep Allocations'!$BI$9:$BI$159, MATCH(C138,'2022-23 StepbyStep Allocations'!$C$9:$C$159,0))</f>
        <v>364885</v>
      </c>
      <c r="L138" s="608">
        <f>INDEX('2022-23 StepbyStep Allocations'!$BF$9:$BF$159, MATCH(C138,'2022-23 StepbyStep Allocations'!$C$9:$C$159, 0))</f>
        <v>128858.22181501219</v>
      </c>
      <c r="M138" s="331">
        <f t="shared" si="8"/>
        <v>42485160.204221487</v>
      </c>
      <c r="N138" s="243">
        <f t="shared" si="9"/>
        <v>42850045.204221487</v>
      </c>
      <c r="T138" s="468"/>
    </row>
    <row r="139" spans="2:20" s="203" customFormat="1" ht="15" x14ac:dyDescent="0.4">
      <c r="B139" s="245" t="s">
        <v>198</v>
      </c>
      <c r="C139" s="246">
        <v>866</v>
      </c>
      <c r="D139" s="247" t="s">
        <v>209</v>
      </c>
      <c r="E139" s="333">
        <f>INDEX('2022-23 StepbyStep Allocations'!$BN$9:$BN$159, MATCH(C139, '2022-23 StepbyStep Allocations'!$C$9:$C$159, 0))</f>
        <v>36424451.183870815</v>
      </c>
      <c r="F139" s="241">
        <f>'2022-23 StepbyStep Allocations'!G127</f>
        <v>731.5</v>
      </c>
      <c r="G139" s="242">
        <f>'2022-23 StepbyStep Allocations'!F127</f>
        <v>4712.1200275368574</v>
      </c>
      <c r="H139" s="243">
        <f>INDEX('2022-23 StepbyStep Allocations'!$H$9:$H$159, MATCH(C139, '2022-23 StepbyStep Allocations'!$C$9:$C$159, 0))</f>
        <v>3446915.8001432111</v>
      </c>
      <c r="I139" s="244">
        <f>'2022-23 StepbyStep Allocations'!BG127</f>
        <v>-68</v>
      </c>
      <c r="J139" s="242">
        <f>'2022-23 StepbyStep Allocations'!BH127</f>
        <v>366000</v>
      </c>
      <c r="K139" s="604">
        <f>INDEX('2022-23 StepbyStep Allocations'!$BI$9:$BI$159, MATCH(C139,'2022-23 StepbyStep Allocations'!$C$9:$C$159,0))</f>
        <v>-42000</v>
      </c>
      <c r="L139" s="608">
        <f>INDEX('2022-23 StepbyStep Allocations'!$BF$9:$BF$159, MATCH(C139,'2022-23 StepbyStep Allocations'!$C$9:$C$159, 0))</f>
        <v>737340.47438760311</v>
      </c>
      <c r="M139" s="331">
        <f t="shared" si="8"/>
        <v>40608707.458401628</v>
      </c>
      <c r="N139" s="243">
        <f t="shared" si="9"/>
        <v>40566707.458401628</v>
      </c>
      <c r="T139" s="468"/>
    </row>
    <row r="140" spans="2:20" s="203" customFormat="1" ht="15" x14ac:dyDescent="0.4">
      <c r="B140" s="245" t="s">
        <v>198</v>
      </c>
      <c r="C140" s="246">
        <v>880</v>
      </c>
      <c r="D140" s="247" t="s">
        <v>210</v>
      </c>
      <c r="E140" s="333">
        <f>INDEX('2022-23 StepbyStep Allocations'!$BN$9:$BN$159, MATCH(C140, '2022-23 StepbyStep Allocations'!$C$9:$C$159, 0))</f>
        <v>20048131.229373652</v>
      </c>
      <c r="F140" s="241">
        <f>'2022-23 StepbyStep Allocations'!G128</f>
        <v>606.5</v>
      </c>
      <c r="G140" s="242">
        <f>'2022-23 StepbyStep Allocations'!F128</f>
        <v>4660</v>
      </c>
      <c r="H140" s="243">
        <f>INDEX('2022-23 StepbyStep Allocations'!$H$9:$H$159, MATCH(C140, '2022-23 StepbyStep Allocations'!$C$9:$C$159, 0))</f>
        <v>2826290</v>
      </c>
      <c r="I140" s="244">
        <f>'2022-23 StepbyStep Allocations'!BG128</f>
        <v>86</v>
      </c>
      <c r="J140" s="242">
        <f>'2022-23 StepbyStep Allocations'!BH128</f>
        <v>36000</v>
      </c>
      <c r="K140" s="604">
        <f>INDEX('2022-23 StepbyStep Allocations'!$BI$9:$BI$159, MATCH(C140,'2022-23 StepbyStep Allocations'!$C$9:$C$159,0))</f>
        <v>552000</v>
      </c>
      <c r="L140" s="608">
        <f>INDEX('2022-23 StepbyStep Allocations'!$BF$9:$BF$159, MATCH(C140,'2022-23 StepbyStep Allocations'!$C$9:$C$159, 0))</f>
        <v>120207.9503752896</v>
      </c>
      <c r="M140" s="331">
        <f t="shared" si="8"/>
        <v>22994629.179748941</v>
      </c>
      <c r="N140" s="243">
        <f t="shared" si="9"/>
        <v>23546629.179748941</v>
      </c>
      <c r="T140" s="468"/>
    </row>
    <row r="141" spans="2:20" s="203" customFormat="1" ht="15" x14ac:dyDescent="0.4">
      <c r="B141" s="245" t="s">
        <v>198</v>
      </c>
      <c r="C141" s="246">
        <v>865</v>
      </c>
      <c r="D141" s="247" t="s">
        <v>211</v>
      </c>
      <c r="E141" s="333">
        <f>INDEX('2022-23 StepbyStep Allocations'!$BN$9:$BN$159, MATCH(C141, '2022-23 StepbyStep Allocations'!$C$9:$C$159, 0))</f>
        <v>58544304.32413657</v>
      </c>
      <c r="F141" s="241">
        <f>'2022-23 StepbyStep Allocations'!G129</f>
        <v>993.66666600000008</v>
      </c>
      <c r="G141" s="242">
        <f>'2022-23 StepbyStep Allocations'!F129</f>
        <v>4712.1200275368574</v>
      </c>
      <c r="H141" s="243">
        <f>INDEX('2022-23 StepbyStep Allocations'!$H$9:$H$159, MATCH(C141, '2022-23 StepbyStep Allocations'!$C$9:$C$159, 0))</f>
        <v>4682276.5975543773</v>
      </c>
      <c r="I141" s="244">
        <f>'2022-23 StepbyStep Allocations'!BG129</f>
        <v>-292</v>
      </c>
      <c r="J141" s="242">
        <f>'2022-23 StepbyStep Allocations'!BH129</f>
        <v>12000</v>
      </c>
      <c r="K141" s="604">
        <f>INDEX('2022-23 StepbyStep Allocations'!$BI$9:$BI$159, MATCH(C141,'2022-23 StepbyStep Allocations'!$C$9:$C$159,0))</f>
        <v>-1740000</v>
      </c>
      <c r="L141" s="608">
        <f>INDEX('2022-23 StepbyStep Allocations'!$BF$9:$BF$159, MATCH(C141,'2022-23 StepbyStep Allocations'!$C$9:$C$159, 0))</f>
        <v>866971.10327283316</v>
      </c>
      <c r="M141" s="331">
        <f t="shared" si="8"/>
        <v>64093552.024963781</v>
      </c>
      <c r="N141" s="243">
        <f t="shared" si="9"/>
        <v>62353552.024963781</v>
      </c>
      <c r="T141" s="468"/>
    </row>
    <row r="142" spans="2:20" s="203" customFormat="1" ht="15" x14ac:dyDescent="0.4">
      <c r="B142" s="245" t="s">
        <v>212</v>
      </c>
      <c r="C142" s="246">
        <v>330</v>
      </c>
      <c r="D142" s="247" t="s">
        <v>213</v>
      </c>
      <c r="E142" s="333">
        <f>INDEX('2022-23 StepbyStep Allocations'!$BN$9:$BN$159, MATCH(C142, '2022-23 StepbyStep Allocations'!$C$9:$C$159, 0))</f>
        <v>208658461.71816519</v>
      </c>
      <c r="F142" s="241">
        <f>'2022-23 StepbyStep Allocations'!G130</f>
        <v>4780.5</v>
      </c>
      <c r="G142" s="242">
        <f>'2022-23 StepbyStep Allocations'!F130</f>
        <v>4684.5525360911679</v>
      </c>
      <c r="H142" s="243">
        <f>INDEX('2022-23 StepbyStep Allocations'!$H$9:$H$159, MATCH(C142, '2022-23 StepbyStep Allocations'!$C$9:$C$159, 0))</f>
        <v>22394503.398783829</v>
      </c>
      <c r="I142" s="244">
        <f>'2022-23 StepbyStep Allocations'!BG130</f>
        <v>-666.5</v>
      </c>
      <c r="J142" s="242">
        <f>'2022-23 StepbyStep Allocations'!BH130</f>
        <v>0</v>
      </c>
      <c r="K142" s="604">
        <f>INDEX('2022-23 StepbyStep Allocations'!$BI$9:$BI$159, MATCH(C142,'2022-23 StepbyStep Allocations'!$C$9:$C$159,0))</f>
        <v>-3999000</v>
      </c>
      <c r="L142" s="608">
        <f>INDEX('2022-23 StepbyStep Allocations'!$BF$9:$BF$159, MATCH(C142,'2022-23 StepbyStep Allocations'!$C$9:$C$159, 0))</f>
        <v>7090132.8436724469</v>
      </c>
      <c r="M142" s="331">
        <f t="shared" si="8"/>
        <v>238143097.96062148</v>
      </c>
      <c r="N142" s="243">
        <f t="shared" si="9"/>
        <v>234144097.96062148</v>
      </c>
      <c r="T142" s="468"/>
    </row>
    <row r="143" spans="2:20" s="203" customFormat="1" ht="15" x14ac:dyDescent="0.4">
      <c r="B143" s="245" t="s">
        <v>212</v>
      </c>
      <c r="C143" s="246">
        <v>331</v>
      </c>
      <c r="D143" s="247" t="s">
        <v>214</v>
      </c>
      <c r="E143" s="333">
        <f>INDEX('2022-23 StepbyStep Allocations'!$BN$9:$BN$159, MATCH(C143, '2022-23 StepbyStep Allocations'!$C$9:$C$159, 0))</f>
        <v>50694356.19434242</v>
      </c>
      <c r="F143" s="241">
        <f>'2022-23 StepbyStep Allocations'!G131</f>
        <v>1147</v>
      </c>
      <c r="G143" s="242">
        <f>'2022-23 StepbyStep Allocations'!F131</f>
        <v>4684.5525360911679</v>
      </c>
      <c r="H143" s="243">
        <f>INDEX('2022-23 StepbyStep Allocations'!$H$9:$H$159, MATCH(C143, '2022-23 StepbyStep Allocations'!$C$9:$C$159, 0))</f>
        <v>5373181.7588965697</v>
      </c>
      <c r="I143" s="244">
        <f>'2022-23 StepbyStep Allocations'!BG131</f>
        <v>108.5</v>
      </c>
      <c r="J143" s="242">
        <f>'2022-23 StepbyStep Allocations'!BH131</f>
        <v>0</v>
      </c>
      <c r="K143" s="604">
        <f>INDEX('2022-23 StepbyStep Allocations'!$BI$9:$BI$159, MATCH(C143,'2022-23 StepbyStep Allocations'!$C$9:$C$159,0))</f>
        <v>651000</v>
      </c>
      <c r="L143" s="608">
        <f>INDEX('2022-23 StepbyStep Allocations'!$BF$9:$BF$159, MATCH(C143,'2022-23 StepbyStep Allocations'!$C$9:$C$159, 0))</f>
        <v>743189.37351108971</v>
      </c>
      <c r="M143" s="331">
        <f t="shared" si="8"/>
        <v>56810727.326750077</v>
      </c>
      <c r="N143" s="243">
        <f t="shared" si="9"/>
        <v>57461727.326750077</v>
      </c>
      <c r="T143" s="468"/>
    </row>
    <row r="144" spans="2:20" s="203" customFormat="1" ht="15" x14ac:dyDescent="0.4">
      <c r="B144" s="245" t="s">
        <v>212</v>
      </c>
      <c r="C144" s="246">
        <v>332</v>
      </c>
      <c r="D144" s="247" t="s">
        <v>215</v>
      </c>
      <c r="E144" s="333">
        <f>INDEX('2022-23 StepbyStep Allocations'!$BN$9:$BN$159, MATCH(C144, '2022-23 StepbyStep Allocations'!$C$9:$C$159, 0))</f>
        <v>40477284.587296143</v>
      </c>
      <c r="F144" s="241">
        <f>'2022-23 StepbyStep Allocations'!G132</f>
        <v>1013</v>
      </c>
      <c r="G144" s="242">
        <f>'2022-23 StepbyStep Allocations'!F132</f>
        <v>4684.5525360911679</v>
      </c>
      <c r="H144" s="243">
        <f>INDEX('2022-23 StepbyStep Allocations'!$H$9:$H$159, MATCH(C144, '2022-23 StepbyStep Allocations'!$C$9:$C$159, 0))</f>
        <v>4745451.719060353</v>
      </c>
      <c r="I144" s="244">
        <f>'2022-23 StepbyStep Allocations'!BG132</f>
        <v>19</v>
      </c>
      <c r="J144" s="242">
        <f>'2022-23 StepbyStep Allocations'!BH132</f>
        <v>12000</v>
      </c>
      <c r="K144" s="604">
        <f>INDEX('2022-23 StepbyStep Allocations'!$BI$9:$BI$159, MATCH(C144,'2022-23 StepbyStep Allocations'!$C$9:$C$159,0))</f>
        <v>126000</v>
      </c>
      <c r="L144" s="608">
        <f>INDEX('2022-23 StepbyStep Allocations'!$BF$9:$BF$159, MATCH(C144,'2022-23 StepbyStep Allocations'!$C$9:$C$159, 0))</f>
        <v>1706095.0775190319</v>
      </c>
      <c r="M144" s="331">
        <f t="shared" si="8"/>
        <v>46928831.383875526</v>
      </c>
      <c r="N144" s="243">
        <f t="shared" si="9"/>
        <v>47054831.383875526</v>
      </c>
      <c r="T144" s="468"/>
    </row>
    <row r="145" spans="2:20" s="203" customFormat="1" ht="15" x14ac:dyDescent="0.4">
      <c r="B145" s="245" t="s">
        <v>212</v>
      </c>
      <c r="C145" s="246">
        <v>884</v>
      </c>
      <c r="D145" s="247" t="s">
        <v>523</v>
      </c>
      <c r="E145" s="333">
        <f>INDEX('2022-23 StepbyStep Allocations'!$BN$9:$BN$159, MATCH(C145, '2022-23 StepbyStep Allocations'!$C$9:$C$159, 0))</f>
        <v>19541600.692968059</v>
      </c>
      <c r="F145" s="241">
        <f>'2022-23 StepbyStep Allocations'!G133</f>
        <v>386.25</v>
      </c>
      <c r="G145" s="242">
        <f>'2022-23 StepbyStep Allocations'!F133</f>
        <v>4660</v>
      </c>
      <c r="H145" s="243">
        <f>INDEX('2022-23 StepbyStep Allocations'!$H$9:$H$159, MATCH(C145, '2022-23 StepbyStep Allocations'!$C$9:$C$159, 0))</f>
        <v>1799925</v>
      </c>
      <c r="I145" s="244">
        <f>'2022-23 StepbyStep Allocations'!BG133</f>
        <v>55.5</v>
      </c>
      <c r="J145" s="242">
        <f>'2022-23 StepbyStep Allocations'!BH133</f>
        <v>0</v>
      </c>
      <c r="K145" s="604">
        <f>INDEX('2022-23 StepbyStep Allocations'!$BI$9:$BI$159, MATCH(C145,'2022-23 StepbyStep Allocations'!$C$9:$C$159,0))</f>
        <v>333000</v>
      </c>
      <c r="L145" s="608">
        <f>INDEX('2022-23 StepbyStep Allocations'!$BF$9:$BF$159, MATCH(C145,'2022-23 StepbyStep Allocations'!$C$9:$C$159, 0))</f>
        <v>405341.806657821</v>
      </c>
      <c r="M145" s="331">
        <f t="shared" si="8"/>
        <v>21746867.49962588</v>
      </c>
      <c r="N145" s="243">
        <f t="shared" si="9"/>
        <v>22079867.49962588</v>
      </c>
      <c r="T145" s="468"/>
    </row>
    <row r="146" spans="2:20" s="203" customFormat="1" ht="15" x14ac:dyDescent="0.4">
      <c r="B146" s="245" t="s">
        <v>212</v>
      </c>
      <c r="C146" s="246">
        <v>333</v>
      </c>
      <c r="D146" s="247" t="s">
        <v>216</v>
      </c>
      <c r="E146" s="333">
        <f>INDEX('2022-23 StepbyStep Allocations'!$BN$9:$BN$159, MATCH(C146, '2022-23 StepbyStep Allocations'!$C$9:$C$159, 0))</f>
        <v>55776520.912302412</v>
      </c>
      <c r="F146" s="241">
        <f>'2022-23 StepbyStep Allocations'!G134</f>
        <v>720.83333200000004</v>
      </c>
      <c r="G146" s="242">
        <f>'2022-23 StepbyStep Allocations'!F134</f>
        <v>4684.5525360911679</v>
      </c>
      <c r="H146" s="243">
        <f>INDEX('2022-23 StepbyStep Allocations'!$H$9:$H$159, MATCH(C146, '2022-23 StepbyStep Allocations'!$C$9:$C$159, 0))</f>
        <v>3376781.6135196472</v>
      </c>
      <c r="I146" s="244">
        <f>'2022-23 StepbyStep Allocations'!BG134</f>
        <v>5.5</v>
      </c>
      <c r="J146" s="242">
        <f>'2022-23 StepbyStep Allocations'!BH134</f>
        <v>0</v>
      </c>
      <c r="K146" s="604">
        <f>INDEX('2022-23 StepbyStep Allocations'!$BI$9:$BI$159, MATCH(C146,'2022-23 StepbyStep Allocations'!$C$9:$C$159,0))</f>
        <v>33000</v>
      </c>
      <c r="L146" s="608">
        <f>INDEX('2022-23 StepbyStep Allocations'!$BF$9:$BF$159, MATCH(C146,'2022-23 StepbyStep Allocations'!$C$9:$C$159, 0))</f>
        <v>1452417.6341323005</v>
      </c>
      <c r="M146" s="331">
        <f t="shared" si="8"/>
        <v>60605720.159954362</v>
      </c>
      <c r="N146" s="243">
        <f t="shared" si="9"/>
        <v>60638720.159954362</v>
      </c>
      <c r="T146" s="468"/>
    </row>
    <row r="147" spans="2:20" s="203" customFormat="1" ht="15" x14ac:dyDescent="0.4">
      <c r="B147" s="245" t="s">
        <v>212</v>
      </c>
      <c r="C147" s="246">
        <v>893</v>
      </c>
      <c r="D147" s="247" t="s">
        <v>217</v>
      </c>
      <c r="E147" s="333">
        <f>INDEX('2022-23 StepbyStep Allocations'!$BN$9:$BN$159, MATCH(C147, '2022-23 StepbyStep Allocations'!$C$9:$C$159, 0))</f>
        <v>32533076.542096615</v>
      </c>
      <c r="F147" s="241">
        <f>'2022-23 StepbyStep Allocations'!G135</f>
        <v>532.5</v>
      </c>
      <c r="G147" s="242">
        <f>'2022-23 StepbyStep Allocations'!F135</f>
        <v>4660</v>
      </c>
      <c r="H147" s="243">
        <f>INDEX('2022-23 StepbyStep Allocations'!$H$9:$H$159, MATCH(C147, '2022-23 StepbyStep Allocations'!$C$9:$C$159, 0))</f>
        <v>2481450</v>
      </c>
      <c r="I147" s="244">
        <f>'2022-23 StepbyStep Allocations'!BG135</f>
        <v>-161</v>
      </c>
      <c r="J147" s="242">
        <f>'2022-23 StepbyStep Allocations'!BH135</f>
        <v>0</v>
      </c>
      <c r="K147" s="604">
        <f>INDEX('2022-23 StepbyStep Allocations'!$BI$9:$BI$159, MATCH(C147,'2022-23 StepbyStep Allocations'!$C$9:$C$159,0))</f>
        <v>-966000</v>
      </c>
      <c r="L147" s="608">
        <f>INDEX('2022-23 StepbyStep Allocations'!$BF$9:$BF$159, MATCH(C147,'2022-23 StepbyStep Allocations'!$C$9:$C$159, 0))</f>
        <v>284801.15589539963</v>
      </c>
      <c r="M147" s="331">
        <f t="shared" si="8"/>
        <v>35299327.697992012</v>
      </c>
      <c r="N147" s="243">
        <f t="shared" si="9"/>
        <v>34333327.697992012</v>
      </c>
      <c r="T147" s="468"/>
    </row>
    <row r="148" spans="2:20" s="203" customFormat="1" ht="15" x14ac:dyDescent="0.4">
      <c r="B148" s="245" t="s">
        <v>212</v>
      </c>
      <c r="C148" s="246">
        <v>334</v>
      </c>
      <c r="D148" s="247" t="s">
        <v>218</v>
      </c>
      <c r="E148" s="333">
        <f>INDEX('2022-23 StepbyStep Allocations'!$BN$9:$BN$159, MATCH(C148, '2022-23 StepbyStep Allocations'!$C$9:$C$159, 0))</f>
        <v>31970161.610898681</v>
      </c>
      <c r="F148" s="241">
        <f>'2022-23 StepbyStep Allocations'!G136</f>
        <v>820</v>
      </c>
      <c r="G148" s="242">
        <f>'2022-23 StepbyStep Allocations'!F136</f>
        <v>4684.5525360911679</v>
      </c>
      <c r="H148" s="243">
        <f>INDEX('2022-23 StepbyStep Allocations'!$H$9:$H$159, MATCH(C148, '2022-23 StepbyStep Allocations'!$C$9:$C$159, 0))</f>
        <v>3841333.0795947579</v>
      </c>
      <c r="I148" s="244">
        <f>'2022-23 StepbyStep Allocations'!BG136</f>
        <v>38.5</v>
      </c>
      <c r="J148" s="242">
        <f>'2022-23 StepbyStep Allocations'!BH136</f>
        <v>0</v>
      </c>
      <c r="K148" s="604">
        <f>INDEX('2022-23 StepbyStep Allocations'!$BI$9:$BI$159, MATCH(C148,'2022-23 StepbyStep Allocations'!$C$9:$C$159,0))</f>
        <v>231000</v>
      </c>
      <c r="L148" s="608">
        <f>INDEX('2022-23 StepbyStep Allocations'!$BF$9:$BF$159, MATCH(C148,'2022-23 StepbyStep Allocations'!$C$9:$C$159, 0))</f>
        <v>175552.91580629547</v>
      </c>
      <c r="M148" s="331">
        <f t="shared" si="8"/>
        <v>35987047.606299736</v>
      </c>
      <c r="N148" s="243">
        <f t="shared" si="9"/>
        <v>36218047.606299736</v>
      </c>
      <c r="T148" s="468"/>
    </row>
    <row r="149" spans="2:20" s="203" customFormat="1" ht="15" x14ac:dyDescent="0.4">
      <c r="B149" s="245" t="s">
        <v>212</v>
      </c>
      <c r="C149" s="246">
        <v>860</v>
      </c>
      <c r="D149" s="247" t="s">
        <v>219</v>
      </c>
      <c r="E149" s="333">
        <f>INDEX('2022-23 StepbyStep Allocations'!$BN$9:$BN$159, MATCH(C149, '2022-23 StepbyStep Allocations'!$C$9:$C$159, 0))</f>
        <v>94175628.085199803</v>
      </c>
      <c r="F149" s="241">
        <f>'2022-23 StepbyStep Allocations'!G137</f>
        <v>3009.4166639999999</v>
      </c>
      <c r="G149" s="242">
        <f>'2022-23 StepbyStep Allocations'!F137</f>
        <v>4660</v>
      </c>
      <c r="H149" s="243">
        <f>INDEX('2022-23 StepbyStep Allocations'!$H$9:$H$159, MATCH(C149, '2022-23 StepbyStep Allocations'!$C$9:$C$159, 0))</f>
        <v>14023881.654239999</v>
      </c>
      <c r="I149" s="244">
        <f>'2022-23 StepbyStep Allocations'!BG137</f>
        <v>152</v>
      </c>
      <c r="J149" s="242">
        <f>'2022-23 StepbyStep Allocations'!BH137</f>
        <v>6000</v>
      </c>
      <c r="K149" s="604">
        <f>INDEX('2022-23 StepbyStep Allocations'!$BI$9:$BI$159, MATCH(C149,'2022-23 StepbyStep Allocations'!$C$9:$C$159,0))</f>
        <v>918000</v>
      </c>
      <c r="L149" s="608">
        <f>INDEX('2022-23 StepbyStep Allocations'!$BF$9:$BF$159, MATCH(C149,'2022-23 StepbyStep Allocations'!$C$9:$C$159, 0))</f>
        <v>664179.75740900729</v>
      </c>
      <c r="M149" s="331">
        <f t="shared" si="8"/>
        <v>108863689.49684881</v>
      </c>
      <c r="N149" s="243">
        <f t="shared" si="9"/>
        <v>109781689.49684881</v>
      </c>
      <c r="T149" s="468"/>
    </row>
    <row r="150" spans="2:20" s="203" customFormat="1" ht="15" x14ac:dyDescent="0.4">
      <c r="B150" s="245" t="s">
        <v>212</v>
      </c>
      <c r="C150" s="246">
        <v>861</v>
      </c>
      <c r="D150" s="247" t="s">
        <v>220</v>
      </c>
      <c r="E150" s="333">
        <f>INDEX('2022-23 StepbyStep Allocations'!$BN$9:$BN$159, MATCH(C150, '2022-23 StepbyStep Allocations'!$C$9:$C$159, 0))</f>
        <v>42627176.513612561</v>
      </c>
      <c r="F150" s="241">
        <f>'2022-23 StepbyStep Allocations'!G138</f>
        <v>1115</v>
      </c>
      <c r="G150" s="242">
        <f>'2022-23 StepbyStep Allocations'!F138</f>
        <v>4660</v>
      </c>
      <c r="H150" s="243">
        <f>INDEX('2022-23 StepbyStep Allocations'!$H$9:$H$159, MATCH(C150, '2022-23 StepbyStep Allocations'!$C$9:$C$159, 0))</f>
        <v>5195900</v>
      </c>
      <c r="I150" s="244">
        <f>'2022-23 StepbyStep Allocations'!BG138</f>
        <v>-243</v>
      </c>
      <c r="J150" s="242">
        <f>'2022-23 StepbyStep Allocations'!BH138</f>
        <v>0</v>
      </c>
      <c r="K150" s="604">
        <f>INDEX('2022-23 StepbyStep Allocations'!$BI$9:$BI$159, MATCH(C150,'2022-23 StepbyStep Allocations'!$C$9:$C$159,0))</f>
        <v>-1458000</v>
      </c>
      <c r="L150" s="608">
        <f>INDEX('2022-23 StepbyStep Allocations'!$BF$9:$BF$159, MATCH(C150,'2022-23 StepbyStep Allocations'!$C$9:$C$159, 0))</f>
        <v>338284.80425600003</v>
      </c>
      <c r="M150" s="331">
        <f t="shared" si="8"/>
        <v>48161361.317868561</v>
      </c>
      <c r="N150" s="243">
        <f t="shared" ref="N150:N170" si="10">E150+H150+K150+L150</f>
        <v>46703361.317868561</v>
      </c>
      <c r="T150" s="468"/>
    </row>
    <row r="151" spans="2:20" s="203" customFormat="1" ht="15" x14ac:dyDescent="0.4">
      <c r="B151" s="245" t="s">
        <v>212</v>
      </c>
      <c r="C151" s="246">
        <v>894</v>
      </c>
      <c r="D151" s="247" t="s">
        <v>221</v>
      </c>
      <c r="E151" s="333">
        <f>INDEX('2022-23 StepbyStep Allocations'!$BN$9:$BN$159, MATCH(C151, '2022-23 StepbyStep Allocations'!$C$9:$C$159, 0))</f>
        <v>27759177.098125193</v>
      </c>
      <c r="F151" s="241">
        <f>'2022-23 StepbyStep Allocations'!G139</f>
        <v>702</v>
      </c>
      <c r="G151" s="242">
        <f>'2022-23 StepbyStep Allocations'!F139</f>
        <v>4660</v>
      </c>
      <c r="H151" s="243">
        <f>INDEX('2022-23 StepbyStep Allocations'!$H$9:$H$159, MATCH(C151, '2022-23 StepbyStep Allocations'!$C$9:$C$159, 0))</f>
        <v>3271320</v>
      </c>
      <c r="I151" s="244">
        <f>'2022-23 StepbyStep Allocations'!BG139</f>
        <v>-109</v>
      </c>
      <c r="J151" s="242">
        <f>'2022-23 StepbyStep Allocations'!BH139</f>
        <v>0</v>
      </c>
      <c r="K151" s="604">
        <f>INDEX('2022-23 StepbyStep Allocations'!$BI$9:$BI$159, MATCH(C151,'2022-23 StepbyStep Allocations'!$C$9:$C$159,0))</f>
        <v>-654000</v>
      </c>
      <c r="L151" s="608">
        <f>INDEX('2022-23 StepbyStep Allocations'!$BF$9:$BF$159, MATCH(C151,'2022-23 StepbyStep Allocations'!$C$9:$C$159, 0))</f>
        <v>88885.217659062851</v>
      </c>
      <c r="M151" s="331">
        <f t="shared" ref="M151:M171" si="11">E151+H151+L151</f>
        <v>31119382.315784257</v>
      </c>
      <c r="N151" s="243">
        <f t="shared" si="10"/>
        <v>30465382.315784257</v>
      </c>
      <c r="T151" s="468"/>
    </row>
    <row r="152" spans="2:20" s="203" customFormat="1" ht="15" x14ac:dyDescent="0.4">
      <c r="B152" s="245" t="s">
        <v>212</v>
      </c>
      <c r="C152" s="246">
        <v>335</v>
      </c>
      <c r="D152" s="247" t="s">
        <v>222</v>
      </c>
      <c r="E152" s="333">
        <f>INDEX('2022-23 StepbyStep Allocations'!$BN$9:$BN$159, MATCH(C152, '2022-23 StepbyStep Allocations'!$C$9:$C$159, 0))</f>
        <v>45124167.896753281</v>
      </c>
      <c r="F152" s="241">
        <f>'2022-23 StepbyStep Allocations'!G140</f>
        <v>811</v>
      </c>
      <c r="G152" s="242">
        <f>'2022-23 StepbyStep Allocations'!F140</f>
        <v>4684.5525360911679</v>
      </c>
      <c r="H152" s="243">
        <f>INDEX('2022-23 StepbyStep Allocations'!$H$9:$H$159, MATCH(C152, '2022-23 StepbyStep Allocations'!$C$9:$C$159, 0))</f>
        <v>3799172.1067699371</v>
      </c>
      <c r="I152" s="244">
        <f>'2022-23 StepbyStep Allocations'!BG140</f>
        <v>-61</v>
      </c>
      <c r="J152" s="242">
        <f>'2022-23 StepbyStep Allocations'!BH140</f>
        <v>30000</v>
      </c>
      <c r="K152" s="604">
        <f>INDEX('2022-23 StepbyStep Allocations'!$BI$9:$BI$159, MATCH(C152,'2022-23 StepbyStep Allocations'!$C$9:$C$159,0))</f>
        <v>-336000</v>
      </c>
      <c r="L152" s="608">
        <f>INDEX('2022-23 StepbyStep Allocations'!$BF$9:$BF$159, MATCH(C152,'2022-23 StepbyStep Allocations'!$C$9:$C$159, 0))</f>
        <v>144861.21892978213</v>
      </c>
      <c r="M152" s="331">
        <f t="shared" si="11"/>
        <v>49068201.222452998</v>
      </c>
      <c r="N152" s="243">
        <f t="shared" si="10"/>
        <v>48732201.222452998</v>
      </c>
      <c r="T152" s="468"/>
    </row>
    <row r="153" spans="2:20" s="203" customFormat="1" ht="15" x14ac:dyDescent="0.4">
      <c r="B153" s="245" t="s">
        <v>212</v>
      </c>
      <c r="C153" s="246">
        <v>937</v>
      </c>
      <c r="D153" s="247" t="s">
        <v>223</v>
      </c>
      <c r="E153" s="333">
        <f>INDEX('2022-23 StepbyStep Allocations'!$BN$9:$BN$159, MATCH(C153, '2022-23 StepbyStep Allocations'!$C$9:$C$159, 0))</f>
        <v>72616403.163566977</v>
      </c>
      <c r="F153" s="241">
        <f>'2022-23 StepbyStep Allocations'!G141</f>
        <v>1884.5</v>
      </c>
      <c r="G153" s="242">
        <f>'2022-23 StepbyStep Allocations'!F141</f>
        <v>4710.9233478586857</v>
      </c>
      <c r="H153" s="243">
        <f>INDEX('2022-23 StepbyStep Allocations'!$H$9:$H$159, MATCH(C153, '2022-23 StepbyStep Allocations'!$C$9:$C$159, 0))</f>
        <v>8877735.0490396935</v>
      </c>
      <c r="I153" s="244">
        <f>'2022-23 StepbyStep Allocations'!BG141</f>
        <v>105.5</v>
      </c>
      <c r="J153" s="242">
        <f>'2022-23 StepbyStep Allocations'!BH141</f>
        <v>51792</v>
      </c>
      <c r="K153" s="604">
        <f>INDEX('2022-23 StepbyStep Allocations'!$BI$9:$BI$159, MATCH(C153,'2022-23 StepbyStep Allocations'!$C$9:$C$159,0))</f>
        <v>684792</v>
      </c>
      <c r="L153" s="608">
        <f>INDEX('2022-23 StepbyStep Allocations'!$BF$9:$BF$159, MATCH(C153,'2022-23 StepbyStep Allocations'!$C$9:$C$159, 0))</f>
        <v>191347.13506416237</v>
      </c>
      <c r="M153" s="331">
        <f t="shared" si="11"/>
        <v>81685485.347670838</v>
      </c>
      <c r="N153" s="243">
        <f t="shared" si="10"/>
        <v>82370277.347670838</v>
      </c>
      <c r="T153" s="468"/>
    </row>
    <row r="154" spans="2:20" s="203" customFormat="1" ht="15" x14ac:dyDescent="0.4">
      <c r="B154" s="245" t="s">
        <v>212</v>
      </c>
      <c r="C154" s="246">
        <v>336</v>
      </c>
      <c r="D154" s="247" t="s">
        <v>224</v>
      </c>
      <c r="E154" s="333">
        <f>INDEX('2022-23 StepbyStep Allocations'!$BN$9:$BN$159, MATCH(C154, '2022-23 StepbyStep Allocations'!$C$9:$C$159, 0))</f>
        <v>45126083.827484332</v>
      </c>
      <c r="F154" s="241">
        <f>'2022-23 StepbyStep Allocations'!G142</f>
        <v>1022.999999</v>
      </c>
      <c r="G154" s="242">
        <f>'2022-23 StepbyStep Allocations'!F142</f>
        <v>4684.5525360911679</v>
      </c>
      <c r="H154" s="243">
        <f>INDEX('2022-23 StepbyStep Allocations'!$H$9:$H$159, MATCH(C154, '2022-23 StepbyStep Allocations'!$C$9:$C$159, 0))</f>
        <v>4792297.2397367125</v>
      </c>
      <c r="I154" s="244">
        <f>'2022-23 StepbyStep Allocations'!BG142</f>
        <v>-73</v>
      </c>
      <c r="J154" s="242">
        <f>'2022-23 StepbyStep Allocations'!BH142</f>
        <v>216000</v>
      </c>
      <c r="K154" s="604">
        <f>INDEX('2022-23 StepbyStep Allocations'!$BI$9:$BI$159, MATCH(C154,'2022-23 StepbyStep Allocations'!$C$9:$C$159,0))</f>
        <v>-222000</v>
      </c>
      <c r="L154" s="608">
        <f>INDEX('2022-23 StepbyStep Allocations'!$BF$9:$BF$159, MATCH(C154,'2022-23 StepbyStep Allocations'!$C$9:$C$159, 0))</f>
        <v>730034.65907196142</v>
      </c>
      <c r="M154" s="331">
        <f t="shared" si="11"/>
        <v>50648415.726293005</v>
      </c>
      <c r="N154" s="243">
        <f t="shared" si="10"/>
        <v>50426415.726293005</v>
      </c>
      <c r="T154" s="468"/>
    </row>
    <row r="155" spans="2:20" s="203" customFormat="1" ht="15" x14ac:dyDescent="0.4">
      <c r="B155" s="245" t="s">
        <v>212</v>
      </c>
      <c r="C155" s="246">
        <v>885</v>
      </c>
      <c r="D155" s="247" t="s">
        <v>225</v>
      </c>
      <c r="E155" s="333">
        <f>INDEX('2022-23 StepbyStep Allocations'!$BN$9:$BN$159, MATCH(C155, '2022-23 StepbyStep Allocations'!$C$9:$C$159, 0))</f>
        <v>67316100.340516031</v>
      </c>
      <c r="F155" s="241">
        <f>'2022-23 StepbyStep Allocations'!G143</f>
        <v>1784.5</v>
      </c>
      <c r="G155" s="242">
        <f>'2022-23 StepbyStep Allocations'!F143</f>
        <v>4660</v>
      </c>
      <c r="H155" s="243">
        <f>INDEX('2022-23 StepbyStep Allocations'!$H$9:$H$159, MATCH(C155, '2022-23 StepbyStep Allocations'!$C$9:$C$159, 0))</f>
        <v>8315770</v>
      </c>
      <c r="I155" s="244">
        <f>'2022-23 StepbyStep Allocations'!BG143</f>
        <v>-321</v>
      </c>
      <c r="J155" s="242">
        <f>'2022-23 StepbyStep Allocations'!BH143</f>
        <v>0</v>
      </c>
      <c r="K155" s="604">
        <f>INDEX('2022-23 StepbyStep Allocations'!$BI$9:$BI$159, MATCH(C155,'2022-23 StepbyStep Allocations'!$C$9:$C$159,0))</f>
        <v>-1926000</v>
      </c>
      <c r="L155" s="608">
        <f>INDEX('2022-23 StepbyStep Allocations'!$BF$9:$BF$159, MATCH(C155,'2022-23 StepbyStep Allocations'!$C$9:$C$159, 0))</f>
        <v>1040142.4896441649</v>
      </c>
      <c r="M155" s="331">
        <f t="shared" si="11"/>
        <v>76672012.830160201</v>
      </c>
      <c r="N155" s="243">
        <f t="shared" si="10"/>
        <v>74746012.830160201</v>
      </c>
      <c r="T155" s="468"/>
    </row>
    <row r="156" spans="2:20" s="203" customFormat="1" ht="15" x14ac:dyDescent="0.4">
      <c r="B156" s="245" t="s">
        <v>226</v>
      </c>
      <c r="C156" s="246">
        <v>370</v>
      </c>
      <c r="D156" s="247" t="s">
        <v>227</v>
      </c>
      <c r="E156" s="333">
        <f>INDEX('2022-23 StepbyStep Allocations'!$BN$9:$BN$159, MATCH(C156, '2022-23 StepbyStep Allocations'!$C$9:$C$159, 0))</f>
        <v>32232359.770817127</v>
      </c>
      <c r="F156" s="241">
        <f>'2022-23 StepbyStep Allocations'!G144</f>
        <v>605</v>
      </c>
      <c r="G156" s="242">
        <f>'2022-23 StepbyStep Allocations'!F144</f>
        <v>4660</v>
      </c>
      <c r="H156" s="243">
        <f>INDEX('2022-23 StepbyStep Allocations'!$H$9:$H$159, MATCH(C156, '2022-23 StepbyStep Allocations'!$C$9:$C$159, 0))</f>
        <v>2819300</v>
      </c>
      <c r="I156" s="244">
        <f>'2022-23 StepbyStep Allocations'!BG144</f>
        <v>-81</v>
      </c>
      <c r="J156" s="242">
        <f>'2022-23 StepbyStep Allocations'!BH144</f>
        <v>6000</v>
      </c>
      <c r="K156" s="604">
        <f>INDEX('2022-23 StepbyStep Allocations'!$BI$9:$BI$159, MATCH(C156,'2022-23 StepbyStep Allocations'!$C$9:$C$159,0))</f>
        <v>-480000</v>
      </c>
      <c r="L156" s="608">
        <f>INDEX('2022-23 StepbyStep Allocations'!$BF$9:$BF$159, MATCH(C156,'2022-23 StepbyStep Allocations'!$C$9:$C$159, 0))</f>
        <v>78465.16396125911</v>
      </c>
      <c r="M156" s="331">
        <f t="shared" si="11"/>
        <v>35130124.934778392</v>
      </c>
      <c r="N156" s="243">
        <f t="shared" si="10"/>
        <v>34650124.934778392</v>
      </c>
      <c r="T156" s="468"/>
    </row>
    <row r="157" spans="2:20" s="203" customFormat="1" ht="15" x14ac:dyDescent="0.4">
      <c r="B157" s="245" t="s">
        <v>226</v>
      </c>
      <c r="C157" s="246">
        <v>380</v>
      </c>
      <c r="D157" s="247" t="s">
        <v>228</v>
      </c>
      <c r="E157" s="333">
        <f>INDEX('2022-23 StepbyStep Allocations'!$BN$9:$BN$159, MATCH(C157, '2022-23 StepbyStep Allocations'!$C$9:$C$159, 0))</f>
        <v>93296915.560269311</v>
      </c>
      <c r="F157" s="241">
        <f>'2022-23 StepbyStep Allocations'!G145</f>
        <v>1502.5</v>
      </c>
      <c r="G157" s="242">
        <f>'2022-23 StepbyStep Allocations'!F145</f>
        <v>4661.174449151853</v>
      </c>
      <c r="H157" s="243">
        <f>INDEX('2022-23 StepbyStep Allocations'!$H$9:$H$159, MATCH(C157, '2022-23 StepbyStep Allocations'!$C$9:$C$159, 0))</f>
        <v>7003414.609850659</v>
      </c>
      <c r="I157" s="244">
        <f>'2022-23 StepbyStep Allocations'!BG145</f>
        <v>-243</v>
      </c>
      <c r="J157" s="242">
        <f>'2022-23 StepbyStep Allocations'!BH145</f>
        <v>0</v>
      </c>
      <c r="K157" s="604">
        <f>INDEX('2022-23 StepbyStep Allocations'!$BI$9:$BI$159, MATCH(C157,'2022-23 StepbyStep Allocations'!$C$9:$C$159,0))</f>
        <v>-1458000</v>
      </c>
      <c r="L157" s="608">
        <f>INDEX('2022-23 StepbyStep Allocations'!$BF$9:$BF$159, MATCH(C157,'2022-23 StepbyStep Allocations'!$C$9:$C$159, 0))</f>
        <v>2341136.7532800003</v>
      </c>
      <c r="M157" s="331">
        <f t="shared" si="11"/>
        <v>102641466.92339997</v>
      </c>
      <c r="N157" s="243">
        <f t="shared" si="10"/>
        <v>101183466.92339997</v>
      </c>
      <c r="T157" s="468"/>
    </row>
    <row r="158" spans="2:20" s="203" customFormat="1" ht="15" x14ac:dyDescent="0.4">
      <c r="B158" s="245" t="s">
        <v>226</v>
      </c>
      <c r="C158" s="246">
        <v>381</v>
      </c>
      <c r="D158" s="247" t="s">
        <v>229</v>
      </c>
      <c r="E158" s="333">
        <f>INDEX('2022-23 StepbyStep Allocations'!$BN$9:$BN$159, MATCH(C158, '2022-23 StepbyStep Allocations'!$C$9:$C$159, 0))</f>
        <v>26492866.200459231</v>
      </c>
      <c r="F158" s="241">
        <f>'2022-23 StepbyStep Allocations'!G146</f>
        <v>454.41666599999996</v>
      </c>
      <c r="G158" s="242">
        <f>'2022-23 StepbyStep Allocations'!F146</f>
        <v>4661.174449151853</v>
      </c>
      <c r="H158" s="243">
        <f>INDEX('2022-23 StepbyStep Allocations'!$H$9:$H$159, MATCH(C158, '2022-23 StepbyStep Allocations'!$C$9:$C$159, 0))</f>
        <v>2118115.3528279713</v>
      </c>
      <c r="I158" s="244">
        <f>'2022-23 StepbyStep Allocations'!BG146</f>
        <v>-33</v>
      </c>
      <c r="J158" s="242">
        <f>'2022-23 StepbyStep Allocations'!BH146</f>
        <v>0</v>
      </c>
      <c r="K158" s="604">
        <f>INDEX('2022-23 StepbyStep Allocations'!$BI$9:$BI$159, MATCH(C158,'2022-23 StepbyStep Allocations'!$C$9:$C$159,0))</f>
        <v>-198000</v>
      </c>
      <c r="L158" s="608">
        <f>INDEX('2022-23 StepbyStep Allocations'!$BF$9:$BF$159, MATCH(C158,'2022-23 StepbyStep Allocations'!$C$9:$C$159, 0))</f>
        <v>88272.622828087216</v>
      </c>
      <c r="M158" s="331">
        <f t="shared" si="11"/>
        <v>28699254.176115289</v>
      </c>
      <c r="N158" s="243">
        <f t="shared" si="10"/>
        <v>28501254.176115289</v>
      </c>
      <c r="T158" s="468"/>
    </row>
    <row r="159" spans="2:20" s="203" customFormat="1" ht="15" x14ac:dyDescent="0.4">
      <c r="B159" s="245" t="s">
        <v>226</v>
      </c>
      <c r="C159" s="246">
        <v>371</v>
      </c>
      <c r="D159" s="247" t="s">
        <v>230</v>
      </c>
      <c r="E159" s="333">
        <f>INDEX('2022-23 StepbyStep Allocations'!$BN$9:$BN$159, MATCH(C159, '2022-23 StepbyStep Allocations'!$C$9:$C$159, 0))</f>
        <v>42536398.680003814</v>
      </c>
      <c r="F159" s="241">
        <f>'2022-23 StepbyStep Allocations'!G147</f>
        <v>684.5</v>
      </c>
      <c r="G159" s="242">
        <f>'2022-23 StepbyStep Allocations'!F147</f>
        <v>4660</v>
      </c>
      <c r="H159" s="243">
        <f>INDEX('2022-23 StepbyStep Allocations'!$H$9:$H$159, MATCH(C159, '2022-23 StepbyStep Allocations'!$C$9:$C$159, 0))</f>
        <v>3189770</v>
      </c>
      <c r="I159" s="244">
        <f>'2022-23 StepbyStep Allocations'!BG147</f>
        <v>-76</v>
      </c>
      <c r="J159" s="242">
        <f>'2022-23 StepbyStep Allocations'!BH147</f>
        <v>706000</v>
      </c>
      <c r="K159" s="604">
        <f>INDEX('2022-23 StepbyStep Allocations'!$BI$9:$BI$159, MATCH(C159,'2022-23 StepbyStep Allocations'!$C$9:$C$159,0))</f>
        <v>250000</v>
      </c>
      <c r="L159" s="608">
        <f>INDEX('2022-23 StepbyStep Allocations'!$BF$9:$BF$159, MATCH(C159,'2022-23 StepbyStep Allocations'!$C$9:$C$159, 0))</f>
        <v>540658.73842460057</v>
      </c>
      <c r="M159" s="331">
        <f t="shared" si="11"/>
        <v>46266827.418428414</v>
      </c>
      <c r="N159" s="243">
        <f t="shared" si="10"/>
        <v>46516827.418428414</v>
      </c>
      <c r="T159" s="468"/>
    </row>
    <row r="160" spans="2:20" s="203" customFormat="1" ht="15" x14ac:dyDescent="0.4">
      <c r="B160" s="245" t="s">
        <v>226</v>
      </c>
      <c r="C160" s="246">
        <v>811</v>
      </c>
      <c r="D160" s="247" t="s">
        <v>231</v>
      </c>
      <c r="E160" s="333">
        <f>INDEX('2022-23 StepbyStep Allocations'!$BN$9:$BN$159, MATCH(C160, '2022-23 StepbyStep Allocations'!$C$9:$C$159, 0))</f>
        <v>31730626.027564041</v>
      </c>
      <c r="F160" s="241">
        <f>'2022-23 StepbyStep Allocations'!G148</f>
        <v>482</v>
      </c>
      <c r="G160" s="242">
        <f>'2022-23 StepbyStep Allocations'!F148</f>
        <v>4660</v>
      </c>
      <c r="H160" s="243">
        <f>INDEX('2022-23 StepbyStep Allocations'!$H$9:$H$159, MATCH(C160, '2022-23 StepbyStep Allocations'!$C$9:$C$159, 0))</f>
        <v>2246120</v>
      </c>
      <c r="I160" s="244">
        <f>'2022-23 StepbyStep Allocations'!BG148</f>
        <v>-158</v>
      </c>
      <c r="J160" s="242">
        <f>'2022-23 StepbyStep Allocations'!BH148</f>
        <v>0</v>
      </c>
      <c r="K160" s="604">
        <f>INDEX('2022-23 StepbyStep Allocations'!$BI$9:$BI$159, MATCH(C160,'2022-23 StepbyStep Allocations'!$C$9:$C$159,0))</f>
        <v>-948000</v>
      </c>
      <c r="L160" s="608">
        <f>INDEX('2022-23 StepbyStep Allocations'!$BF$9:$BF$159, MATCH(C160,'2022-23 StepbyStep Allocations'!$C$9:$C$159, 0))</f>
        <v>74574.188571428575</v>
      </c>
      <c r="M160" s="331">
        <f t="shared" si="11"/>
        <v>34051320.216135472</v>
      </c>
      <c r="N160" s="243">
        <f t="shared" si="10"/>
        <v>33103320.216135468</v>
      </c>
      <c r="T160" s="468"/>
    </row>
    <row r="161" spans="2:20" s="203" customFormat="1" ht="15" x14ac:dyDescent="0.4">
      <c r="B161" s="245" t="s">
        <v>226</v>
      </c>
      <c r="C161" s="246">
        <v>810</v>
      </c>
      <c r="D161" s="247" t="s">
        <v>232</v>
      </c>
      <c r="E161" s="333">
        <f>INDEX('2022-23 StepbyStep Allocations'!$BN$9:$BN$159, MATCH(C161, '2022-23 StepbyStep Allocations'!$C$9:$C$159, 0))</f>
        <v>40138562.34845724</v>
      </c>
      <c r="F161" s="241">
        <f>'2022-23 StepbyStep Allocations'!G149</f>
        <v>750</v>
      </c>
      <c r="G161" s="242">
        <f>'2022-23 StepbyStep Allocations'!F149</f>
        <v>4660</v>
      </c>
      <c r="H161" s="243">
        <f>INDEX('2022-23 StepbyStep Allocations'!$H$9:$H$159, MATCH(C161, '2022-23 StepbyStep Allocations'!$C$9:$C$159, 0))</f>
        <v>3495000</v>
      </c>
      <c r="I161" s="244">
        <f>'2022-23 StepbyStep Allocations'!BG149</f>
        <v>-38</v>
      </c>
      <c r="J161" s="242">
        <f>'2022-23 StepbyStep Allocations'!BH149</f>
        <v>0</v>
      </c>
      <c r="K161" s="604">
        <f>INDEX('2022-23 StepbyStep Allocations'!$BI$9:$BI$159, MATCH(C161,'2022-23 StepbyStep Allocations'!$C$9:$C$159,0))</f>
        <v>-228000</v>
      </c>
      <c r="L161" s="608">
        <f>INDEX('2022-23 StepbyStep Allocations'!$BF$9:$BF$159, MATCH(C161,'2022-23 StepbyStep Allocations'!$C$9:$C$159, 0))</f>
        <v>606832.74598547234</v>
      </c>
      <c r="M161" s="331">
        <f t="shared" si="11"/>
        <v>44240395.09444271</v>
      </c>
      <c r="N161" s="243">
        <f t="shared" si="10"/>
        <v>44012395.09444271</v>
      </c>
      <c r="T161" s="468"/>
    </row>
    <row r="162" spans="2:20" s="203" customFormat="1" ht="15" x14ac:dyDescent="0.4">
      <c r="B162" s="245" t="s">
        <v>226</v>
      </c>
      <c r="C162" s="246">
        <v>382</v>
      </c>
      <c r="D162" s="247" t="s">
        <v>233</v>
      </c>
      <c r="E162" s="333">
        <f>INDEX('2022-23 StepbyStep Allocations'!$BN$9:$BN$159, MATCH(C162, '2022-23 StepbyStep Allocations'!$C$9:$C$159, 0))</f>
        <v>50067999.281662136</v>
      </c>
      <c r="F162" s="241">
        <f>'2022-23 StepbyStep Allocations'!G150</f>
        <v>871</v>
      </c>
      <c r="G162" s="242">
        <f>'2022-23 StepbyStep Allocations'!F150</f>
        <v>4661.174449151853</v>
      </c>
      <c r="H162" s="243">
        <f>INDEX('2022-23 StepbyStep Allocations'!$H$9:$H$159, MATCH(C162, '2022-23 StepbyStep Allocations'!$C$9:$C$159, 0))</f>
        <v>4059882.9452112638</v>
      </c>
      <c r="I162" s="244">
        <f>'2022-23 StepbyStep Allocations'!BG150</f>
        <v>-100</v>
      </c>
      <c r="J162" s="242">
        <f>'2022-23 StepbyStep Allocations'!BH150</f>
        <v>0</v>
      </c>
      <c r="K162" s="604">
        <f>INDEX('2022-23 StepbyStep Allocations'!$BI$9:$BI$159, MATCH(C162,'2022-23 StepbyStep Allocations'!$C$9:$C$159,0))</f>
        <v>-600000</v>
      </c>
      <c r="L162" s="608">
        <f>INDEX('2022-23 StepbyStep Allocations'!$BF$9:$BF$159, MATCH(C162,'2022-23 StepbyStep Allocations'!$C$9:$C$159, 0))</f>
        <v>162792.5075641647</v>
      </c>
      <c r="M162" s="331">
        <f t="shared" si="11"/>
        <v>54290674.734437563</v>
      </c>
      <c r="N162" s="243">
        <f t="shared" si="10"/>
        <v>53690674.734437563</v>
      </c>
      <c r="T162" s="468"/>
    </row>
    <row r="163" spans="2:20" s="203" customFormat="1" ht="15" x14ac:dyDescent="0.4">
      <c r="B163" s="245" t="s">
        <v>226</v>
      </c>
      <c r="C163" s="246">
        <v>383</v>
      </c>
      <c r="D163" s="247" t="s">
        <v>234</v>
      </c>
      <c r="E163" s="333">
        <f>INDEX('2022-23 StepbyStep Allocations'!$BN$9:$BN$159, MATCH(C163, '2022-23 StepbyStep Allocations'!$C$9:$C$159, 0))</f>
        <v>98647386.021427795</v>
      </c>
      <c r="F163" s="241">
        <f>'2022-23 StepbyStep Allocations'!G151</f>
        <v>1776.5</v>
      </c>
      <c r="G163" s="242">
        <f>'2022-23 StepbyStep Allocations'!F151</f>
        <v>4661.174449151853</v>
      </c>
      <c r="H163" s="243">
        <f>INDEX('2022-23 StepbyStep Allocations'!$H$9:$H$159, MATCH(C163, '2022-23 StepbyStep Allocations'!$C$9:$C$159, 0))</f>
        <v>8280576.4089182671</v>
      </c>
      <c r="I163" s="244">
        <f>'2022-23 StepbyStep Allocations'!BG151</f>
        <v>-65</v>
      </c>
      <c r="J163" s="242">
        <f>'2022-23 StepbyStep Allocations'!BH151</f>
        <v>0</v>
      </c>
      <c r="K163" s="604">
        <f>INDEX('2022-23 StepbyStep Allocations'!$BI$9:$BI$159, MATCH(C163,'2022-23 StepbyStep Allocations'!$C$9:$C$159,0))</f>
        <v>-390000</v>
      </c>
      <c r="L163" s="608">
        <f>INDEX('2022-23 StepbyStep Allocations'!$BF$9:$BF$159, MATCH(C163,'2022-23 StepbyStep Allocations'!$C$9:$C$159, 0))</f>
        <v>1918491.9944067802</v>
      </c>
      <c r="M163" s="331">
        <f t="shared" si="11"/>
        <v>108846454.42475283</v>
      </c>
      <c r="N163" s="243">
        <f t="shared" si="10"/>
        <v>108456454.42475283</v>
      </c>
      <c r="T163" s="468"/>
    </row>
    <row r="164" spans="2:20" s="203" customFormat="1" ht="15" x14ac:dyDescent="0.4">
      <c r="B164" s="245" t="s">
        <v>226</v>
      </c>
      <c r="C164" s="246">
        <v>812</v>
      </c>
      <c r="D164" s="247" t="s">
        <v>235</v>
      </c>
      <c r="E164" s="333">
        <f>INDEX('2022-23 StepbyStep Allocations'!$BN$9:$BN$159, MATCH(C164, '2022-23 StepbyStep Allocations'!$C$9:$C$159, 0))</f>
        <v>23522381.280416593</v>
      </c>
      <c r="F164" s="241">
        <f>'2022-23 StepbyStep Allocations'!G152</f>
        <v>420.75</v>
      </c>
      <c r="G164" s="242">
        <f>'2022-23 StepbyStep Allocations'!F152</f>
        <v>4660</v>
      </c>
      <c r="H164" s="243">
        <f>INDEX('2022-23 StepbyStep Allocations'!$H$9:$H$159, MATCH(C164, '2022-23 StepbyStep Allocations'!$C$9:$C$159, 0))</f>
        <v>1960695</v>
      </c>
      <c r="I164" s="244">
        <f>'2022-23 StepbyStep Allocations'!BG152</f>
        <v>101</v>
      </c>
      <c r="J164" s="242">
        <f>'2022-23 StepbyStep Allocations'!BH152</f>
        <v>0</v>
      </c>
      <c r="K164" s="604">
        <f>INDEX('2022-23 StepbyStep Allocations'!$BI$9:$BI$159, MATCH(C164,'2022-23 StepbyStep Allocations'!$C$9:$C$159,0))</f>
        <v>606000</v>
      </c>
      <c r="L164" s="608">
        <f>INDEX('2022-23 StepbyStep Allocations'!$BF$9:$BF$159, MATCH(C164,'2022-23 StepbyStep Allocations'!$C$9:$C$159, 0))</f>
        <v>114831.05142857143</v>
      </c>
      <c r="M164" s="331">
        <f t="shared" si="11"/>
        <v>25597907.331845164</v>
      </c>
      <c r="N164" s="243">
        <f t="shared" si="10"/>
        <v>26203907.331845164</v>
      </c>
      <c r="T164" s="468"/>
    </row>
    <row r="165" spans="2:20" s="203" customFormat="1" ht="15" x14ac:dyDescent="0.4">
      <c r="B165" s="245" t="s">
        <v>226</v>
      </c>
      <c r="C165" s="246">
        <v>813</v>
      </c>
      <c r="D165" s="247" t="s">
        <v>236</v>
      </c>
      <c r="E165" s="333">
        <f>INDEX('2022-23 StepbyStep Allocations'!$BN$9:$BN$159, MATCH(C165, '2022-23 StepbyStep Allocations'!$C$9:$C$159, 0))</f>
        <v>22150660.930145483</v>
      </c>
      <c r="F165" s="241">
        <f>'2022-23 StepbyStep Allocations'!G153</f>
        <v>387</v>
      </c>
      <c r="G165" s="242">
        <f>'2022-23 StepbyStep Allocations'!F153</f>
        <v>4660</v>
      </c>
      <c r="H165" s="243">
        <f>INDEX('2022-23 StepbyStep Allocations'!$H$9:$H$159, MATCH(C165, '2022-23 StepbyStep Allocations'!$C$9:$C$159, 0))</f>
        <v>1803420</v>
      </c>
      <c r="I165" s="244">
        <f>'2022-23 StepbyStep Allocations'!BG153</f>
        <v>-71</v>
      </c>
      <c r="J165" s="242">
        <f>'2022-23 StepbyStep Allocations'!BH153</f>
        <v>0</v>
      </c>
      <c r="K165" s="604">
        <f>INDEX('2022-23 StepbyStep Allocations'!$BI$9:$BI$159, MATCH(C165,'2022-23 StepbyStep Allocations'!$C$9:$C$159,0))</f>
        <v>-426000</v>
      </c>
      <c r="L165" s="608">
        <f>INDEX('2022-23 StepbyStep Allocations'!$BF$9:$BF$159, MATCH(C165,'2022-23 StepbyStep Allocations'!$C$9:$C$159, 0))</f>
        <v>52795.885714285709</v>
      </c>
      <c r="M165" s="331">
        <f t="shared" si="11"/>
        <v>24006876.815859769</v>
      </c>
      <c r="N165" s="243">
        <f t="shared" si="10"/>
        <v>23580876.815859769</v>
      </c>
      <c r="T165" s="468"/>
    </row>
    <row r="166" spans="2:20" s="203" customFormat="1" ht="15" x14ac:dyDescent="0.4">
      <c r="B166" s="245" t="s">
        <v>226</v>
      </c>
      <c r="C166" s="246">
        <v>815</v>
      </c>
      <c r="D166" s="247" t="s">
        <v>237</v>
      </c>
      <c r="E166" s="333">
        <f>INDEX('2022-23 StepbyStep Allocations'!$BN$9:$BN$159, MATCH(C166, '2022-23 StepbyStep Allocations'!$C$9:$C$159, 0))</f>
        <v>63776815.052314669</v>
      </c>
      <c r="F166" s="241">
        <f>'2022-23 StepbyStep Allocations'!G154</f>
        <v>1147.5</v>
      </c>
      <c r="G166" s="242">
        <f>'2022-23 StepbyStep Allocations'!F154</f>
        <v>4660</v>
      </c>
      <c r="H166" s="243">
        <f>INDEX('2022-23 StepbyStep Allocations'!$H$9:$H$159, MATCH(C166, '2022-23 StepbyStep Allocations'!$C$9:$C$159, 0))</f>
        <v>5347350</v>
      </c>
      <c r="I166" s="244">
        <f>'2022-23 StepbyStep Allocations'!BG154</f>
        <v>-198.5</v>
      </c>
      <c r="J166" s="242">
        <f>'2022-23 StepbyStep Allocations'!BH154</f>
        <v>6000</v>
      </c>
      <c r="K166" s="604">
        <f>INDEX('2022-23 StepbyStep Allocations'!$BI$9:$BI$159, MATCH(C166,'2022-23 StepbyStep Allocations'!$C$9:$C$159,0))</f>
        <v>-1185000</v>
      </c>
      <c r="L166" s="608">
        <f>INDEX('2022-23 StepbyStep Allocations'!$BF$9:$BF$159, MATCH(C166,'2022-23 StepbyStep Allocations'!$C$9:$C$159, 0))</f>
        <v>318682.91431767563</v>
      </c>
      <c r="M166" s="331">
        <f t="shared" si="11"/>
        <v>69442847.966632351</v>
      </c>
      <c r="N166" s="243">
        <f t="shared" si="10"/>
        <v>68257847.966632351</v>
      </c>
      <c r="T166" s="468"/>
    </row>
    <row r="167" spans="2:20" s="203" customFormat="1" ht="15" x14ac:dyDescent="0.4">
      <c r="B167" s="245" t="s">
        <v>226</v>
      </c>
      <c r="C167" s="246">
        <v>372</v>
      </c>
      <c r="D167" s="247" t="s">
        <v>238</v>
      </c>
      <c r="E167" s="333">
        <f>INDEX('2022-23 StepbyStep Allocations'!$BN$9:$BN$159, MATCH(C167, '2022-23 StepbyStep Allocations'!$C$9:$C$159, 0))</f>
        <v>40857732.021557964</v>
      </c>
      <c r="F167" s="241">
        <f>'2022-23 StepbyStep Allocations'!G155</f>
        <v>984.83333199999993</v>
      </c>
      <c r="G167" s="242">
        <f>'2022-23 StepbyStep Allocations'!F155</f>
        <v>4660</v>
      </c>
      <c r="H167" s="243">
        <f>INDEX('2022-23 StepbyStep Allocations'!$H$9:$H$159, MATCH(C167, '2022-23 StepbyStep Allocations'!$C$9:$C$159, 0))</f>
        <v>4589323.3271199996</v>
      </c>
      <c r="I167" s="244">
        <f>'2022-23 StepbyStep Allocations'!BG155</f>
        <v>120.5</v>
      </c>
      <c r="J167" s="242">
        <f>'2022-23 StepbyStep Allocations'!BH155</f>
        <v>0</v>
      </c>
      <c r="K167" s="604">
        <f>INDEX('2022-23 StepbyStep Allocations'!$BI$9:$BI$159, MATCH(C167,'2022-23 StepbyStep Allocations'!$C$9:$C$159,0))</f>
        <v>723000</v>
      </c>
      <c r="L167" s="608">
        <f>INDEX('2022-23 StepbyStep Allocations'!$BF$9:$BF$159, MATCH(C167,'2022-23 StepbyStep Allocations'!$C$9:$C$159, 0))</f>
        <v>238503.32851331728</v>
      </c>
      <c r="M167" s="331">
        <f t="shared" si="11"/>
        <v>45685558.67719128</v>
      </c>
      <c r="N167" s="243">
        <f t="shared" si="10"/>
        <v>46408558.67719128</v>
      </c>
      <c r="T167" s="468"/>
    </row>
    <row r="168" spans="2:20" s="203" customFormat="1" ht="15" x14ac:dyDescent="0.4">
      <c r="B168" s="245" t="s">
        <v>226</v>
      </c>
      <c r="C168" s="246">
        <v>373</v>
      </c>
      <c r="D168" s="247" t="s">
        <v>239</v>
      </c>
      <c r="E168" s="333">
        <f>INDEX('2022-23 StepbyStep Allocations'!$BN$9:$BN$159, MATCH(C168, '2022-23 StepbyStep Allocations'!$C$9:$C$159, 0))</f>
        <v>75853895.081067234</v>
      </c>
      <c r="F168" s="241">
        <f>'2022-23 StepbyStep Allocations'!G156</f>
        <v>1268.25</v>
      </c>
      <c r="G168" s="242">
        <f>'2022-23 StepbyStep Allocations'!F156</f>
        <v>4660</v>
      </c>
      <c r="H168" s="243">
        <f>INDEX('2022-23 StepbyStep Allocations'!$H$9:$H$159, MATCH(C168, '2022-23 StepbyStep Allocations'!$C$9:$C$159, 0))</f>
        <v>5910045</v>
      </c>
      <c r="I168" s="244">
        <f>'2022-23 StepbyStep Allocations'!BG156</f>
        <v>-80.5</v>
      </c>
      <c r="J168" s="242">
        <f>'2022-23 StepbyStep Allocations'!BH156</f>
        <v>0</v>
      </c>
      <c r="K168" s="604">
        <f>INDEX('2022-23 StepbyStep Allocations'!$BI$9:$BI$159, MATCH(C168,'2022-23 StepbyStep Allocations'!$C$9:$C$159,0))</f>
        <v>-483000</v>
      </c>
      <c r="L168" s="608">
        <f>INDEX('2022-23 StepbyStep Allocations'!$BF$9:$BF$159, MATCH(C168,'2022-23 StepbyStep Allocations'!$C$9:$C$159, 0))</f>
        <v>2232136.9434400643</v>
      </c>
      <c r="M168" s="331">
        <f t="shared" si="11"/>
        <v>83996077.024507299</v>
      </c>
      <c r="N168" s="243">
        <f t="shared" si="10"/>
        <v>83513077.024507299</v>
      </c>
      <c r="T168" s="468"/>
    </row>
    <row r="169" spans="2:20" s="203" customFormat="1" ht="15" x14ac:dyDescent="0.4">
      <c r="B169" s="245" t="s">
        <v>226</v>
      </c>
      <c r="C169" s="246">
        <v>384</v>
      </c>
      <c r="D169" s="247" t="s">
        <v>240</v>
      </c>
      <c r="E169" s="333">
        <f>INDEX('2022-23 StepbyStep Allocations'!$BN$9:$BN$159, MATCH(C169, '2022-23 StepbyStep Allocations'!$C$9:$C$159, 0))</f>
        <v>42368343.51390519</v>
      </c>
      <c r="F169" s="241">
        <f>'2022-23 StepbyStep Allocations'!G157</f>
        <v>617.5</v>
      </c>
      <c r="G169" s="242">
        <f>'2022-23 StepbyStep Allocations'!F157</f>
        <v>4661.174449151853</v>
      </c>
      <c r="H169" s="243">
        <f>INDEX('2022-23 StepbyStep Allocations'!$H$9:$H$159, MATCH(C169, '2022-23 StepbyStep Allocations'!$C$9:$C$159, 0))</f>
        <v>2878275.2223512693</v>
      </c>
      <c r="I169" s="244">
        <f>'2022-23 StepbyStep Allocations'!BG157</f>
        <v>-20.5</v>
      </c>
      <c r="J169" s="242">
        <f>'2022-23 StepbyStep Allocations'!BH157</f>
        <v>0</v>
      </c>
      <c r="K169" s="604">
        <f>INDEX('2022-23 StepbyStep Allocations'!$BI$9:$BI$159, MATCH(C169,'2022-23 StepbyStep Allocations'!$C$9:$C$159,0))</f>
        <v>-123000</v>
      </c>
      <c r="L169" s="608">
        <f>INDEX('2022-23 StepbyStep Allocations'!$BF$9:$BF$159, MATCH(C169,'2022-23 StepbyStep Allocations'!$C$9:$C$159, 0))</f>
        <v>1047410.5909215491</v>
      </c>
      <c r="M169" s="331">
        <f t="shared" si="11"/>
        <v>46294029.327178009</v>
      </c>
      <c r="N169" s="243">
        <f t="shared" si="10"/>
        <v>46171029.327178009</v>
      </c>
      <c r="T169" s="468"/>
    </row>
    <row r="170" spans="2:20" s="203" customFormat="1" ht="15" x14ac:dyDescent="0.4">
      <c r="B170" s="245" t="s">
        <v>226</v>
      </c>
      <c r="C170" s="246">
        <v>816</v>
      </c>
      <c r="D170" s="247" t="s">
        <v>241</v>
      </c>
      <c r="E170" s="333">
        <f>INDEX('2022-23 StepbyStep Allocations'!$BN$9:$BN$159, MATCH(C170, '2022-23 StepbyStep Allocations'!$C$9:$C$159, 0))</f>
        <v>21247333.103502177</v>
      </c>
      <c r="F170" s="241">
        <f>'2022-23 StepbyStep Allocations'!G158</f>
        <v>294</v>
      </c>
      <c r="G170" s="242">
        <f>'2022-23 StepbyStep Allocations'!F158</f>
        <v>4660</v>
      </c>
      <c r="H170" s="243">
        <f>INDEX('2022-23 StepbyStep Allocations'!$H$9:$H$159, MATCH(C170, '2022-23 StepbyStep Allocations'!$C$9:$C$159, 0))</f>
        <v>1370040</v>
      </c>
      <c r="I170" s="244">
        <f>'2022-23 StepbyStep Allocations'!BG158</f>
        <v>190.5</v>
      </c>
      <c r="J170" s="242">
        <f>'2022-23 StepbyStep Allocations'!BH158</f>
        <v>0</v>
      </c>
      <c r="K170" s="604">
        <f>INDEX('2022-23 StepbyStep Allocations'!$BI$9:$BI$159, MATCH(C170,'2022-23 StepbyStep Allocations'!$C$9:$C$159,0))</f>
        <v>1143000</v>
      </c>
      <c r="L170" s="608">
        <f>INDEX('2022-23 StepbyStep Allocations'!$BF$9:$BF$159, MATCH(C170,'2022-23 StepbyStep Allocations'!$C$9:$C$159, 0))</f>
        <v>450979.72325892502</v>
      </c>
      <c r="M170" s="331">
        <f t="shared" si="11"/>
        <v>23068352.8267611</v>
      </c>
      <c r="N170" s="243">
        <f t="shared" si="10"/>
        <v>24211352.8267611</v>
      </c>
      <c r="T170" s="468"/>
    </row>
    <row r="171" spans="2:20" s="203" customFormat="1" ht="15.4" thickBot="1" x14ac:dyDescent="0.45">
      <c r="B171" s="248" t="s">
        <v>14</v>
      </c>
      <c r="C171" s="249">
        <v>9999</v>
      </c>
      <c r="D171" s="250" t="s">
        <v>14</v>
      </c>
      <c r="E171" s="332">
        <f>INDEX('2022-23 StepbyStep Allocations'!$BN$9:$BN$159, MATCH(C171, '2022-23 StepbyStep Allocations'!$C$9:$C$159, 0))</f>
        <v>0</v>
      </c>
      <c r="F171" s="459">
        <f>'2022-23 StepbyStep Allocations'!G159</f>
        <v>10146.75</v>
      </c>
      <c r="G171" s="251">
        <f>'2022-23 StepbyStep Allocations'!F159</f>
        <v>4660</v>
      </c>
      <c r="H171" s="252">
        <f>INDEX('2022-23 StepbyStep Allocations'!$H$9:$H$159, MATCH(C171, '2022-23 StepbyStep Allocations'!$C$9:$C$159, 0))</f>
        <v>47283855</v>
      </c>
      <c r="I171" s="259">
        <f>'2022-23 StepbyStep Allocations'!BG159</f>
        <v>11543.25</v>
      </c>
      <c r="J171" s="260">
        <f>'2022-23 StepbyStep Allocations'!BH159</f>
        <v>0</v>
      </c>
      <c r="K171" s="605">
        <f>INDEX('2022-23 StepbyStep Allocations'!$BI$9:$BI$159, MATCH(C171,'2022-23 StepbyStep Allocations'!$C$9:$C$159,0))</f>
        <v>69259500</v>
      </c>
      <c r="L171" s="609">
        <f>INDEX('2022-23 StepbyStep Allocations'!$BF$9:$BF$159, MATCH(C171,'2022-23 StepbyStep Allocations'!$C$9:$C$159, 0))</f>
        <v>0</v>
      </c>
      <c r="M171" s="330">
        <f t="shared" si="11"/>
        <v>47283855</v>
      </c>
      <c r="N171" s="253">
        <f>E171+H171+K171+L171</f>
        <v>116543355</v>
      </c>
      <c r="T171" s="468"/>
    </row>
  </sheetData>
  <sortState xmlns:xlrd2="http://schemas.microsoft.com/office/spreadsheetml/2017/richdata2" ref="C22:D30">
    <sortCondition ref="D22:D30"/>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21D9C-C7F8-4257-A56B-35B470DB730F}">
  <sheetPr codeName="Sheet37">
    <tabColor theme="4"/>
  </sheetPr>
  <dimension ref="A1:BU162"/>
  <sheetViews>
    <sheetView showGridLines="0" zoomScale="70" zoomScaleNormal="70" workbookViewId="0"/>
  </sheetViews>
  <sheetFormatPr defaultColWidth="19" defaultRowHeight="14.25" outlineLevelCol="2" x14ac:dyDescent="0.45"/>
  <cols>
    <col min="1" max="1" width="6.265625" style="38" customWidth="1"/>
    <col min="2" max="2" width="39" customWidth="1"/>
    <col min="3" max="3" width="13.59765625" customWidth="1"/>
    <col min="4" max="4" width="36.265625" customWidth="1"/>
    <col min="6" max="6" width="19" customWidth="1" outlineLevel="1"/>
    <col min="7" max="7" width="20.3984375" customWidth="1" outlineLevel="1"/>
    <col min="9" max="9" width="23.265625" customWidth="1"/>
    <col min="10" max="11" width="19" customWidth="1" outlineLevel="1"/>
    <col min="13" max="14" width="19" customWidth="1" outlineLevel="1"/>
    <col min="16" max="17" width="19" customWidth="1" outlineLevel="2"/>
    <col min="18" max="18" width="19" customWidth="1" outlineLevel="1"/>
    <col min="19" max="20" width="19" customWidth="1" outlineLevel="2"/>
    <col min="21" max="21" width="19" customWidth="1" outlineLevel="1"/>
    <col min="22" max="23" width="19" customWidth="1" outlineLevel="2"/>
    <col min="24" max="24" width="19" customWidth="1" outlineLevel="1"/>
    <col min="25" max="26" width="19" customWidth="1" outlineLevel="2"/>
    <col min="27" max="27" width="19" customWidth="1" outlineLevel="1"/>
    <col min="28" max="29" width="19" customWidth="1" outlineLevel="2"/>
    <col min="30" max="30" width="19" customWidth="1" outlineLevel="1"/>
    <col min="31" max="32" width="19" customWidth="1" outlineLevel="2"/>
    <col min="33" max="33" width="19" customWidth="1" outlineLevel="1"/>
    <col min="34" max="34" width="22.59765625" customWidth="1"/>
    <col min="35" max="36" width="19" customWidth="1" outlineLevel="1"/>
    <col min="38" max="39" width="19" customWidth="1" outlineLevel="1"/>
    <col min="41" max="41" width="19" customWidth="1" outlineLevel="1"/>
    <col min="42" max="42" width="20.73046875" customWidth="1" outlineLevel="1"/>
    <col min="44" max="45" width="19" customWidth="1" outlineLevel="1"/>
    <col min="47" max="47" width="23.59765625" bestFit="1" customWidth="1"/>
    <col min="48" max="48" width="23.265625" customWidth="1" outlineLevel="1"/>
    <col min="49" max="49" width="19" customWidth="1" outlineLevel="1"/>
    <col min="50" max="55" width="23.265625" customWidth="1" outlineLevel="1"/>
    <col min="56" max="57" width="23.265625" customWidth="1"/>
    <col min="58" max="58" width="46" customWidth="1"/>
    <col min="59" max="60" width="28.73046875" customWidth="1" outlineLevel="1"/>
    <col min="61" max="61" width="30.265625" customWidth="1"/>
    <col min="62" max="62" width="25.265625" customWidth="1"/>
    <col min="63" max="63" width="33.3984375" customWidth="1"/>
    <col min="64" max="64" width="23.265625" customWidth="1"/>
    <col min="65" max="65" width="33.265625" customWidth="1"/>
    <col min="66" max="66" width="43.06640625" customWidth="1"/>
    <col min="67" max="69" width="37.1328125" customWidth="1"/>
  </cols>
  <sheetData>
    <row r="1" spans="1:73" ht="25.15" x14ac:dyDescent="0.7">
      <c r="A1" s="32"/>
      <c r="B1" s="33" t="s">
        <v>474</v>
      </c>
      <c r="C1" s="34"/>
      <c r="D1" s="34"/>
      <c r="E1" s="35"/>
      <c r="H1" s="35"/>
      <c r="I1" s="36"/>
      <c r="J1" s="37"/>
      <c r="K1" s="34"/>
      <c r="L1" s="34"/>
      <c r="M1" s="35"/>
      <c r="N1" s="34"/>
      <c r="O1" s="34"/>
      <c r="P1" s="34"/>
      <c r="Q1" s="34"/>
      <c r="R1" s="34"/>
      <c r="S1" s="34"/>
      <c r="T1" s="34"/>
      <c r="U1" s="34"/>
      <c r="V1" s="34"/>
      <c r="W1" s="34"/>
      <c r="X1" s="34"/>
      <c r="Y1" s="35"/>
      <c r="Z1" s="34"/>
      <c r="AA1" s="34"/>
      <c r="AB1" s="35"/>
      <c r="AC1" s="34"/>
      <c r="AD1" s="34"/>
      <c r="AE1" s="35"/>
      <c r="AF1" s="34"/>
      <c r="AG1" s="34"/>
      <c r="AH1" s="35"/>
      <c r="AI1" s="34"/>
      <c r="AJ1" s="34"/>
      <c r="AK1" s="34"/>
      <c r="AL1" s="35"/>
      <c r="AM1" s="35"/>
      <c r="AN1" s="35"/>
      <c r="AO1" s="34"/>
      <c r="AP1" s="34"/>
      <c r="AQ1" s="34"/>
      <c r="AR1" s="34"/>
      <c r="AS1" s="37"/>
      <c r="AT1" s="34"/>
      <c r="AU1" s="34"/>
      <c r="AV1" s="34"/>
      <c r="BB1" s="38"/>
      <c r="BC1" s="38"/>
      <c r="BD1" s="38"/>
      <c r="BE1" s="38"/>
      <c r="BF1" s="34"/>
      <c r="BG1" s="34"/>
      <c r="BH1" s="589"/>
      <c r="BI1" s="34"/>
      <c r="BJ1" s="34"/>
      <c r="BK1" s="34"/>
      <c r="BL1" s="34"/>
      <c r="BM1" s="39"/>
      <c r="BN1" s="38"/>
      <c r="BO1" s="38"/>
      <c r="BP1" s="38"/>
      <c r="BQ1" s="34"/>
    </row>
    <row r="2" spans="1:73" ht="25.15" x14ac:dyDescent="0.7">
      <c r="A2" s="32"/>
      <c r="B2" s="35"/>
      <c r="C2" s="34"/>
      <c r="D2" s="34"/>
      <c r="E2" s="35"/>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BF2" s="40"/>
      <c r="BG2" s="40"/>
      <c r="BH2" s="40"/>
      <c r="BI2" s="40"/>
      <c r="BJ2" s="40"/>
      <c r="BK2" s="40"/>
      <c r="BL2" s="40"/>
      <c r="BM2" s="40"/>
      <c r="BN2" s="40"/>
      <c r="BO2" s="40"/>
      <c r="BP2" s="40"/>
      <c r="BQ2" s="40"/>
    </row>
    <row r="3" spans="1:73" ht="25.15" x14ac:dyDescent="0.7">
      <c r="A3" s="32"/>
      <c r="B3" s="610" t="s">
        <v>420</v>
      </c>
      <c r="C3" s="470"/>
      <c r="D3" s="470"/>
      <c r="E3" s="35"/>
      <c r="H3" s="35"/>
      <c r="I3" s="639"/>
      <c r="J3" s="34"/>
      <c r="K3" s="34"/>
      <c r="L3" s="35"/>
      <c r="M3" s="34"/>
      <c r="N3" s="34"/>
      <c r="O3" s="35"/>
      <c r="P3" s="35"/>
      <c r="Q3" s="35"/>
      <c r="R3" s="41"/>
      <c r="S3" s="35"/>
      <c r="T3" s="35"/>
      <c r="U3" s="42"/>
      <c r="V3" s="35"/>
      <c r="W3" s="35"/>
      <c r="X3" s="42"/>
      <c r="Y3" s="34"/>
      <c r="Z3" s="34"/>
      <c r="AA3" s="42"/>
      <c r="AB3" s="34"/>
      <c r="AC3" s="34"/>
      <c r="AD3" s="42"/>
      <c r="AE3" s="34"/>
      <c r="AF3" s="34"/>
      <c r="AG3" s="40"/>
      <c r="AH3" s="40"/>
      <c r="AI3" s="34"/>
      <c r="AJ3" s="34"/>
      <c r="AK3" s="35"/>
      <c r="AL3" s="34"/>
      <c r="AM3" s="34"/>
      <c r="AN3" s="35"/>
      <c r="AO3" s="34"/>
      <c r="AP3" s="34"/>
      <c r="AQ3" s="35"/>
      <c r="AR3" s="34"/>
      <c r="AS3" s="34"/>
      <c r="AT3" s="35"/>
      <c r="AU3" s="43"/>
      <c r="AV3" s="44"/>
      <c r="BA3" s="44"/>
      <c r="BB3" s="44"/>
      <c r="BD3" s="44"/>
      <c r="BE3" s="44"/>
      <c r="BF3" s="35"/>
      <c r="BG3" s="45"/>
      <c r="BH3" s="45"/>
      <c r="BI3" s="35"/>
      <c r="BJ3" s="46"/>
      <c r="BK3" s="46"/>
      <c r="BL3" s="46"/>
      <c r="BN3" s="24"/>
      <c r="BO3" s="24"/>
      <c r="BP3" s="24"/>
      <c r="BQ3" s="47"/>
    </row>
    <row r="4" spans="1:73" s="51" customFormat="1" ht="15.75" thickBot="1" x14ac:dyDescent="0.5">
      <c r="A4" s="48"/>
      <c r="B4" s="49"/>
      <c r="C4" s="49"/>
      <c r="D4" s="49"/>
      <c r="E4" s="49"/>
      <c r="F4" s="49"/>
      <c r="G4" s="49"/>
      <c r="H4" s="49"/>
      <c r="I4" s="49"/>
      <c r="J4" s="50"/>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row>
    <row r="5" spans="1:73" ht="81" customHeight="1" thickBot="1" x14ac:dyDescent="0.5">
      <c r="A5" s="52"/>
      <c r="B5" s="53" t="s">
        <v>309</v>
      </c>
      <c r="C5" s="54"/>
      <c r="D5" s="55"/>
      <c r="E5" s="56"/>
      <c r="F5" s="413" t="s">
        <v>418</v>
      </c>
      <c r="G5" s="414"/>
      <c r="H5" s="415"/>
      <c r="I5" s="57"/>
      <c r="J5" s="410" t="s">
        <v>318</v>
      </c>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2"/>
      <c r="AU5" s="410" t="s">
        <v>465</v>
      </c>
      <c r="AV5" s="411"/>
      <c r="AW5" s="411"/>
      <c r="AX5" s="411"/>
      <c r="AY5" s="411"/>
      <c r="AZ5" s="411"/>
      <c r="BA5" s="411"/>
      <c r="BB5" s="411"/>
      <c r="BC5" s="411"/>
      <c r="BD5" s="411"/>
      <c r="BE5" s="412"/>
      <c r="BF5" s="465" t="s">
        <v>422</v>
      </c>
      <c r="BG5" s="413" t="s">
        <v>534</v>
      </c>
      <c r="BH5" s="414"/>
      <c r="BI5" s="415"/>
      <c r="BJ5" s="410" t="s">
        <v>463</v>
      </c>
      <c r="BK5" s="411"/>
      <c r="BL5" s="411"/>
      <c r="BM5" s="411"/>
      <c r="BN5" s="411"/>
      <c r="BO5" s="411"/>
      <c r="BP5" s="411"/>
      <c r="BQ5" s="412"/>
    </row>
    <row r="6" spans="1:73" ht="61.5" customHeight="1" thickBot="1" x14ac:dyDescent="0.5">
      <c r="A6" s="304"/>
      <c r="B6" s="416"/>
      <c r="C6" s="417"/>
      <c r="D6" s="418"/>
      <c r="E6" s="348"/>
      <c r="F6" s="420" t="s">
        <v>249</v>
      </c>
      <c r="G6" s="421"/>
      <c r="H6" s="422"/>
      <c r="I6" s="348"/>
      <c r="J6" s="423" t="s">
        <v>251</v>
      </c>
      <c r="K6" s="424"/>
      <c r="L6" s="425"/>
      <c r="M6" s="423" t="s">
        <v>252</v>
      </c>
      <c r="N6" s="424"/>
      <c r="O6" s="425"/>
      <c r="P6" s="423" t="s">
        <v>270</v>
      </c>
      <c r="Q6" s="424"/>
      <c r="R6" s="425"/>
      <c r="S6" s="423" t="s">
        <v>272</v>
      </c>
      <c r="T6" s="424"/>
      <c r="U6" s="425"/>
      <c r="V6" s="423" t="s">
        <v>274</v>
      </c>
      <c r="W6" s="424"/>
      <c r="X6" s="425"/>
      <c r="Y6" s="423" t="s">
        <v>276</v>
      </c>
      <c r="Z6" s="424"/>
      <c r="AA6" s="425"/>
      <c r="AB6" s="423" t="s">
        <v>278</v>
      </c>
      <c r="AC6" s="424"/>
      <c r="AD6" s="425"/>
      <c r="AE6" s="423" t="s">
        <v>280</v>
      </c>
      <c r="AF6" s="424"/>
      <c r="AG6" s="425"/>
      <c r="AH6" s="58" t="s">
        <v>253</v>
      </c>
      <c r="AI6" s="423" t="s">
        <v>254</v>
      </c>
      <c r="AJ6" s="424"/>
      <c r="AK6" s="425"/>
      <c r="AL6" s="423" t="s">
        <v>255</v>
      </c>
      <c r="AM6" s="424"/>
      <c r="AN6" s="425"/>
      <c r="AO6" s="423" t="s">
        <v>256</v>
      </c>
      <c r="AP6" s="424"/>
      <c r="AQ6" s="425"/>
      <c r="AR6" s="423" t="s">
        <v>257</v>
      </c>
      <c r="AS6" s="424"/>
      <c r="AT6" s="425"/>
      <c r="AU6" s="348"/>
      <c r="AV6" s="423" t="s">
        <v>258</v>
      </c>
      <c r="AW6" s="424"/>
      <c r="AX6" s="424"/>
      <c r="AY6" s="424"/>
      <c r="AZ6" s="424"/>
      <c r="BA6" s="424"/>
      <c r="BB6" s="424"/>
      <c r="BC6" s="424"/>
      <c r="BD6" s="425"/>
      <c r="BE6" s="348"/>
      <c r="BF6" s="58" t="s">
        <v>514</v>
      </c>
      <c r="BG6" s="420" t="s">
        <v>306</v>
      </c>
      <c r="BH6" s="421"/>
      <c r="BI6" s="422"/>
      <c r="BJ6" s="348"/>
      <c r="BK6" s="349"/>
      <c r="BL6" s="350"/>
      <c r="BM6" s="350"/>
      <c r="BN6" s="615" t="s">
        <v>419</v>
      </c>
      <c r="BO6" s="615" t="s">
        <v>513</v>
      </c>
      <c r="BP6" s="615" t="s">
        <v>475</v>
      </c>
      <c r="BQ6" s="615" t="s">
        <v>476</v>
      </c>
    </row>
    <row r="7" spans="1:73" ht="114.75" customHeight="1" thickBot="1" x14ac:dyDescent="0.5">
      <c r="A7" s="304"/>
      <c r="B7" s="352" t="s">
        <v>246</v>
      </c>
      <c r="C7" s="354" t="s">
        <v>247</v>
      </c>
      <c r="D7" s="356" t="s">
        <v>310</v>
      </c>
      <c r="E7" s="419" t="s">
        <v>319</v>
      </c>
      <c r="F7" s="323" t="s">
        <v>378</v>
      </c>
      <c r="G7" s="329" t="s">
        <v>369</v>
      </c>
      <c r="H7" s="324" t="s">
        <v>322</v>
      </c>
      <c r="I7" s="419" t="s">
        <v>320</v>
      </c>
      <c r="J7" s="59" t="s">
        <v>406</v>
      </c>
      <c r="K7" s="31" t="s">
        <v>323</v>
      </c>
      <c r="L7" s="305" t="s">
        <v>324</v>
      </c>
      <c r="M7" s="59" t="s">
        <v>325</v>
      </c>
      <c r="N7" s="31" t="s">
        <v>326</v>
      </c>
      <c r="O7" s="305" t="s">
        <v>327</v>
      </c>
      <c r="P7" s="59" t="s">
        <v>328</v>
      </c>
      <c r="Q7" s="31" t="s">
        <v>329</v>
      </c>
      <c r="R7" s="305" t="s">
        <v>360</v>
      </c>
      <c r="S7" s="59" t="s">
        <v>330</v>
      </c>
      <c r="T7" s="31" t="s">
        <v>331</v>
      </c>
      <c r="U7" s="305" t="s">
        <v>361</v>
      </c>
      <c r="V7" s="59" t="s">
        <v>332</v>
      </c>
      <c r="W7" s="31" t="s">
        <v>333</v>
      </c>
      <c r="X7" s="305" t="s">
        <v>362</v>
      </c>
      <c r="Y7" s="59" t="s">
        <v>334</v>
      </c>
      <c r="Z7" s="31" t="s">
        <v>335</v>
      </c>
      <c r="AA7" s="305" t="s">
        <v>336</v>
      </c>
      <c r="AB7" s="59" t="s">
        <v>337</v>
      </c>
      <c r="AC7" s="31" t="s">
        <v>338</v>
      </c>
      <c r="AD7" s="305" t="s">
        <v>363</v>
      </c>
      <c r="AE7" s="59" t="s">
        <v>339</v>
      </c>
      <c r="AF7" s="31" t="s">
        <v>340</v>
      </c>
      <c r="AG7" s="305" t="s">
        <v>364</v>
      </c>
      <c r="AH7" s="295" t="s">
        <v>341</v>
      </c>
      <c r="AI7" s="59" t="s">
        <v>342</v>
      </c>
      <c r="AJ7" s="31" t="s">
        <v>343</v>
      </c>
      <c r="AK7" s="305" t="s">
        <v>344</v>
      </c>
      <c r="AL7" s="59" t="s">
        <v>542</v>
      </c>
      <c r="AM7" s="31" t="s">
        <v>345</v>
      </c>
      <c r="AN7" s="305" t="s">
        <v>346</v>
      </c>
      <c r="AO7" s="59" t="s">
        <v>543</v>
      </c>
      <c r="AP7" s="31" t="s">
        <v>347</v>
      </c>
      <c r="AQ7" s="305" t="s">
        <v>348</v>
      </c>
      <c r="AR7" s="59" t="s">
        <v>544</v>
      </c>
      <c r="AS7" s="31" t="s">
        <v>349</v>
      </c>
      <c r="AT7" s="305" t="s">
        <v>350</v>
      </c>
      <c r="AU7" s="419" t="s">
        <v>391</v>
      </c>
      <c r="AV7" s="31" t="s">
        <v>537</v>
      </c>
      <c r="AW7" s="31" t="s">
        <v>405</v>
      </c>
      <c r="AX7" s="31" t="s">
        <v>501</v>
      </c>
      <c r="AY7" s="31" t="str">
        <f>"2022-23 per head funding floor" &amp; CHAR(10) &amp;
"[au] = [at] x 108%"</f>
        <v>2022-23 per head funding floor
[au] = [at] x 108%</v>
      </c>
      <c r="AZ7" s="31" t="s">
        <v>421</v>
      </c>
      <c r="BA7" s="31" t="s">
        <v>351</v>
      </c>
      <c r="BB7" s="31" t="s">
        <v>352</v>
      </c>
      <c r="BC7" s="60" t="s">
        <v>353</v>
      </c>
      <c r="BD7" s="305" t="s">
        <v>354</v>
      </c>
      <c r="BE7" s="419" t="s">
        <v>321</v>
      </c>
      <c r="BF7" s="61" t="s">
        <v>508</v>
      </c>
      <c r="BG7" s="61" t="s">
        <v>355</v>
      </c>
      <c r="BH7" s="61" t="s">
        <v>356</v>
      </c>
      <c r="BI7" s="62" t="s">
        <v>357</v>
      </c>
      <c r="BJ7" s="419" t="s">
        <v>423</v>
      </c>
      <c r="BK7" s="63" t="s">
        <v>424</v>
      </c>
      <c r="BL7" s="63" t="s">
        <v>425</v>
      </c>
      <c r="BM7" s="271" t="s">
        <v>502</v>
      </c>
      <c r="BN7" s="419" t="s">
        <v>535</v>
      </c>
      <c r="BO7" s="419" t="s">
        <v>512</v>
      </c>
      <c r="BP7" s="419" t="s">
        <v>503</v>
      </c>
      <c r="BQ7" s="419" t="s">
        <v>504</v>
      </c>
    </row>
    <row r="8" spans="1:73" ht="15.75" thickBot="1" x14ac:dyDescent="0.5">
      <c r="A8" s="64"/>
      <c r="B8" s="65" t="s">
        <v>86</v>
      </c>
      <c r="C8" s="66"/>
      <c r="D8" s="67"/>
      <c r="E8" s="68"/>
      <c r="F8" s="325"/>
      <c r="G8" s="315">
        <f>SUM(G9:G159)</f>
        <v>159468.09283700003</v>
      </c>
      <c r="H8" s="70">
        <f>SUM(H9:H159)</f>
        <v>764795123.01026654</v>
      </c>
      <c r="I8" s="70">
        <f>SUM(I9:I159)</f>
        <v>2786086264.0003986</v>
      </c>
      <c r="J8" s="71">
        <f>SUM(J9:J159)</f>
        <v>11634184.742999995</v>
      </c>
      <c r="K8" s="72">
        <f>SUM(K9:K159)</f>
        <v>12028162.631607817</v>
      </c>
      <c r="L8" s="70">
        <f>'National Details'!E25</f>
        <v>2447485611.7845902</v>
      </c>
      <c r="M8" s="73">
        <f>SUM(M9:M159)</f>
        <v>1862194</v>
      </c>
      <c r="N8" s="72">
        <f>SUM(N9:N159)</f>
        <v>1922749.9102672876</v>
      </c>
      <c r="O8" s="70">
        <f>'National Details'!E26</f>
        <v>489497122.3569181</v>
      </c>
      <c r="P8" s="73">
        <f>SUM(P9:P159)</f>
        <v>1186042</v>
      </c>
      <c r="Q8" s="71">
        <f>SUM(Q9:Q159)</f>
        <v>1235576.9919343195</v>
      </c>
      <c r="R8" s="74">
        <f>'National Details'!E27*15.5%</f>
        <v>75872053.965322301</v>
      </c>
      <c r="S8" s="73">
        <f>SUM(S9:S159)</f>
        <v>1241546</v>
      </c>
      <c r="T8" s="71">
        <f>SUM(T9:T159)</f>
        <v>1298375.0806128054</v>
      </c>
      <c r="U8" s="74">
        <f>'National Details'!E27*21.5%</f>
        <v>105241881.30673739</v>
      </c>
      <c r="V8" s="73">
        <f>SUM(V9:V159)</f>
        <v>655825</v>
      </c>
      <c r="W8" s="71">
        <f>SUM(W9:W159)</f>
        <v>684434.7325622373</v>
      </c>
      <c r="X8" s="74">
        <f>'National Details'!$E27*15.5%</f>
        <v>75872053.965322301</v>
      </c>
      <c r="Y8" s="73">
        <f>SUM(Y9:Y159)</f>
        <v>679153</v>
      </c>
      <c r="Z8" s="71">
        <f>SUM(Z9:Z159)</f>
        <v>707432.39463874546</v>
      </c>
      <c r="AA8" s="74">
        <f>'National Details'!$E27*17%</f>
        <v>83214510.800676078</v>
      </c>
      <c r="AB8" s="73">
        <f>SUM(AB9:AB159)</f>
        <v>677856</v>
      </c>
      <c r="AC8" s="71">
        <f>SUM(AC9:AC159)</f>
        <v>692608.68507232505</v>
      </c>
      <c r="AD8" s="74">
        <f>'National Details'!$E27*18.5%</f>
        <v>90556967.63602984</v>
      </c>
      <c r="AE8" s="73">
        <f>SUM(AE9:AE159)</f>
        <v>337821</v>
      </c>
      <c r="AF8" s="71">
        <f>SUM(AF9:AF159)</f>
        <v>340411.1492990905</v>
      </c>
      <c r="AG8" s="74">
        <f>'National Details'!$E27*12%</f>
        <v>58739654.68283017</v>
      </c>
      <c r="AH8" s="70">
        <f>SUM(AH9:AH159)</f>
        <v>489497122.35691804</v>
      </c>
      <c r="AI8" s="73">
        <f>SUM(AI9:AI159)</f>
        <v>64495</v>
      </c>
      <c r="AJ8" s="71">
        <f>SUM(AJ9:AJ159)</f>
        <v>66900.566281584179</v>
      </c>
      <c r="AK8" s="70">
        <f>'National Details'!E28</f>
        <v>367122841.76768851</v>
      </c>
      <c r="AL8" s="316">
        <f>SUM(AL9:AL159)</f>
        <v>471976</v>
      </c>
      <c r="AM8" s="317">
        <f>SUM(AM9:AM159)</f>
        <v>485505.70117735944</v>
      </c>
      <c r="AN8" s="70">
        <f>'National Details'!E29</f>
        <v>367122841.76768851</v>
      </c>
      <c r="AO8" s="316">
        <f>SUM(AO9:AO159)</f>
        <v>91444</v>
      </c>
      <c r="AP8" s="317">
        <f>SUM(AP9:AP159)</f>
        <v>94227.144985247884</v>
      </c>
      <c r="AQ8" s="70">
        <f>'National Details'!E30</f>
        <v>367122841.76768851</v>
      </c>
      <c r="AR8" s="316">
        <f>SUM(AR9:AR159)</f>
        <v>129765</v>
      </c>
      <c r="AS8" s="317">
        <f>SUM(AS9:AS159)</f>
        <v>133239.36119398024</v>
      </c>
      <c r="AT8" s="70">
        <f>'National Details'!E31</f>
        <v>367122841.76768851</v>
      </c>
      <c r="AU8" s="70">
        <f>SUM(AU9:AU159)</f>
        <v>7681057487.5695782</v>
      </c>
      <c r="AV8" s="618">
        <f>SUM(AV9:AV159)</f>
        <v>7123199533.5322676</v>
      </c>
      <c r="AW8" s="621">
        <f>SUM(AW9:AW159)</f>
        <v>11564350.460999995</v>
      </c>
      <c r="AX8" s="69"/>
      <c r="AY8" s="69"/>
      <c r="AZ8" s="69"/>
      <c r="BA8" s="69"/>
      <c r="BB8" s="618">
        <f>SUM(BB9:BB159)</f>
        <v>198544013.45723048</v>
      </c>
      <c r="BC8" s="618">
        <f>SUM(BC9:BC159)</f>
        <v>0</v>
      </c>
      <c r="BD8" s="70">
        <f>SUM(BD9:BD159)</f>
        <v>198544013.45723048</v>
      </c>
      <c r="BE8" s="70">
        <f>SUM(BE9:BE159)</f>
        <v>7879601501.0268106</v>
      </c>
      <c r="BF8" s="70">
        <f>SUM(BF9:BF159)</f>
        <v>125766492.92963447</v>
      </c>
      <c r="BG8" s="69"/>
      <c r="BH8" s="618">
        <f>SUM(BH9:BH159)</f>
        <v>16051560</v>
      </c>
      <c r="BI8" s="75"/>
      <c r="BJ8" s="70">
        <f>SUM(BJ9:BJ159)</f>
        <v>8786256676.9667072</v>
      </c>
      <c r="BK8" s="69"/>
      <c r="BL8" s="69"/>
      <c r="BM8" s="69"/>
      <c r="BN8" s="625">
        <f>SUM(BN9:BN158)</f>
        <v>7814438384.0601025</v>
      </c>
      <c r="BO8" s="69"/>
      <c r="BP8" s="70">
        <f>SUM(BP9:BP159)</f>
        <v>8705000000</v>
      </c>
      <c r="BQ8" s="70">
        <f>SUM(BQ9:BQ159)</f>
        <v>8721093559.9999981</v>
      </c>
      <c r="BR8" s="24"/>
      <c r="BS8" s="24"/>
      <c r="BT8" s="24"/>
      <c r="BU8" s="24"/>
    </row>
    <row r="9" spans="1:73" ht="15.75" customHeight="1" x14ac:dyDescent="0.45">
      <c r="A9" s="76"/>
      <c r="B9" s="165" t="s">
        <v>88</v>
      </c>
      <c r="C9" s="282">
        <v>831</v>
      </c>
      <c r="D9" s="167" t="s">
        <v>89</v>
      </c>
      <c r="E9" s="79">
        <v>1</v>
      </c>
      <c r="F9" s="326">
        <f>4660 * $E9</f>
        <v>4660</v>
      </c>
      <c r="G9" s="182">
        <v>821.5</v>
      </c>
      <c r="H9" s="284">
        <f>G9*F9</f>
        <v>3828190</v>
      </c>
      <c r="I9" s="597">
        <f>INDEX('Historic Spend Factor'!$U$9:$U$159, MATCH(C9, 'Historic Spend Factor'!$C$9:$C$159, 0))</f>
        <v>16032270.92574019</v>
      </c>
      <c r="J9" s="83">
        <v>57389.660999999978</v>
      </c>
      <c r="K9" s="183">
        <f t="shared" ref="K9:K41" si="0">E9*J9</f>
        <v>57389.660999999978</v>
      </c>
      <c r="L9" s="284">
        <f>K9/K$8*L$8</f>
        <v>11677624.743249726</v>
      </c>
      <c r="M9" s="83">
        <v>12092.5</v>
      </c>
      <c r="N9" s="183">
        <f t="shared" ref="N9:N73" si="1">M9*$E9</f>
        <v>12092.5</v>
      </c>
      <c r="O9" s="284">
        <f>N9/N$8*O$8</f>
        <v>3078530.3488991866</v>
      </c>
      <c r="P9" s="83">
        <v>7056</v>
      </c>
      <c r="Q9" s="183">
        <f t="shared" ref="Q9:Q73" si="2">P9*$E9</f>
        <v>7056</v>
      </c>
      <c r="R9" s="285">
        <f t="shared" ref="R9:R73" si="3">Q9/Q$8*R$8</f>
        <v>433281.95351162087</v>
      </c>
      <c r="S9" s="83">
        <v>7192</v>
      </c>
      <c r="T9" s="183">
        <f t="shared" ref="T9:T73" si="4">S9*$E9</f>
        <v>7192</v>
      </c>
      <c r="U9" s="285">
        <f t="shared" ref="U9:U73" si="5">T9/T$8*U$8</f>
        <v>582959.13227232825</v>
      </c>
      <c r="V9" s="83">
        <v>4843</v>
      </c>
      <c r="W9" s="183">
        <f t="shared" ref="W9:W73" si="6">V9*$E9</f>
        <v>4843</v>
      </c>
      <c r="X9" s="285">
        <f t="shared" ref="X9:X73" si="7">W9/W$8*X$8</f>
        <v>536863.9840624145</v>
      </c>
      <c r="Y9" s="83">
        <v>5847</v>
      </c>
      <c r="Z9" s="183">
        <f t="shared" ref="Z9:Z73" si="8">Y9*$E9</f>
        <v>5847</v>
      </c>
      <c r="AA9" s="285">
        <f t="shared" ref="AA9:AA73" si="9">Z9/Z$8*AA$8</f>
        <v>687776.31380595081</v>
      </c>
      <c r="AB9" s="83">
        <v>4968</v>
      </c>
      <c r="AC9" s="183">
        <f t="shared" ref="AC9:AC73" si="10">AB9*$E9</f>
        <v>4968</v>
      </c>
      <c r="AD9" s="285">
        <f t="shared" ref="AD9:AD73" si="11">AC9/AC$8*AD$8</f>
        <v>649554.3947284132</v>
      </c>
      <c r="AE9" s="83">
        <v>3680</v>
      </c>
      <c r="AF9" s="183">
        <f t="shared" ref="AF9:AF73" si="12">AE9*$E9</f>
        <v>3680</v>
      </c>
      <c r="AG9" s="285">
        <f t="shared" ref="AG9:AG73" si="13">AF9/AF$8*AG$8</f>
        <v>635002.49529985816</v>
      </c>
      <c r="AH9" s="284">
        <f t="shared" ref="AH9:AH73" si="14">AG9+AD9+AA9+X9+U9+R9</f>
        <v>3525438.2736805859</v>
      </c>
      <c r="AI9" s="83">
        <v>341</v>
      </c>
      <c r="AJ9" s="183">
        <f t="shared" ref="AJ9:AJ73" si="15">AI9*$E9</f>
        <v>341</v>
      </c>
      <c r="AK9" s="285">
        <f t="shared" ref="AK9:AK73" si="16">AJ9/AJ$8*AK$8</f>
        <v>1871268.0026632708</v>
      </c>
      <c r="AL9" s="83">
        <v>2788</v>
      </c>
      <c r="AM9" s="183">
        <f t="shared" ref="AM9:AM73" si="17">AL9*$E9</f>
        <v>2788</v>
      </c>
      <c r="AN9" s="285">
        <f t="shared" ref="AN9:AN73" si="18">AM9/AM$8*AN$8</f>
        <v>2108190.4504235843</v>
      </c>
      <c r="AO9" s="83">
        <v>712</v>
      </c>
      <c r="AP9" s="183">
        <f t="shared" ref="AP9:AP73" si="19">AO9*$E9</f>
        <v>712</v>
      </c>
      <c r="AQ9" s="285">
        <f t="shared" ref="AQ9:AQ73" si="20">(AP9/AP$8)*AQ$8</f>
        <v>2774056.9172452101</v>
      </c>
      <c r="AR9" s="83">
        <v>987</v>
      </c>
      <c r="AS9" s="183">
        <f t="shared" ref="AS9:AS73" si="21">AR9*$E9</f>
        <v>987</v>
      </c>
      <c r="AT9" s="285">
        <f t="shared" ref="AT9:AT73" si="22">(AS9/AS$8)*AT$8</f>
        <v>2719543.5461235126</v>
      </c>
      <c r="AU9" s="284">
        <f>I9+L9+O9+AH9+AK9+AN9+AQ9+AT9</f>
        <v>43786923.208025262</v>
      </c>
      <c r="AV9" s="619">
        <f>INDEX('2021-22 Baseline'!$J$9:$J$158,MATCH(C9,'2021-22 Baseline'!$C$9:$C$158,0))</f>
        <v>40299401.123064943</v>
      </c>
      <c r="AW9" s="622">
        <v>57263.849999999991</v>
      </c>
      <c r="AX9" s="619">
        <f>AV9/AW9</f>
        <v>703.74941822921357</v>
      </c>
      <c r="AY9" s="619">
        <f>AX9*(100%+8%)</f>
        <v>760.04937168755066</v>
      </c>
      <c r="AZ9" s="619">
        <f>AU9/J9</f>
        <v>762.97581210708461</v>
      </c>
      <c r="BA9" s="619">
        <f t="shared" ref="BA9:BA73" si="23">MAX(AY9,AZ9)</f>
        <v>762.97581210708461</v>
      </c>
      <c r="BB9" s="619">
        <f>(BA9-AZ9)*J9</f>
        <v>0</v>
      </c>
      <c r="BC9" s="619">
        <f t="shared" ref="BC9:BC14" si="24">MAX(AV9-BA9*J9,0)</f>
        <v>0</v>
      </c>
      <c r="BD9" s="284">
        <f t="shared" ref="BD9:BD73" si="25">BB9+BC9</f>
        <v>0</v>
      </c>
      <c r="BE9" s="284">
        <f>AU9+BD9</f>
        <v>43786923.208025262</v>
      </c>
      <c r="BF9" s="284">
        <f>INDEX('AP Funding Factor'!$I$9:$I$158,MATCH(C9,'AP Funding Factor'!$C$9:$C$158,0))</f>
        <v>500028.3504270644</v>
      </c>
      <c r="BG9" s="182">
        <f>INDEX('Import|Export Adjustments Data'!$Q$9:$Q$159,MATCH($C9,'Import|Export Adjustments Data'!$C$9:$C$159,0))</f>
        <v>127.5</v>
      </c>
      <c r="BH9" s="283">
        <v>0</v>
      </c>
      <c r="BI9" s="284">
        <f>BG9*6000+BH9</f>
        <v>765000</v>
      </c>
      <c r="BJ9" s="286">
        <f t="shared" ref="BJ9:BJ40" si="26">H9 + BE9 + BF9 + BI9</f>
        <v>48880141.558452323</v>
      </c>
      <c r="BK9" s="619">
        <f t="shared" ref="BK9:BK72" si="27">AX9</f>
        <v>703.74941822921357</v>
      </c>
      <c r="BL9" s="619">
        <f t="shared" ref="BL9:BL72" si="28">BA9</f>
        <v>762.97581210708461</v>
      </c>
      <c r="BM9" s="619">
        <f>MIN(BK9*(100% + 11%), BL9)</f>
        <v>762.97581210708461</v>
      </c>
      <c r="BN9" s="619">
        <f t="shared" ref="BN9:BN41" si="29">BM9*J9+BC9</f>
        <v>43786923.208025262</v>
      </c>
      <c r="BO9" s="287">
        <f>BM9/BK9-1</f>
        <v>8.4158355721128064E-2</v>
      </c>
      <c r="BP9" s="284">
        <f>H9 + BF9 + BN9</f>
        <v>48115141.558452323</v>
      </c>
      <c r="BQ9" s="284">
        <f>H9 + BF9 + BI9 + BN9</f>
        <v>48880141.558452323</v>
      </c>
      <c r="BS9" s="599"/>
      <c r="BT9" s="601"/>
    </row>
    <row r="10" spans="1:73" ht="15.4" x14ac:dyDescent="0.45">
      <c r="A10" s="76"/>
      <c r="B10" s="77" t="s">
        <v>88</v>
      </c>
      <c r="C10" s="288">
        <v>830</v>
      </c>
      <c r="D10" s="78" t="s">
        <v>90</v>
      </c>
      <c r="E10" s="87">
        <v>1</v>
      </c>
      <c r="F10" s="327">
        <f t="shared" ref="F10:F73" si="30">4660 * $E10</f>
        <v>4660</v>
      </c>
      <c r="G10" s="290">
        <v>1145</v>
      </c>
      <c r="H10" s="81">
        <f t="shared" ref="H10:H41" si="31">G10*F10</f>
        <v>5335700</v>
      </c>
      <c r="I10" s="597">
        <f>INDEX('Historic Spend Factor'!$U$9:$U$159, MATCH(C10, 'Historic Spend Factor'!$C$9:$C$159, 0))</f>
        <v>33499310.033595696</v>
      </c>
      <c r="J10" s="80">
        <v>149239.83999999982</v>
      </c>
      <c r="K10" s="82">
        <f t="shared" si="0"/>
        <v>149239.83999999982</v>
      </c>
      <c r="L10" s="81">
        <f>K10/K$8*L$8</f>
        <v>30367261.591990042</v>
      </c>
      <c r="M10" s="80">
        <v>25984</v>
      </c>
      <c r="N10" s="82">
        <f t="shared" si="1"/>
        <v>25984</v>
      </c>
      <c r="O10" s="81">
        <f t="shared" ref="O10:O73" si="32">N10/N$8*O$8</f>
        <v>6615053.3459414057</v>
      </c>
      <c r="P10" s="80">
        <v>11800</v>
      </c>
      <c r="Q10" s="82">
        <f t="shared" si="2"/>
        <v>11800</v>
      </c>
      <c r="R10" s="84">
        <f t="shared" si="3"/>
        <v>724592.83608802804</v>
      </c>
      <c r="S10" s="80">
        <v>16202</v>
      </c>
      <c r="T10" s="82">
        <f t="shared" si="4"/>
        <v>16202</v>
      </c>
      <c r="U10" s="84">
        <f t="shared" si="5"/>
        <v>1313279.1797936962</v>
      </c>
      <c r="V10" s="80">
        <v>5943</v>
      </c>
      <c r="W10" s="82">
        <f t="shared" si="6"/>
        <v>5943</v>
      </c>
      <c r="X10" s="84">
        <f t="shared" si="7"/>
        <v>658802.94389488525</v>
      </c>
      <c r="Y10" s="80">
        <v>7422</v>
      </c>
      <c r="Z10" s="82">
        <f t="shared" si="8"/>
        <v>7422</v>
      </c>
      <c r="AA10" s="84">
        <f t="shared" si="9"/>
        <v>873041.86780704069</v>
      </c>
      <c r="AB10" s="80">
        <v>6988</v>
      </c>
      <c r="AC10" s="82">
        <f t="shared" si="10"/>
        <v>6988</v>
      </c>
      <c r="AD10" s="84">
        <f t="shared" si="11"/>
        <v>913664.67599882279</v>
      </c>
      <c r="AE10" s="80">
        <v>1683</v>
      </c>
      <c r="AF10" s="82">
        <f t="shared" si="12"/>
        <v>1683</v>
      </c>
      <c r="AG10" s="84">
        <f t="shared" si="13"/>
        <v>290410.10858414706</v>
      </c>
      <c r="AH10" s="81">
        <f t="shared" si="14"/>
        <v>4773791.6121666199</v>
      </c>
      <c r="AI10" s="80">
        <v>670</v>
      </c>
      <c r="AJ10" s="82">
        <f t="shared" si="15"/>
        <v>670</v>
      </c>
      <c r="AK10" s="84">
        <f t="shared" si="16"/>
        <v>3676684.9319190364</v>
      </c>
      <c r="AL10" s="80">
        <v>6335</v>
      </c>
      <c r="AM10" s="82">
        <f t="shared" si="17"/>
        <v>6335</v>
      </c>
      <c r="AN10" s="84">
        <f t="shared" si="18"/>
        <v>4790310.7975012222</v>
      </c>
      <c r="AO10" s="564">
        <v>1260</v>
      </c>
      <c r="AP10" s="82">
        <f t="shared" si="19"/>
        <v>1260</v>
      </c>
      <c r="AQ10" s="84">
        <f t="shared" si="20"/>
        <v>4909145.6681586588</v>
      </c>
      <c r="AR10" s="564">
        <v>1556</v>
      </c>
      <c r="AS10" s="82">
        <f t="shared" si="21"/>
        <v>1556</v>
      </c>
      <c r="AT10" s="84">
        <f t="shared" si="22"/>
        <v>4287345.2459657406</v>
      </c>
      <c r="AU10" s="81">
        <f t="shared" ref="AU10:AU73" si="33">I10+L10+O10+AH10+AK10+AN10+AQ10+AT10</f>
        <v>92918903.227238417</v>
      </c>
      <c r="AV10" s="620">
        <f>INDEX('2021-22 Baseline'!$J$9:$J$158,MATCH(C10,'2021-22 Baseline'!$C$9:$C$158,0))</f>
        <v>85758343.885269448</v>
      </c>
      <c r="AW10" s="623">
        <v>148496.87999999995</v>
      </c>
      <c r="AX10" s="620">
        <f t="shared" ref="AX10:AX73" si="34">AV10/AW10</f>
        <v>577.50939875147196</v>
      </c>
      <c r="AY10" s="620">
        <f t="shared" ref="AY10:AY73" si="35">AX10*(100%+8%)</f>
        <v>623.71015065158974</v>
      </c>
      <c r="AZ10" s="620">
        <f t="shared" ref="AZ10:AZ73" si="36">AU10/J10</f>
        <v>622.61459960851289</v>
      </c>
      <c r="BA10" s="620">
        <f t="shared" si="23"/>
        <v>623.71015065158974</v>
      </c>
      <c r="BB10" s="624">
        <f t="shared" ref="BB10:BB73" si="37">(BA10-AZ10)*J10</f>
        <v>163499.86238062242</v>
      </c>
      <c r="BC10" s="620">
        <f>MAX(AV10-BA10*J10,0)</f>
        <v>0</v>
      </c>
      <c r="BD10" s="81">
        <f t="shared" si="25"/>
        <v>163499.86238062242</v>
      </c>
      <c r="BE10" s="81">
        <f t="shared" ref="BE10:BE74" si="38">AU10+BD10</f>
        <v>93082403.08961904</v>
      </c>
      <c r="BF10" s="588">
        <f>INDEX('AP Funding Factor'!$I$9:$I$158,MATCH(C10,'AP Funding Factor'!$C$9:$C$158,0))</f>
        <v>294182.59077966108</v>
      </c>
      <c r="BG10" s="290">
        <f>INDEX('Import|Export Adjustments Data'!$Q$9:$Q$159,MATCH($C10,'Import|Export Adjustments Data'!$C$9:$C$159,0))</f>
        <v>-455.5</v>
      </c>
      <c r="BH10" s="289">
        <v>0</v>
      </c>
      <c r="BI10" s="81">
        <f t="shared" ref="BI10:BI12" si="39">BG10*6000+BH10</f>
        <v>-2733000</v>
      </c>
      <c r="BJ10" s="86">
        <f t="shared" si="26"/>
        <v>95979285.680398703</v>
      </c>
      <c r="BK10" s="620">
        <f t="shared" si="27"/>
        <v>577.50939875147196</v>
      </c>
      <c r="BL10" s="620">
        <f t="shared" si="28"/>
        <v>623.71015065158974</v>
      </c>
      <c r="BM10" s="620">
        <f t="shared" ref="BM10:BM73" si="40">MIN(BK10*(100% + 11%), BL10)</f>
        <v>623.71015065158974</v>
      </c>
      <c r="BN10" s="620">
        <f t="shared" si="29"/>
        <v>93082403.08961904</v>
      </c>
      <c r="BO10" s="281">
        <f t="shared" ref="BO10:BO74" si="41">BM10/BK10-1</f>
        <v>8.0000000000000071E-2</v>
      </c>
      <c r="BP10" s="81">
        <f t="shared" ref="BP10:BP41" si="42">H10 + BF10 + BN10</f>
        <v>98712285.680398703</v>
      </c>
      <c r="BQ10" s="81">
        <f t="shared" ref="BQ10:BQ41" si="43">H10 + BF10 + BI10 + BN10</f>
        <v>95979285.680398703</v>
      </c>
      <c r="BS10" s="599"/>
      <c r="BT10" s="601"/>
    </row>
    <row r="11" spans="1:73" ht="15.4" x14ac:dyDescent="0.45">
      <c r="A11" s="76"/>
      <c r="B11" s="77" t="s">
        <v>88</v>
      </c>
      <c r="C11" s="288">
        <v>856</v>
      </c>
      <c r="D11" s="78" t="s">
        <v>91</v>
      </c>
      <c r="E11" s="87">
        <v>1</v>
      </c>
      <c r="F11" s="327">
        <f t="shared" si="30"/>
        <v>4660</v>
      </c>
      <c r="G11" s="290">
        <v>1138</v>
      </c>
      <c r="H11" s="81">
        <f t="shared" si="31"/>
        <v>5303080</v>
      </c>
      <c r="I11" s="597">
        <f>INDEX('Historic Spend Factor'!$U$9:$U$159, MATCH(C11, 'Historic Spend Factor'!$C$9:$C$159, 0))</f>
        <v>21879725.012490015</v>
      </c>
      <c r="J11" s="80">
        <v>80504.469999999972</v>
      </c>
      <c r="K11" s="82">
        <f t="shared" si="0"/>
        <v>80504.469999999972</v>
      </c>
      <c r="L11" s="81">
        <f t="shared" ref="L11:L73" si="44">K11/K$8*L$8</f>
        <v>16381016.622736372</v>
      </c>
      <c r="M11" s="80">
        <v>15267</v>
      </c>
      <c r="N11" s="82">
        <f t="shared" si="1"/>
        <v>15267</v>
      </c>
      <c r="O11" s="81">
        <f t="shared" si="32"/>
        <v>3886700.2552527497</v>
      </c>
      <c r="P11" s="80">
        <v>12497</v>
      </c>
      <c r="Q11" s="82">
        <f t="shared" si="2"/>
        <v>12497</v>
      </c>
      <c r="R11" s="84">
        <f t="shared" si="3"/>
        <v>767392.93835526158</v>
      </c>
      <c r="S11" s="80">
        <v>9597</v>
      </c>
      <c r="T11" s="82">
        <f t="shared" si="4"/>
        <v>9597</v>
      </c>
      <c r="U11" s="84">
        <f t="shared" si="5"/>
        <v>777900.27703247138</v>
      </c>
      <c r="V11" s="80">
        <v>7742</v>
      </c>
      <c r="W11" s="82">
        <f t="shared" si="6"/>
        <v>7742</v>
      </c>
      <c r="X11" s="84">
        <f t="shared" si="7"/>
        <v>858228.57002089883</v>
      </c>
      <c r="Y11" s="80">
        <v>7454</v>
      </c>
      <c r="Z11" s="82">
        <f t="shared" si="8"/>
        <v>7454</v>
      </c>
      <c r="AA11" s="84">
        <f t="shared" si="9"/>
        <v>876805.99334865005</v>
      </c>
      <c r="AB11" s="80">
        <v>6750</v>
      </c>
      <c r="AC11" s="82">
        <f t="shared" si="10"/>
        <v>6750</v>
      </c>
      <c r="AD11" s="84">
        <f t="shared" si="11"/>
        <v>882546.73196795268</v>
      </c>
      <c r="AE11" s="80">
        <v>8066</v>
      </c>
      <c r="AF11" s="82">
        <f t="shared" si="12"/>
        <v>8066</v>
      </c>
      <c r="AG11" s="84">
        <f t="shared" si="13"/>
        <v>1391828.8388827869</v>
      </c>
      <c r="AH11" s="81">
        <f t="shared" si="14"/>
        <v>5554703.3496080218</v>
      </c>
      <c r="AI11" s="80">
        <v>596</v>
      </c>
      <c r="AJ11" s="82">
        <f t="shared" si="15"/>
        <v>596</v>
      </c>
      <c r="AK11" s="84">
        <f t="shared" si="16"/>
        <v>3270603.3125727545</v>
      </c>
      <c r="AL11" s="80">
        <v>3042</v>
      </c>
      <c r="AM11" s="82">
        <f t="shared" si="17"/>
        <v>3042</v>
      </c>
      <c r="AN11" s="84">
        <f t="shared" si="18"/>
        <v>2300256.58184668</v>
      </c>
      <c r="AO11" s="564">
        <v>825</v>
      </c>
      <c r="AP11" s="82">
        <f t="shared" si="19"/>
        <v>825</v>
      </c>
      <c r="AQ11" s="84">
        <f t="shared" si="20"/>
        <v>3214321.5684372168</v>
      </c>
      <c r="AR11" s="564">
        <v>1566</v>
      </c>
      <c r="AS11" s="82">
        <f t="shared" si="21"/>
        <v>1566</v>
      </c>
      <c r="AT11" s="84">
        <f t="shared" si="22"/>
        <v>4314898.8786518956</v>
      </c>
      <c r="AU11" s="81">
        <f t="shared" si="33"/>
        <v>60802225.581595697</v>
      </c>
      <c r="AV11" s="620">
        <f>INDEX('2021-22 Baseline'!$J$9:$J$158,MATCH(C11,'2021-22 Baseline'!$C$9:$C$158,0))</f>
        <v>55450226.543235064</v>
      </c>
      <c r="AW11" s="623">
        <v>80188.425999999963</v>
      </c>
      <c r="AX11" s="620">
        <f t="shared" si="34"/>
        <v>691.49912661005578</v>
      </c>
      <c r="AY11" s="620">
        <f t="shared" si="35"/>
        <v>746.81905673886024</v>
      </c>
      <c r="AZ11" s="620">
        <f t="shared" si="36"/>
        <v>755.26521175278492</v>
      </c>
      <c r="BA11" s="620">
        <f t="shared" si="23"/>
        <v>755.26521175278492</v>
      </c>
      <c r="BB11" s="624">
        <f t="shared" si="37"/>
        <v>0</v>
      </c>
      <c r="BC11" s="620">
        <f t="shared" si="24"/>
        <v>0</v>
      </c>
      <c r="BD11" s="81">
        <f t="shared" si="25"/>
        <v>0</v>
      </c>
      <c r="BE11" s="81">
        <f t="shared" si="38"/>
        <v>60802225.581595697</v>
      </c>
      <c r="BF11" s="588">
        <f>INDEX('AP Funding Factor'!$I$9:$I$158,MATCH(C11,'AP Funding Factor'!$C$9:$C$158,0))</f>
        <v>2725211.6077739089</v>
      </c>
      <c r="BG11" s="290">
        <f>INDEX('Import|Export Adjustments Data'!$Q$9:$Q$159,MATCH($C11,'Import|Export Adjustments Data'!$C$9:$C$159,0))</f>
        <v>-91</v>
      </c>
      <c r="BH11" s="289">
        <v>6000</v>
      </c>
      <c r="BI11" s="81">
        <f t="shared" si="39"/>
        <v>-540000</v>
      </c>
      <c r="BJ11" s="86">
        <f t="shared" si="26"/>
        <v>68290517.189369604</v>
      </c>
      <c r="BK11" s="620">
        <f t="shared" si="27"/>
        <v>691.49912661005578</v>
      </c>
      <c r="BL11" s="620">
        <f t="shared" si="28"/>
        <v>755.26521175278492</v>
      </c>
      <c r="BM11" s="620">
        <f t="shared" si="40"/>
        <v>755.26521175278492</v>
      </c>
      <c r="BN11" s="620">
        <f t="shared" si="29"/>
        <v>60802225.581595697</v>
      </c>
      <c r="BO11" s="281">
        <f t="shared" si="41"/>
        <v>9.221426707410374E-2</v>
      </c>
      <c r="BP11" s="81">
        <f t="shared" si="42"/>
        <v>68830517.189369604</v>
      </c>
      <c r="BQ11" s="81">
        <f t="shared" si="43"/>
        <v>68290517.189369604</v>
      </c>
      <c r="BS11" s="599"/>
      <c r="BT11" s="601"/>
    </row>
    <row r="12" spans="1:73" ht="15.4" x14ac:dyDescent="0.45">
      <c r="A12" s="76"/>
      <c r="B12" s="77" t="s">
        <v>88</v>
      </c>
      <c r="C12" s="288">
        <v>855</v>
      </c>
      <c r="D12" s="78" t="s">
        <v>92</v>
      </c>
      <c r="E12" s="87">
        <v>1</v>
      </c>
      <c r="F12" s="327">
        <f t="shared" si="30"/>
        <v>4660</v>
      </c>
      <c r="G12" s="290">
        <v>1870</v>
      </c>
      <c r="H12" s="81">
        <f t="shared" si="31"/>
        <v>8714200</v>
      </c>
      <c r="I12" s="597">
        <f>INDEX('Historic Spend Factor'!$U$9:$U$159, MATCH(C12, 'Historic Spend Factor'!$C$9:$C$159, 0))</f>
        <v>30071058.725981899</v>
      </c>
      <c r="J12" s="80">
        <v>141948.87499999991</v>
      </c>
      <c r="K12" s="82">
        <f t="shared" si="0"/>
        <v>141948.87499999991</v>
      </c>
      <c r="L12" s="81">
        <f t="shared" si="44"/>
        <v>28883699.016386628</v>
      </c>
      <c r="M12" s="80">
        <v>13772</v>
      </c>
      <c r="N12" s="82">
        <f t="shared" si="1"/>
        <v>13772</v>
      </c>
      <c r="O12" s="81">
        <f t="shared" si="32"/>
        <v>3506100.4726102618</v>
      </c>
      <c r="P12" s="80">
        <v>9932</v>
      </c>
      <c r="Q12" s="82">
        <f t="shared" si="2"/>
        <v>9932</v>
      </c>
      <c r="R12" s="84">
        <f t="shared" si="3"/>
        <v>609886.10576494026</v>
      </c>
      <c r="S12" s="80">
        <v>6002</v>
      </c>
      <c r="T12" s="82">
        <f t="shared" si="4"/>
        <v>6002</v>
      </c>
      <c r="U12" s="84">
        <f t="shared" si="5"/>
        <v>486501.76750535512</v>
      </c>
      <c r="V12" s="80">
        <v>2095</v>
      </c>
      <c r="W12" s="82">
        <f t="shared" si="6"/>
        <v>2095</v>
      </c>
      <c r="X12" s="84">
        <f t="shared" si="7"/>
        <v>232238.29168093298</v>
      </c>
      <c r="Y12" s="80">
        <v>1440</v>
      </c>
      <c r="Z12" s="82">
        <f t="shared" si="8"/>
        <v>1440</v>
      </c>
      <c r="AA12" s="84">
        <f t="shared" si="9"/>
        <v>169385.64937242505</v>
      </c>
      <c r="AB12" s="80">
        <v>1112</v>
      </c>
      <c r="AC12" s="82">
        <f t="shared" si="10"/>
        <v>1112</v>
      </c>
      <c r="AD12" s="84">
        <f t="shared" si="11"/>
        <v>145391.40236272049</v>
      </c>
      <c r="AE12" s="80">
        <v>869</v>
      </c>
      <c r="AF12" s="82">
        <f t="shared" si="12"/>
        <v>869</v>
      </c>
      <c r="AG12" s="84">
        <f t="shared" si="13"/>
        <v>149950.31750423281</v>
      </c>
      <c r="AH12" s="81">
        <f t="shared" si="14"/>
        <v>1793353.5341906068</v>
      </c>
      <c r="AI12" s="80">
        <v>580</v>
      </c>
      <c r="AJ12" s="82">
        <f t="shared" si="15"/>
        <v>580</v>
      </c>
      <c r="AK12" s="84">
        <f t="shared" si="16"/>
        <v>3182801.8813627479</v>
      </c>
      <c r="AL12" s="80">
        <v>5262</v>
      </c>
      <c r="AM12" s="82">
        <f t="shared" si="17"/>
        <v>5262</v>
      </c>
      <c r="AN12" s="84">
        <f t="shared" si="18"/>
        <v>3978944.8171194047</v>
      </c>
      <c r="AO12" s="564">
        <v>904</v>
      </c>
      <c r="AP12" s="82">
        <f t="shared" si="19"/>
        <v>904</v>
      </c>
      <c r="AQ12" s="84">
        <f t="shared" si="20"/>
        <v>3522117.2095360532</v>
      </c>
      <c r="AR12" s="564">
        <v>1467</v>
      </c>
      <c r="AS12" s="82">
        <f t="shared" si="21"/>
        <v>1467</v>
      </c>
      <c r="AT12" s="84">
        <f t="shared" si="22"/>
        <v>4042117.9150589597</v>
      </c>
      <c r="AU12" s="81">
        <f t="shared" si="33"/>
        <v>78980193.572246566</v>
      </c>
      <c r="AV12" s="620">
        <f>INDEX('2021-22 Baseline'!$J$9:$J$158,MATCH(C12,'2021-22 Baseline'!$C$9:$C$158,0))</f>
        <v>74483271.171347186</v>
      </c>
      <c r="AW12" s="623">
        <v>140036.46399999998</v>
      </c>
      <c r="AX12" s="620">
        <f t="shared" si="34"/>
        <v>531.88483230587144</v>
      </c>
      <c r="AY12" s="620">
        <f t="shared" si="35"/>
        <v>574.43561889034117</v>
      </c>
      <c r="AZ12" s="620">
        <f t="shared" si="36"/>
        <v>556.39886946794479</v>
      </c>
      <c r="BA12" s="620">
        <f t="shared" si="23"/>
        <v>574.43561889034117</v>
      </c>
      <c r="BB12" s="620">
        <f>(BA12-AZ12)*J12</f>
        <v>2560296.2891660649</v>
      </c>
      <c r="BC12" s="620">
        <f t="shared" si="24"/>
        <v>0</v>
      </c>
      <c r="BD12" s="81">
        <f t="shared" si="25"/>
        <v>2560296.2891660649</v>
      </c>
      <c r="BE12" s="81">
        <f t="shared" si="38"/>
        <v>81540489.861412629</v>
      </c>
      <c r="BF12" s="588">
        <f>INDEX('AP Funding Factor'!$I$9:$I$158,MATCH(C12,'AP Funding Factor'!$C$9:$C$158,0))</f>
        <v>828232.65028818278</v>
      </c>
      <c r="BG12" s="290">
        <f>INDEX('Import|Export Adjustments Data'!$Q$9:$Q$159,MATCH($C12,'Import|Export Adjustments Data'!$C$9:$C$159,0))</f>
        <v>-181</v>
      </c>
      <c r="BH12" s="289">
        <v>553167</v>
      </c>
      <c r="BI12" s="81">
        <f t="shared" si="39"/>
        <v>-532833</v>
      </c>
      <c r="BJ12" s="86">
        <f t="shared" si="26"/>
        <v>90550089.511700809</v>
      </c>
      <c r="BK12" s="620">
        <f t="shared" si="27"/>
        <v>531.88483230587144</v>
      </c>
      <c r="BL12" s="620">
        <f t="shared" si="28"/>
        <v>574.43561889034117</v>
      </c>
      <c r="BM12" s="620">
        <f t="shared" si="40"/>
        <v>574.43561889034117</v>
      </c>
      <c r="BN12" s="620">
        <f t="shared" si="29"/>
        <v>81540489.861412629</v>
      </c>
      <c r="BO12" s="281">
        <f>BM12/BK12-1</f>
        <v>8.0000000000000071E-2</v>
      </c>
      <c r="BP12" s="81">
        <f t="shared" si="42"/>
        <v>91082922.511700809</v>
      </c>
      <c r="BQ12" s="81">
        <f t="shared" si="43"/>
        <v>90550089.511700809</v>
      </c>
      <c r="BS12" s="599"/>
      <c r="BT12" s="601"/>
    </row>
    <row r="13" spans="1:73" ht="15.4" x14ac:dyDescent="0.45">
      <c r="A13" s="76"/>
      <c r="B13" s="77" t="s">
        <v>88</v>
      </c>
      <c r="C13" s="288">
        <v>925</v>
      </c>
      <c r="D13" s="78" t="s">
        <v>93</v>
      </c>
      <c r="E13" s="87">
        <v>1</v>
      </c>
      <c r="F13" s="327">
        <f t="shared" si="30"/>
        <v>4660</v>
      </c>
      <c r="G13" s="290">
        <v>2122</v>
      </c>
      <c r="H13" s="81">
        <f t="shared" si="31"/>
        <v>9888520</v>
      </c>
      <c r="I13" s="597">
        <f>INDEX('Historic Spend Factor'!$U$9:$U$159, MATCH(C13, 'Historic Spend Factor'!$C$9:$C$159, 0))</f>
        <v>31461637.5</v>
      </c>
      <c r="J13" s="80">
        <v>144947.28999999983</v>
      </c>
      <c r="K13" s="82">
        <f t="shared" si="0"/>
        <v>144947.28999999983</v>
      </c>
      <c r="L13" s="81">
        <f t="shared" si="44"/>
        <v>29493815.273991462</v>
      </c>
      <c r="M13" s="80">
        <v>23975.5</v>
      </c>
      <c r="N13" s="82">
        <f t="shared" si="1"/>
        <v>23975.5</v>
      </c>
      <c r="O13" s="81">
        <f t="shared" si="32"/>
        <v>6103725.8118695421</v>
      </c>
      <c r="P13" s="80">
        <v>14636</v>
      </c>
      <c r="Q13" s="82">
        <f t="shared" si="2"/>
        <v>14636</v>
      </c>
      <c r="R13" s="84">
        <f t="shared" si="3"/>
        <v>898740.74143935414</v>
      </c>
      <c r="S13" s="80">
        <v>12520</v>
      </c>
      <c r="T13" s="82">
        <f t="shared" si="4"/>
        <v>12520</v>
      </c>
      <c r="U13" s="84">
        <f t="shared" si="5"/>
        <v>1014828.7452794146</v>
      </c>
      <c r="V13" s="80">
        <v>4951</v>
      </c>
      <c r="W13" s="82">
        <f t="shared" si="6"/>
        <v>4951</v>
      </c>
      <c r="X13" s="84">
        <f t="shared" si="7"/>
        <v>548836.17284596618</v>
      </c>
      <c r="Y13" s="80">
        <v>6965</v>
      </c>
      <c r="Z13" s="82">
        <f t="shared" si="8"/>
        <v>6965</v>
      </c>
      <c r="AA13" s="84">
        <f t="shared" si="9"/>
        <v>819285.44991593086</v>
      </c>
      <c r="AB13" s="80">
        <v>6891</v>
      </c>
      <c r="AC13" s="82">
        <f t="shared" si="10"/>
        <v>6891</v>
      </c>
      <c r="AD13" s="84">
        <f t="shared" si="11"/>
        <v>900982.15259128332</v>
      </c>
      <c r="AE13" s="80">
        <v>3319</v>
      </c>
      <c r="AF13" s="82">
        <f t="shared" si="12"/>
        <v>3319</v>
      </c>
      <c r="AG13" s="84">
        <f t="shared" si="13"/>
        <v>572710.13095114927</v>
      </c>
      <c r="AH13" s="81">
        <f t="shared" si="14"/>
        <v>4755383.3930230979</v>
      </c>
      <c r="AI13" s="80">
        <v>722</v>
      </c>
      <c r="AJ13" s="82">
        <f t="shared" si="15"/>
        <v>722</v>
      </c>
      <c r="AK13" s="84">
        <f t="shared" si="16"/>
        <v>3962039.5833515585</v>
      </c>
      <c r="AL13" s="80">
        <v>7142</v>
      </c>
      <c r="AM13" s="82">
        <f t="shared" si="17"/>
        <v>7142</v>
      </c>
      <c r="AN13" s="84">
        <f t="shared" si="18"/>
        <v>5400536.6559990104</v>
      </c>
      <c r="AO13" s="564">
        <v>1145</v>
      </c>
      <c r="AP13" s="82">
        <f t="shared" si="19"/>
        <v>1145</v>
      </c>
      <c r="AQ13" s="84">
        <f t="shared" si="20"/>
        <v>4461088.7222552886</v>
      </c>
      <c r="AR13" s="564">
        <v>1645</v>
      </c>
      <c r="AS13" s="82">
        <f t="shared" si="21"/>
        <v>1645</v>
      </c>
      <c r="AT13" s="84">
        <f t="shared" si="22"/>
        <v>4532572.5768725211</v>
      </c>
      <c r="AU13" s="81">
        <f t="shared" si="33"/>
        <v>90170799.517362475</v>
      </c>
      <c r="AV13" s="620">
        <f>INDEX('2021-22 Baseline'!$J$9:$J$158,MATCH(C13,'2021-22 Baseline'!$C$9:$C$158,0))</f>
        <v>90746442.229239523</v>
      </c>
      <c r="AW13" s="623">
        <v>143524.45299999989</v>
      </c>
      <c r="AX13" s="620">
        <f t="shared" si="34"/>
        <v>632.27164662484097</v>
      </c>
      <c r="AY13" s="620">
        <f t="shared" si="35"/>
        <v>682.85337835482824</v>
      </c>
      <c r="AZ13" s="620">
        <f t="shared" si="36"/>
        <v>622.09372467303513</v>
      </c>
      <c r="BA13" s="620">
        <f t="shared" si="23"/>
        <v>682.85337835482824</v>
      </c>
      <c r="BB13" s="624">
        <f t="shared" si="37"/>
        <v>8806947.1425144244</v>
      </c>
      <c r="BC13" s="620">
        <f t="shared" si="24"/>
        <v>0</v>
      </c>
      <c r="BD13" s="81">
        <f t="shared" si="25"/>
        <v>8806947.1425144244</v>
      </c>
      <c r="BE13" s="81">
        <f t="shared" si="38"/>
        <v>98977746.659876898</v>
      </c>
      <c r="BF13" s="588">
        <f>INDEX('AP Funding Factor'!$I$9:$I$158,MATCH(C13,'AP Funding Factor'!$C$9:$C$158,0))</f>
        <v>2696791.6391613432</v>
      </c>
      <c r="BG13" s="290">
        <f>INDEX('Import|Export Adjustments Data'!$Q$9:$Q$159,MATCH($C13,'Import|Export Adjustments Data'!$C$9:$C$159,0))</f>
        <v>-211.5</v>
      </c>
      <c r="BH13" s="289">
        <v>0</v>
      </c>
      <c r="BI13" s="81">
        <f>BG13*6000+BH13</f>
        <v>-1269000</v>
      </c>
      <c r="BJ13" s="86">
        <f t="shared" si="26"/>
        <v>110294058.29903825</v>
      </c>
      <c r="BK13" s="620">
        <f t="shared" si="27"/>
        <v>632.27164662484097</v>
      </c>
      <c r="BL13" s="620">
        <f t="shared" si="28"/>
        <v>682.85337835482824</v>
      </c>
      <c r="BM13" s="620">
        <f t="shared" si="40"/>
        <v>682.85337835482824</v>
      </c>
      <c r="BN13" s="620">
        <f t="shared" si="29"/>
        <v>98977746.659876898</v>
      </c>
      <c r="BO13" s="281">
        <f t="shared" si="41"/>
        <v>8.0000000000000071E-2</v>
      </c>
      <c r="BP13" s="81">
        <f t="shared" si="42"/>
        <v>111563058.29903825</v>
      </c>
      <c r="BQ13" s="81">
        <f t="shared" si="43"/>
        <v>110294058.29903825</v>
      </c>
      <c r="BS13" s="599"/>
      <c r="BT13" s="601"/>
    </row>
    <row r="14" spans="1:73" ht="15.4" x14ac:dyDescent="0.45">
      <c r="A14" s="76"/>
      <c r="B14" s="77" t="s">
        <v>88</v>
      </c>
      <c r="C14" s="288">
        <v>940</v>
      </c>
      <c r="D14" s="78" t="s">
        <v>358</v>
      </c>
      <c r="E14" s="87">
        <v>1.00512280797789</v>
      </c>
      <c r="F14" s="327">
        <f t="shared" si="30"/>
        <v>4683.8722851769671</v>
      </c>
      <c r="G14" s="290">
        <v>1079.5</v>
      </c>
      <c r="H14" s="81">
        <f t="shared" si="31"/>
        <v>5056240.1318485364</v>
      </c>
      <c r="I14" s="597">
        <f>INDEX('Historic Spend Factor'!$U$9:$U$159, MATCH(C14, 'Historic Spend Factor'!$C$9:$C$159, 0))</f>
        <v>14568475.059980921</v>
      </c>
      <c r="J14" s="80">
        <v>78816.556999999972</v>
      </c>
      <c r="K14" s="82">
        <f t="shared" si="0"/>
        <v>79220.319086989388</v>
      </c>
      <c r="L14" s="81">
        <f t="shared" ref="L14" si="45">K14/K$8*L$8</f>
        <v>16119718.120278951</v>
      </c>
      <c r="M14" s="80">
        <v>10117</v>
      </c>
      <c r="N14" s="82">
        <f t="shared" si="1"/>
        <v>10168.827448312313</v>
      </c>
      <c r="O14" s="81">
        <f t="shared" si="32"/>
        <v>2588798.3388338662</v>
      </c>
      <c r="P14" s="80">
        <v>5328</v>
      </c>
      <c r="Q14" s="82">
        <f t="shared" si="2"/>
        <v>5355.2943209061978</v>
      </c>
      <c r="R14" s="84">
        <f t="shared" si="3"/>
        <v>328848.12712470617</v>
      </c>
      <c r="S14" s="80">
        <v>9719</v>
      </c>
      <c r="T14" s="82">
        <f t="shared" si="4"/>
        <v>9768.7885707371133</v>
      </c>
      <c r="U14" s="84">
        <f t="shared" si="5"/>
        <v>791824.8760496031</v>
      </c>
      <c r="V14" s="80">
        <v>3983</v>
      </c>
      <c r="W14" s="82">
        <f t="shared" si="6"/>
        <v>4003.4041441759359</v>
      </c>
      <c r="X14" s="84">
        <f t="shared" si="7"/>
        <v>443791.76102710591</v>
      </c>
      <c r="Y14" s="80">
        <v>2703</v>
      </c>
      <c r="Z14" s="82">
        <f t="shared" si="8"/>
        <v>2716.8469499642365</v>
      </c>
      <c r="AA14" s="84">
        <f t="shared" si="9"/>
        <v>319579.78115637816</v>
      </c>
      <c r="AB14" s="80">
        <v>3214</v>
      </c>
      <c r="AC14" s="82">
        <f t="shared" si="10"/>
        <v>3230.4647048409383</v>
      </c>
      <c r="AD14" s="84">
        <f t="shared" si="11"/>
        <v>422375.71377706475</v>
      </c>
      <c r="AE14" s="80">
        <v>1569</v>
      </c>
      <c r="AF14" s="82">
        <f t="shared" si="12"/>
        <v>1577.0376857173094</v>
      </c>
      <c r="AG14" s="84">
        <f t="shared" si="13"/>
        <v>272125.77869902313</v>
      </c>
      <c r="AH14" s="81">
        <f t="shared" si="14"/>
        <v>2578546.0378338816</v>
      </c>
      <c r="AI14" s="80">
        <v>350</v>
      </c>
      <c r="AJ14" s="82">
        <f t="shared" si="15"/>
        <v>351.79298279226151</v>
      </c>
      <c r="AK14" s="84">
        <f t="shared" si="16"/>
        <v>1930495.4611748667</v>
      </c>
      <c r="AL14" s="80">
        <v>3060</v>
      </c>
      <c r="AM14" s="82">
        <f t="shared" si="17"/>
        <v>3075.6757924123435</v>
      </c>
      <c r="AN14" s="84">
        <f t="shared" si="18"/>
        <v>2325721.0667728456</v>
      </c>
      <c r="AO14" s="564">
        <v>651</v>
      </c>
      <c r="AP14" s="82">
        <f t="shared" si="19"/>
        <v>654.33494799360642</v>
      </c>
      <c r="AQ14" s="84">
        <f t="shared" si="20"/>
        <v>2549385.3773552654</v>
      </c>
      <c r="AR14" s="564">
        <v>940</v>
      </c>
      <c r="AS14" s="82">
        <f t="shared" si="21"/>
        <v>944.81543949921661</v>
      </c>
      <c r="AT14" s="84">
        <f>(AS14/AS$8)*AT$8</f>
        <v>2603309.7576169651</v>
      </c>
      <c r="AU14" s="81">
        <f>I14+L14+O14+AH14+AK14+AN14+AQ14+AT14</f>
        <v>45264449.219847567</v>
      </c>
      <c r="AV14" s="620">
        <f>INDEX('2021-22 Baseline'!$J$9:$J$158,MATCH(C14,'2021-22 Baseline'!$C$9:$C$158,0))</f>
        <v>41963727.731729046</v>
      </c>
      <c r="AW14" s="623">
        <v>77954.426999999967</v>
      </c>
      <c r="AX14" s="620">
        <f t="shared" si="34"/>
        <v>538.31102795135757</v>
      </c>
      <c r="AY14" s="620">
        <f t="shared" si="35"/>
        <v>581.37591018746616</v>
      </c>
      <c r="AZ14" s="620">
        <f>AU14/J14</f>
        <v>574.30127555365789</v>
      </c>
      <c r="BA14" s="620">
        <f t="shared" si="23"/>
        <v>581.37591018746616</v>
      </c>
      <c r="BB14" s="624">
        <f t="shared" si="37"/>
        <v>557598.34386972373</v>
      </c>
      <c r="BC14" s="620">
        <f t="shared" si="24"/>
        <v>0</v>
      </c>
      <c r="BD14" s="81">
        <f t="shared" si="25"/>
        <v>557598.34386972373</v>
      </c>
      <c r="BE14" s="81">
        <f>AU14+BD14</f>
        <v>45822047.563717291</v>
      </c>
      <c r="BF14" s="588">
        <f>INDEX('AP Funding Factor'!$I$9:$I$158,MATCH(C14,'AP Funding Factor'!$C$9:$C$158,0))</f>
        <v>20899.113985472242</v>
      </c>
      <c r="BG14" s="290">
        <f>INDEX('Import|Export Adjustments Data'!$Q$9:$Q$159,MATCH($C14,'Import|Export Adjustments Data'!$C$9:$C$159,0))</f>
        <v>-269</v>
      </c>
      <c r="BH14" s="289">
        <v>78000</v>
      </c>
      <c r="BI14" s="81">
        <f t="shared" ref="BI14:BI78" si="46">BG14*6000+BH14</f>
        <v>-1536000</v>
      </c>
      <c r="BJ14" s="86">
        <f t="shared" si="26"/>
        <v>49363186.809551299</v>
      </c>
      <c r="BK14" s="620">
        <f t="shared" si="27"/>
        <v>538.31102795135757</v>
      </c>
      <c r="BL14" s="620">
        <f t="shared" si="28"/>
        <v>581.37591018746616</v>
      </c>
      <c r="BM14" s="620">
        <f t="shared" si="40"/>
        <v>581.37591018746616</v>
      </c>
      <c r="BN14" s="620">
        <f t="shared" si="29"/>
        <v>45822047.563717291</v>
      </c>
      <c r="BO14" s="281">
        <f t="shared" si="41"/>
        <v>8.0000000000000071E-2</v>
      </c>
      <c r="BP14" s="81">
        <f t="shared" si="42"/>
        <v>50899186.809551299</v>
      </c>
      <c r="BQ14" s="81">
        <f t="shared" si="43"/>
        <v>49363186.809551299</v>
      </c>
      <c r="BS14" s="599"/>
      <c r="BT14" s="601"/>
    </row>
    <row r="15" spans="1:73" ht="15.4" x14ac:dyDescent="0.45">
      <c r="A15" s="76"/>
      <c r="B15" s="77" t="s">
        <v>88</v>
      </c>
      <c r="C15" s="288">
        <v>892</v>
      </c>
      <c r="D15" s="78" t="s">
        <v>95</v>
      </c>
      <c r="E15" s="87">
        <v>1.00431325286291</v>
      </c>
      <c r="F15" s="327">
        <f>4660 * $E15</f>
        <v>4680.0997583411599</v>
      </c>
      <c r="G15" s="290">
        <v>630.47618999999997</v>
      </c>
      <c r="H15" s="81">
        <f>G15*F15</f>
        <v>2950691.4644588553</v>
      </c>
      <c r="I15" s="597">
        <f>INDEX('Historic Spend Factor'!$U$9:$U$159, MATCH(C15, 'Historic Spend Factor'!$C$9:$C$159, 0))</f>
        <v>15196925.958505712</v>
      </c>
      <c r="J15" s="80">
        <v>67754.354999999996</v>
      </c>
      <c r="K15" s="82">
        <f>E15*J15</f>
        <v>68046.596665678357</v>
      </c>
      <c r="L15" s="81">
        <f>K15/K$8*L$8</f>
        <v>13846093.65295014</v>
      </c>
      <c r="M15" s="80">
        <v>16922</v>
      </c>
      <c r="N15" s="82">
        <f>M15*$E15</f>
        <v>16994.988864946161</v>
      </c>
      <c r="O15" s="81">
        <f>N15/N$8*O$8</f>
        <v>4326614.7612107079</v>
      </c>
      <c r="P15" s="80">
        <v>4404</v>
      </c>
      <c r="Q15" s="82">
        <f>P15*$E15</f>
        <v>4422.9955656082557</v>
      </c>
      <c r="R15" s="84">
        <f>Q15/Q$8*R$8</f>
        <v>271599.22888888628</v>
      </c>
      <c r="S15" s="80">
        <v>5214</v>
      </c>
      <c r="T15" s="82">
        <f>S15*$E15</f>
        <v>5236.4893004272126</v>
      </c>
      <c r="U15" s="84">
        <f>T15/T$8*U$8</f>
        <v>424452.06600811722</v>
      </c>
      <c r="V15" s="80">
        <v>8848</v>
      </c>
      <c r="W15" s="82">
        <f>V15*$E15</f>
        <v>8886.1636613310275</v>
      </c>
      <c r="X15" s="84">
        <f>W15/W$8*X$8</f>
        <v>985063.23069436871</v>
      </c>
      <c r="Y15" s="80">
        <v>12288</v>
      </c>
      <c r="Z15" s="82">
        <f>Y15*$E15</f>
        <v>12341.001251179438</v>
      </c>
      <c r="AA15" s="84">
        <f>Z15/Z$8*AA$8</f>
        <v>1451658.6880812077</v>
      </c>
      <c r="AB15" s="80">
        <v>15449</v>
      </c>
      <c r="AC15" s="82">
        <f>AB15*$E15</f>
        <v>15515.635443479096</v>
      </c>
      <c r="AD15" s="84">
        <f>AC15/AC$8*AD$8</f>
        <v>2028633.0896368315</v>
      </c>
      <c r="AE15" s="80">
        <v>6538</v>
      </c>
      <c r="AF15" s="82">
        <f>AE15*$E15</f>
        <v>6566.2000472177051</v>
      </c>
      <c r="AG15" s="84">
        <f>AF15/AF$8*AG$8</f>
        <v>1133030.8191905678</v>
      </c>
      <c r="AH15" s="81">
        <f>AG15+AD15+AA15+X15+U15+R15</f>
        <v>6294437.1224999782</v>
      </c>
      <c r="AI15" s="80">
        <v>527</v>
      </c>
      <c r="AJ15" s="82">
        <f>AI15*$E15</f>
        <v>529.27308425875356</v>
      </c>
      <c r="AK15" s="84">
        <f>AJ15/AJ$8*AK$8</f>
        <v>2904433.3936783192</v>
      </c>
      <c r="AL15" s="80">
        <v>3219</v>
      </c>
      <c r="AM15" s="82">
        <f>AL15*$E15</f>
        <v>3232.8843609657069</v>
      </c>
      <c r="AN15" s="84">
        <f>AM15/AM$8*AN$8</f>
        <v>2444596.8210586999</v>
      </c>
      <c r="AO15" s="564">
        <v>546</v>
      </c>
      <c r="AP15" s="82">
        <f>AO15*$E15</f>
        <v>548.35503606314887</v>
      </c>
      <c r="AQ15" s="84">
        <f>(AP15/AP$8)*AQ$8</f>
        <v>2136472.0237320573</v>
      </c>
      <c r="AR15" s="564">
        <v>913</v>
      </c>
      <c r="AS15" s="82">
        <f>AR15*$E15</f>
        <v>916.93799986383681</v>
      </c>
      <c r="AT15" s="84">
        <f>(AS15/AS$8)*AT$8</f>
        <v>2526497.2844225932</v>
      </c>
      <c r="AU15" s="81">
        <f>I15+L15+O15+AH15+AK15+AN15+AQ15+AT15</f>
        <v>49676071.018058211</v>
      </c>
      <c r="AV15" s="620">
        <f>INDEX('2021-22 Baseline'!$J$9:$J$158,MATCH(C15,'2021-22 Baseline'!$C$9:$C$158,0))</f>
        <v>39677321.595156647</v>
      </c>
      <c r="AW15" s="623">
        <v>67155.911999999982</v>
      </c>
      <c r="AX15" s="620">
        <f>AV15/AW15</f>
        <v>590.82395597809261</v>
      </c>
      <c r="AY15" s="620">
        <f>AX15*(100%+8%)</f>
        <v>638.08987245634012</v>
      </c>
      <c r="AZ15" s="620">
        <f>AU15/J15</f>
        <v>733.1790114164354</v>
      </c>
      <c r="BA15" s="620">
        <f>MAX(AY15,AZ15)</f>
        <v>733.1790114164354</v>
      </c>
      <c r="BB15" s="624">
        <f>(BA15-AZ15)*J15</f>
        <v>0</v>
      </c>
      <c r="BC15" s="620">
        <f>MAX(AV15-BA15*J15,0)</f>
        <v>0</v>
      </c>
      <c r="BD15" s="81">
        <f>BB15+BC15</f>
        <v>0</v>
      </c>
      <c r="BE15" s="81">
        <f>AU15+BD15</f>
        <v>49676071.018058211</v>
      </c>
      <c r="BF15" s="588">
        <f>INDEX('AP Funding Factor'!$I$9:$I$158,MATCH(C15,'AP Funding Factor'!$C$9:$C$158,0))</f>
        <v>2440482.1944048307</v>
      </c>
      <c r="BG15" s="290">
        <f>INDEX('Import|Export Adjustments Data'!$Q$9:$Q$159,MATCH($C15,'Import|Export Adjustments Data'!$C$9:$C$159,0))</f>
        <v>17</v>
      </c>
      <c r="BH15" s="289">
        <v>0</v>
      </c>
      <c r="BI15" s="81">
        <f>BG15*6000+BH15</f>
        <v>102000</v>
      </c>
      <c r="BJ15" s="86">
        <f>H15 + BE15 + BF15 + BI15</f>
        <v>55169244.676921897</v>
      </c>
      <c r="BK15" s="620">
        <f>AX15</f>
        <v>590.82395597809261</v>
      </c>
      <c r="BL15" s="620">
        <f>BA15</f>
        <v>733.1790114164354</v>
      </c>
      <c r="BM15" s="620">
        <f>MIN(BK15*(100% + 11%), BL15)</f>
        <v>655.8145911356828</v>
      </c>
      <c r="BN15" s="620">
        <f>BM15*J15+BC15</f>
        <v>44434294.621986903</v>
      </c>
      <c r="BO15" s="281">
        <f>BM15/BK15-1</f>
        <v>0.1100000000000001</v>
      </c>
      <c r="BP15" s="81">
        <f>H15 + BF15 + BN15</f>
        <v>49825468.280850589</v>
      </c>
      <c r="BQ15" s="81">
        <f>H15 + BF15 + BI15 + BN15</f>
        <v>49927468.280850589</v>
      </c>
      <c r="BS15" s="599"/>
      <c r="BT15" s="601"/>
    </row>
    <row r="16" spans="1:73" ht="15.4" x14ac:dyDescent="0.45">
      <c r="A16" s="76"/>
      <c r="B16" s="77" t="s">
        <v>88</v>
      </c>
      <c r="C16" s="288">
        <v>891</v>
      </c>
      <c r="D16" s="78" t="s">
        <v>96</v>
      </c>
      <c r="E16" s="87">
        <v>1.00431325286291</v>
      </c>
      <c r="F16" s="327">
        <f>4660 * $E16</f>
        <v>4680.0997583411599</v>
      </c>
      <c r="G16" s="290">
        <v>1295.1666660000001</v>
      </c>
      <c r="H16" s="81">
        <f>G16*F16</f>
        <v>6061509.200558126</v>
      </c>
      <c r="I16" s="597">
        <f>INDEX('Historic Spend Factor'!$U$9:$U$159, MATCH(C16, 'Historic Spend Factor'!$C$9:$C$159, 0))</f>
        <v>31044551.376804873</v>
      </c>
      <c r="J16" s="80">
        <v>164604.9829999998</v>
      </c>
      <c r="K16" s="82">
        <f>E16*J16</f>
        <v>165314.96591417381</v>
      </c>
      <c r="L16" s="81">
        <f>K16/K$8*L$8</f>
        <v>33638221.636974677</v>
      </c>
      <c r="M16" s="80">
        <v>24036.5</v>
      </c>
      <c r="N16" s="82">
        <f>M16*$E16</f>
        <v>24140.175502439335</v>
      </c>
      <c r="O16" s="81">
        <f>N16/N$8*O$8</f>
        <v>6145649.1967758657</v>
      </c>
      <c r="P16" s="80">
        <v>15016</v>
      </c>
      <c r="Q16" s="82">
        <f>P16*$E16</f>
        <v>15080.767804989457</v>
      </c>
      <c r="R16" s="84">
        <f>Q16/Q$8*R$8</f>
        <v>926052.23001714714</v>
      </c>
      <c r="S16" s="80">
        <v>18906</v>
      </c>
      <c r="T16" s="82">
        <f>S16*$E16</f>
        <v>18987.546358626176</v>
      </c>
      <c r="U16" s="84">
        <f>T16/T$8*U$8</f>
        <v>1539066.1219695942</v>
      </c>
      <c r="V16" s="80">
        <v>8116</v>
      </c>
      <c r="W16" s="82">
        <f>V16*$E16</f>
        <v>8151.0063602353775</v>
      </c>
      <c r="X16" s="84">
        <f>W16/W$8*X$8</f>
        <v>903568.39741359593</v>
      </c>
      <c r="Y16" s="80">
        <v>5453</v>
      </c>
      <c r="Z16" s="82">
        <f>Y16*$E16</f>
        <v>5476.5201678614476</v>
      </c>
      <c r="AA16" s="84">
        <f>Z16/Z$8*AA$8</f>
        <v>644197.17009332881</v>
      </c>
      <c r="AB16" s="80">
        <v>9556</v>
      </c>
      <c r="AC16" s="82">
        <f>AB16*$E16</f>
        <v>9597.2174443579679</v>
      </c>
      <c r="AD16" s="84">
        <f>AC16/AC$8*AD$8</f>
        <v>1254813.7617042891</v>
      </c>
      <c r="AE16" s="80">
        <v>2048</v>
      </c>
      <c r="AF16" s="82">
        <f>AE16*$E16</f>
        <v>2056.8335418632396</v>
      </c>
      <c r="AG16" s="84">
        <f>AF16/AF$8*AG$8</f>
        <v>354916.96508141368</v>
      </c>
      <c r="AH16" s="81">
        <f>AG16+AD16+AA16+X16+U16+R16</f>
        <v>5622614.6462793695</v>
      </c>
      <c r="AI16" s="80">
        <v>816</v>
      </c>
      <c r="AJ16" s="82">
        <f>AI16*$E16</f>
        <v>819.51961433613451</v>
      </c>
      <c r="AK16" s="84">
        <f>AJ16/AJ$8*AK$8</f>
        <v>4497187.1902115904</v>
      </c>
      <c r="AL16" s="80">
        <v>7303</v>
      </c>
      <c r="AM16" s="82">
        <f>AL16*$E16</f>
        <v>7334.4996856578318</v>
      </c>
      <c r="AN16" s="84">
        <f>AM16/AM$8*AN$8</f>
        <v>5546098.348615001</v>
      </c>
      <c r="AO16" s="564">
        <v>1123</v>
      </c>
      <c r="AP16" s="82">
        <f>AO16*$E16</f>
        <v>1127.8437829650479</v>
      </c>
      <c r="AQ16" s="84">
        <f>(AP16/AP$8)*AQ$8</f>
        <v>4394245.5726210633</v>
      </c>
      <c r="AR16" s="564">
        <v>1444</v>
      </c>
      <c r="AS16" s="82">
        <f>AR16*$E16</f>
        <v>1450.228337134042</v>
      </c>
      <c r="AT16" s="84">
        <f>(AS16/AS$8)*AT$8</f>
        <v>3995905.8912444962</v>
      </c>
      <c r="AU16" s="81">
        <f>I16+L16+O16+AH16+AK16+AN16+AQ16+AT16</f>
        <v>94884473.859526947</v>
      </c>
      <c r="AV16" s="620">
        <f>INDEX('2021-22 Baseline'!$J$9:$J$158,MATCH(C16,'2021-22 Baseline'!$C$9:$C$158,0))</f>
        <v>85035380.925705895</v>
      </c>
      <c r="AW16" s="623">
        <v>163060.54599999977</v>
      </c>
      <c r="AX16" s="620">
        <f>AV16/AW16</f>
        <v>521.49574505721341</v>
      </c>
      <c r="AY16" s="620">
        <f>AX16*(100%+8%)</f>
        <v>563.21540466179056</v>
      </c>
      <c r="AZ16" s="620">
        <f>AU16/J16</f>
        <v>576.43743299999039</v>
      </c>
      <c r="BA16" s="620">
        <f>MAX(AY16,AZ16)</f>
        <v>576.43743299999039</v>
      </c>
      <c r="BB16" s="624">
        <f>(BA16-AZ16)*J16</f>
        <v>0</v>
      </c>
      <c r="BC16" s="620">
        <f>MAX(AV16-BA16*J16,0)</f>
        <v>0</v>
      </c>
      <c r="BD16" s="81">
        <f>BB16+BC16</f>
        <v>0</v>
      </c>
      <c r="BE16" s="81">
        <f>AU16+BD16</f>
        <v>94884473.859526947</v>
      </c>
      <c r="BF16" s="588">
        <f>INDEX('AP Funding Factor'!$I$9:$I$158,MATCH(C16,'AP Funding Factor'!$C$9:$C$158,0))</f>
        <v>43414.098159806352</v>
      </c>
      <c r="BG16" s="290">
        <f>INDEX('Import|Export Adjustments Data'!$Q$9:$Q$159,MATCH($C16,'Import|Export Adjustments Data'!$C$9:$C$159,0))</f>
        <v>-389</v>
      </c>
      <c r="BH16" s="289">
        <v>0</v>
      </c>
      <c r="BI16" s="81">
        <f>BG16*6000+BH16</f>
        <v>-2334000</v>
      </c>
      <c r="BJ16" s="86">
        <f>H16 + BE16 + BF16 + BI16</f>
        <v>98655397.158244878</v>
      </c>
      <c r="BK16" s="620">
        <f>AX16</f>
        <v>521.49574505721341</v>
      </c>
      <c r="BL16" s="620">
        <f>BA16</f>
        <v>576.43743299999039</v>
      </c>
      <c r="BM16" s="620">
        <f>MIN(BK16*(100% + 11%), BL16)</f>
        <v>576.43743299999039</v>
      </c>
      <c r="BN16" s="620">
        <f>BM16*J16+BC16</f>
        <v>94884473.859526947</v>
      </c>
      <c r="BO16" s="281">
        <f>BM16/BK16-1</f>
        <v>0.10535404835709516</v>
      </c>
      <c r="BP16" s="81">
        <f>H16 + BF16 + BN16</f>
        <v>100989397.15824488</v>
      </c>
      <c r="BQ16" s="81">
        <f>H16 + BF16 + BI16 + BN16</f>
        <v>98655397.158244878</v>
      </c>
      <c r="BS16" s="599"/>
      <c r="BT16" s="601"/>
    </row>
    <row r="17" spans="1:72" ht="15.4" x14ac:dyDescent="0.45">
      <c r="A17" s="76"/>
      <c r="B17" s="77" t="s">
        <v>88</v>
      </c>
      <c r="C17" s="288">
        <v>857</v>
      </c>
      <c r="D17" s="78" t="s">
        <v>97</v>
      </c>
      <c r="E17" s="87">
        <v>1</v>
      </c>
      <c r="F17" s="327">
        <f>4660 * $E17</f>
        <v>4660</v>
      </c>
      <c r="G17" s="290">
        <v>35</v>
      </c>
      <c r="H17" s="81">
        <f>G17*F17</f>
        <v>163100</v>
      </c>
      <c r="I17" s="597">
        <f>INDEX('Historic Spend Factor'!$U$9:$U$159, MATCH(C17, 'Historic Spend Factor'!$C$9:$C$159, 0))</f>
        <v>1793986.7697919146</v>
      </c>
      <c r="J17" s="80">
        <v>8039.7480000000005</v>
      </c>
      <c r="K17" s="82">
        <f>E17*J17</f>
        <v>8039.7480000000005</v>
      </c>
      <c r="L17" s="81">
        <f>K17/K$8*L$8</f>
        <v>1635924.6341303976</v>
      </c>
      <c r="M17" s="80">
        <v>422</v>
      </c>
      <c r="N17" s="82">
        <f>M17*$E17</f>
        <v>422</v>
      </c>
      <c r="O17" s="81">
        <f>N17/N$8*O$8</f>
        <v>107433.51724088953</v>
      </c>
      <c r="P17" s="80">
        <v>0</v>
      </c>
      <c r="Q17" s="82">
        <f>P17*$E17</f>
        <v>0</v>
      </c>
      <c r="R17" s="84">
        <f>Q17/Q$8*R$8</f>
        <v>0</v>
      </c>
      <c r="S17" s="80">
        <v>0</v>
      </c>
      <c r="T17" s="82">
        <f>S17*$E17</f>
        <v>0</v>
      </c>
      <c r="U17" s="84">
        <f>T17/T$8*U$8</f>
        <v>0</v>
      </c>
      <c r="V17" s="80">
        <v>0</v>
      </c>
      <c r="W17" s="82">
        <f>V17*$E17</f>
        <v>0</v>
      </c>
      <c r="X17" s="84">
        <f>W17/W$8*X$8</f>
        <v>0</v>
      </c>
      <c r="Y17" s="80">
        <v>0</v>
      </c>
      <c r="Z17" s="82">
        <f>Y17*$E17</f>
        <v>0</v>
      </c>
      <c r="AA17" s="84">
        <f>Z17/Z$8*AA$8</f>
        <v>0</v>
      </c>
      <c r="AB17" s="80">
        <v>0</v>
      </c>
      <c r="AC17" s="82">
        <f>AB17*$E17</f>
        <v>0</v>
      </c>
      <c r="AD17" s="84">
        <f>AC17/AC$8*AD$8</f>
        <v>0</v>
      </c>
      <c r="AE17" s="80">
        <v>0</v>
      </c>
      <c r="AF17" s="82">
        <f>AE17*$E17</f>
        <v>0</v>
      </c>
      <c r="AG17" s="84">
        <f>AF17/AF$8*AG$8</f>
        <v>0</v>
      </c>
      <c r="AH17" s="81">
        <f>AG17+AD17+AA17+X17+U17+R17</f>
        <v>0</v>
      </c>
      <c r="AI17" s="80">
        <v>22</v>
      </c>
      <c r="AJ17" s="82">
        <f>AI17*$E17</f>
        <v>22</v>
      </c>
      <c r="AK17" s="84">
        <f>AJ17/AJ$8*AK$8</f>
        <v>120726.96791375941</v>
      </c>
      <c r="AL17" s="80">
        <v>238</v>
      </c>
      <c r="AM17" s="82">
        <f>AL17*$E17</f>
        <v>238</v>
      </c>
      <c r="AN17" s="84">
        <f>AM17/AM$8*AN$8</f>
        <v>179967.47747518405</v>
      </c>
      <c r="AO17" s="564">
        <v>45</v>
      </c>
      <c r="AP17" s="82">
        <f>AO17*$E17</f>
        <v>45</v>
      </c>
      <c r="AQ17" s="84">
        <f>(AP17/AP$8)*AQ$8</f>
        <v>175326.63100566639</v>
      </c>
      <c r="AR17" s="564">
        <v>26</v>
      </c>
      <c r="AS17" s="82">
        <f>AR17*$E17</f>
        <v>26</v>
      </c>
      <c r="AT17" s="84">
        <f>(AS17/AS$8)*AT$8</f>
        <v>71639.444984003378</v>
      </c>
      <c r="AU17" s="81">
        <f>I17+L17+O17+AH17+AK17+AN17+AQ17+AT17</f>
        <v>4085005.4425418144</v>
      </c>
      <c r="AV17" s="620">
        <f>INDEX('2021-22 Baseline'!$J$9:$J$158,MATCH(C17,'2021-22 Baseline'!$C$9:$C$158,0))</f>
        <v>4692234.6796002956</v>
      </c>
      <c r="AW17" s="623">
        <v>7940.6099999999969</v>
      </c>
      <c r="AX17" s="620">
        <f>AV17/AW17</f>
        <v>590.91614870901572</v>
      </c>
      <c r="AY17" s="620">
        <f>AX17*(100%+8%)</f>
        <v>638.18944060573699</v>
      </c>
      <c r="AZ17" s="620">
        <f>AU17/J17</f>
        <v>508.10117960685011</v>
      </c>
      <c r="BA17" s="620">
        <f>MAX(AY17,AZ17)</f>
        <v>638.18944060573699</v>
      </c>
      <c r="BB17" s="624">
        <f>(BA17-AZ17)*J17</f>
        <v>1045876.8361892789</v>
      </c>
      <c r="BC17" s="620">
        <f>MAX(AV17-BA17*J17,0)</f>
        <v>0</v>
      </c>
      <c r="BD17" s="81">
        <f>BB17+BC17</f>
        <v>1045876.8361892789</v>
      </c>
      <c r="BE17" s="81">
        <f>AU17+BD17</f>
        <v>5130882.2787310928</v>
      </c>
      <c r="BF17" s="588">
        <f>INDEX('AP Funding Factor'!$I$9:$I$158,MATCH(C17,'AP Funding Factor'!$C$9:$C$158,0))</f>
        <v>0</v>
      </c>
      <c r="BG17" s="290">
        <f>INDEX('Import|Export Adjustments Data'!$Q$9:$Q$159,MATCH($C17,'Import|Export Adjustments Data'!$C$9:$C$159,0))</f>
        <v>-46</v>
      </c>
      <c r="BH17" s="289">
        <v>0</v>
      </c>
      <c r="BI17" s="81">
        <f>BG17*6000+BH17</f>
        <v>-276000</v>
      </c>
      <c r="BJ17" s="86">
        <f>H17 + BE17 + BF17 + BI17</f>
        <v>5017982.2787310928</v>
      </c>
      <c r="BK17" s="620">
        <f>AX17</f>
        <v>590.91614870901572</v>
      </c>
      <c r="BL17" s="620">
        <f>BA17</f>
        <v>638.18944060573699</v>
      </c>
      <c r="BM17" s="620">
        <f>MIN(BK17*(100% + 11%), BL17)</f>
        <v>638.18944060573699</v>
      </c>
      <c r="BN17" s="620">
        <f>BM17*J17+BC17</f>
        <v>5130882.2787310928</v>
      </c>
      <c r="BO17" s="281">
        <f>BM17/BK17-1</f>
        <v>8.0000000000000071E-2</v>
      </c>
      <c r="BP17" s="81">
        <f>H17 + BF17 + BN17</f>
        <v>5293982.2787310928</v>
      </c>
      <c r="BQ17" s="81">
        <f>H17 + BF17 + BI17 + BN17</f>
        <v>5017982.2787310928</v>
      </c>
      <c r="BS17" s="599"/>
      <c r="BT17" s="601"/>
    </row>
    <row r="18" spans="1:72" ht="15.4" x14ac:dyDescent="0.45">
      <c r="A18" s="76"/>
      <c r="B18" s="77" t="s">
        <v>88</v>
      </c>
      <c r="C18" s="288">
        <v>941</v>
      </c>
      <c r="D18" s="78" t="s">
        <v>359</v>
      </c>
      <c r="E18" s="87">
        <v>1.00512280797789</v>
      </c>
      <c r="F18" s="327">
        <f>4660 * $E18</f>
        <v>4683.8722851769671</v>
      </c>
      <c r="G18" s="290">
        <v>1162.5</v>
      </c>
      <c r="H18" s="81">
        <f>G18*F18</f>
        <v>5445001.5315182246</v>
      </c>
      <c r="I18" s="597">
        <f>INDEX('Historic Spend Factor'!$U$9:$U$159, MATCH(C18, 'Historic Spend Factor'!$C$9:$C$159, 0))</f>
        <v>15590960.718018083</v>
      </c>
      <c r="J18" s="80">
        <v>90116.117999999973</v>
      </c>
      <c r="K18" s="82">
        <f>E18*J18</f>
        <v>90577.765568226852</v>
      </c>
      <c r="L18" s="81">
        <f>K18/K$8*L$8</f>
        <v>18430726.684163537</v>
      </c>
      <c r="M18" s="80">
        <v>9763</v>
      </c>
      <c r="N18" s="82">
        <f>M18*$E18</f>
        <v>9813.0139742881402</v>
      </c>
      <c r="O18" s="81">
        <f>N18/N$8*O$8</f>
        <v>2498214.706141646</v>
      </c>
      <c r="P18" s="80">
        <v>6942</v>
      </c>
      <c r="Q18" s="82">
        <f>P18*$E18</f>
        <v>6977.5625329825125</v>
      </c>
      <c r="R18" s="84">
        <f>Q18/Q$8*R$8</f>
        <v>428465.40887757315</v>
      </c>
      <c r="S18" s="80">
        <v>9184</v>
      </c>
      <c r="T18" s="82">
        <f>S18*$E18</f>
        <v>9231.0478684689424</v>
      </c>
      <c r="U18" s="84">
        <f>T18/T$8*U$8</f>
        <v>748237.43817672133</v>
      </c>
      <c r="V18" s="80">
        <v>3048</v>
      </c>
      <c r="W18" s="82">
        <f>V18*$E18</f>
        <v>3063.6143187166085</v>
      </c>
      <c r="X18" s="84">
        <f>W18/W$8*X$8</f>
        <v>339612.6757746971</v>
      </c>
      <c r="Y18" s="80">
        <v>1530</v>
      </c>
      <c r="Z18" s="82">
        <f>Y18*$E18</f>
        <v>1537.8378962061718</v>
      </c>
      <c r="AA18" s="84">
        <f>Z18/Z$8*AA$8</f>
        <v>180894.21574889333</v>
      </c>
      <c r="AB18" s="80">
        <v>2617</v>
      </c>
      <c r="AC18" s="82">
        <f>AB18*$E18</f>
        <v>2630.4063884781381</v>
      </c>
      <c r="AD18" s="84">
        <f>AC18/AC$8*AD$8</f>
        <v>343919.49065170455</v>
      </c>
      <c r="AE18" s="80">
        <v>1208</v>
      </c>
      <c r="AF18" s="82">
        <f>AE18*$E18</f>
        <v>1214.1883520372912</v>
      </c>
      <c r="AG18" s="84">
        <f>AF18/AF$8*AG$8</f>
        <v>209514.30252926698</v>
      </c>
      <c r="AH18" s="81">
        <f>AG18+AD18+AA18+X18+U18+R18</f>
        <v>2250643.5317588565</v>
      </c>
      <c r="AI18" s="80">
        <v>399</v>
      </c>
      <c r="AJ18" s="82">
        <f>AI18*$E18</f>
        <v>401.04400038317812</v>
      </c>
      <c r="AK18" s="84">
        <f>AJ18/AJ$8*AK$8</f>
        <v>2200764.8257393478</v>
      </c>
      <c r="AL18" s="80">
        <v>3203</v>
      </c>
      <c r="AM18" s="82">
        <f>AL18*$E18</f>
        <v>3219.4083539531816</v>
      </c>
      <c r="AN18" s="84">
        <f>AM18/AM$8*AN$8</f>
        <v>2434406.7244684394</v>
      </c>
      <c r="AO18" s="564">
        <v>700</v>
      </c>
      <c r="AP18" s="82">
        <f>AO18*$E18</f>
        <v>703.58596558452302</v>
      </c>
      <c r="AQ18" s="84">
        <f>(AP18/AP$8)*AQ$8</f>
        <v>2741274.5993067366</v>
      </c>
      <c r="AR18" s="564">
        <v>929</v>
      </c>
      <c r="AS18" s="82">
        <f>AR18*$E18</f>
        <v>933.75908861145979</v>
      </c>
      <c r="AT18" s="84">
        <f>(AS18/AS$8)*AT$8</f>
        <v>2572845.4944959157</v>
      </c>
      <c r="AU18" s="81">
        <f>I18+L18+O18+AH18+AK18+AN18+AQ18+AT18</f>
        <v>48719837.28409256</v>
      </c>
      <c r="AV18" s="620">
        <f>INDEX('2021-22 Baseline'!$J$9:$J$158,MATCH(C18,'2021-22 Baseline'!$C$9:$C$158,0))</f>
        <v>44931680.424255863</v>
      </c>
      <c r="AW18" s="623">
        <v>89207.214999999997</v>
      </c>
      <c r="AX18" s="620">
        <f>AV18/AW18</f>
        <v>503.67765011222315</v>
      </c>
      <c r="AY18" s="620">
        <f>AX18*(100%+8%)</f>
        <v>543.97186212120107</v>
      </c>
      <c r="AZ18" s="620">
        <f>AU18/J18</f>
        <v>540.63399939278986</v>
      </c>
      <c r="BA18" s="620">
        <f>MAX(AY18,AZ18)</f>
        <v>543.97186212120107</v>
      </c>
      <c r="BB18" s="624">
        <f>(BA18-AZ18)*J18</f>
        <v>300795.23150130647</v>
      </c>
      <c r="BC18" s="620">
        <f>MAX(AV18-BA18*J18,0)</f>
        <v>0</v>
      </c>
      <c r="BD18" s="81">
        <f>BB18+BC18</f>
        <v>300795.23150130647</v>
      </c>
      <c r="BE18" s="81">
        <f>AU18+BD18</f>
        <v>49020632.515593864</v>
      </c>
      <c r="BF18" s="588">
        <f>INDEX('AP Funding Factor'!$I$9:$I$158,MATCH(C18,'AP Funding Factor'!$C$9:$C$158,0))</f>
        <v>1985500.8920153498</v>
      </c>
      <c r="BG18" s="290">
        <f>INDEX('Import|Export Adjustments Data'!$Q$9:$Q$159,MATCH($C18,'Import|Export Adjustments Data'!$C$9:$C$159,0))</f>
        <v>101</v>
      </c>
      <c r="BH18" s="289">
        <v>1404000</v>
      </c>
      <c r="BI18" s="81">
        <f>BG18*6000+BH18</f>
        <v>2010000</v>
      </c>
      <c r="BJ18" s="86">
        <f>H18 + BE18 + BF18 + BI18</f>
        <v>58461134.939127445</v>
      </c>
      <c r="BK18" s="620">
        <f>AX18</f>
        <v>503.67765011222315</v>
      </c>
      <c r="BL18" s="620">
        <f>BA18</f>
        <v>543.97186212120107</v>
      </c>
      <c r="BM18" s="620">
        <f>MIN(BK18*(100% + 11%), BL18)</f>
        <v>543.97186212120107</v>
      </c>
      <c r="BN18" s="620">
        <f>BM18*J18+BC18</f>
        <v>49020632.515593871</v>
      </c>
      <c r="BO18" s="281">
        <f>BM18/BK18-1</f>
        <v>8.0000000000000071E-2</v>
      </c>
      <c r="BP18" s="81">
        <f>H18 + BF18 + BN18</f>
        <v>56451134.939127445</v>
      </c>
      <c r="BQ18" s="81">
        <f>H18 + BF18 + BI18 + BN18</f>
        <v>58461134.939127445</v>
      </c>
      <c r="BS18" s="599"/>
      <c r="BT18" s="601"/>
    </row>
    <row r="19" spans="1:72" ht="15.4" x14ac:dyDescent="0.45">
      <c r="A19" s="76"/>
      <c r="B19" s="77" t="s">
        <v>98</v>
      </c>
      <c r="C19" s="288">
        <v>822</v>
      </c>
      <c r="D19" s="78" t="s">
        <v>520</v>
      </c>
      <c r="E19" s="87">
        <v>1.0244485937357399</v>
      </c>
      <c r="F19" s="327">
        <f t="shared" si="30"/>
        <v>4773.9304468085484</v>
      </c>
      <c r="G19" s="290">
        <v>407.5</v>
      </c>
      <c r="H19" s="81">
        <f t="shared" si="31"/>
        <v>1945376.6570744833</v>
      </c>
      <c r="I19" s="597">
        <f>INDEX('Historic Spend Factor'!$U$9:$U$159, MATCH(C19, 'Historic Spend Factor'!$C$9:$C$159, 0))</f>
        <v>9250763.1223973278</v>
      </c>
      <c r="J19" s="80">
        <v>40214.19799999996</v>
      </c>
      <c r="K19" s="82">
        <f t="shared" si="0"/>
        <v>41197.378589310567</v>
      </c>
      <c r="L19" s="81">
        <f t="shared" si="44"/>
        <v>8382825.7422806481</v>
      </c>
      <c r="M19" s="80">
        <v>5315</v>
      </c>
      <c r="N19" s="82">
        <f t="shared" si="1"/>
        <v>5444.9442757054576</v>
      </c>
      <c r="O19" s="81">
        <f t="shared" si="32"/>
        <v>1386183.6841698696</v>
      </c>
      <c r="P19" s="80">
        <v>6195</v>
      </c>
      <c r="Q19" s="82">
        <f t="shared" si="2"/>
        <v>6346.4590381929092</v>
      </c>
      <c r="R19" s="84">
        <f t="shared" si="3"/>
        <v>389711.75877972023</v>
      </c>
      <c r="S19" s="80">
        <v>2886</v>
      </c>
      <c r="T19" s="82">
        <f t="shared" si="4"/>
        <v>2956.5586415213456</v>
      </c>
      <c r="U19" s="84">
        <f t="shared" si="5"/>
        <v>239648.61793291676</v>
      </c>
      <c r="V19" s="80">
        <v>4049</v>
      </c>
      <c r="W19" s="82">
        <f t="shared" si="6"/>
        <v>4147.9923560360112</v>
      </c>
      <c r="X19" s="84">
        <f t="shared" si="7"/>
        <v>459819.88480733731</v>
      </c>
      <c r="Y19" s="80">
        <v>815</v>
      </c>
      <c r="Z19" s="82">
        <f t="shared" si="8"/>
        <v>834.92560389462801</v>
      </c>
      <c r="AA19" s="84">
        <f t="shared" si="9"/>
        <v>98211.399717608117</v>
      </c>
      <c r="AB19" s="80">
        <v>374</v>
      </c>
      <c r="AC19" s="82">
        <f t="shared" si="10"/>
        <v>383.14377405716675</v>
      </c>
      <c r="AD19" s="84">
        <f t="shared" si="11"/>
        <v>50095.153432299288</v>
      </c>
      <c r="AE19" s="80">
        <v>0</v>
      </c>
      <c r="AF19" s="82">
        <f t="shared" si="12"/>
        <v>0</v>
      </c>
      <c r="AG19" s="84">
        <f t="shared" si="13"/>
        <v>0</v>
      </c>
      <c r="AH19" s="81">
        <f t="shared" si="14"/>
        <v>1237486.8146698817</v>
      </c>
      <c r="AI19" s="80">
        <v>193</v>
      </c>
      <c r="AJ19" s="82">
        <f t="shared" si="15"/>
        <v>197.71857859099779</v>
      </c>
      <c r="AK19" s="84">
        <f t="shared" si="16"/>
        <v>1084998.386068614</v>
      </c>
      <c r="AL19" s="80">
        <v>1404</v>
      </c>
      <c r="AM19" s="82">
        <f t="shared" si="17"/>
        <v>1438.3258256049789</v>
      </c>
      <c r="AN19" s="84">
        <f t="shared" si="18"/>
        <v>1087612.9017711745</v>
      </c>
      <c r="AO19" s="564">
        <v>294</v>
      </c>
      <c r="AP19" s="82">
        <f t="shared" si="19"/>
        <v>301.18788655830753</v>
      </c>
      <c r="AQ19" s="84">
        <f t="shared" si="20"/>
        <v>1173472.3877774419</v>
      </c>
      <c r="AR19" s="564">
        <v>360</v>
      </c>
      <c r="AS19" s="82">
        <f t="shared" si="21"/>
        <v>368.80149374486638</v>
      </c>
      <c r="AT19" s="84">
        <f t="shared" si="22"/>
        <v>1016182.0892751392</v>
      </c>
      <c r="AU19" s="81">
        <f t="shared" si="33"/>
        <v>24619525.128410093</v>
      </c>
      <c r="AV19" s="620">
        <f>INDEX('2021-22 Baseline'!$J$9:$J$158,MATCH(C19,'2021-22 Baseline'!$C$9:$C$158,0))</f>
        <v>23552069.483265851</v>
      </c>
      <c r="AW19" s="623">
        <v>39720.211999999992</v>
      </c>
      <c r="AX19" s="620">
        <f t="shared" si="34"/>
        <v>592.9492391245509</v>
      </c>
      <c r="AY19" s="620">
        <f t="shared" si="35"/>
        <v>640.38517825451504</v>
      </c>
      <c r="AZ19" s="620">
        <f t="shared" si="36"/>
        <v>612.20977547308337</v>
      </c>
      <c r="BA19" s="620">
        <f t="shared" si="23"/>
        <v>640.38517825451504</v>
      </c>
      <c r="BB19" s="624">
        <f t="shared" si="37"/>
        <v>1133051.2261822429</v>
      </c>
      <c r="BC19" s="620">
        <f t="shared" ref="BC19:BC80" si="47">MAX(AV19-BA19*J19,0)</f>
        <v>0</v>
      </c>
      <c r="BD19" s="81">
        <f t="shared" si="25"/>
        <v>1133051.2261822429</v>
      </c>
      <c r="BE19" s="81">
        <f t="shared" si="38"/>
        <v>25752576.354592338</v>
      </c>
      <c r="BF19" s="588">
        <f>INDEX('AP Funding Factor'!$I$9:$I$158,MATCH(C19,'AP Funding Factor'!$C$9:$C$158,0))</f>
        <v>913697.46775535122</v>
      </c>
      <c r="BG19" s="290">
        <f>INDEX('Import|Export Adjustments Data'!$Q$9:$Q$159,MATCH($C19,'Import|Export Adjustments Data'!$C$9:$C$159,0))</f>
        <v>85</v>
      </c>
      <c r="BH19" s="289">
        <v>0</v>
      </c>
      <c r="BI19" s="81">
        <f t="shared" si="46"/>
        <v>510000</v>
      </c>
      <c r="BJ19" s="86">
        <f t="shared" si="26"/>
        <v>29121650.479422174</v>
      </c>
      <c r="BK19" s="620">
        <f t="shared" si="27"/>
        <v>592.9492391245509</v>
      </c>
      <c r="BL19" s="620">
        <f t="shared" si="28"/>
        <v>640.38517825451504</v>
      </c>
      <c r="BM19" s="620">
        <f t="shared" si="40"/>
        <v>640.38517825451504</v>
      </c>
      <c r="BN19" s="620">
        <f t="shared" si="29"/>
        <v>25752576.354592338</v>
      </c>
      <c r="BO19" s="281">
        <f t="shared" si="41"/>
        <v>8.0000000000000071E-2</v>
      </c>
      <c r="BP19" s="81">
        <f t="shared" si="42"/>
        <v>28611650.479422174</v>
      </c>
      <c r="BQ19" s="81">
        <f t="shared" si="43"/>
        <v>29121650.479422174</v>
      </c>
      <c r="BS19" s="599"/>
      <c r="BT19" s="601"/>
    </row>
    <row r="20" spans="1:72" ht="15.4" x14ac:dyDescent="0.45">
      <c r="A20" s="76"/>
      <c r="B20" s="77" t="s">
        <v>98</v>
      </c>
      <c r="C20" s="288">
        <v>873</v>
      </c>
      <c r="D20" s="78" t="s">
        <v>99</v>
      </c>
      <c r="E20" s="87">
        <v>1.02002158466695</v>
      </c>
      <c r="F20" s="327">
        <f t="shared" si="30"/>
        <v>4753.3005845479875</v>
      </c>
      <c r="G20" s="290">
        <v>1593.4999990000001</v>
      </c>
      <c r="H20" s="81">
        <f t="shared" si="31"/>
        <v>7574384.4767239178</v>
      </c>
      <c r="I20" s="597">
        <f>INDEX('Historic Spend Factor'!$U$9:$U$159, MATCH(C20, 'Historic Spend Factor'!$C$9:$C$159, 0))</f>
        <v>31384525.836640518</v>
      </c>
      <c r="J20" s="80">
        <v>132901.44099999993</v>
      </c>
      <c r="K20" s="82">
        <f t="shared" si="0"/>
        <v>135562.3384533411</v>
      </c>
      <c r="L20" s="81">
        <f t="shared" si="44"/>
        <v>27584169.172484402</v>
      </c>
      <c r="M20" s="80">
        <v>17387.5</v>
      </c>
      <c r="N20" s="82">
        <f t="shared" si="1"/>
        <v>17735.625303396595</v>
      </c>
      <c r="O20" s="81">
        <f t="shared" si="32"/>
        <v>4515167.3147166222</v>
      </c>
      <c r="P20" s="80">
        <v>9449</v>
      </c>
      <c r="Q20" s="82">
        <f t="shared" si="2"/>
        <v>9638.1839535180115</v>
      </c>
      <c r="R20" s="84">
        <f t="shared" si="3"/>
        <v>591843.98691675754</v>
      </c>
      <c r="S20" s="80">
        <v>10328</v>
      </c>
      <c r="T20" s="82">
        <f t="shared" si="4"/>
        <v>10534.782926440261</v>
      </c>
      <c r="U20" s="84">
        <f t="shared" si="5"/>
        <v>853913.7810727132</v>
      </c>
      <c r="V20" s="80">
        <v>2605</v>
      </c>
      <c r="W20" s="82">
        <f t="shared" si="6"/>
        <v>2657.1562280574049</v>
      </c>
      <c r="X20" s="84">
        <f t="shared" si="7"/>
        <v>294555.33323790133</v>
      </c>
      <c r="Y20" s="80">
        <v>1590</v>
      </c>
      <c r="Z20" s="82">
        <f t="shared" si="8"/>
        <v>1621.8343196204505</v>
      </c>
      <c r="AA20" s="84">
        <f t="shared" si="9"/>
        <v>190774.62458569105</v>
      </c>
      <c r="AB20" s="80">
        <v>688</v>
      </c>
      <c r="AC20" s="82">
        <f t="shared" si="10"/>
        <v>701.77485025086162</v>
      </c>
      <c r="AD20" s="84">
        <f t="shared" si="11"/>
        <v>91755.422320918122</v>
      </c>
      <c r="AE20" s="80">
        <v>294</v>
      </c>
      <c r="AF20" s="82">
        <f t="shared" si="12"/>
        <v>299.88634589208328</v>
      </c>
      <c r="AG20" s="84">
        <f t="shared" si="13"/>
        <v>51746.896181475342</v>
      </c>
      <c r="AH20" s="81">
        <f t="shared" si="14"/>
        <v>2074590.0443154564</v>
      </c>
      <c r="AI20" s="80">
        <v>527</v>
      </c>
      <c r="AJ20" s="82">
        <f t="shared" si="15"/>
        <v>537.55137511948271</v>
      </c>
      <c r="AK20" s="84">
        <f t="shared" si="16"/>
        <v>2949861.2552748653</v>
      </c>
      <c r="AL20" s="80">
        <v>4364</v>
      </c>
      <c r="AM20" s="82">
        <f t="shared" si="17"/>
        <v>4451.37419548657</v>
      </c>
      <c r="AN20" s="84">
        <f t="shared" si="18"/>
        <v>3365977.2489909441</v>
      </c>
      <c r="AO20" s="564">
        <v>1012</v>
      </c>
      <c r="AP20" s="82">
        <f t="shared" si="19"/>
        <v>1032.2618436829534</v>
      </c>
      <c r="AQ20" s="84">
        <f t="shared" si="20"/>
        <v>4021844.2526362236</v>
      </c>
      <c r="AR20" s="564">
        <v>1300</v>
      </c>
      <c r="AS20" s="82">
        <f t="shared" si="21"/>
        <v>1326.0280600670351</v>
      </c>
      <c r="AT20" s="84">
        <f t="shared" si="22"/>
        <v>3653689.0098621952</v>
      </c>
      <c r="AU20" s="81">
        <f t="shared" si="33"/>
        <v>79549824.134921223</v>
      </c>
      <c r="AV20" s="620">
        <f>INDEX('2021-22 Baseline'!$J$9:$J$158,MATCH(C20,'2021-22 Baseline'!$C$9:$C$158,0))</f>
        <v>74969234.18732205</v>
      </c>
      <c r="AW20" s="623">
        <v>132138.8709999999</v>
      </c>
      <c r="AX20" s="620">
        <f t="shared" si="34"/>
        <v>567.35185960020885</v>
      </c>
      <c r="AY20" s="620">
        <f t="shared" si="35"/>
        <v>612.74000836822563</v>
      </c>
      <c r="AZ20" s="620">
        <f t="shared" si="36"/>
        <v>598.56254030324067</v>
      </c>
      <c r="BA20" s="620">
        <f t="shared" si="23"/>
        <v>612.74000836822563</v>
      </c>
      <c r="BB20" s="624">
        <f t="shared" si="37"/>
        <v>1884205.9355679825</v>
      </c>
      <c r="BC20" s="620">
        <f t="shared" si="47"/>
        <v>0</v>
      </c>
      <c r="BD20" s="81">
        <f t="shared" si="25"/>
        <v>1884205.9355679825</v>
      </c>
      <c r="BE20" s="81">
        <f t="shared" si="38"/>
        <v>81434030.070489198</v>
      </c>
      <c r="BF20" s="588">
        <f>INDEX('AP Funding Factor'!$I$9:$I$158,MATCH(C20,'AP Funding Factor'!$C$9:$C$158,0))</f>
        <v>893801.14064755465</v>
      </c>
      <c r="BG20" s="290">
        <f>INDEX('Import|Export Adjustments Data'!$Q$9:$Q$159,MATCH($C20,'Import|Export Adjustments Data'!$C$9:$C$159,0))</f>
        <v>-84.5</v>
      </c>
      <c r="BH20" s="289">
        <v>738877</v>
      </c>
      <c r="BI20" s="81">
        <f t="shared" si="46"/>
        <v>231877</v>
      </c>
      <c r="BJ20" s="86">
        <f t="shared" si="26"/>
        <v>90134092.687860683</v>
      </c>
      <c r="BK20" s="620">
        <f t="shared" si="27"/>
        <v>567.35185960020885</v>
      </c>
      <c r="BL20" s="620">
        <f t="shared" si="28"/>
        <v>612.74000836822563</v>
      </c>
      <c r="BM20" s="620">
        <f t="shared" si="40"/>
        <v>612.74000836822563</v>
      </c>
      <c r="BN20" s="620">
        <f t="shared" si="29"/>
        <v>81434030.070489198</v>
      </c>
      <c r="BO20" s="281">
        <f t="shared" si="41"/>
        <v>8.0000000000000071E-2</v>
      </c>
      <c r="BP20" s="81">
        <f t="shared" si="42"/>
        <v>89902215.687860668</v>
      </c>
      <c r="BQ20" s="81">
        <f t="shared" si="43"/>
        <v>90134092.687860668</v>
      </c>
      <c r="BS20" s="599"/>
      <c r="BT20" s="601"/>
    </row>
    <row r="21" spans="1:72" ht="15.4" x14ac:dyDescent="0.45">
      <c r="A21" s="76"/>
      <c r="B21" s="77" t="s">
        <v>98</v>
      </c>
      <c r="C21" s="288">
        <v>823</v>
      </c>
      <c r="D21" s="78" t="s">
        <v>100</v>
      </c>
      <c r="E21" s="87">
        <v>1.0244485937357399</v>
      </c>
      <c r="F21" s="327">
        <f t="shared" si="30"/>
        <v>4773.9304468085484</v>
      </c>
      <c r="G21" s="290">
        <v>738</v>
      </c>
      <c r="H21" s="81">
        <f t="shared" si="31"/>
        <v>3523160.6697447086</v>
      </c>
      <c r="I21" s="597">
        <f>INDEX('Historic Spend Factor'!$U$9:$U$159, MATCH(C21, 'Historic Spend Factor'!$C$9:$C$159, 0))</f>
        <v>11766093.021512255</v>
      </c>
      <c r="J21" s="80">
        <v>61912.85699999996</v>
      </c>
      <c r="K21" s="82">
        <f t="shared" si="0"/>
        <v>63426.539287811924</v>
      </c>
      <c r="L21" s="81">
        <f t="shared" si="44"/>
        <v>12906006.267680405</v>
      </c>
      <c r="M21" s="80">
        <v>5667</v>
      </c>
      <c r="N21" s="82">
        <f t="shared" si="1"/>
        <v>5805.5501807004384</v>
      </c>
      <c r="O21" s="81">
        <f t="shared" si="32"/>
        <v>1477987.3825382225</v>
      </c>
      <c r="P21" s="80">
        <v>3298</v>
      </c>
      <c r="Q21" s="82">
        <f t="shared" si="2"/>
        <v>3378.6314621404704</v>
      </c>
      <c r="R21" s="84">
        <f t="shared" si="3"/>
        <v>207468.82654649188</v>
      </c>
      <c r="S21" s="80">
        <v>5248</v>
      </c>
      <c r="T21" s="82">
        <f t="shared" si="4"/>
        <v>5376.3062199251635</v>
      </c>
      <c r="U21" s="84">
        <f t="shared" si="5"/>
        <v>435785.15139014105</v>
      </c>
      <c r="V21" s="80">
        <v>1158</v>
      </c>
      <c r="W21" s="82">
        <f t="shared" si="6"/>
        <v>1186.3114715459869</v>
      </c>
      <c r="X21" s="84">
        <f t="shared" si="7"/>
        <v>131506.89716149581</v>
      </c>
      <c r="Y21" s="80">
        <v>1774</v>
      </c>
      <c r="Z21" s="82">
        <f t="shared" si="8"/>
        <v>1817.3718052872027</v>
      </c>
      <c r="AA21" s="84">
        <f t="shared" si="9"/>
        <v>213775.48846507585</v>
      </c>
      <c r="AB21" s="80">
        <v>278</v>
      </c>
      <c r="AC21" s="82">
        <f t="shared" si="10"/>
        <v>284.79670905853573</v>
      </c>
      <c r="AD21" s="84">
        <f t="shared" si="11"/>
        <v>37236.504422939041</v>
      </c>
      <c r="AE21" s="80">
        <v>0</v>
      </c>
      <c r="AF21" s="82">
        <f t="shared" si="12"/>
        <v>0</v>
      </c>
      <c r="AG21" s="84">
        <f t="shared" si="13"/>
        <v>0</v>
      </c>
      <c r="AH21" s="81">
        <f t="shared" si="14"/>
        <v>1025772.8679861436</v>
      </c>
      <c r="AI21" s="80">
        <v>230</v>
      </c>
      <c r="AJ21" s="82">
        <f t="shared" si="15"/>
        <v>235.62317655922018</v>
      </c>
      <c r="AK21" s="84">
        <f t="shared" si="16"/>
        <v>1293003.2580092291</v>
      </c>
      <c r="AL21" s="80">
        <v>2486</v>
      </c>
      <c r="AM21" s="82">
        <f t="shared" si="17"/>
        <v>2546.7792040270497</v>
      </c>
      <c r="AN21" s="84">
        <f t="shared" si="18"/>
        <v>1925787.5169538034</v>
      </c>
      <c r="AO21" s="564">
        <v>425</v>
      </c>
      <c r="AP21" s="82">
        <f t="shared" si="19"/>
        <v>435.39065233768946</v>
      </c>
      <c r="AQ21" s="84">
        <f t="shared" si="20"/>
        <v>1696346.1387939213</v>
      </c>
      <c r="AR21" s="564">
        <v>643</v>
      </c>
      <c r="AS21" s="82">
        <f t="shared" si="21"/>
        <v>658.72044577208078</v>
      </c>
      <c r="AT21" s="84">
        <f t="shared" si="22"/>
        <v>1815014.1205664293</v>
      </c>
      <c r="AU21" s="81">
        <f t="shared" si="33"/>
        <v>33906010.574040413</v>
      </c>
      <c r="AV21" s="620">
        <f>INDEX('2021-22 Baseline'!$J$9:$J$158,MATCH(C21,'2021-22 Baseline'!$C$9:$C$158,0))</f>
        <v>31411023.263766013</v>
      </c>
      <c r="AW21" s="623">
        <v>61244.370999999992</v>
      </c>
      <c r="AX21" s="620">
        <f t="shared" si="34"/>
        <v>512.88016761191022</v>
      </c>
      <c r="AY21" s="620">
        <f t="shared" si="35"/>
        <v>553.91058102086311</v>
      </c>
      <c r="AZ21" s="620">
        <f t="shared" si="36"/>
        <v>547.64086519283762</v>
      </c>
      <c r="BA21" s="620">
        <f t="shared" si="23"/>
        <v>553.91058102086311</v>
      </c>
      <c r="BB21" s="624">
        <f t="shared" si="37"/>
        <v>388176.01949117804</v>
      </c>
      <c r="BC21" s="620">
        <f t="shared" si="47"/>
        <v>0</v>
      </c>
      <c r="BD21" s="81">
        <f t="shared" si="25"/>
        <v>388176.01949117804</v>
      </c>
      <c r="BE21" s="81">
        <f t="shared" si="38"/>
        <v>34294186.593531594</v>
      </c>
      <c r="BF21" s="588">
        <f>INDEX('AP Funding Factor'!$I$9:$I$158,MATCH(C21,'AP Funding Factor'!$C$9:$C$158,0))</f>
        <v>951412.25828490849</v>
      </c>
      <c r="BG21" s="290">
        <f>INDEX('Import|Export Adjustments Data'!$Q$9:$Q$159,MATCH($C21,'Import|Export Adjustments Data'!$C$9:$C$159,0))</f>
        <v>52</v>
      </c>
      <c r="BH21" s="289">
        <v>0</v>
      </c>
      <c r="BI21" s="81">
        <f t="shared" si="46"/>
        <v>312000</v>
      </c>
      <c r="BJ21" s="86">
        <f t="shared" si="26"/>
        <v>39080759.521561213</v>
      </c>
      <c r="BK21" s="620">
        <f t="shared" si="27"/>
        <v>512.88016761191022</v>
      </c>
      <c r="BL21" s="620">
        <f t="shared" si="28"/>
        <v>553.91058102086311</v>
      </c>
      <c r="BM21" s="620">
        <f t="shared" si="40"/>
        <v>553.91058102086311</v>
      </c>
      <c r="BN21" s="620">
        <f t="shared" si="29"/>
        <v>34294186.593531586</v>
      </c>
      <c r="BO21" s="281">
        <f t="shared" si="41"/>
        <v>8.0000000000000071E-2</v>
      </c>
      <c r="BP21" s="81">
        <f t="shared" si="42"/>
        <v>38768759.521561205</v>
      </c>
      <c r="BQ21" s="81">
        <f t="shared" si="43"/>
        <v>39080759.521561205</v>
      </c>
      <c r="BS21" s="599"/>
      <c r="BT21" s="601"/>
    </row>
    <row r="22" spans="1:72" ht="15.4" x14ac:dyDescent="0.45">
      <c r="A22" s="76"/>
      <c r="B22" s="77" t="s">
        <v>98</v>
      </c>
      <c r="C22" s="288">
        <v>881</v>
      </c>
      <c r="D22" s="78" t="s">
        <v>101</v>
      </c>
      <c r="E22" s="87">
        <v>1.0196319900084301</v>
      </c>
      <c r="F22" s="327">
        <f t="shared" si="30"/>
        <v>4751.485073439284</v>
      </c>
      <c r="G22" s="290">
        <v>3430.333333</v>
      </c>
      <c r="H22" s="81">
        <f t="shared" si="31"/>
        <v>16299177.62867073</v>
      </c>
      <c r="I22" s="597">
        <f>INDEX('Historic Spend Factor'!$U$9:$U$159, MATCH(C22, 'Historic Spend Factor'!$C$9:$C$159, 0))</f>
        <v>61501973.684841774</v>
      </c>
      <c r="J22" s="80">
        <v>306064.27899999969</v>
      </c>
      <c r="K22" s="82">
        <f t="shared" si="0"/>
        <v>312072.92986726505</v>
      </c>
      <c r="L22" s="81">
        <f t="shared" si="44"/>
        <v>63500472.106228545</v>
      </c>
      <c r="M22" s="80">
        <v>38219</v>
      </c>
      <c r="N22" s="82">
        <f t="shared" si="1"/>
        <v>38969.315026132186</v>
      </c>
      <c r="O22" s="81">
        <f t="shared" si="32"/>
        <v>9920878.1462692581</v>
      </c>
      <c r="P22" s="80">
        <v>32996</v>
      </c>
      <c r="Q22" s="82">
        <f t="shared" si="2"/>
        <v>33643.777142318162</v>
      </c>
      <c r="R22" s="84">
        <f t="shared" si="3"/>
        <v>2065935.5844293127</v>
      </c>
      <c r="S22" s="80">
        <v>23732</v>
      </c>
      <c r="T22" s="82">
        <f t="shared" si="4"/>
        <v>24197.906386880062</v>
      </c>
      <c r="U22" s="84">
        <f t="shared" si="5"/>
        <v>1961400.2377784527</v>
      </c>
      <c r="V22" s="80">
        <v>14109</v>
      </c>
      <c r="W22" s="82">
        <f t="shared" si="6"/>
        <v>14385.987747028939</v>
      </c>
      <c r="X22" s="84">
        <f t="shared" si="7"/>
        <v>1594738.5291230713</v>
      </c>
      <c r="Y22" s="80">
        <v>9721</v>
      </c>
      <c r="Z22" s="82">
        <f t="shared" si="8"/>
        <v>9911.8425748719492</v>
      </c>
      <c r="AA22" s="84">
        <f t="shared" si="9"/>
        <v>1165919.3687652324</v>
      </c>
      <c r="AB22" s="80">
        <v>8635</v>
      </c>
      <c r="AC22" s="82">
        <f t="shared" si="10"/>
        <v>8804.5222337227933</v>
      </c>
      <c r="AD22" s="84">
        <f t="shared" si="11"/>
        <v>1151170.7146535155</v>
      </c>
      <c r="AE22" s="80">
        <v>5074</v>
      </c>
      <c r="AF22" s="82">
        <f t="shared" si="12"/>
        <v>5173.6127173027744</v>
      </c>
      <c r="AG22" s="84">
        <f t="shared" si="13"/>
        <v>892732.87641367968</v>
      </c>
      <c r="AH22" s="81">
        <f t="shared" si="14"/>
        <v>8831897.3111632634</v>
      </c>
      <c r="AI22" s="80">
        <v>1427</v>
      </c>
      <c r="AJ22" s="82">
        <f t="shared" si="15"/>
        <v>1455.0148497420298</v>
      </c>
      <c r="AK22" s="84">
        <f t="shared" si="16"/>
        <v>7984524.139947704</v>
      </c>
      <c r="AL22" s="80">
        <v>13600</v>
      </c>
      <c r="AM22" s="82">
        <f t="shared" si="17"/>
        <v>13866.99506411465</v>
      </c>
      <c r="AN22" s="84">
        <f t="shared" si="18"/>
        <v>10485748.411132526</v>
      </c>
      <c r="AO22" s="564">
        <v>2363</v>
      </c>
      <c r="AP22" s="82">
        <f t="shared" si="19"/>
        <v>2409.3903923899202</v>
      </c>
      <c r="AQ22" s="84">
        <f t="shared" si="20"/>
        <v>9387340.0061143395</v>
      </c>
      <c r="AR22" s="564">
        <v>3127</v>
      </c>
      <c r="AS22" s="82">
        <f t="shared" si="21"/>
        <v>3188.3892327563608</v>
      </c>
      <c r="AT22" s="84">
        <f t="shared" si="22"/>
        <v>8785170.5779860783</v>
      </c>
      <c r="AU22" s="81">
        <f t="shared" si="33"/>
        <v>180398004.3836835</v>
      </c>
      <c r="AV22" s="620">
        <f>INDEX('2021-22 Baseline'!$J$9:$J$158,MATCH(C22,'2021-22 Baseline'!$C$9:$C$158,0))</f>
        <v>165779527.51910621</v>
      </c>
      <c r="AW22" s="623">
        <v>303322.90599999978</v>
      </c>
      <c r="AX22" s="620">
        <f t="shared" si="34"/>
        <v>546.54470282276122</v>
      </c>
      <c r="AY22" s="620">
        <f t="shared" si="35"/>
        <v>590.26827904858214</v>
      </c>
      <c r="AZ22" s="620">
        <f t="shared" si="36"/>
        <v>589.41214888942886</v>
      </c>
      <c r="BA22" s="620">
        <f t="shared" si="23"/>
        <v>590.26827904858214</v>
      </c>
      <c r="BB22" s="624">
        <f t="shared" si="37"/>
        <v>262030.85989140396</v>
      </c>
      <c r="BC22" s="620">
        <f t="shared" si="47"/>
        <v>0</v>
      </c>
      <c r="BD22" s="81">
        <f t="shared" si="25"/>
        <v>262030.85989140396</v>
      </c>
      <c r="BE22" s="81">
        <f t="shared" si="38"/>
        <v>180660035.24357492</v>
      </c>
      <c r="BF22" s="588">
        <f>INDEX('AP Funding Factor'!$I$9:$I$158,MATCH(C22,'AP Funding Factor'!$C$9:$C$158,0))</f>
        <v>722496.16291525448</v>
      </c>
      <c r="BG22" s="290">
        <f>INDEX('Import|Export Adjustments Data'!$Q$9:$Q$159,MATCH($C22,'Import|Export Adjustments Data'!$C$9:$C$159,0))</f>
        <v>-307</v>
      </c>
      <c r="BH22" s="289">
        <v>6000</v>
      </c>
      <c r="BI22" s="81">
        <f t="shared" si="46"/>
        <v>-1836000</v>
      </c>
      <c r="BJ22" s="86">
        <f t="shared" si="26"/>
        <v>195845709.0351609</v>
      </c>
      <c r="BK22" s="620">
        <f t="shared" si="27"/>
        <v>546.54470282276122</v>
      </c>
      <c r="BL22" s="620">
        <f t="shared" si="28"/>
        <v>590.26827904858214</v>
      </c>
      <c r="BM22" s="620">
        <f t="shared" si="40"/>
        <v>590.26827904858214</v>
      </c>
      <c r="BN22" s="620">
        <f t="shared" si="29"/>
        <v>180660035.24357492</v>
      </c>
      <c r="BO22" s="281">
        <f t="shared" si="41"/>
        <v>8.0000000000000071E-2</v>
      </c>
      <c r="BP22" s="81">
        <f t="shared" si="42"/>
        <v>197681709.0351609</v>
      </c>
      <c r="BQ22" s="81">
        <f t="shared" si="43"/>
        <v>195845709.0351609</v>
      </c>
      <c r="BS22" s="599"/>
      <c r="BT22" s="601"/>
    </row>
    <row r="23" spans="1:72" ht="15.4" x14ac:dyDescent="0.45">
      <c r="A23" s="76"/>
      <c r="B23" s="77" t="s">
        <v>98</v>
      </c>
      <c r="C23" s="288">
        <v>919</v>
      </c>
      <c r="D23" s="78" t="s">
        <v>102</v>
      </c>
      <c r="E23" s="87">
        <v>1.0543451179388901</v>
      </c>
      <c r="F23" s="327">
        <f t="shared" si="30"/>
        <v>4913.2482495952281</v>
      </c>
      <c r="G23" s="290">
        <v>2756.8333320000002</v>
      </c>
      <c r="H23" s="81">
        <f t="shared" si="31"/>
        <v>13545006.542874781</v>
      </c>
      <c r="I23" s="597">
        <f>INDEX('Historic Spend Factor'!$U$9:$U$159, MATCH(C23, 'Historic Spend Factor'!$C$9:$C$159, 0))</f>
        <v>42285733.704582386</v>
      </c>
      <c r="J23" s="80">
        <v>263005.94099999993</v>
      </c>
      <c r="K23" s="82">
        <f t="shared" si="0"/>
        <v>277299.02988227369</v>
      </c>
      <c r="L23" s="81">
        <f t="shared" si="44"/>
        <v>56424693.162630558</v>
      </c>
      <c r="M23" s="80">
        <v>27090.5</v>
      </c>
      <c r="N23" s="82">
        <f t="shared" si="1"/>
        <v>28562.736417523502</v>
      </c>
      <c r="O23" s="81">
        <f t="shared" si="32"/>
        <v>7271552.6904241573</v>
      </c>
      <c r="P23" s="80">
        <v>30314</v>
      </c>
      <c r="Q23" s="82">
        <f t="shared" si="2"/>
        <v>31961.417905199512</v>
      </c>
      <c r="R23" s="84">
        <f t="shared" si="3"/>
        <v>1962628.3428239997</v>
      </c>
      <c r="S23" s="80">
        <v>17973</v>
      </c>
      <c r="T23" s="82">
        <f t="shared" si="4"/>
        <v>18949.744804715672</v>
      </c>
      <c r="U23" s="84">
        <f t="shared" si="5"/>
        <v>1536002.0561928684</v>
      </c>
      <c r="V23" s="80">
        <v>4186</v>
      </c>
      <c r="W23" s="82">
        <f t="shared" si="6"/>
        <v>4413.4886636921938</v>
      </c>
      <c r="X23" s="84">
        <f t="shared" si="7"/>
        <v>489251.10625729774</v>
      </c>
      <c r="Y23" s="80">
        <v>3546</v>
      </c>
      <c r="Z23" s="82">
        <f t="shared" si="8"/>
        <v>3738.7077882113044</v>
      </c>
      <c r="AA23" s="84">
        <f t="shared" si="9"/>
        <v>439780.17119438521</v>
      </c>
      <c r="AB23" s="80">
        <v>925</v>
      </c>
      <c r="AC23" s="82">
        <f t="shared" si="10"/>
        <v>975.2692340934733</v>
      </c>
      <c r="AD23" s="84">
        <f t="shared" si="11"/>
        <v>127514.17412416045</v>
      </c>
      <c r="AE23" s="80">
        <v>0</v>
      </c>
      <c r="AF23" s="82">
        <f t="shared" si="12"/>
        <v>0</v>
      </c>
      <c r="AG23" s="84">
        <f t="shared" si="13"/>
        <v>0</v>
      </c>
      <c r="AH23" s="81">
        <f t="shared" si="14"/>
        <v>4555175.8505927119</v>
      </c>
      <c r="AI23" s="80">
        <v>1113</v>
      </c>
      <c r="AJ23" s="82">
        <f t="shared" si="15"/>
        <v>1173.4861162659847</v>
      </c>
      <c r="AK23" s="84">
        <f t="shared" si="16"/>
        <v>6439610.0320766214</v>
      </c>
      <c r="AL23" s="80">
        <v>9135</v>
      </c>
      <c r="AM23" s="82">
        <f t="shared" si="17"/>
        <v>9631.4426523717611</v>
      </c>
      <c r="AN23" s="84">
        <f t="shared" si="18"/>
        <v>7282968.2293875692</v>
      </c>
      <c r="AO23" s="564">
        <v>1659</v>
      </c>
      <c r="AP23" s="82">
        <f t="shared" si="19"/>
        <v>1749.1585506606186</v>
      </c>
      <c r="AQ23" s="84">
        <f t="shared" si="20"/>
        <v>6814979.4618240111</v>
      </c>
      <c r="AR23" s="564">
        <v>2252</v>
      </c>
      <c r="AS23" s="82">
        <f t="shared" si="21"/>
        <v>2374.3852055983803</v>
      </c>
      <c r="AT23" s="84">
        <f t="shared" si="22"/>
        <v>6542293.7810498737</v>
      </c>
      <c r="AU23" s="81">
        <f t="shared" si="33"/>
        <v>137617006.91256791</v>
      </c>
      <c r="AV23" s="620">
        <f>INDEX('2021-22 Baseline'!$J$9:$J$158,MATCH(C23,'2021-22 Baseline'!$C$9:$C$158,0))</f>
        <v>130071131.36272711</v>
      </c>
      <c r="AW23" s="623">
        <v>261612.50999999978</v>
      </c>
      <c r="AX23" s="620">
        <f t="shared" si="34"/>
        <v>497.1900287288525</v>
      </c>
      <c r="AY23" s="620">
        <f t="shared" si="35"/>
        <v>536.96523102716071</v>
      </c>
      <c r="AZ23" s="620">
        <f t="shared" si="36"/>
        <v>523.24676161048376</v>
      </c>
      <c r="BA23" s="620">
        <f t="shared" si="23"/>
        <v>536.96523102716071</v>
      </c>
      <c r="BB23" s="624">
        <f t="shared" si="37"/>
        <v>3608038.9580128421</v>
      </c>
      <c r="BC23" s="620">
        <f t="shared" si="47"/>
        <v>0</v>
      </c>
      <c r="BD23" s="81">
        <f t="shared" si="25"/>
        <v>3608038.9580128421</v>
      </c>
      <c r="BE23" s="81">
        <f t="shared" si="38"/>
        <v>141225045.87058076</v>
      </c>
      <c r="BF23" s="588">
        <f>INDEX('AP Funding Factor'!$I$9:$I$158,MATCH(C23,'AP Funding Factor'!$C$9:$C$158,0))</f>
        <v>2218613.7728755949</v>
      </c>
      <c r="BG23" s="290">
        <f>INDEX('Import|Export Adjustments Data'!$Q$9:$Q$159,MATCH($C23,'Import|Export Adjustments Data'!$C$9:$C$159,0))</f>
        <v>167</v>
      </c>
      <c r="BH23" s="289">
        <v>18000</v>
      </c>
      <c r="BI23" s="81">
        <f t="shared" si="46"/>
        <v>1020000</v>
      </c>
      <c r="BJ23" s="86">
        <f t="shared" si="26"/>
        <v>158008666.18633115</v>
      </c>
      <c r="BK23" s="620">
        <f t="shared" si="27"/>
        <v>497.1900287288525</v>
      </c>
      <c r="BL23" s="620">
        <f t="shared" si="28"/>
        <v>536.96523102716071</v>
      </c>
      <c r="BM23" s="620">
        <f t="shared" si="40"/>
        <v>536.96523102716071</v>
      </c>
      <c r="BN23" s="620">
        <f t="shared" si="29"/>
        <v>141225045.87058076</v>
      </c>
      <c r="BO23" s="281">
        <f t="shared" si="41"/>
        <v>8.0000000000000071E-2</v>
      </c>
      <c r="BP23" s="81">
        <f t="shared" si="42"/>
        <v>156988666.18633115</v>
      </c>
      <c r="BQ23" s="81">
        <f t="shared" si="43"/>
        <v>158008666.18633115</v>
      </c>
      <c r="BS23" s="599"/>
      <c r="BT23" s="601"/>
    </row>
    <row r="24" spans="1:72" ht="15.4" x14ac:dyDescent="0.45">
      <c r="A24" s="76"/>
      <c r="B24" s="77" t="s">
        <v>98</v>
      </c>
      <c r="C24" s="288">
        <v>821</v>
      </c>
      <c r="D24" s="78" t="s">
        <v>103</v>
      </c>
      <c r="E24" s="87">
        <v>1.0244485937357399</v>
      </c>
      <c r="F24" s="327">
        <f t="shared" si="30"/>
        <v>4773.9304468085484</v>
      </c>
      <c r="G24" s="290">
        <v>636.5</v>
      </c>
      <c r="H24" s="81">
        <f t="shared" si="31"/>
        <v>3038606.729393641</v>
      </c>
      <c r="I24" s="597">
        <f>INDEX('Historic Spend Factor'!$U$9:$U$159, MATCH(C24, 'Historic Spend Factor'!$C$9:$C$159, 0))</f>
        <v>12341785.766322434</v>
      </c>
      <c r="J24" s="80">
        <v>53490.134999999951</v>
      </c>
      <c r="K24" s="82">
        <f t="shared" si="0"/>
        <v>54797.893579484837</v>
      </c>
      <c r="L24" s="81">
        <f t="shared" si="44"/>
        <v>11150252.968766579</v>
      </c>
      <c r="M24" s="80">
        <v>10223</v>
      </c>
      <c r="N24" s="82">
        <f t="shared" si="1"/>
        <v>10472.937973760469</v>
      </c>
      <c r="O24" s="81">
        <f t="shared" si="32"/>
        <v>2666219.3421013313</v>
      </c>
      <c r="P24" s="80">
        <v>11960</v>
      </c>
      <c r="Q24" s="82">
        <f t="shared" si="2"/>
        <v>12252.40518107945</v>
      </c>
      <c r="R24" s="84">
        <f t="shared" si="3"/>
        <v>752373.30669983116</v>
      </c>
      <c r="S24" s="80">
        <v>8989</v>
      </c>
      <c r="T24" s="82">
        <f t="shared" si="4"/>
        <v>9208.7684090905659</v>
      </c>
      <c r="U24" s="84">
        <f t="shared" si="5"/>
        <v>746431.54074809025</v>
      </c>
      <c r="V24" s="80">
        <v>2714</v>
      </c>
      <c r="W24" s="82">
        <f t="shared" si="6"/>
        <v>2780.3534833987983</v>
      </c>
      <c r="X24" s="84">
        <f t="shared" si="7"/>
        <v>308212.1924838511</v>
      </c>
      <c r="Y24" s="80">
        <v>2576</v>
      </c>
      <c r="Z24" s="82">
        <f t="shared" si="8"/>
        <v>2638.9795774632662</v>
      </c>
      <c r="AA24" s="84">
        <f t="shared" si="9"/>
        <v>310420.32597859943</v>
      </c>
      <c r="AB24" s="80">
        <v>1939</v>
      </c>
      <c r="AC24" s="82">
        <f t="shared" si="10"/>
        <v>1986.4058232535997</v>
      </c>
      <c r="AD24" s="84">
        <f t="shared" si="11"/>
        <v>259717.92113697407</v>
      </c>
      <c r="AE24" s="80">
        <v>1560</v>
      </c>
      <c r="AF24" s="82">
        <f t="shared" si="12"/>
        <v>1598.1398062277542</v>
      </c>
      <c r="AG24" s="84">
        <f t="shared" si="13"/>
        <v>275767.05565017817</v>
      </c>
      <c r="AH24" s="81">
        <f t="shared" si="14"/>
        <v>2652922.3426975245</v>
      </c>
      <c r="AI24" s="80">
        <v>366</v>
      </c>
      <c r="AJ24" s="82">
        <f t="shared" si="15"/>
        <v>374.94818530728082</v>
      </c>
      <c r="AK24" s="84">
        <f t="shared" si="16"/>
        <v>2057561.7062233821</v>
      </c>
      <c r="AL24" s="80">
        <v>2085</v>
      </c>
      <c r="AM24" s="82">
        <f t="shared" si="17"/>
        <v>2135.9753179390177</v>
      </c>
      <c r="AN24" s="84">
        <f t="shared" si="18"/>
        <v>1615151.6383140304</v>
      </c>
      <c r="AO24" s="564">
        <v>562</v>
      </c>
      <c r="AP24" s="82">
        <f t="shared" si="19"/>
        <v>575.74010967948584</v>
      </c>
      <c r="AQ24" s="84">
        <f t="shared" si="20"/>
        <v>2243168.305887491</v>
      </c>
      <c r="AR24" s="564">
        <v>787</v>
      </c>
      <c r="AS24" s="82">
        <f t="shared" si="21"/>
        <v>806.24104327002738</v>
      </c>
      <c r="AT24" s="84">
        <f t="shared" si="22"/>
        <v>2221486.9562764848</v>
      </c>
      <c r="AU24" s="81">
        <f t="shared" si="33"/>
        <v>36948549.02658926</v>
      </c>
      <c r="AV24" s="620">
        <f>INDEX('2021-22 Baseline'!$J$9:$J$158,MATCH(C24,'2021-22 Baseline'!$C$9:$C$158,0))</f>
        <v>34700987.384965308</v>
      </c>
      <c r="AW24" s="623">
        <v>53641.244999999966</v>
      </c>
      <c r="AX24" s="620">
        <f t="shared" si="34"/>
        <v>646.90868724179188</v>
      </c>
      <c r="AY24" s="620">
        <f t="shared" si="35"/>
        <v>698.66138222113523</v>
      </c>
      <c r="AZ24" s="620">
        <f t="shared" si="36"/>
        <v>690.75445456604837</v>
      </c>
      <c r="BA24" s="620">
        <f t="shared" si="23"/>
        <v>698.66138222113523</v>
      </c>
      <c r="BB24" s="624">
        <f t="shared" si="37"/>
        <v>422942.62770582922</v>
      </c>
      <c r="BC24" s="620">
        <f t="shared" si="47"/>
        <v>0</v>
      </c>
      <c r="BD24" s="81">
        <f t="shared" si="25"/>
        <v>422942.62770582922</v>
      </c>
      <c r="BE24" s="81">
        <f t="shared" si="38"/>
        <v>37371491.654295087</v>
      </c>
      <c r="BF24" s="588">
        <f>INDEX('AP Funding Factor'!$I$9:$I$158,MATCH(C24,'AP Funding Factor'!$C$9:$C$158,0))</f>
        <v>133033.91438846922</v>
      </c>
      <c r="BG24" s="290">
        <f>INDEX('Import|Export Adjustments Data'!$Q$9:$Q$159,MATCH($C24,'Import|Export Adjustments Data'!$C$9:$C$159,0))</f>
        <v>-228</v>
      </c>
      <c r="BH24" s="289">
        <v>0</v>
      </c>
      <c r="BI24" s="81">
        <f t="shared" si="46"/>
        <v>-1368000</v>
      </c>
      <c r="BJ24" s="86">
        <f t="shared" si="26"/>
        <v>39175132.298077196</v>
      </c>
      <c r="BK24" s="620">
        <f t="shared" si="27"/>
        <v>646.90868724179188</v>
      </c>
      <c r="BL24" s="620">
        <f t="shared" si="28"/>
        <v>698.66138222113523</v>
      </c>
      <c r="BM24" s="620">
        <f t="shared" si="40"/>
        <v>698.66138222113523</v>
      </c>
      <c r="BN24" s="620">
        <f t="shared" si="29"/>
        <v>37371491.654295087</v>
      </c>
      <c r="BO24" s="281">
        <f t="shared" si="41"/>
        <v>8.0000000000000071E-2</v>
      </c>
      <c r="BP24" s="81">
        <f t="shared" si="42"/>
        <v>40543132.298077196</v>
      </c>
      <c r="BQ24" s="81">
        <f t="shared" si="43"/>
        <v>39175132.298077196</v>
      </c>
      <c r="BS24" s="599"/>
      <c r="BT24" s="601"/>
    </row>
    <row r="25" spans="1:72" ht="15.4" x14ac:dyDescent="0.45">
      <c r="A25" s="76"/>
      <c r="B25" s="77" t="s">
        <v>98</v>
      </c>
      <c r="C25" s="288">
        <v>926</v>
      </c>
      <c r="D25" s="78" t="s">
        <v>104</v>
      </c>
      <c r="E25" s="87">
        <v>1</v>
      </c>
      <c r="F25" s="327">
        <f t="shared" si="30"/>
        <v>4660</v>
      </c>
      <c r="G25" s="290">
        <v>2305</v>
      </c>
      <c r="H25" s="81">
        <f t="shared" si="31"/>
        <v>10741300</v>
      </c>
      <c r="I25" s="597">
        <f>INDEX('Historic Spend Factor'!$U$9:$U$159, MATCH(C25, 'Historic Spend Factor'!$C$9:$C$159, 0))</f>
        <v>40718171.308063321</v>
      </c>
      <c r="J25" s="80">
        <v>167851.66799999977</v>
      </c>
      <c r="K25" s="82">
        <f t="shared" si="0"/>
        <v>167851.66799999977</v>
      </c>
      <c r="L25" s="81">
        <f t="shared" si="44"/>
        <v>34154388.73968146</v>
      </c>
      <c r="M25" s="80">
        <v>24782</v>
      </c>
      <c r="N25" s="82">
        <f t="shared" si="1"/>
        <v>24782</v>
      </c>
      <c r="O25" s="81">
        <f t="shared" si="32"/>
        <v>6309046.029060958</v>
      </c>
      <c r="P25" s="80">
        <v>14348</v>
      </c>
      <c r="Q25" s="82">
        <f t="shared" si="2"/>
        <v>14348</v>
      </c>
      <c r="R25" s="84">
        <f t="shared" si="3"/>
        <v>881055.76374500233</v>
      </c>
      <c r="S25" s="80">
        <v>11589</v>
      </c>
      <c r="T25" s="82">
        <f t="shared" si="4"/>
        <v>11589</v>
      </c>
      <c r="U25" s="84">
        <f t="shared" si="5"/>
        <v>939365.04225584154</v>
      </c>
      <c r="V25" s="80">
        <v>9387</v>
      </c>
      <c r="W25" s="82">
        <f t="shared" si="6"/>
        <v>9387</v>
      </c>
      <c r="X25" s="84">
        <f t="shared" si="7"/>
        <v>1040582.7417703664</v>
      </c>
      <c r="Y25" s="80">
        <v>6700</v>
      </c>
      <c r="Z25" s="82">
        <f t="shared" si="8"/>
        <v>6700</v>
      </c>
      <c r="AA25" s="84">
        <f t="shared" si="9"/>
        <v>788113.78527447756</v>
      </c>
      <c r="AB25" s="80">
        <v>7061</v>
      </c>
      <c r="AC25" s="82">
        <f t="shared" si="10"/>
        <v>7061</v>
      </c>
      <c r="AD25" s="84">
        <f t="shared" si="11"/>
        <v>923209.25547047611</v>
      </c>
      <c r="AE25" s="80">
        <v>2781</v>
      </c>
      <c r="AF25" s="82">
        <f t="shared" si="12"/>
        <v>2781</v>
      </c>
      <c r="AG25" s="84">
        <f t="shared" si="13"/>
        <v>479875.5270187243</v>
      </c>
      <c r="AH25" s="81">
        <f t="shared" si="14"/>
        <v>5052202.1155348876</v>
      </c>
      <c r="AI25" s="80">
        <v>911</v>
      </c>
      <c r="AJ25" s="82">
        <f t="shared" si="15"/>
        <v>911</v>
      </c>
      <c r="AK25" s="84">
        <f t="shared" si="16"/>
        <v>4999193.9895197637</v>
      </c>
      <c r="AL25" s="80">
        <v>6979</v>
      </c>
      <c r="AM25" s="82">
        <f t="shared" si="17"/>
        <v>6979</v>
      </c>
      <c r="AN25" s="84">
        <f t="shared" si="18"/>
        <v>5277281.6189046614</v>
      </c>
      <c r="AO25" s="564">
        <v>1090</v>
      </c>
      <c r="AP25" s="82">
        <f t="shared" si="19"/>
        <v>1090</v>
      </c>
      <c r="AQ25" s="84">
        <f t="shared" si="20"/>
        <v>4246800.6176928086</v>
      </c>
      <c r="AR25" s="564">
        <v>1705</v>
      </c>
      <c r="AS25" s="82">
        <f t="shared" si="21"/>
        <v>1705</v>
      </c>
      <c r="AT25" s="84">
        <f t="shared" si="22"/>
        <v>4697894.3729894515</v>
      </c>
      <c r="AU25" s="81">
        <f t="shared" si="33"/>
        <v>105454978.79144731</v>
      </c>
      <c r="AV25" s="620">
        <f>INDEX('2021-22 Baseline'!$J$9:$J$158,MATCH(C25,'2021-22 Baseline'!$C$9:$C$158,0))</f>
        <v>93321994.704596356</v>
      </c>
      <c r="AW25" s="623">
        <v>166555.76899999977</v>
      </c>
      <c r="AX25" s="620">
        <f t="shared" si="34"/>
        <v>560.30478718870722</v>
      </c>
      <c r="AY25" s="620">
        <f t="shared" si="35"/>
        <v>605.12917016380379</v>
      </c>
      <c r="AZ25" s="620">
        <f t="shared" si="36"/>
        <v>628.26291837294968</v>
      </c>
      <c r="BA25" s="620">
        <f t="shared" si="23"/>
        <v>628.26291837294968</v>
      </c>
      <c r="BB25" s="624">
        <f t="shared" si="37"/>
        <v>0</v>
      </c>
      <c r="BC25" s="620">
        <f t="shared" si="47"/>
        <v>0</v>
      </c>
      <c r="BD25" s="81">
        <f t="shared" si="25"/>
        <v>0</v>
      </c>
      <c r="BE25" s="81">
        <f t="shared" si="38"/>
        <v>105454978.79144731</v>
      </c>
      <c r="BF25" s="588">
        <f>INDEX('AP Funding Factor'!$I$9:$I$158,MATCH(C25,'AP Funding Factor'!$C$9:$C$158,0))</f>
        <v>364454.9414721551</v>
      </c>
      <c r="BG25" s="290">
        <f>INDEX('Import|Export Adjustments Data'!$Q$9:$Q$159,MATCH($C25,'Import|Export Adjustments Data'!$C$9:$C$159,0))</f>
        <v>-98</v>
      </c>
      <c r="BH25" s="289">
        <v>0</v>
      </c>
      <c r="BI25" s="81">
        <f t="shared" si="46"/>
        <v>-588000</v>
      </c>
      <c r="BJ25" s="86">
        <f t="shared" si="26"/>
        <v>115972733.73291947</v>
      </c>
      <c r="BK25" s="620">
        <f t="shared" si="27"/>
        <v>560.30478718870722</v>
      </c>
      <c r="BL25" s="620">
        <f t="shared" si="28"/>
        <v>628.26291837294968</v>
      </c>
      <c r="BM25" s="620">
        <f t="shared" si="40"/>
        <v>621.93831377946503</v>
      </c>
      <c r="BN25" s="620">
        <f t="shared" si="29"/>
        <v>104393383.36099045</v>
      </c>
      <c r="BO25" s="281">
        <f t="shared" si="41"/>
        <v>0.1100000000000001</v>
      </c>
      <c r="BP25" s="81">
        <f t="shared" si="42"/>
        <v>115499138.30246261</v>
      </c>
      <c r="BQ25" s="81">
        <f t="shared" si="43"/>
        <v>114911138.30246261</v>
      </c>
      <c r="BS25" s="599"/>
      <c r="BT25" s="601"/>
    </row>
    <row r="26" spans="1:72" ht="15.4" x14ac:dyDescent="0.45">
      <c r="A26" s="76"/>
      <c r="B26" s="77" t="s">
        <v>98</v>
      </c>
      <c r="C26" s="288">
        <v>874</v>
      </c>
      <c r="D26" s="78" t="s">
        <v>105</v>
      </c>
      <c r="E26" s="87">
        <v>1.02002158466695</v>
      </c>
      <c r="F26" s="327">
        <f t="shared" si="30"/>
        <v>4753.3005845479875</v>
      </c>
      <c r="G26" s="290">
        <v>746.5</v>
      </c>
      <c r="H26" s="81">
        <f t="shared" si="31"/>
        <v>3548338.8863650728</v>
      </c>
      <c r="I26" s="597">
        <f>INDEX('Historic Spend Factor'!$U$9:$U$159, MATCH(C26, 'Historic Spend Factor'!$C$9:$C$159, 0))</f>
        <v>12928380.006937206</v>
      </c>
      <c r="J26" s="80">
        <v>50892.682999999961</v>
      </c>
      <c r="K26" s="82">
        <f t="shared" si="0"/>
        <v>51911.635161612707</v>
      </c>
      <c r="L26" s="81">
        <f t="shared" si="44"/>
        <v>10562958.286611961</v>
      </c>
      <c r="M26" s="80">
        <v>10156</v>
      </c>
      <c r="N26" s="82">
        <f t="shared" si="1"/>
        <v>10359.339213877545</v>
      </c>
      <c r="O26" s="81">
        <f t="shared" si="32"/>
        <v>2637299.1659676214</v>
      </c>
      <c r="P26" s="80">
        <v>9416</v>
      </c>
      <c r="Q26" s="82">
        <f t="shared" si="2"/>
        <v>9604.523241224002</v>
      </c>
      <c r="R26" s="84">
        <f t="shared" si="3"/>
        <v>589777.01140948129</v>
      </c>
      <c r="S26" s="80">
        <v>9524</v>
      </c>
      <c r="T26" s="82">
        <f t="shared" si="4"/>
        <v>9714.6855723680328</v>
      </c>
      <c r="U26" s="84">
        <f t="shared" si="5"/>
        <v>787439.47046248266</v>
      </c>
      <c r="V26" s="80">
        <v>4209</v>
      </c>
      <c r="W26" s="82">
        <f t="shared" si="6"/>
        <v>4293.2708498631928</v>
      </c>
      <c r="X26" s="84">
        <f t="shared" si="7"/>
        <v>475924.52882853226</v>
      </c>
      <c r="Y26" s="80">
        <v>3229</v>
      </c>
      <c r="Z26" s="82">
        <f t="shared" si="8"/>
        <v>3293.6496968895817</v>
      </c>
      <c r="AA26" s="84">
        <f t="shared" si="9"/>
        <v>387428.4671617588</v>
      </c>
      <c r="AB26" s="80">
        <v>3873</v>
      </c>
      <c r="AC26" s="82">
        <f t="shared" si="10"/>
        <v>3950.5435974150973</v>
      </c>
      <c r="AD26" s="84">
        <f t="shared" si="11"/>
        <v>516524.34687342425</v>
      </c>
      <c r="AE26" s="80">
        <v>386</v>
      </c>
      <c r="AF26" s="82">
        <f t="shared" si="12"/>
        <v>393.72833168144274</v>
      </c>
      <c r="AG26" s="84">
        <f t="shared" si="13"/>
        <v>67939.802469556074</v>
      </c>
      <c r="AH26" s="81">
        <f t="shared" si="14"/>
        <v>2825033.627205235</v>
      </c>
      <c r="AI26" s="80">
        <v>335</v>
      </c>
      <c r="AJ26" s="82">
        <f t="shared" si="15"/>
        <v>341.70723086342826</v>
      </c>
      <c r="AK26" s="84">
        <f t="shared" si="16"/>
        <v>1875148.9952885762</v>
      </c>
      <c r="AL26" s="80">
        <v>2244</v>
      </c>
      <c r="AM26" s="82">
        <f t="shared" si="17"/>
        <v>2288.928435992636</v>
      </c>
      <c r="AN26" s="84">
        <f t="shared" si="18"/>
        <v>1730809.5661630796</v>
      </c>
      <c r="AO26" s="564">
        <v>490</v>
      </c>
      <c r="AP26" s="82">
        <f t="shared" si="19"/>
        <v>499.81057648680553</v>
      </c>
      <c r="AQ26" s="84">
        <f t="shared" si="20"/>
        <v>1947335.6559207011</v>
      </c>
      <c r="AR26" s="564">
        <v>637</v>
      </c>
      <c r="AS26" s="82">
        <f t="shared" si="21"/>
        <v>649.75374943284714</v>
      </c>
      <c r="AT26" s="84">
        <f t="shared" si="22"/>
        <v>1790307.6148324755</v>
      </c>
      <c r="AU26" s="81">
        <f t="shared" si="33"/>
        <v>36297272.91892685</v>
      </c>
      <c r="AV26" s="620">
        <f>INDEX('2021-22 Baseline'!$J$9:$J$158,MATCH(C26,'2021-22 Baseline'!$C$9:$C$158,0))</f>
        <v>32980870.90580589</v>
      </c>
      <c r="AW26" s="623">
        <v>50073.755999999972</v>
      </c>
      <c r="AX26" s="620">
        <f t="shared" si="34"/>
        <v>658.64583646982476</v>
      </c>
      <c r="AY26" s="620">
        <f t="shared" si="35"/>
        <v>711.33750338741083</v>
      </c>
      <c r="AZ26" s="620">
        <f t="shared" si="36"/>
        <v>713.21201358016197</v>
      </c>
      <c r="BA26" s="620">
        <f t="shared" si="23"/>
        <v>713.21201358016197</v>
      </c>
      <c r="BB26" s="624">
        <f t="shared" si="37"/>
        <v>0</v>
      </c>
      <c r="BC26" s="620">
        <f t="shared" si="47"/>
        <v>0</v>
      </c>
      <c r="BD26" s="81">
        <f t="shared" si="25"/>
        <v>0</v>
      </c>
      <c r="BE26" s="81">
        <f t="shared" si="38"/>
        <v>36297272.91892685</v>
      </c>
      <c r="BF26" s="588">
        <f>INDEX('AP Funding Factor'!$I$9:$I$158,MATCH(C26,'AP Funding Factor'!$C$9:$C$158,0))</f>
        <v>508335.13086062972</v>
      </c>
      <c r="BG26" s="290">
        <f>INDEX('Import|Export Adjustments Data'!$Q$9:$Q$159,MATCH($C26,'Import|Export Adjustments Data'!$C$9:$C$159,0))</f>
        <v>239</v>
      </c>
      <c r="BH26" s="289">
        <v>0</v>
      </c>
      <c r="BI26" s="81">
        <f t="shared" si="46"/>
        <v>1434000</v>
      </c>
      <c r="BJ26" s="86">
        <f t="shared" si="26"/>
        <v>41787946.936152548</v>
      </c>
      <c r="BK26" s="620">
        <f t="shared" si="27"/>
        <v>658.64583646982476</v>
      </c>
      <c r="BL26" s="620">
        <f t="shared" si="28"/>
        <v>713.21201358016197</v>
      </c>
      <c r="BM26" s="620">
        <f t="shared" si="40"/>
        <v>713.21201358016197</v>
      </c>
      <c r="BN26" s="620">
        <f t="shared" si="29"/>
        <v>36297272.91892685</v>
      </c>
      <c r="BO26" s="281">
        <f t="shared" si="41"/>
        <v>8.2846006288900487E-2</v>
      </c>
      <c r="BP26" s="81">
        <f t="shared" si="42"/>
        <v>40353946.936152555</v>
      </c>
      <c r="BQ26" s="81">
        <f t="shared" si="43"/>
        <v>41787946.936152555</v>
      </c>
      <c r="BS26" s="599"/>
      <c r="BT26" s="601"/>
    </row>
    <row r="27" spans="1:72" ht="15.4" x14ac:dyDescent="0.45">
      <c r="A27" s="76"/>
      <c r="B27" s="77" t="s">
        <v>98</v>
      </c>
      <c r="C27" s="288">
        <v>882</v>
      </c>
      <c r="D27" s="78" t="s">
        <v>106</v>
      </c>
      <c r="E27" s="87">
        <v>1.0055221834908801</v>
      </c>
      <c r="F27" s="327">
        <f t="shared" si="30"/>
        <v>4685.7333750675016</v>
      </c>
      <c r="G27" s="290">
        <v>603</v>
      </c>
      <c r="H27" s="81">
        <f t="shared" si="31"/>
        <v>2825497.2251657033</v>
      </c>
      <c r="I27" s="597">
        <f>INDEX('Historic Spend Factor'!$U$9:$U$159, MATCH(C27, 'Historic Spend Factor'!$C$9:$C$159, 0))</f>
        <v>7773912.1740593854</v>
      </c>
      <c r="J27" s="80">
        <v>38679.436999999976</v>
      </c>
      <c r="K27" s="82">
        <f t="shared" si="0"/>
        <v>38893.031948437914</v>
      </c>
      <c r="L27" s="81">
        <f t="shared" si="44"/>
        <v>7913938.2304607239</v>
      </c>
      <c r="M27" s="80">
        <v>6636.5</v>
      </c>
      <c r="N27" s="82">
        <f t="shared" si="1"/>
        <v>6673.1479707372255</v>
      </c>
      <c r="O27" s="81">
        <f t="shared" si="32"/>
        <v>1698861.9847516699</v>
      </c>
      <c r="P27" s="80">
        <v>3458</v>
      </c>
      <c r="Q27" s="82">
        <f t="shared" si="2"/>
        <v>3477.0957105114635</v>
      </c>
      <c r="R27" s="84">
        <f t="shared" si="3"/>
        <v>213515.13917195072</v>
      </c>
      <c r="S27" s="80">
        <v>4669</v>
      </c>
      <c r="T27" s="82">
        <f t="shared" si="4"/>
        <v>4694.7830747189191</v>
      </c>
      <c r="U27" s="84">
        <f t="shared" si="5"/>
        <v>380543.19625207933</v>
      </c>
      <c r="V27" s="80">
        <v>3300</v>
      </c>
      <c r="W27" s="82">
        <f t="shared" si="6"/>
        <v>3318.2232055199042</v>
      </c>
      <c r="X27" s="84">
        <f t="shared" si="7"/>
        <v>367836.98743005819</v>
      </c>
      <c r="Y27" s="80">
        <v>3283</v>
      </c>
      <c r="Z27" s="82">
        <f t="shared" si="8"/>
        <v>3301.1293284005592</v>
      </c>
      <c r="AA27" s="84">
        <f t="shared" si="9"/>
        <v>388308.28816214303</v>
      </c>
      <c r="AB27" s="80">
        <v>1320</v>
      </c>
      <c r="AC27" s="82">
        <f t="shared" si="10"/>
        <v>1327.2892822079616</v>
      </c>
      <c r="AD27" s="84">
        <f t="shared" si="11"/>
        <v>173539.97309462613</v>
      </c>
      <c r="AE27" s="80">
        <v>2330</v>
      </c>
      <c r="AF27" s="82">
        <f t="shared" si="12"/>
        <v>2342.8666875337508</v>
      </c>
      <c r="AG27" s="84">
        <f t="shared" si="13"/>
        <v>404273.42193990346</v>
      </c>
      <c r="AH27" s="81">
        <f t="shared" si="14"/>
        <v>1928017.0060507611</v>
      </c>
      <c r="AI27" s="80">
        <v>224</v>
      </c>
      <c r="AJ27" s="82">
        <f t="shared" si="15"/>
        <v>225.23696910195713</v>
      </c>
      <c r="AK27" s="84">
        <f t="shared" si="16"/>
        <v>1236008.0155347453</v>
      </c>
      <c r="AL27" s="80">
        <v>1603</v>
      </c>
      <c r="AM27" s="82">
        <f t="shared" si="17"/>
        <v>1611.8520601358807</v>
      </c>
      <c r="AN27" s="84">
        <f t="shared" si="18"/>
        <v>1218827.5181757691</v>
      </c>
      <c r="AO27" s="564">
        <v>301</v>
      </c>
      <c r="AP27" s="82">
        <f t="shared" si="19"/>
        <v>302.66217723075488</v>
      </c>
      <c r="AQ27" s="84">
        <f t="shared" si="20"/>
        <v>1179216.4414824035</v>
      </c>
      <c r="AR27" s="564">
        <v>526</v>
      </c>
      <c r="AS27" s="82">
        <f t="shared" si="21"/>
        <v>528.90466851620295</v>
      </c>
      <c r="AT27" s="84">
        <f t="shared" si="22"/>
        <v>1457324.4962288102</v>
      </c>
      <c r="AU27" s="81">
        <f t="shared" si="33"/>
        <v>24406105.866744269</v>
      </c>
      <c r="AV27" s="620">
        <f>INDEX('2021-22 Baseline'!$J$9:$J$158,MATCH(C27,'2021-22 Baseline'!$C$9:$C$158,0))</f>
        <v>22147579.084184367</v>
      </c>
      <c r="AW27" s="623">
        <v>38309.739000000009</v>
      </c>
      <c r="AX27" s="620">
        <f t="shared" si="34"/>
        <v>578.11876724569595</v>
      </c>
      <c r="AY27" s="620">
        <f t="shared" si="35"/>
        <v>624.36826862535167</v>
      </c>
      <c r="AZ27" s="620">
        <f t="shared" si="36"/>
        <v>630.98399976050018</v>
      </c>
      <c r="BA27" s="620">
        <f t="shared" si="23"/>
        <v>630.98399976050018</v>
      </c>
      <c r="BB27" s="624">
        <f t="shared" si="37"/>
        <v>0</v>
      </c>
      <c r="BC27" s="620">
        <f t="shared" si="47"/>
        <v>0</v>
      </c>
      <c r="BD27" s="81">
        <f t="shared" si="25"/>
        <v>0</v>
      </c>
      <c r="BE27" s="81">
        <f t="shared" si="38"/>
        <v>24406105.866744269</v>
      </c>
      <c r="BF27" s="588">
        <f>INDEX('AP Funding Factor'!$I$9:$I$158,MATCH(C27,'AP Funding Factor'!$C$9:$C$158,0))</f>
        <v>132654.05164629544</v>
      </c>
      <c r="BG27" s="290">
        <f>INDEX('Import|Export Adjustments Data'!$Q$9:$Q$159,MATCH($C27,'Import|Export Adjustments Data'!$C$9:$C$159,0))</f>
        <v>59</v>
      </c>
      <c r="BH27" s="289">
        <v>0</v>
      </c>
      <c r="BI27" s="81">
        <f t="shared" si="46"/>
        <v>354000</v>
      </c>
      <c r="BJ27" s="86">
        <f t="shared" si="26"/>
        <v>27718257.143556267</v>
      </c>
      <c r="BK27" s="620">
        <f t="shared" si="27"/>
        <v>578.11876724569595</v>
      </c>
      <c r="BL27" s="620">
        <f t="shared" si="28"/>
        <v>630.98399976050018</v>
      </c>
      <c r="BM27" s="620">
        <f t="shared" si="40"/>
        <v>630.98399976050018</v>
      </c>
      <c r="BN27" s="620">
        <f t="shared" si="29"/>
        <v>24406105.866744269</v>
      </c>
      <c r="BO27" s="281">
        <f t="shared" si="41"/>
        <v>9.1443550201055768E-2</v>
      </c>
      <c r="BP27" s="81">
        <f t="shared" si="42"/>
        <v>27364257.143556267</v>
      </c>
      <c r="BQ27" s="81">
        <f t="shared" si="43"/>
        <v>27718257.143556267</v>
      </c>
      <c r="BS27" s="599"/>
      <c r="BT27" s="601"/>
    </row>
    <row r="28" spans="1:72" ht="15.4" x14ac:dyDescent="0.45">
      <c r="A28" s="76"/>
      <c r="B28" s="77" t="s">
        <v>98</v>
      </c>
      <c r="C28" s="288">
        <v>935</v>
      </c>
      <c r="D28" s="78" t="s">
        <v>107</v>
      </c>
      <c r="E28" s="87">
        <v>1.00003727172963</v>
      </c>
      <c r="F28" s="327">
        <f t="shared" si="30"/>
        <v>4660.1736862600756</v>
      </c>
      <c r="G28" s="290">
        <v>1589.1666660000001</v>
      </c>
      <c r="H28" s="81">
        <f t="shared" si="31"/>
        <v>7405792.6799748549</v>
      </c>
      <c r="I28" s="597">
        <f>INDEX('Historic Spend Factor'!$U$9:$U$159, MATCH(C28, 'Historic Spend Factor'!$C$9:$C$159, 0))</f>
        <v>27198441.108132582</v>
      </c>
      <c r="J28" s="80">
        <v>148332.29099999994</v>
      </c>
      <c r="K28" s="82">
        <f t="shared" si="0"/>
        <v>148337.81960104548</v>
      </c>
      <c r="L28" s="81">
        <f t="shared" si="44"/>
        <v>30183718.85021038</v>
      </c>
      <c r="M28" s="80">
        <v>20418</v>
      </c>
      <c r="N28" s="82">
        <f t="shared" si="1"/>
        <v>20418.761014175583</v>
      </c>
      <c r="O28" s="81">
        <f t="shared" si="32"/>
        <v>5198244.8186114579</v>
      </c>
      <c r="P28" s="80">
        <v>14195</v>
      </c>
      <c r="Q28" s="82">
        <f t="shared" si="2"/>
        <v>14195.529072202098</v>
      </c>
      <c r="R28" s="84">
        <f t="shared" si="3"/>
        <v>871693.10764381127</v>
      </c>
      <c r="S28" s="80">
        <v>10458</v>
      </c>
      <c r="T28" s="82">
        <f t="shared" si="4"/>
        <v>10458.389787748471</v>
      </c>
      <c r="U28" s="84">
        <f t="shared" si="5"/>
        <v>847721.61229583248</v>
      </c>
      <c r="V28" s="80">
        <v>4990</v>
      </c>
      <c r="W28" s="82">
        <f t="shared" si="6"/>
        <v>4990.1859859308533</v>
      </c>
      <c r="X28" s="84">
        <f t="shared" si="7"/>
        <v>553180.08044998266</v>
      </c>
      <c r="Y28" s="80">
        <v>7362</v>
      </c>
      <c r="Z28" s="82">
        <f t="shared" si="8"/>
        <v>7362.2743944735357</v>
      </c>
      <c r="AA28" s="84">
        <f t="shared" si="9"/>
        <v>866016.40914297022</v>
      </c>
      <c r="AB28" s="80">
        <v>1876</v>
      </c>
      <c r="AC28" s="82">
        <f t="shared" si="10"/>
        <v>1876.0699217647859</v>
      </c>
      <c r="AD28" s="84">
        <f t="shared" si="11"/>
        <v>245291.7597625014</v>
      </c>
      <c r="AE28" s="80">
        <v>1828</v>
      </c>
      <c r="AF28" s="82">
        <f t="shared" si="12"/>
        <v>1828.0681327217635</v>
      </c>
      <c r="AG28" s="84">
        <f t="shared" si="13"/>
        <v>315442.34398273699</v>
      </c>
      <c r="AH28" s="81">
        <f t="shared" si="14"/>
        <v>3699345.313277835</v>
      </c>
      <c r="AI28" s="80">
        <v>731</v>
      </c>
      <c r="AJ28" s="82">
        <f t="shared" si="15"/>
        <v>731.02724563435947</v>
      </c>
      <c r="AK28" s="84">
        <f t="shared" si="16"/>
        <v>4011577.4012628738</v>
      </c>
      <c r="AL28" s="80">
        <v>5991</v>
      </c>
      <c r="AM28" s="82">
        <f t="shared" si="17"/>
        <v>5991.2232949322133</v>
      </c>
      <c r="AN28" s="84">
        <f t="shared" si="18"/>
        <v>4530358.5856281975</v>
      </c>
      <c r="AO28" s="564">
        <v>1158</v>
      </c>
      <c r="AP28" s="82">
        <f t="shared" si="19"/>
        <v>1158.0431606629115</v>
      </c>
      <c r="AQ28" s="84">
        <f t="shared" si="20"/>
        <v>4511906.7981818207</v>
      </c>
      <c r="AR28" s="564">
        <v>1579</v>
      </c>
      <c r="AS28" s="82">
        <f t="shared" si="21"/>
        <v>1579.0588520610856</v>
      </c>
      <c r="AT28" s="84">
        <f t="shared" si="22"/>
        <v>4350880.7599512944</v>
      </c>
      <c r="AU28" s="81">
        <f t="shared" si="33"/>
        <v>83684473.635256439</v>
      </c>
      <c r="AV28" s="620">
        <f>INDEX('2021-22 Baseline'!$J$9:$J$158,MATCH(C28,'2021-22 Baseline'!$C$9:$C$158,0))</f>
        <v>77144651.980174169</v>
      </c>
      <c r="AW28" s="623">
        <v>147776.22999999986</v>
      </c>
      <c r="AX28" s="620">
        <f t="shared" si="34"/>
        <v>522.03694721522015</v>
      </c>
      <c r="AY28" s="620">
        <f t="shared" si="35"/>
        <v>563.79990299243775</v>
      </c>
      <c r="AZ28" s="620">
        <f t="shared" si="36"/>
        <v>564.16895519571312</v>
      </c>
      <c r="BA28" s="620">
        <f t="shared" si="23"/>
        <v>564.16895519571312</v>
      </c>
      <c r="BB28" s="624">
        <f t="shared" si="37"/>
        <v>0</v>
      </c>
      <c r="BC28" s="620">
        <f t="shared" si="47"/>
        <v>0</v>
      </c>
      <c r="BD28" s="81">
        <f t="shared" si="25"/>
        <v>0</v>
      </c>
      <c r="BE28" s="81">
        <f t="shared" si="38"/>
        <v>83684473.635256439</v>
      </c>
      <c r="BF28" s="588">
        <f>INDEX('AP Funding Factor'!$I$9:$I$158,MATCH(C28,'AP Funding Factor'!$C$9:$C$158,0))</f>
        <v>552605.92868571426</v>
      </c>
      <c r="BG28" s="290">
        <f>INDEX('Import|Export Adjustments Data'!$Q$9:$Q$159,MATCH($C28,'Import|Export Adjustments Data'!$C$9:$C$159,0))</f>
        <v>77</v>
      </c>
      <c r="BH28" s="289">
        <v>356995</v>
      </c>
      <c r="BI28" s="81">
        <f t="shared" si="46"/>
        <v>818995</v>
      </c>
      <c r="BJ28" s="86">
        <f t="shared" si="26"/>
        <v>92461867.243917003</v>
      </c>
      <c r="BK28" s="620">
        <f t="shared" si="27"/>
        <v>522.03694721522015</v>
      </c>
      <c r="BL28" s="620">
        <f t="shared" si="28"/>
        <v>564.16895519571312</v>
      </c>
      <c r="BM28" s="620">
        <f t="shared" si="40"/>
        <v>564.16895519571312</v>
      </c>
      <c r="BN28" s="620">
        <f t="shared" si="29"/>
        <v>83684473.635256439</v>
      </c>
      <c r="BO28" s="281">
        <f t="shared" si="41"/>
        <v>8.0706946520249234E-2</v>
      </c>
      <c r="BP28" s="81">
        <f t="shared" si="42"/>
        <v>91642872.243917003</v>
      </c>
      <c r="BQ28" s="81">
        <f t="shared" si="43"/>
        <v>92461867.243917003</v>
      </c>
      <c r="BS28" s="599"/>
      <c r="BT28" s="601"/>
    </row>
    <row r="29" spans="1:72" ht="15.4" x14ac:dyDescent="0.45">
      <c r="A29" s="76"/>
      <c r="B29" s="77" t="s">
        <v>98</v>
      </c>
      <c r="C29" s="288">
        <v>883</v>
      </c>
      <c r="D29" s="78" t="s">
        <v>108</v>
      </c>
      <c r="E29" s="87">
        <v>1.04663135821417</v>
      </c>
      <c r="F29" s="327">
        <f t="shared" si="30"/>
        <v>4877.3021292780322</v>
      </c>
      <c r="G29" s="290">
        <v>422</v>
      </c>
      <c r="H29" s="81">
        <f t="shared" si="31"/>
        <v>2058221.4985553296</v>
      </c>
      <c r="I29" s="597">
        <f>INDEX('Historic Spend Factor'!$U$9:$U$159, MATCH(C29, 'Historic Spend Factor'!$C$9:$C$159, 0))</f>
        <v>11578692.871663364</v>
      </c>
      <c r="J29" s="80">
        <v>43730.366999999984</v>
      </c>
      <c r="K29" s="82">
        <f t="shared" si="0"/>
        <v>45769.5734084141</v>
      </c>
      <c r="L29" s="81">
        <f t="shared" si="44"/>
        <v>9313174.0736729801</v>
      </c>
      <c r="M29" s="80">
        <v>6146</v>
      </c>
      <c r="N29" s="82">
        <f t="shared" si="1"/>
        <v>6432.5963275842887</v>
      </c>
      <c r="O29" s="81">
        <f t="shared" si="32"/>
        <v>1637621.9157895956</v>
      </c>
      <c r="P29" s="80">
        <v>8220</v>
      </c>
      <c r="Q29" s="82">
        <f t="shared" si="2"/>
        <v>8603.309764520478</v>
      </c>
      <c r="R29" s="84">
        <f t="shared" si="3"/>
        <v>528296.32389980659</v>
      </c>
      <c r="S29" s="80">
        <v>5772</v>
      </c>
      <c r="T29" s="82">
        <f t="shared" si="4"/>
        <v>6041.1561996121891</v>
      </c>
      <c r="U29" s="84">
        <f t="shared" si="5"/>
        <v>489675.63626912097</v>
      </c>
      <c r="V29" s="80">
        <v>4077</v>
      </c>
      <c r="W29" s="82">
        <f t="shared" si="6"/>
        <v>4267.1160474391709</v>
      </c>
      <c r="X29" s="84">
        <f t="shared" si="7"/>
        <v>473025.1748265241</v>
      </c>
      <c r="Y29" s="80">
        <v>2012</v>
      </c>
      <c r="Z29" s="82">
        <f t="shared" si="8"/>
        <v>2105.8222927269098</v>
      </c>
      <c r="AA29" s="84">
        <f t="shared" si="9"/>
        <v>247705.60869199759</v>
      </c>
      <c r="AB29" s="80">
        <v>2220</v>
      </c>
      <c r="AC29" s="82">
        <f t="shared" si="10"/>
        <v>2323.5216152354574</v>
      </c>
      <c r="AD29" s="84">
        <f t="shared" si="11"/>
        <v>303795.02343451139</v>
      </c>
      <c r="AE29" s="80">
        <v>562</v>
      </c>
      <c r="AF29" s="82">
        <f t="shared" si="12"/>
        <v>588.20682331636351</v>
      </c>
      <c r="AG29" s="84">
        <f t="shared" si="13"/>
        <v>101498.0436299711</v>
      </c>
      <c r="AH29" s="81">
        <f t="shared" si="14"/>
        <v>2143995.8107519317</v>
      </c>
      <c r="AI29" s="80">
        <v>205</v>
      </c>
      <c r="AJ29" s="82">
        <f t="shared" si="15"/>
        <v>214.55942843390486</v>
      </c>
      <c r="AK29" s="84">
        <f t="shared" si="16"/>
        <v>1177414.0560061177</v>
      </c>
      <c r="AL29" s="80">
        <v>1694</v>
      </c>
      <c r="AM29" s="82">
        <f t="shared" si="17"/>
        <v>1772.993520814804</v>
      </c>
      <c r="AN29" s="84">
        <f t="shared" si="18"/>
        <v>1340677.1912642247</v>
      </c>
      <c r="AO29" s="564">
        <v>383</v>
      </c>
      <c r="AP29" s="82">
        <f t="shared" si="19"/>
        <v>400.85981019602713</v>
      </c>
      <c r="AQ29" s="84">
        <f t="shared" si="20"/>
        <v>1561808.8894942293</v>
      </c>
      <c r="AR29" s="564">
        <v>403</v>
      </c>
      <c r="AS29" s="82">
        <f t="shared" si="21"/>
        <v>421.79243736031049</v>
      </c>
      <c r="AT29" s="84">
        <f t="shared" si="22"/>
        <v>1162191.3888824098</v>
      </c>
      <c r="AU29" s="81">
        <f t="shared" si="33"/>
        <v>29915576.197524849</v>
      </c>
      <c r="AV29" s="620">
        <f>INDEX('2021-22 Baseline'!$J$9:$J$158,MATCH(C29,'2021-22 Baseline'!$C$9:$C$158,0))</f>
        <v>26626931.112272426</v>
      </c>
      <c r="AW29" s="623">
        <v>43087.677999999971</v>
      </c>
      <c r="AX29" s="620">
        <f t="shared" si="34"/>
        <v>617.97089906474991</v>
      </c>
      <c r="AY29" s="620">
        <f t="shared" si="35"/>
        <v>667.4085709899299</v>
      </c>
      <c r="AZ29" s="620">
        <f t="shared" si="36"/>
        <v>684.09158783242913</v>
      </c>
      <c r="BA29" s="620">
        <f t="shared" si="23"/>
        <v>684.09158783242913</v>
      </c>
      <c r="BB29" s="624">
        <f t="shared" si="37"/>
        <v>0</v>
      </c>
      <c r="BC29" s="620">
        <f t="shared" si="47"/>
        <v>0</v>
      </c>
      <c r="BD29" s="81">
        <f t="shared" si="25"/>
        <v>0</v>
      </c>
      <c r="BE29" s="81">
        <f t="shared" si="38"/>
        <v>29915576.197524849</v>
      </c>
      <c r="BF29" s="588">
        <f>INDEX('AP Funding Factor'!$I$9:$I$158,MATCH(C29,'AP Funding Factor'!$C$9:$C$158,0))</f>
        <v>62311.320953995179</v>
      </c>
      <c r="BG29" s="290">
        <f>INDEX('Import|Export Adjustments Data'!$Q$9:$Q$159,MATCH($C29,'Import|Export Adjustments Data'!$C$9:$C$159,0))</f>
        <v>-112</v>
      </c>
      <c r="BH29" s="289">
        <v>18000</v>
      </c>
      <c r="BI29" s="81">
        <f t="shared" si="46"/>
        <v>-654000</v>
      </c>
      <c r="BJ29" s="86">
        <f t="shared" si="26"/>
        <v>31382109.017034173</v>
      </c>
      <c r="BK29" s="620">
        <f t="shared" si="27"/>
        <v>617.97089906474991</v>
      </c>
      <c r="BL29" s="620">
        <f t="shared" si="28"/>
        <v>684.09158783242913</v>
      </c>
      <c r="BM29" s="620">
        <f t="shared" si="40"/>
        <v>684.09158783242913</v>
      </c>
      <c r="BN29" s="620">
        <f t="shared" si="29"/>
        <v>29915576.197524849</v>
      </c>
      <c r="BO29" s="281">
        <f t="shared" si="41"/>
        <v>0.1069964441169442</v>
      </c>
      <c r="BP29" s="81">
        <f t="shared" si="42"/>
        <v>32036109.017034173</v>
      </c>
      <c r="BQ29" s="81">
        <f t="shared" si="43"/>
        <v>31382109.017034173</v>
      </c>
      <c r="BS29" s="599"/>
      <c r="BT29" s="601"/>
    </row>
    <row r="30" spans="1:72" ht="15.4" x14ac:dyDescent="0.45">
      <c r="A30" s="76"/>
      <c r="B30" s="77" t="s">
        <v>109</v>
      </c>
      <c r="C30" s="288">
        <v>202</v>
      </c>
      <c r="D30" s="78" t="s">
        <v>110</v>
      </c>
      <c r="E30" s="87">
        <v>1.21136282727152</v>
      </c>
      <c r="F30" s="327">
        <f t="shared" si="30"/>
        <v>5644.9507750852836</v>
      </c>
      <c r="G30" s="290">
        <v>365</v>
      </c>
      <c r="H30" s="81">
        <f t="shared" si="31"/>
        <v>2060407.0329061286</v>
      </c>
      <c r="I30" s="597">
        <f>INDEX('Historic Spend Factor'!$U$9:$U$159, MATCH(C30, 'Historic Spend Factor'!$C$9:$C$159, 0))</f>
        <v>14171415.087084776</v>
      </c>
      <c r="J30" s="80">
        <v>52239.411999999975</v>
      </c>
      <c r="K30" s="82">
        <f t="shared" si="0"/>
        <v>63280.881815321736</v>
      </c>
      <c r="L30" s="81">
        <f t="shared" si="44"/>
        <v>12876367.94476383</v>
      </c>
      <c r="M30" s="80">
        <v>8083.5</v>
      </c>
      <c r="N30" s="82">
        <f t="shared" si="1"/>
        <v>9792.0514142493321</v>
      </c>
      <c r="O30" s="88">
        <f t="shared" si="32"/>
        <v>2492878.0199915459</v>
      </c>
      <c r="P30" s="80">
        <v>7930</v>
      </c>
      <c r="Q30" s="82">
        <f t="shared" si="2"/>
        <v>9606.1072202631531</v>
      </c>
      <c r="R30" s="84">
        <f t="shared" si="3"/>
        <v>589874.2774996747</v>
      </c>
      <c r="S30" s="80">
        <v>8850</v>
      </c>
      <c r="T30" s="82">
        <f t="shared" si="4"/>
        <v>10720.561021352953</v>
      </c>
      <c r="U30" s="84">
        <f t="shared" si="5"/>
        <v>868972.32348171051</v>
      </c>
      <c r="V30" s="80">
        <v>4817</v>
      </c>
      <c r="W30" s="82">
        <f t="shared" si="6"/>
        <v>5835.1347389669118</v>
      </c>
      <c r="X30" s="84">
        <f t="shared" si="7"/>
        <v>646845.69141085562</v>
      </c>
      <c r="Y30" s="80">
        <v>5716</v>
      </c>
      <c r="Z30" s="82">
        <f t="shared" si="8"/>
        <v>6924.1499206840081</v>
      </c>
      <c r="AA30" s="84">
        <f t="shared" si="9"/>
        <v>814480.29907436529</v>
      </c>
      <c r="AB30" s="80">
        <v>2974</v>
      </c>
      <c r="AC30" s="82">
        <f t="shared" si="10"/>
        <v>3602.5930483055004</v>
      </c>
      <c r="AD30" s="84">
        <f t="shared" si="11"/>
        <v>471030.62539147912</v>
      </c>
      <c r="AE30" s="80">
        <v>0</v>
      </c>
      <c r="AF30" s="82">
        <f t="shared" si="12"/>
        <v>0</v>
      </c>
      <c r="AG30" s="84">
        <f t="shared" si="13"/>
        <v>0</v>
      </c>
      <c r="AH30" s="88">
        <f t="shared" si="14"/>
        <v>3391203.2168580852</v>
      </c>
      <c r="AI30" s="80">
        <v>346</v>
      </c>
      <c r="AJ30" s="82">
        <f t="shared" si="15"/>
        <v>419.13153823594592</v>
      </c>
      <c r="AK30" s="89">
        <f t="shared" si="16"/>
        <v>2300021.8076479849</v>
      </c>
      <c r="AL30" s="80">
        <v>1190</v>
      </c>
      <c r="AM30" s="82">
        <f t="shared" si="17"/>
        <v>1441.5217644531087</v>
      </c>
      <c r="AN30" s="89">
        <f t="shared" si="18"/>
        <v>1090029.5616563126</v>
      </c>
      <c r="AO30" s="564">
        <v>236</v>
      </c>
      <c r="AP30" s="82">
        <f t="shared" si="19"/>
        <v>285.88162723607871</v>
      </c>
      <c r="AQ30" s="89">
        <f t="shared" si="20"/>
        <v>1113836.9459937653</v>
      </c>
      <c r="AR30" s="564">
        <v>391</v>
      </c>
      <c r="AS30" s="82">
        <f t="shared" si="21"/>
        <v>473.6428654631643</v>
      </c>
      <c r="AT30" s="89">
        <f t="shared" si="22"/>
        <v>1305058.1539390027</v>
      </c>
      <c r="AU30" s="81">
        <f t="shared" si="33"/>
        <v>38740810.737935305</v>
      </c>
      <c r="AV30" s="620">
        <f>INDEX('2021-22 Baseline'!$J$9:$J$158,MATCH(C30,'2021-22 Baseline'!$C$9:$C$158,0))</f>
        <v>37094130.273081675</v>
      </c>
      <c r="AW30" s="623">
        <v>51479.853999999985</v>
      </c>
      <c r="AX30" s="620">
        <f t="shared" si="34"/>
        <v>720.55624464439404</v>
      </c>
      <c r="AY30" s="620">
        <f t="shared" si="35"/>
        <v>778.20074421594563</v>
      </c>
      <c r="AZ30" s="620">
        <f t="shared" si="36"/>
        <v>741.60120213327298</v>
      </c>
      <c r="BA30" s="620">
        <f t="shared" si="23"/>
        <v>778.20074421594563</v>
      </c>
      <c r="BB30" s="624">
        <f t="shared" si="37"/>
        <v>1911938.5578680739</v>
      </c>
      <c r="BC30" s="620">
        <f t="shared" si="47"/>
        <v>0</v>
      </c>
      <c r="BD30" s="81">
        <f t="shared" si="25"/>
        <v>1911938.5578680739</v>
      </c>
      <c r="BE30" s="81">
        <f t="shared" si="38"/>
        <v>40652749.295803376</v>
      </c>
      <c r="BF30" s="588">
        <f>INDEX('AP Funding Factor'!$I$9:$I$158,MATCH(C30,'AP Funding Factor'!$C$9:$C$158,0))</f>
        <v>3968349.080200668</v>
      </c>
      <c r="BG30" s="290">
        <f>INDEX('Import|Export Adjustments Data'!$Q$9:$Q$159,MATCH($C30,'Import|Export Adjustments Data'!$C$9:$C$159,0))</f>
        <v>276</v>
      </c>
      <c r="BH30" s="289">
        <v>12000</v>
      </c>
      <c r="BI30" s="81">
        <f t="shared" si="46"/>
        <v>1668000</v>
      </c>
      <c r="BJ30" s="86">
        <f t="shared" si="26"/>
        <v>48349505.40891017</v>
      </c>
      <c r="BK30" s="620">
        <f t="shared" si="27"/>
        <v>720.55624464439404</v>
      </c>
      <c r="BL30" s="620">
        <f t="shared" si="28"/>
        <v>778.20074421594563</v>
      </c>
      <c r="BM30" s="620">
        <f t="shared" si="40"/>
        <v>778.20074421594563</v>
      </c>
      <c r="BN30" s="620">
        <f t="shared" si="29"/>
        <v>40652749.295803383</v>
      </c>
      <c r="BO30" s="281">
        <f t="shared" si="41"/>
        <v>8.0000000000000071E-2</v>
      </c>
      <c r="BP30" s="81">
        <f t="shared" si="42"/>
        <v>46681505.408910178</v>
      </c>
      <c r="BQ30" s="81">
        <f t="shared" si="43"/>
        <v>48349505.408910178</v>
      </c>
      <c r="BS30" s="599"/>
      <c r="BT30" s="601"/>
    </row>
    <row r="31" spans="1:72" ht="15.4" x14ac:dyDescent="0.45">
      <c r="A31" s="76"/>
      <c r="B31" s="77" t="s">
        <v>109</v>
      </c>
      <c r="C31" s="288">
        <v>204</v>
      </c>
      <c r="D31" s="78" t="s">
        <v>111</v>
      </c>
      <c r="E31" s="87">
        <v>1.21136282727152</v>
      </c>
      <c r="F31" s="327">
        <f t="shared" si="30"/>
        <v>5644.9507750852836</v>
      </c>
      <c r="G31" s="290">
        <v>663</v>
      </c>
      <c r="H31" s="81">
        <f t="shared" si="31"/>
        <v>3742602.3638815428</v>
      </c>
      <c r="I31" s="597">
        <f>INDEX('Historic Spend Factor'!$U$9:$U$159, MATCH(C31, 'Historic Spend Factor'!$C$9:$C$159, 0))</f>
        <v>19962342.512421615</v>
      </c>
      <c r="J31" s="80">
        <v>59677.214999999938</v>
      </c>
      <c r="K31" s="82">
        <f t="shared" si="0"/>
        <v>72290.759886090294</v>
      </c>
      <c r="L31" s="81">
        <f t="shared" si="44"/>
        <v>14709694.248832261</v>
      </c>
      <c r="M31" s="80">
        <v>13392.5</v>
      </c>
      <c r="N31" s="82">
        <f t="shared" si="1"/>
        <v>16223.176664233832</v>
      </c>
      <c r="O31" s="81">
        <f t="shared" si="32"/>
        <v>4130125.4262060709</v>
      </c>
      <c r="P31" s="80">
        <v>9084</v>
      </c>
      <c r="Q31" s="82">
        <f t="shared" si="2"/>
        <v>11004.019922934487</v>
      </c>
      <c r="R31" s="84">
        <f t="shared" si="3"/>
        <v>675714.74612951395</v>
      </c>
      <c r="S31" s="80">
        <v>10055</v>
      </c>
      <c r="T31" s="82">
        <f t="shared" si="4"/>
        <v>12180.253228215133</v>
      </c>
      <c r="U31" s="84">
        <f t="shared" si="5"/>
        <v>987290.02402357059</v>
      </c>
      <c r="V31" s="80">
        <v>7431</v>
      </c>
      <c r="W31" s="82">
        <f t="shared" si="6"/>
        <v>9001.6371694546651</v>
      </c>
      <c r="X31" s="84">
        <f t="shared" si="7"/>
        <v>997863.88475691667</v>
      </c>
      <c r="Y31" s="80">
        <v>7617</v>
      </c>
      <c r="Z31" s="82">
        <f t="shared" si="8"/>
        <v>9226.9506553271676</v>
      </c>
      <c r="AA31" s="84">
        <f t="shared" si="9"/>
        <v>1085356.2697777187</v>
      </c>
      <c r="AB31" s="80">
        <v>9005</v>
      </c>
      <c r="AC31" s="82">
        <f t="shared" si="10"/>
        <v>10908.322259580038</v>
      </c>
      <c r="AD31" s="84">
        <f t="shared" si="11"/>
        <v>1426237.6535475014</v>
      </c>
      <c r="AE31" s="80">
        <v>1373</v>
      </c>
      <c r="AF31" s="82">
        <f t="shared" si="12"/>
        <v>1663.2011618437969</v>
      </c>
      <c r="AG31" s="84">
        <f t="shared" si="13"/>
        <v>286993.71955337888</v>
      </c>
      <c r="AH31" s="81">
        <f t="shared" si="14"/>
        <v>5459456.2977886004</v>
      </c>
      <c r="AI31" s="80">
        <v>513</v>
      </c>
      <c r="AJ31" s="82">
        <f t="shared" si="15"/>
        <v>621.42913039028974</v>
      </c>
      <c r="AK31" s="84">
        <f t="shared" si="16"/>
        <v>3410147.9402410872</v>
      </c>
      <c r="AL31" s="80">
        <v>2443</v>
      </c>
      <c r="AM31" s="82">
        <f t="shared" si="17"/>
        <v>2959.3593870243235</v>
      </c>
      <c r="AN31" s="84">
        <f t="shared" si="18"/>
        <v>2237766.5706944298</v>
      </c>
      <c r="AO31" s="564">
        <v>384</v>
      </c>
      <c r="AP31" s="82">
        <f t="shared" si="19"/>
        <v>465.16332567226368</v>
      </c>
      <c r="AQ31" s="84">
        <f t="shared" si="20"/>
        <v>1812344.861277991</v>
      </c>
      <c r="AR31" s="564">
        <v>439</v>
      </c>
      <c r="AS31" s="82">
        <f t="shared" si="21"/>
        <v>531.78828117219723</v>
      </c>
      <c r="AT31" s="84">
        <f t="shared" si="22"/>
        <v>1465269.8966220517</v>
      </c>
      <c r="AU31" s="81">
        <f t="shared" si="33"/>
        <v>53187147.75408411</v>
      </c>
      <c r="AV31" s="620">
        <f>INDEX('2021-22 Baseline'!$J$9:$J$158,MATCH(C31,'2021-22 Baseline'!$C$9:$C$158,0))</f>
        <v>49536859.687945172</v>
      </c>
      <c r="AW31" s="623">
        <v>59459.939999999951</v>
      </c>
      <c r="AX31" s="620">
        <f t="shared" si="34"/>
        <v>833.1131798643795</v>
      </c>
      <c r="AY31" s="620">
        <f t="shared" si="35"/>
        <v>899.76223425352987</v>
      </c>
      <c r="AZ31" s="620">
        <f t="shared" si="36"/>
        <v>891.24714942016249</v>
      </c>
      <c r="BA31" s="620">
        <f t="shared" si="23"/>
        <v>899.76223425352987</v>
      </c>
      <c r="BB31" s="624">
        <f t="shared" si="37"/>
        <v>508156.54834410391</v>
      </c>
      <c r="BC31" s="620">
        <f t="shared" si="47"/>
        <v>0</v>
      </c>
      <c r="BD31" s="81">
        <f t="shared" si="25"/>
        <v>508156.54834410391</v>
      </c>
      <c r="BE31" s="81">
        <f t="shared" si="38"/>
        <v>53695304.302428216</v>
      </c>
      <c r="BF31" s="588">
        <f>INDEX('AP Funding Factor'!$I$9:$I$158,MATCH(C31,'AP Funding Factor'!$C$9:$C$158,0))</f>
        <v>220203.1458934625</v>
      </c>
      <c r="BG31" s="290">
        <f>INDEX('Import|Export Adjustments Data'!$Q$9:$Q$159,MATCH($C31,'Import|Export Adjustments Data'!$C$9:$C$159,0))</f>
        <v>-150</v>
      </c>
      <c r="BH31" s="289">
        <v>18000</v>
      </c>
      <c r="BI31" s="81">
        <f t="shared" si="46"/>
        <v>-882000</v>
      </c>
      <c r="BJ31" s="86">
        <f t="shared" si="26"/>
        <v>56776109.812203221</v>
      </c>
      <c r="BK31" s="620">
        <f t="shared" si="27"/>
        <v>833.1131798643795</v>
      </c>
      <c r="BL31" s="620">
        <f t="shared" si="28"/>
        <v>899.76223425352987</v>
      </c>
      <c r="BM31" s="620">
        <f t="shared" si="40"/>
        <v>899.76223425352987</v>
      </c>
      <c r="BN31" s="620">
        <f t="shared" si="29"/>
        <v>53695304.302428208</v>
      </c>
      <c r="BO31" s="281">
        <f t="shared" si="41"/>
        <v>8.0000000000000071E-2</v>
      </c>
      <c r="BP31" s="81">
        <f t="shared" si="42"/>
        <v>57658109.812203214</v>
      </c>
      <c r="BQ31" s="81">
        <f t="shared" si="43"/>
        <v>56776109.812203214</v>
      </c>
      <c r="BS31" s="599"/>
      <c r="BT31" s="601"/>
    </row>
    <row r="32" spans="1:72" ht="15.4" x14ac:dyDescent="0.45">
      <c r="A32" s="76"/>
      <c r="B32" s="77" t="s">
        <v>109</v>
      </c>
      <c r="C32" s="288">
        <v>205</v>
      </c>
      <c r="D32" s="78" t="s">
        <v>112</v>
      </c>
      <c r="E32" s="87">
        <v>1.21136282727152</v>
      </c>
      <c r="F32" s="327">
        <f t="shared" si="30"/>
        <v>5644.9507750852836</v>
      </c>
      <c r="G32" s="290">
        <v>575.5</v>
      </c>
      <c r="H32" s="81">
        <f t="shared" si="31"/>
        <v>3248669.1710615805</v>
      </c>
      <c r="I32" s="597">
        <f>INDEX('Historic Spend Factor'!$U$9:$U$159, MATCH(C32, 'Historic Spend Factor'!$C$9:$C$159, 0))</f>
        <v>10425207.896337662</v>
      </c>
      <c r="J32" s="80">
        <v>36375.450999999965</v>
      </c>
      <c r="K32" s="82">
        <f t="shared" si="0"/>
        <v>44063.869166636599</v>
      </c>
      <c r="L32" s="81">
        <f t="shared" si="44"/>
        <v>8966098.0723275989</v>
      </c>
      <c r="M32" s="80">
        <v>5297</v>
      </c>
      <c r="N32" s="82">
        <f t="shared" si="1"/>
        <v>6416.5888960572411</v>
      </c>
      <c r="O32" s="81">
        <f t="shared" si="32"/>
        <v>1633546.7151475495</v>
      </c>
      <c r="P32" s="80">
        <v>3299</v>
      </c>
      <c r="Q32" s="82">
        <f t="shared" si="2"/>
        <v>3996.2859671687447</v>
      </c>
      <c r="R32" s="84">
        <f t="shared" si="3"/>
        <v>245396.62565843973</v>
      </c>
      <c r="S32" s="80">
        <v>5890</v>
      </c>
      <c r="T32" s="82">
        <f t="shared" si="4"/>
        <v>7134.927052629253</v>
      </c>
      <c r="U32" s="84">
        <f t="shared" si="5"/>
        <v>578332.99269008765</v>
      </c>
      <c r="V32" s="80">
        <v>2716</v>
      </c>
      <c r="W32" s="82">
        <f t="shared" si="6"/>
        <v>3290.0614388694485</v>
      </c>
      <c r="X32" s="84">
        <f t="shared" si="7"/>
        <v>364715.1542187843</v>
      </c>
      <c r="Y32" s="80">
        <v>3524</v>
      </c>
      <c r="Z32" s="82">
        <f t="shared" si="8"/>
        <v>4268.8426033048363</v>
      </c>
      <c r="AA32" s="84">
        <f t="shared" si="9"/>
        <v>502139.35863157158</v>
      </c>
      <c r="AB32" s="80">
        <v>1992</v>
      </c>
      <c r="AC32" s="82">
        <f t="shared" si="10"/>
        <v>2413.034751924868</v>
      </c>
      <c r="AD32" s="84">
        <f t="shared" si="11"/>
        <v>315498.65695353952</v>
      </c>
      <c r="AE32" s="80">
        <v>261</v>
      </c>
      <c r="AF32" s="82">
        <f t="shared" si="12"/>
        <v>316.16569791786674</v>
      </c>
      <c r="AG32" s="84">
        <f t="shared" si="13"/>
        <v>54555.980191865907</v>
      </c>
      <c r="AH32" s="81">
        <f t="shared" si="14"/>
        <v>2060638.7683442885</v>
      </c>
      <c r="AI32" s="80">
        <v>222</v>
      </c>
      <c r="AJ32" s="82">
        <f t="shared" si="15"/>
        <v>268.92254765427742</v>
      </c>
      <c r="AK32" s="84">
        <f t="shared" si="16"/>
        <v>1475736.5355429265</v>
      </c>
      <c r="AL32" s="80">
        <v>934</v>
      </c>
      <c r="AM32" s="82">
        <f t="shared" si="17"/>
        <v>1131.4128806715996</v>
      </c>
      <c r="AN32" s="84">
        <f t="shared" si="18"/>
        <v>855535.80721596291</v>
      </c>
      <c r="AO32" s="564">
        <v>199</v>
      </c>
      <c r="AP32" s="82">
        <f t="shared" si="19"/>
        <v>241.06120262703249</v>
      </c>
      <c r="AQ32" s="84">
        <f t="shared" si="20"/>
        <v>939209.96717270894</v>
      </c>
      <c r="AR32" s="564">
        <v>251</v>
      </c>
      <c r="AS32" s="82">
        <f t="shared" si="21"/>
        <v>304.05206964515151</v>
      </c>
      <c r="AT32" s="84">
        <f t="shared" si="22"/>
        <v>837773.90444677672</v>
      </c>
      <c r="AU32" s="81">
        <f t="shared" si="33"/>
        <v>27193747.666535474</v>
      </c>
      <c r="AV32" s="620">
        <f>INDEX('2021-22 Baseline'!$J$9:$J$158,MATCH(C32,'2021-22 Baseline'!$C$9:$C$158,0))</f>
        <v>22736441.464033335</v>
      </c>
      <c r="AW32" s="623">
        <v>35922.131999999983</v>
      </c>
      <c r="AX32" s="620">
        <f t="shared" si="34"/>
        <v>632.93686087544427</v>
      </c>
      <c r="AY32" s="620">
        <f t="shared" si="35"/>
        <v>683.57180974547987</v>
      </c>
      <c r="AZ32" s="620">
        <f t="shared" si="36"/>
        <v>747.58516853950482</v>
      </c>
      <c r="BA32" s="620">
        <f t="shared" si="23"/>
        <v>747.58516853950482</v>
      </c>
      <c r="BB32" s="624">
        <f t="shared" si="37"/>
        <v>0</v>
      </c>
      <c r="BC32" s="620">
        <f t="shared" si="47"/>
        <v>0</v>
      </c>
      <c r="BD32" s="81">
        <f t="shared" si="25"/>
        <v>0</v>
      </c>
      <c r="BE32" s="81">
        <f t="shared" si="38"/>
        <v>27193747.666535474</v>
      </c>
      <c r="BF32" s="588">
        <f>INDEX('AP Funding Factor'!$I$9:$I$158,MATCH(C32,'AP Funding Factor'!$C$9:$C$158,0))</f>
        <v>609018.03670217935</v>
      </c>
      <c r="BG32" s="290">
        <f>INDEX('Import|Export Adjustments Data'!$Q$9:$Q$159,MATCH($C32,'Import|Export Adjustments Data'!$C$9:$C$159,0))</f>
        <v>445</v>
      </c>
      <c r="BH32" s="289">
        <v>6000</v>
      </c>
      <c r="BI32" s="81">
        <f t="shared" si="46"/>
        <v>2676000</v>
      </c>
      <c r="BJ32" s="86">
        <f t="shared" si="26"/>
        <v>33727434.874299228</v>
      </c>
      <c r="BK32" s="620">
        <f t="shared" si="27"/>
        <v>632.93686087544427</v>
      </c>
      <c r="BL32" s="620">
        <f t="shared" si="28"/>
        <v>747.58516853950482</v>
      </c>
      <c r="BM32" s="620">
        <f t="shared" si="40"/>
        <v>702.5599155717432</v>
      </c>
      <c r="BN32" s="620">
        <f t="shared" si="29"/>
        <v>25555933.783444058</v>
      </c>
      <c r="BO32" s="281">
        <f t="shared" si="41"/>
        <v>0.1100000000000001</v>
      </c>
      <c r="BP32" s="81">
        <f t="shared" si="42"/>
        <v>29413620.991207819</v>
      </c>
      <c r="BQ32" s="81">
        <f t="shared" si="43"/>
        <v>32089620.991207816</v>
      </c>
      <c r="BS32" s="599"/>
      <c r="BT32" s="601"/>
    </row>
    <row r="33" spans="1:72" ht="15.4" x14ac:dyDescent="0.45">
      <c r="A33" s="76"/>
      <c r="B33" s="77" t="s">
        <v>109</v>
      </c>
      <c r="C33" s="288">
        <v>309</v>
      </c>
      <c r="D33" s="78" t="s">
        <v>113</v>
      </c>
      <c r="E33" s="87">
        <v>1.1270590386057799</v>
      </c>
      <c r="F33" s="327">
        <f t="shared" si="30"/>
        <v>5252.0951199029341</v>
      </c>
      <c r="G33" s="290">
        <v>522</v>
      </c>
      <c r="H33" s="81">
        <f t="shared" si="31"/>
        <v>2741593.6525893318</v>
      </c>
      <c r="I33" s="597">
        <f>INDEX('Historic Spend Factor'!$U$9:$U$159, MATCH(C33, 'Historic Spend Factor'!$C$9:$C$159, 0))</f>
        <v>17803416.135157451</v>
      </c>
      <c r="J33" s="80">
        <v>55580.705999999969</v>
      </c>
      <c r="K33" s="82">
        <f t="shared" si="0"/>
        <v>62642.737069390467</v>
      </c>
      <c r="L33" s="81">
        <f t="shared" si="44"/>
        <v>12746518.512914743</v>
      </c>
      <c r="M33" s="80">
        <v>8860</v>
      </c>
      <c r="N33" s="82">
        <f t="shared" si="1"/>
        <v>9985.7430820472109</v>
      </c>
      <c r="O33" s="81">
        <f t="shared" si="32"/>
        <v>2542188.3923417353</v>
      </c>
      <c r="P33" s="80">
        <v>6334</v>
      </c>
      <c r="Q33" s="82">
        <f t="shared" si="2"/>
        <v>7138.7919505290101</v>
      </c>
      <c r="R33" s="84">
        <f t="shared" si="3"/>
        <v>438365.89031154249</v>
      </c>
      <c r="S33" s="80">
        <v>9674</v>
      </c>
      <c r="T33" s="82">
        <f t="shared" si="4"/>
        <v>10903.169139472315</v>
      </c>
      <c r="U33" s="84">
        <f t="shared" si="5"/>
        <v>883773.91832108016</v>
      </c>
      <c r="V33" s="80">
        <v>9478</v>
      </c>
      <c r="W33" s="82">
        <f t="shared" si="6"/>
        <v>10682.265567905582</v>
      </c>
      <c r="X33" s="84">
        <f t="shared" si="7"/>
        <v>1184167.5927314768</v>
      </c>
      <c r="Y33" s="80">
        <v>5699</v>
      </c>
      <c r="Z33" s="82">
        <f t="shared" si="8"/>
        <v>6423.10946101434</v>
      </c>
      <c r="AA33" s="84">
        <f t="shared" si="9"/>
        <v>755543.44933616731</v>
      </c>
      <c r="AB33" s="80">
        <v>3303</v>
      </c>
      <c r="AC33" s="82">
        <f t="shared" si="10"/>
        <v>3722.6760045148912</v>
      </c>
      <c r="AD33" s="84">
        <f t="shared" si="11"/>
        <v>486731.19140150119</v>
      </c>
      <c r="AE33" s="80">
        <v>808</v>
      </c>
      <c r="AF33" s="82">
        <f t="shared" si="12"/>
        <v>910.66370319347016</v>
      </c>
      <c r="AG33" s="84">
        <f t="shared" si="13"/>
        <v>157139.59888773452</v>
      </c>
      <c r="AH33" s="81">
        <f t="shared" si="14"/>
        <v>3905721.6409895024</v>
      </c>
      <c r="AI33" s="80">
        <v>496</v>
      </c>
      <c r="AJ33" s="82">
        <f t="shared" si="15"/>
        <v>559.02128314846686</v>
      </c>
      <c r="AK33" s="84">
        <f t="shared" si="16"/>
        <v>3067679.2960806168</v>
      </c>
      <c r="AL33" s="80">
        <v>1809</v>
      </c>
      <c r="AM33" s="82">
        <f t="shared" si="17"/>
        <v>2038.8498008378558</v>
      </c>
      <c r="AN33" s="84">
        <f t="shared" si="18"/>
        <v>1541708.6370065978</v>
      </c>
      <c r="AO33" s="564">
        <v>415</v>
      </c>
      <c r="AP33" s="82">
        <f t="shared" si="19"/>
        <v>467.72950102139868</v>
      </c>
      <c r="AQ33" s="84">
        <f t="shared" si="20"/>
        <v>1822343.0585787382</v>
      </c>
      <c r="AR33" s="564">
        <v>667</v>
      </c>
      <c r="AS33" s="82">
        <f t="shared" si="21"/>
        <v>751.74837875005517</v>
      </c>
      <c r="AT33" s="84">
        <f t="shared" si="22"/>
        <v>2071339.8700491658</v>
      </c>
      <c r="AU33" s="81">
        <f t="shared" si="33"/>
        <v>45500915.543118551</v>
      </c>
      <c r="AV33" s="620">
        <f>INDEX('2021-22 Baseline'!$J$9:$J$158,MATCH(C33,'2021-22 Baseline'!$C$9:$C$158,0))</f>
        <v>41587269.280838013</v>
      </c>
      <c r="AW33" s="623">
        <v>55756.762999999955</v>
      </c>
      <c r="AX33" s="620">
        <f t="shared" si="34"/>
        <v>745.86950610526014</v>
      </c>
      <c r="AY33" s="620">
        <f t="shared" si="35"/>
        <v>805.53906659368101</v>
      </c>
      <c r="AZ33" s="620">
        <f t="shared" si="36"/>
        <v>818.64587224060404</v>
      </c>
      <c r="BA33" s="620">
        <f t="shared" si="23"/>
        <v>818.64587224060404</v>
      </c>
      <c r="BB33" s="624">
        <f t="shared" si="37"/>
        <v>0</v>
      </c>
      <c r="BC33" s="620">
        <f t="shared" si="47"/>
        <v>0</v>
      </c>
      <c r="BD33" s="81">
        <f t="shared" si="25"/>
        <v>0</v>
      </c>
      <c r="BE33" s="81">
        <f t="shared" si="38"/>
        <v>45500915.543118551</v>
      </c>
      <c r="BF33" s="588">
        <f>INDEX('AP Funding Factor'!$I$9:$I$158,MATCH(C33,'AP Funding Factor'!$C$9:$C$158,0))</f>
        <v>917030.75009026658</v>
      </c>
      <c r="BG33" s="290">
        <f>INDEX('Import|Export Adjustments Data'!$Q$9:$Q$159,MATCH($C33,'Import|Export Adjustments Data'!$C$9:$C$159,0))</f>
        <v>-38</v>
      </c>
      <c r="BH33" s="289">
        <v>540000</v>
      </c>
      <c r="BI33" s="81">
        <f t="shared" si="46"/>
        <v>312000</v>
      </c>
      <c r="BJ33" s="86">
        <f t="shared" si="26"/>
        <v>49471539.945798144</v>
      </c>
      <c r="BK33" s="620">
        <f t="shared" si="27"/>
        <v>745.86950610526014</v>
      </c>
      <c r="BL33" s="620">
        <f t="shared" si="28"/>
        <v>818.64587224060404</v>
      </c>
      <c r="BM33" s="620">
        <f t="shared" si="40"/>
        <v>818.64587224060404</v>
      </c>
      <c r="BN33" s="620">
        <f t="shared" si="29"/>
        <v>45500915.543118551</v>
      </c>
      <c r="BO33" s="281">
        <f t="shared" si="41"/>
        <v>9.7572518436051192E-2</v>
      </c>
      <c r="BP33" s="81">
        <f t="shared" si="42"/>
        <v>49159539.945798151</v>
      </c>
      <c r="BQ33" s="81">
        <f t="shared" si="43"/>
        <v>49471539.945798151</v>
      </c>
      <c r="BS33" s="599"/>
      <c r="BT33" s="601"/>
    </row>
    <row r="34" spans="1:72" ht="15.4" x14ac:dyDescent="0.45">
      <c r="A34" s="76"/>
      <c r="B34" s="77" t="s">
        <v>109</v>
      </c>
      <c r="C34" s="288">
        <v>206</v>
      </c>
      <c r="D34" s="78" t="s">
        <v>114</v>
      </c>
      <c r="E34" s="87">
        <v>1.21136282727152</v>
      </c>
      <c r="F34" s="327">
        <f t="shared" si="30"/>
        <v>5644.9507750852836</v>
      </c>
      <c r="G34" s="290">
        <v>572.5</v>
      </c>
      <c r="H34" s="81">
        <f t="shared" si="31"/>
        <v>3231734.318736325</v>
      </c>
      <c r="I34" s="597">
        <f>INDEX('Historic Spend Factor'!$U$9:$U$159, MATCH(C34, 'Historic Spend Factor'!$C$9:$C$159, 0))</f>
        <v>12269000.449961528</v>
      </c>
      <c r="J34" s="80">
        <v>40840.036</v>
      </c>
      <c r="K34" s="82">
        <f t="shared" si="0"/>
        <v>49472.101474830655</v>
      </c>
      <c r="L34" s="81">
        <f t="shared" si="44"/>
        <v>10066562.96999287</v>
      </c>
      <c r="M34" s="80">
        <v>9528</v>
      </c>
      <c r="N34" s="82">
        <f t="shared" si="1"/>
        <v>11541.865018243043</v>
      </c>
      <c r="O34" s="81">
        <f t="shared" si="32"/>
        <v>2938348.7071787524</v>
      </c>
      <c r="P34" s="80">
        <v>4057</v>
      </c>
      <c r="Q34" s="82">
        <f t="shared" si="2"/>
        <v>4914.4989902405569</v>
      </c>
      <c r="R34" s="84">
        <f t="shared" si="3"/>
        <v>301780.57299069111</v>
      </c>
      <c r="S34" s="80">
        <v>6842</v>
      </c>
      <c r="T34" s="82">
        <f t="shared" si="4"/>
        <v>8288.1444641917406</v>
      </c>
      <c r="U34" s="84">
        <f t="shared" si="5"/>
        <v>671808.88556631235</v>
      </c>
      <c r="V34" s="80">
        <v>5630</v>
      </c>
      <c r="W34" s="82">
        <f t="shared" si="6"/>
        <v>6819.9727175386579</v>
      </c>
      <c r="X34" s="84">
        <f t="shared" si="7"/>
        <v>756018.52660226636</v>
      </c>
      <c r="Y34" s="80">
        <v>8261</v>
      </c>
      <c r="Z34" s="82">
        <f t="shared" si="8"/>
        <v>10007.068316090026</v>
      </c>
      <c r="AA34" s="84">
        <f t="shared" si="9"/>
        <v>1177120.6701632841</v>
      </c>
      <c r="AB34" s="80">
        <v>6523</v>
      </c>
      <c r="AC34" s="82">
        <f t="shared" si="10"/>
        <v>7901.719722292125</v>
      </c>
      <c r="AD34" s="84">
        <f t="shared" si="11"/>
        <v>1033131.3952349087</v>
      </c>
      <c r="AE34" s="80">
        <v>1492</v>
      </c>
      <c r="AF34" s="82">
        <f t="shared" si="12"/>
        <v>1807.3533382891078</v>
      </c>
      <c r="AG34" s="84">
        <f t="shared" si="13"/>
        <v>311867.90209296526</v>
      </c>
      <c r="AH34" s="81">
        <f t="shared" si="14"/>
        <v>4251727.9526504278</v>
      </c>
      <c r="AI34" s="80">
        <v>342</v>
      </c>
      <c r="AJ34" s="82">
        <f t="shared" si="15"/>
        <v>414.28608692685987</v>
      </c>
      <c r="AK34" s="84">
        <f t="shared" si="16"/>
        <v>2273431.9601607248</v>
      </c>
      <c r="AL34" s="80">
        <v>1705</v>
      </c>
      <c r="AM34" s="82">
        <f t="shared" si="17"/>
        <v>2065.3736204979418</v>
      </c>
      <c r="AN34" s="84">
        <f t="shared" si="18"/>
        <v>1561765.0442218599</v>
      </c>
      <c r="AO34" s="564">
        <v>311</v>
      </c>
      <c r="AP34" s="82">
        <f t="shared" si="19"/>
        <v>376.73383928144273</v>
      </c>
      <c r="AQ34" s="84">
        <f t="shared" si="20"/>
        <v>1467810.5517121227</v>
      </c>
      <c r="AR34" s="564">
        <v>373</v>
      </c>
      <c r="AS34" s="82">
        <f t="shared" si="21"/>
        <v>451.83833457227695</v>
      </c>
      <c r="AT34" s="84">
        <f t="shared" si="22"/>
        <v>1244978.7504328594</v>
      </c>
      <c r="AU34" s="81">
        <f t="shared" si="33"/>
        <v>36073626.386311144</v>
      </c>
      <c r="AV34" s="620">
        <f>INDEX('2021-22 Baseline'!$J$9:$J$158,MATCH(C34,'2021-22 Baseline'!$C$9:$C$158,0))</f>
        <v>33713902.796616904</v>
      </c>
      <c r="AW34" s="623">
        <v>40470.671999999999</v>
      </c>
      <c r="AX34" s="620">
        <f t="shared" si="34"/>
        <v>833.04529256684702</v>
      </c>
      <c r="AY34" s="620">
        <f t="shared" si="35"/>
        <v>899.68891597219488</v>
      </c>
      <c r="AZ34" s="620">
        <f t="shared" si="36"/>
        <v>883.29075876209174</v>
      </c>
      <c r="BA34" s="620">
        <f t="shared" si="23"/>
        <v>899.68891597219488</v>
      </c>
      <c r="BB34" s="624">
        <f t="shared" si="37"/>
        <v>669701.33079427166</v>
      </c>
      <c r="BC34" s="620">
        <f t="shared" si="47"/>
        <v>0</v>
      </c>
      <c r="BD34" s="81">
        <f t="shared" si="25"/>
        <v>669701.33079427166</v>
      </c>
      <c r="BE34" s="81">
        <f t="shared" si="38"/>
        <v>36743327.717105418</v>
      </c>
      <c r="BF34" s="588">
        <f>INDEX('AP Funding Factor'!$I$9:$I$158,MATCH(C34,'AP Funding Factor'!$C$9:$C$158,0))</f>
        <v>210841.48144794203</v>
      </c>
      <c r="BG34" s="290">
        <f>INDEX('Import|Export Adjustments Data'!$Q$9:$Q$159,MATCH($C34,'Import|Export Adjustments Data'!$C$9:$C$159,0))</f>
        <v>-18</v>
      </c>
      <c r="BH34" s="289">
        <v>292997</v>
      </c>
      <c r="BI34" s="81">
        <f t="shared" si="46"/>
        <v>184997</v>
      </c>
      <c r="BJ34" s="86">
        <f t="shared" si="26"/>
        <v>40370900.517289683</v>
      </c>
      <c r="BK34" s="620">
        <f t="shared" si="27"/>
        <v>833.04529256684702</v>
      </c>
      <c r="BL34" s="620">
        <f t="shared" si="28"/>
        <v>899.68891597219488</v>
      </c>
      <c r="BM34" s="620">
        <f t="shared" si="40"/>
        <v>899.68891597219488</v>
      </c>
      <c r="BN34" s="620">
        <f t="shared" si="29"/>
        <v>36743327.717105411</v>
      </c>
      <c r="BO34" s="281">
        <f t="shared" si="41"/>
        <v>8.0000000000000071E-2</v>
      </c>
      <c r="BP34" s="81">
        <f t="shared" si="42"/>
        <v>40185903.517289676</v>
      </c>
      <c r="BQ34" s="81">
        <f t="shared" si="43"/>
        <v>40370900.517289676</v>
      </c>
      <c r="BS34" s="599"/>
      <c r="BT34" s="601"/>
    </row>
    <row r="35" spans="1:72" ht="15.4" x14ac:dyDescent="0.45">
      <c r="A35" s="76"/>
      <c r="B35" s="77" t="s">
        <v>109</v>
      </c>
      <c r="C35" s="288">
        <v>207</v>
      </c>
      <c r="D35" s="78" t="s">
        <v>115</v>
      </c>
      <c r="E35" s="87">
        <v>1.21136282727152</v>
      </c>
      <c r="F35" s="327">
        <f t="shared" si="30"/>
        <v>5644.9507750852836</v>
      </c>
      <c r="G35" s="290">
        <v>162</v>
      </c>
      <c r="H35" s="81">
        <f t="shared" si="31"/>
        <v>914482.02556381596</v>
      </c>
      <c r="I35" s="597">
        <f>INDEX('Historic Spend Factor'!$U$9:$U$159, MATCH(C35, 'Historic Spend Factor'!$C$9:$C$159, 0))</f>
        <v>7993747.3413056452</v>
      </c>
      <c r="J35" s="80">
        <v>27018.563999999951</v>
      </c>
      <c r="K35" s="82">
        <f t="shared" si="0"/>
        <v>32729.284075856449</v>
      </c>
      <c r="L35" s="81">
        <f t="shared" si="44"/>
        <v>6659741.3348211041</v>
      </c>
      <c r="M35" s="80">
        <v>3029</v>
      </c>
      <c r="N35" s="82">
        <f t="shared" si="1"/>
        <v>3669.2180038054339</v>
      </c>
      <c r="O35" s="81">
        <f t="shared" si="32"/>
        <v>934116.1034891312</v>
      </c>
      <c r="P35" s="80">
        <v>1507</v>
      </c>
      <c r="Q35" s="82">
        <f t="shared" si="2"/>
        <v>1825.5237806981806</v>
      </c>
      <c r="R35" s="84">
        <f t="shared" si="3"/>
        <v>112098.42827137579</v>
      </c>
      <c r="S35" s="80">
        <v>1291</v>
      </c>
      <c r="T35" s="82">
        <f t="shared" si="4"/>
        <v>1563.8694100075322</v>
      </c>
      <c r="U35" s="84">
        <f t="shared" si="5"/>
        <v>126761.95136891393</v>
      </c>
      <c r="V35" s="80">
        <v>1248</v>
      </c>
      <c r="W35" s="82">
        <f t="shared" si="6"/>
        <v>1511.7808084348569</v>
      </c>
      <c r="X35" s="84">
        <f t="shared" si="7"/>
        <v>167586.34479567109</v>
      </c>
      <c r="Y35" s="80">
        <v>1440</v>
      </c>
      <c r="Z35" s="82">
        <f t="shared" si="8"/>
        <v>1744.3624712709889</v>
      </c>
      <c r="AA35" s="84">
        <f t="shared" si="9"/>
        <v>205187.47912300314</v>
      </c>
      <c r="AB35" s="80">
        <v>1592</v>
      </c>
      <c r="AC35" s="82">
        <f t="shared" si="10"/>
        <v>1928.4896210162599</v>
      </c>
      <c r="AD35" s="84">
        <f t="shared" si="11"/>
        <v>252145.5129869653</v>
      </c>
      <c r="AE35" s="80">
        <v>795</v>
      </c>
      <c r="AF35" s="82">
        <f t="shared" si="12"/>
        <v>963.03344768085844</v>
      </c>
      <c r="AG35" s="84">
        <f t="shared" si="13"/>
        <v>166176.26150395937</v>
      </c>
      <c r="AH35" s="81">
        <f t="shared" si="14"/>
        <v>1029955.9780498887</v>
      </c>
      <c r="AI35" s="80">
        <v>159</v>
      </c>
      <c r="AJ35" s="82">
        <f t="shared" si="15"/>
        <v>192.60668953617167</v>
      </c>
      <c r="AK35" s="84">
        <f t="shared" si="16"/>
        <v>1056946.4376185825</v>
      </c>
      <c r="AL35" s="80">
        <v>503</v>
      </c>
      <c r="AM35" s="82">
        <f t="shared" si="17"/>
        <v>609.31550211757451</v>
      </c>
      <c r="AN35" s="84">
        <f t="shared" si="18"/>
        <v>460743.58782615559</v>
      </c>
      <c r="AO35" s="564">
        <v>86</v>
      </c>
      <c r="AP35" s="82">
        <f t="shared" si="19"/>
        <v>104.17720314535072</v>
      </c>
      <c r="AQ35" s="84">
        <f t="shared" si="20"/>
        <v>405889.73455705005</v>
      </c>
      <c r="AR35" s="564">
        <v>98</v>
      </c>
      <c r="AS35" s="82">
        <f t="shared" si="21"/>
        <v>118.71355707260896</v>
      </c>
      <c r="AT35" s="84">
        <f t="shared" si="22"/>
        <v>327098.97464455827</v>
      </c>
      <c r="AU35" s="81">
        <f t="shared" si="33"/>
        <v>18868239.492312115</v>
      </c>
      <c r="AV35" s="620">
        <f>INDEX('2021-22 Baseline'!$J$9:$J$158,MATCH(C35,'2021-22 Baseline'!$C$9:$C$158,0))</f>
        <v>16552475.513875857</v>
      </c>
      <c r="AW35" s="623">
        <v>27115.775999999969</v>
      </c>
      <c r="AX35" s="620">
        <f t="shared" si="34"/>
        <v>610.43709440127679</v>
      </c>
      <c r="AY35" s="620">
        <f t="shared" si="35"/>
        <v>659.27206195337897</v>
      </c>
      <c r="AZ35" s="620">
        <f t="shared" si="36"/>
        <v>698.34353492332707</v>
      </c>
      <c r="BA35" s="620">
        <f t="shared" si="23"/>
        <v>698.34353492332707</v>
      </c>
      <c r="BB35" s="624">
        <f t="shared" si="37"/>
        <v>0</v>
      </c>
      <c r="BC35" s="620">
        <f t="shared" si="47"/>
        <v>0</v>
      </c>
      <c r="BD35" s="81">
        <f t="shared" si="25"/>
        <v>0</v>
      </c>
      <c r="BE35" s="81">
        <f t="shared" si="38"/>
        <v>18868239.492312115</v>
      </c>
      <c r="BF35" s="588">
        <f>INDEX('AP Funding Factor'!$I$9:$I$158,MATCH(C35,'AP Funding Factor'!$C$9:$C$158,0))</f>
        <v>2516466.3534769979</v>
      </c>
      <c r="BG35" s="290">
        <f>INDEX('Import|Export Adjustments Data'!$Q$9:$Q$159,MATCH($C35,'Import|Export Adjustments Data'!$C$9:$C$159,0))</f>
        <v>147</v>
      </c>
      <c r="BH35" s="289">
        <v>0</v>
      </c>
      <c r="BI35" s="81">
        <f t="shared" si="46"/>
        <v>882000</v>
      </c>
      <c r="BJ35" s="86">
        <f t="shared" si="26"/>
        <v>23181187.87135293</v>
      </c>
      <c r="BK35" s="620">
        <f t="shared" si="27"/>
        <v>610.43709440127679</v>
      </c>
      <c r="BL35" s="620">
        <f t="shared" si="28"/>
        <v>698.34353492332707</v>
      </c>
      <c r="BM35" s="620">
        <f t="shared" si="40"/>
        <v>677.58517478541728</v>
      </c>
      <c r="BN35" s="620">
        <f t="shared" si="29"/>
        <v>18307378.410390951</v>
      </c>
      <c r="BO35" s="281">
        <f t="shared" si="41"/>
        <v>0.1100000000000001</v>
      </c>
      <c r="BP35" s="81">
        <f t="shared" si="42"/>
        <v>21738326.789431766</v>
      </c>
      <c r="BQ35" s="81">
        <f t="shared" si="43"/>
        <v>22620326.789431766</v>
      </c>
      <c r="BS35" s="599"/>
      <c r="BT35" s="601"/>
    </row>
    <row r="36" spans="1:72" ht="15.4" x14ac:dyDescent="0.45">
      <c r="A36" s="76"/>
      <c r="B36" s="77" t="s">
        <v>109</v>
      </c>
      <c r="C36" s="288">
        <v>208</v>
      </c>
      <c r="D36" s="78" t="s">
        <v>116</v>
      </c>
      <c r="E36" s="87">
        <v>1.21136282727152</v>
      </c>
      <c r="F36" s="327">
        <f t="shared" si="30"/>
        <v>5644.9507750852836</v>
      </c>
      <c r="G36" s="290">
        <v>699.5</v>
      </c>
      <c r="H36" s="81">
        <f t="shared" si="31"/>
        <v>3948643.0671721557</v>
      </c>
      <c r="I36" s="597">
        <f>INDEX('Historic Spend Factor'!$U$9:$U$159, MATCH(C36, 'Historic Spend Factor'!$C$9:$C$159, 0))</f>
        <v>20721302.547115784</v>
      </c>
      <c r="J36" s="80">
        <v>58055.52899999993</v>
      </c>
      <c r="K36" s="82">
        <f t="shared" si="0"/>
        <v>70326.30974818363</v>
      </c>
      <c r="L36" s="81">
        <f t="shared" si="44"/>
        <v>14309968.738390595</v>
      </c>
      <c r="M36" s="80">
        <v>12387.5</v>
      </c>
      <c r="N36" s="82">
        <f t="shared" si="1"/>
        <v>15005.757022825954</v>
      </c>
      <c r="O36" s="81">
        <f t="shared" si="32"/>
        <v>3820192.5493468512</v>
      </c>
      <c r="P36" s="80">
        <v>9447</v>
      </c>
      <c r="Q36" s="82">
        <f t="shared" si="2"/>
        <v>11443.74462923405</v>
      </c>
      <c r="R36" s="84">
        <f t="shared" si="3"/>
        <v>702716.55731896951</v>
      </c>
      <c r="S36" s="80">
        <v>10485</v>
      </c>
      <c r="T36" s="82">
        <f t="shared" si="4"/>
        <v>12701.139243941887</v>
      </c>
      <c r="U36" s="84">
        <f t="shared" si="5"/>
        <v>1029511.27815884</v>
      </c>
      <c r="V36" s="80">
        <v>8674</v>
      </c>
      <c r="W36" s="82">
        <f t="shared" si="6"/>
        <v>10507.361163753165</v>
      </c>
      <c r="X36" s="84">
        <f t="shared" si="7"/>
        <v>1164778.8099019642</v>
      </c>
      <c r="Y36" s="80">
        <v>9987</v>
      </c>
      <c r="Z36" s="82">
        <f t="shared" si="8"/>
        <v>12097.88055596067</v>
      </c>
      <c r="AA36" s="84">
        <f t="shared" si="9"/>
        <v>1423060.6625009947</v>
      </c>
      <c r="AB36" s="80">
        <v>2581</v>
      </c>
      <c r="AC36" s="82">
        <f t="shared" si="10"/>
        <v>3126.5274571877931</v>
      </c>
      <c r="AD36" s="84">
        <f t="shared" si="11"/>
        <v>408786.16144431999</v>
      </c>
      <c r="AE36" s="80">
        <v>347</v>
      </c>
      <c r="AF36" s="82">
        <f t="shared" si="12"/>
        <v>420.34290106321743</v>
      </c>
      <c r="AG36" s="84">
        <f t="shared" si="13"/>
        <v>72532.280178457746</v>
      </c>
      <c r="AH36" s="81">
        <f t="shared" si="14"/>
        <v>4801385.7495035464</v>
      </c>
      <c r="AI36" s="80">
        <v>490</v>
      </c>
      <c r="AJ36" s="82">
        <f t="shared" si="15"/>
        <v>593.56778536304478</v>
      </c>
      <c r="AK36" s="84">
        <f t="shared" si="16"/>
        <v>3257256.3171893423</v>
      </c>
      <c r="AL36" s="80">
        <v>2061</v>
      </c>
      <c r="AM36" s="82">
        <f t="shared" si="17"/>
        <v>2496.6187870066028</v>
      </c>
      <c r="AN36" s="84">
        <f t="shared" si="18"/>
        <v>1887857.9214904709</v>
      </c>
      <c r="AO36" s="564">
        <v>472</v>
      </c>
      <c r="AP36" s="82">
        <f t="shared" si="19"/>
        <v>571.76325447215743</v>
      </c>
      <c r="AQ36" s="84">
        <f t="shared" si="20"/>
        <v>2227673.8919875305</v>
      </c>
      <c r="AR36" s="564">
        <v>546</v>
      </c>
      <c r="AS36" s="82">
        <f t="shared" si="21"/>
        <v>661.40410369024994</v>
      </c>
      <c r="AT36" s="84">
        <f t="shared" si="22"/>
        <v>1822408.5730196815</v>
      </c>
      <c r="AU36" s="81">
        <f t="shared" si="33"/>
        <v>52848046.288043804</v>
      </c>
      <c r="AV36" s="620">
        <f>INDEX('2021-22 Baseline'!$J$9:$J$158,MATCH(C36,'2021-22 Baseline'!$C$9:$C$158,0))</f>
        <v>48168644.399610505</v>
      </c>
      <c r="AW36" s="623">
        <v>58036.515999999981</v>
      </c>
      <c r="AX36" s="620">
        <f t="shared" si="34"/>
        <v>829.97133045702674</v>
      </c>
      <c r="AY36" s="620">
        <f t="shared" si="35"/>
        <v>896.36903689358894</v>
      </c>
      <c r="AZ36" s="620">
        <f t="shared" si="36"/>
        <v>910.30169216172101</v>
      </c>
      <c r="BA36" s="620">
        <f t="shared" si="23"/>
        <v>910.30169216172101</v>
      </c>
      <c r="BB36" s="624">
        <f t="shared" si="37"/>
        <v>0</v>
      </c>
      <c r="BC36" s="620">
        <f t="shared" si="47"/>
        <v>0</v>
      </c>
      <c r="BD36" s="81">
        <f t="shared" si="25"/>
        <v>0</v>
      </c>
      <c r="BE36" s="81">
        <f t="shared" si="38"/>
        <v>52848046.288043804</v>
      </c>
      <c r="BF36" s="588">
        <f>INDEX('AP Funding Factor'!$I$9:$I$158,MATCH(C36,'AP Funding Factor'!$C$9:$C$158,0))</f>
        <v>123939.14875731403</v>
      </c>
      <c r="BG36" s="290">
        <f>INDEX('Import|Export Adjustments Data'!$Q$9:$Q$159,MATCH($C36,'Import|Export Adjustments Data'!$C$9:$C$159,0))</f>
        <v>-167</v>
      </c>
      <c r="BH36" s="289">
        <v>153905</v>
      </c>
      <c r="BI36" s="81">
        <f t="shared" si="46"/>
        <v>-848095</v>
      </c>
      <c r="BJ36" s="86">
        <f t="shared" si="26"/>
        <v>56072533.503973275</v>
      </c>
      <c r="BK36" s="620">
        <f t="shared" si="27"/>
        <v>829.97133045702674</v>
      </c>
      <c r="BL36" s="620">
        <f t="shared" si="28"/>
        <v>910.30169216172101</v>
      </c>
      <c r="BM36" s="620">
        <f t="shared" si="40"/>
        <v>910.30169216172101</v>
      </c>
      <c r="BN36" s="620">
        <f t="shared" si="29"/>
        <v>52848046.288043804</v>
      </c>
      <c r="BO36" s="281">
        <f t="shared" si="41"/>
        <v>9.6786911495436945E-2</v>
      </c>
      <c r="BP36" s="81">
        <f t="shared" si="42"/>
        <v>56920628.503973275</v>
      </c>
      <c r="BQ36" s="81">
        <f t="shared" si="43"/>
        <v>56072533.503973275</v>
      </c>
      <c r="BS36" s="599"/>
      <c r="BT36" s="601"/>
    </row>
    <row r="37" spans="1:72" ht="15.4" x14ac:dyDescent="0.45">
      <c r="A37" s="76"/>
      <c r="B37" s="77" t="s">
        <v>109</v>
      </c>
      <c r="C37" s="288">
        <v>209</v>
      </c>
      <c r="D37" s="78" t="s">
        <v>117</v>
      </c>
      <c r="E37" s="87">
        <v>1.21136282727152</v>
      </c>
      <c r="F37" s="327">
        <f t="shared" si="30"/>
        <v>5644.9507750852836</v>
      </c>
      <c r="G37" s="290">
        <v>929.5</v>
      </c>
      <c r="H37" s="81">
        <f t="shared" si="31"/>
        <v>5246981.7454417711</v>
      </c>
      <c r="I37" s="597">
        <f>INDEX('Historic Spend Factor'!$U$9:$U$159, MATCH(C37, 'Historic Spend Factor'!$C$9:$C$159, 0))</f>
        <v>24554064.326745626</v>
      </c>
      <c r="J37" s="80">
        <v>63254.111999999979</v>
      </c>
      <c r="K37" s="82">
        <f t="shared" si="0"/>
        <v>76623.67994886935</v>
      </c>
      <c r="L37" s="81">
        <f t="shared" si="44"/>
        <v>15591355.050690489</v>
      </c>
      <c r="M37" s="80">
        <v>11054</v>
      </c>
      <c r="N37" s="82">
        <f t="shared" si="1"/>
        <v>13390.404692659382</v>
      </c>
      <c r="O37" s="81">
        <f t="shared" si="32"/>
        <v>3408953.2545291698</v>
      </c>
      <c r="P37" s="80">
        <v>13844</v>
      </c>
      <c r="Q37" s="82">
        <f t="shared" si="2"/>
        <v>16770.106980746921</v>
      </c>
      <c r="R37" s="84">
        <f t="shared" si="3"/>
        <v>1029788.0829389025</v>
      </c>
      <c r="S37" s="80">
        <v>16122</v>
      </c>
      <c r="T37" s="82">
        <f t="shared" si="4"/>
        <v>19529.591501271447</v>
      </c>
      <c r="U37" s="84">
        <f t="shared" si="5"/>
        <v>1583002.4631832924</v>
      </c>
      <c r="V37" s="80">
        <v>8315</v>
      </c>
      <c r="W37" s="82">
        <f t="shared" si="6"/>
        <v>10072.481908762689</v>
      </c>
      <c r="X37" s="84">
        <f t="shared" si="7"/>
        <v>1116570.8789871838</v>
      </c>
      <c r="Y37" s="80">
        <v>5543</v>
      </c>
      <c r="Z37" s="82">
        <f t="shared" si="8"/>
        <v>6714.584151566035</v>
      </c>
      <c r="AA37" s="84">
        <f t="shared" si="9"/>
        <v>789829.30331861554</v>
      </c>
      <c r="AB37" s="80">
        <v>5086</v>
      </c>
      <c r="AC37" s="82">
        <f t="shared" si="10"/>
        <v>6160.9913395029507</v>
      </c>
      <c r="AD37" s="84">
        <f t="shared" si="11"/>
        <v>805535.2255349909</v>
      </c>
      <c r="AE37" s="80">
        <v>0</v>
      </c>
      <c r="AF37" s="82">
        <f t="shared" si="12"/>
        <v>0</v>
      </c>
      <c r="AG37" s="84">
        <f t="shared" si="13"/>
        <v>0</v>
      </c>
      <c r="AH37" s="81">
        <f t="shared" si="14"/>
        <v>5324725.9539629854</v>
      </c>
      <c r="AI37" s="80">
        <v>442</v>
      </c>
      <c r="AJ37" s="82">
        <f t="shared" si="15"/>
        <v>535.42236965401185</v>
      </c>
      <c r="AK37" s="84">
        <f t="shared" si="16"/>
        <v>2938178.1473422232</v>
      </c>
      <c r="AL37" s="80">
        <v>2615</v>
      </c>
      <c r="AM37" s="82">
        <f t="shared" si="17"/>
        <v>3167.7137933150248</v>
      </c>
      <c r="AN37" s="84">
        <f t="shared" si="18"/>
        <v>2395317.0619590399</v>
      </c>
      <c r="AO37" s="564">
        <v>557</v>
      </c>
      <c r="AP37" s="82">
        <f t="shared" si="19"/>
        <v>674.72909479023667</v>
      </c>
      <c r="AQ37" s="84">
        <f t="shared" si="20"/>
        <v>2628843.9784683362</v>
      </c>
      <c r="AR37" s="564">
        <v>673</v>
      </c>
      <c r="AS37" s="82">
        <f t="shared" si="21"/>
        <v>815.247182753733</v>
      </c>
      <c r="AT37" s="84">
        <f t="shared" si="22"/>
        <v>2246302.1422019154</v>
      </c>
      <c r="AU37" s="81">
        <f t="shared" si="33"/>
        <v>59087739.915899791</v>
      </c>
      <c r="AV37" s="620">
        <f>INDEX('2021-22 Baseline'!$J$9:$J$158,MATCH(C37,'2021-22 Baseline'!$C$9:$C$158,0))</f>
        <v>59005483.637698501</v>
      </c>
      <c r="AW37" s="623">
        <v>63146.362999999954</v>
      </c>
      <c r="AX37" s="620">
        <f t="shared" si="34"/>
        <v>934.42410353385742</v>
      </c>
      <c r="AY37" s="620">
        <f t="shared" si="35"/>
        <v>1009.1780318165661</v>
      </c>
      <c r="AZ37" s="620">
        <f t="shared" si="36"/>
        <v>934.13278674910191</v>
      </c>
      <c r="BA37" s="620">
        <f t="shared" si="23"/>
        <v>1009.1780318165661</v>
      </c>
      <c r="BB37" s="624">
        <f t="shared" si="37"/>
        <v>4746920.3365648249</v>
      </c>
      <c r="BC37" s="620">
        <f t="shared" si="47"/>
        <v>0</v>
      </c>
      <c r="BD37" s="81">
        <f t="shared" si="25"/>
        <v>4746920.3365648249</v>
      </c>
      <c r="BE37" s="81">
        <f t="shared" si="38"/>
        <v>63834660.252464615</v>
      </c>
      <c r="BF37" s="588">
        <f>INDEX('AP Funding Factor'!$I$9:$I$158,MATCH(C37,'AP Funding Factor'!$C$9:$C$158,0))</f>
        <v>386813.37220134353</v>
      </c>
      <c r="BG37" s="290">
        <f>INDEX('Import|Export Adjustments Data'!$Q$9:$Q$159,MATCH($C37,'Import|Export Adjustments Data'!$C$9:$C$159,0))</f>
        <v>-413.5</v>
      </c>
      <c r="BH37" s="289">
        <v>6000</v>
      </c>
      <c r="BI37" s="81">
        <f t="shared" si="46"/>
        <v>-2475000</v>
      </c>
      <c r="BJ37" s="86">
        <f t="shared" si="26"/>
        <v>66993455.370107725</v>
      </c>
      <c r="BK37" s="620">
        <f t="shared" si="27"/>
        <v>934.42410353385742</v>
      </c>
      <c r="BL37" s="620">
        <f t="shared" si="28"/>
        <v>1009.1780318165661</v>
      </c>
      <c r="BM37" s="620">
        <f t="shared" si="40"/>
        <v>1009.1780318165661</v>
      </c>
      <c r="BN37" s="620">
        <f t="shared" si="29"/>
        <v>63834660.252464615</v>
      </c>
      <c r="BO37" s="281">
        <f t="shared" si="41"/>
        <v>8.0000000000000071E-2</v>
      </c>
      <c r="BP37" s="81">
        <f t="shared" si="42"/>
        <v>69468455.370107725</v>
      </c>
      <c r="BQ37" s="81">
        <f t="shared" si="43"/>
        <v>66993455.370107725</v>
      </c>
      <c r="BS37" s="599"/>
      <c r="BT37" s="601"/>
    </row>
    <row r="38" spans="1:72" ht="15.4" x14ac:dyDescent="0.45">
      <c r="A38" s="76"/>
      <c r="B38" s="77" t="s">
        <v>109</v>
      </c>
      <c r="C38" s="288">
        <v>316</v>
      </c>
      <c r="D38" s="78" t="s">
        <v>118</v>
      </c>
      <c r="E38" s="87">
        <v>1.1270590386057799</v>
      </c>
      <c r="F38" s="327">
        <f t="shared" si="30"/>
        <v>5252.0951199029341</v>
      </c>
      <c r="G38" s="290">
        <v>196</v>
      </c>
      <c r="H38" s="81">
        <f t="shared" si="31"/>
        <v>1029410.6435009751</v>
      </c>
      <c r="I38" s="597">
        <f>INDEX('Historic Spend Factor'!$U$9:$U$159, MATCH(C38, 'Historic Spend Factor'!$C$9:$C$159, 0))</f>
        <v>22718357.226461779</v>
      </c>
      <c r="J38" s="80">
        <v>80616.332000000009</v>
      </c>
      <c r="K38" s="82">
        <f t="shared" si="0"/>
        <v>90859.365639844385</v>
      </c>
      <c r="L38" s="81">
        <f t="shared" si="44"/>
        <v>18488026.551538981</v>
      </c>
      <c r="M38" s="80">
        <v>17507.5</v>
      </c>
      <c r="N38" s="82">
        <f t="shared" si="1"/>
        <v>19731.986118390691</v>
      </c>
      <c r="O38" s="81">
        <f t="shared" si="32"/>
        <v>5023404.4332870124</v>
      </c>
      <c r="P38" s="80">
        <v>19281</v>
      </c>
      <c r="Q38" s="82">
        <f t="shared" si="2"/>
        <v>21730.825323358044</v>
      </c>
      <c r="R38" s="84">
        <f t="shared" si="3"/>
        <v>1334406.8094564022</v>
      </c>
      <c r="S38" s="80">
        <v>20788</v>
      </c>
      <c r="T38" s="82">
        <f t="shared" si="4"/>
        <v>23429.303294536952</v>
      </c>
      <c r="U38" s="84">
        <f t="shared" si="5"/>
        <v>1899099.8774094081</v>
      </c>
      <c r="V38" s="80">
        <v>7712</v>
      </c>
      <c r="W38" s="82">
        <f t="shared" si="6"/>
        <v>8691.8793057277744</v>
      </c>
      <c r="X38" s="84">
        <f t="shared" si="7"/>
        <v>963526.11048165732</v>
      </c>
      <c r="Y38" s="80">
        <v>3430</v>
      </c>
      <c r="Z38" s="82">
        <f t="shared" si="8"/>
        <v>3865.8125024178253</v>
      </c>
      <c r="AA38" s="84">
        <f t="shared" si="9"/>
        <v>454731.3618570019</v>
      </c>
      <c r="AB38" s="80">
        <v>0</v>
      </c>
      <c r="AC38" s="82">
        <f t="shared" si="10"/>
        <v>0</v>
      </c>
      <c r="AD38" s="84">
        <f t="shared" si="11"/>
        <v>0</v>
      </c>
      <c r="AE38" s="80">
        <v>0</v>
      </c>
      <c r="AF38" s="82">
        <f t="shared" si="12"/>
        <v>0</v>
      </c>
      <c r="AG38" s="84">
        <f t="shared" si="13"/>
        <v>0</v>
      </c>
      <c r="AH38" s="81">
        <f t="shared" si="14"/>
        <v>4651764.15920447</v>
      </c>
      <c r="AI38" s="80">
        <v>708</v>
      </c>
      <c r="AJ38" s="82">
        <f t="shared" si="15"/>
        <v>797.95779933289225</v>
      </c>
      <c r="AK38" s="84">
        <f t="shared" si="16"/>
        <v>4378864.8016634611</v>
      </c>
      <c r="AL38" s="80">
        <v>2697</v>
      </c>
      <c r="AM38" s="82">
        <f t="shared" si="17"/>
        <v>3039.6782271197885</v>
      </c>
      <c r="AN38" s="84">
        <f t="shared" si="18"/>
        <v>2298500.936432722</v>
      </c>
      <c r="AO38" s="564">
        <v>673</v>
      </c>
      <c r="AP38" s="82">
        <f t="shared" si="19"/>
        <v>758.5107329816899</v>
      </c>
      <c r="AQ38" s="84">
        <f t="shared" si="20"/>
        <v>2955269.5865626289</v>
      </c>
      <c r="AR38" s="564">
        <v>804</v>
      </c>
      <c r="AS38" s="82">
        <f t="shared" si="21"/>
        <v>906.15546703904704</v>
      </c>
      <c r="AT38" s="84">
        <f t="shared" si="22"/>
        <v>2496787.4895345266</v>
      </c>
      <c r="AU38" s="81">
        <f t="shared" si="33"/>
        <v>63010975.184685566</v>
      </c>
      <c r="AV38" s="620">
        <f>INDEX('2021-22 Baseline'!$J$9:$J$158,MATCH(C38,'2021-22 Baseline'!$C$9:$C$158,0))</f>
        <v>59316051.453611828</v>
      </c>
      <c r="AW38" s="623">
        <v>80603.065999999992</v>
      </c>
      <c r="AX38" s="620">
        <f t="shared" si="34"/>
        <v>735.90316593678745</v>
      </c>
      <c r="AY38" s="620">
        <f t="shared" si="35"/>
        <v>794.77541921173054</v>
      </c>
      <c r="AZ38" s="620">
        <f t="shared" si="36"/>
        <v>781.61550670260658</v>
      </c>
      <c r="BA38" s="620">
        <f t="shared" si="23"/>
        <v>794.77541921173054</v>
      </c>
      <c r="BB38" s="624">
        <f t="shared" si="37"/>
        <v>1060903.8759264899</v>
      </c>
      <c r="BC38" s="620">
        <f t="shared" si="47"/>
        <v>0</v>
      </c>
      <c r="BD38" s="81">
        <f t="shared" si="25"/>
        <v>1060903.8759264899</v>
      </c>
      <c r="BE38" s="81">
        <f t="shared" si="38"/>
        <v>64071879.060612053</v>
      </c>
      <c r="BF38" s="588">
        <f>INDEX('AP Funding Factor'!$I$9:$I$158,MATCH(C38,'AP Funding Factor'!$C$9:$C$158,0))</f>
        <v>274258.87598062959</v>
      </c>
      <c r="BG38" s="290">
        <f>INDEX('Import|Export Adjustments Data'!$Q$9:$Q$159,MATCH($C38,'Import|Export Adjustments Data'!$C$9:$C$159,0))</f>
        <v>-84</v>
      </c>
      <c r="BH38" s="289">
        <v>6000</v>
      </c>
      <c r="BI38" s="81">
        <f t="shared" si="46"/>
        <v>-498000</v>
      </c>
      <c r="BJ38" s="86">
        <f t="shared" si="26"/>
        <v>64877548.580093659</v>
      </c>
      <c r="BK38" s="620">
        <f t="shared" si="27"/>
        <v>735.90316593678745</v>
      </c>
      <c r="BL38" s="620">
        <f t="shared" si="28"/>
        <v>794.77541921173054</v>
      </c>
      <c r="BM38" s="620">
        <f t="shared" si="40"/>
        <v>794.77541921173054</v>
      </c>
      <c r="BN38" s="620">
        <f t="shared" si="29"/>
        <v>64071879.060612053</v>
      </c>
      <c r="BO38" s="281">
        <f t="shared" si="41"/>
        <v>8.0000000000000071E-2</v>
      </c>
      <c r="BP38" s="81">
        <f t="shared" si="42"/>
        <v>65375548.580093659</v>
      </c>
      <c r="BQ38" s="81">
        <f t="shared" si="43"/>
        <v>64877548.580093659</v>
      </c>
      <c r="BS38" s="599"/>
      <c r="BT38" s="601"/>
    </row>
    <row r="39" spans="1:72" ht="15.4" x14ac:dyDescent="0.45">
      <c r="A39" s="76"/>
      <c r="B39" s="77" t="s">
        <v>109</v>
      </c>
      <c r="C39" s="288">
        <v>210</v>
      </c>
      <c r="D39" s="78" t="s">
        <v>119</v>
      </c>
      <c r="E39" s="87">
        <v>1.21136282727152</v>
      </c>
      <c r="F39" s="327">
        <f t="shared" si="30"/>
        <v>5644.9507750852836</v>
      </c>
      <c r="G39" s="290">
        <v>788.5</v>
      </c>
      <c r="H39" s="81">
        <f t="shared" si="31"/>
        <v>4451043.6861547465</v>
      </c>
      <c r="I39" s="597">
        <f>INDEX('Historic Spend Factor'!$U$9:$U$159, MATCH(C39, 'Historic Spend Factor'!$C$9:$C$159, 0))</f>
        <v>24344827.449474797</v>
      </c>
      <c r="J39" s="80">
        <v>62072.405999999966</v>
      </c>
      <c r="K39" s="82">
        <f t="shared" si="0"/>
        <v>75192.205227705621</v>
      </c>
      <c r="L39" s="81">
        <f t="shared" si="44"/>
        <v>15300079.160017462</v>
      </c>
      <c r="M39" s="80">
        <v>14231</v>
      </c>
      <c r="N39" s="82">
        <f t="shared" si="1"/>
        <v>17238.904394901001</v>
      </c>
      <c r="O39" s="81">
        <f t="shared" si="32"/>
        <v>4388711.2145110024</v>
      </c>
      <c r="P39" s="80">
        <v>3565</v>
      </c>
      <c r="Q39" s="82">
        <f t="shared" si="2"/>
        <v>4318.5084792229691</v>
      </c>
      <c r="R39" s="84">
        <f t="shared" si="3"/>
        <v>265183.07683308207</v>
      </c>
      <c r="S39" s="80">
        <v>16581</v>
      </c>
      <c r="T39" s="82">
        <f t="shared" si="4"/>
        <v>20085.607038989074</v>
      </c>
      <c r="U39" s="84">
        <f t="shared" si="5"/>
        <v>1628071.1972486149</v>
      </c>
      <c r="V39" s="80">
        <v>11289</v>
      </c>
      <c r="W39" s="82">
        <f t="shared" si="6"/>
        <v>13675.074957068189</v>
      </c>
      <c r="X39" s="84">
        <f t="shared" si="7"/>
        <v>1515931.2871781499</v>
      </c>
      <c r="Y39" s="80">
        <v>9095</v>
      </c>
      <c r="Z39" s="82">
        <f t="shared" si="8"/>
        <v>11017.344914034475</v>
      </c>
      <c r="AA39" s="84">
        <f t="shared" si="9"/>
        <v>1295958.4184886902</v>
      </c>
      <c r="AB39" s="80">
        <v>3160</v>
      </c>
      <c r="AC39" s="82">
        <f t="shared" si="10"/>
        <v>3827.9065341780033</v>
      </c>
      <c r="AD39" s="84">
        <f t="shared" si="11"/>
        <v>500489.83733593614</v>
      </c>
      <c r="AE39" s="80">
        <v>1168</v>
      </c>
      <c r="AF39" s="82">
        <f t="shared" si="12"/>
        <v>1414.8717822531353</v>
      </c>
      <c r="AG39" s="84">
        <f t="shared" si="13"/>
        <v>244143.2370272007</v>
      </c>
      <c r="AH39" s="81">
        <f t="shared" si="14"/>
        <v>5449777.0541116744</v>
      </c>
      <c r="AI39" s="80">
        <v>436</v>
      </c>
      <c r="AJ39" s="82">
        <f t="shared" si="15"/>
        <v>528.15419269038273</v>
      </c>
      <c r="AK39" s="84">
        <f t="shared" si="16"/>
        <v>2898293.3761113337</v>
      </c>
      <c r="AL39" s="80">
        <v>2320</v>
      </c>
      <c r="AM39" s="82">
        <f t="shared" si="17"/>
        <v>2810.3617592699266</v>
      </c>
      <c r="AN39" s="84">
        <f t="shared" si="18"/>
        <v>2125099.6496156687</v>
      </c>
      <c r="AO39" s="564">
        <v>487</v>
      </c>
      <c r="AP39" s="82">
        <f t="shared" si="19"/>
        <v>589.93369688123028</v>
      </c>
      <c r="AQ39" s="84">
        <f t="shared" si="20"/>
        <v>2298468.6131312023</v>
      </c>
      <c r="AR39" s="564">
        <v>481</v>
      </c>
      <c r="AS39" s="82">
        <f t="shared" si="21"/>
        <v>582.66551991760116</v>
      </c>
      <c r="AT39" s="84">
        <f t="shared" si="22"/>
        <v>1605455.1714697198</v>
      </c>
      <c r="AU39" s="81">
        <f t="shared" si="33"/>
        <v>58410711.688442856</v>
      </c>
      <c r="AV39" s="620">
        <f>INDEX('2021-22 Baseline'!$J$9:$J$158,MATCH(C39,'2021-22 Baseline'!$C$9:$C$158,0))</f>
        <v>49380134.801244617</v>
      </c>
      <c r="AW39" s="623">
        <v>61663.480999999978</v>
      </c>
      <c r="AX39" s="620">
        <f t="shared" si="34"/>
        <v>800.80031163411991</v>
      </c>
      <c r="AY39" s="620">
        <f t="shared" si="35"/>
        <v>864.86433656484951</v>
      </c>
      <c r="AZ39" s="620">
        <f t="shared" si="36"/>
        <v>941.00930594575129</v>
      </c>
      <c r="BA39" s="620">
        <f t="shared" si="23"/>
        <v>941.00930594575129</v>
      </c>
      <c r="BB39" s="624">
        <f t="shared" si="37"/>
        <v>0</v>
      </c>
      <c r="BC39" s="620">
        <f t="shared" si="47"/>
        <v>0</v>
      </c>
      <c r="BD39" s="81">
        <f t="shared" si="25"/>
        <v>0</v>
      </c>
      <c r="BE39" s="81">
        <f t="shared" si="38"/>
        <v>58410711.688442856</v>
      </c>
      <c r="BF39" s="588">
        <f>INDEX('AP Funding Factor'!$I$9:$I$158,MATCH(C39,'AP Funding Factor'!$C$9:$C$158,0))</f>
        <v>3462450.2887056484</v>
      </c>
      <c r="BG39" s="290">
        <f>INDEX('Import|Export Adjustments Data'!$Q$9:$Q$159,MATCH($C39,'Import|Export Adjustments Data'!$C$9:$C$159,0))</f>
        <v>-313</v>
      </c>
      <c r="BH39" s="289">
        <v>396599</v>
      </c>
      <c r="BI39" s="81">
        <f t="shared" si="46"/>
        <v>-1481401</v>
      </c>
      <c r="BJ39" s="86">
        <f t="shared" si="26"/>
        <v>64842804.663303249</v>
      </c>
      <c r="BK39" s="620">
        <f t="shared" si="27"/>
        <v>800.80031163411991</v>
      </c>
      <c r="BL39" s="620">
        <f t="shared" si="28"/>
        <v>941.00930594575129</v>
      </c>
      <c r="BM39" s="620">
        <f t="shared" si="40"/>
        <v>888.8883459138732</v>
      </c>
      <c r="BN39" s="620">
        <f t="shared" si="29"/>
        <v>55175438.296234347</v>
      </c>
      <c r="BO39" s="281">
        <f t="shared" si="41"/>
        <v>0.1100000000000001</v>
      </c>
      <c r="BP39" s="81">
        <f t="shared" si="42"/>
        <v>63088932.271094739</v>
      </c>
      <c r="BQ39" s="81">
        <f t="shared" si="43"/>
        <v>61607531.271094739</v>
      </c>
      <c r="BS39" s="599"/>
      <c r="BT39" s="601"/>
    </row>
    <row r="40" spans="1:72" ht="15.4" x14ac:dyDescent="0.45">
      <c r="A40" s="76"/>
      <c r="B40" s="77" t="s">
        <v>109</v>
      </c>
      <c r="C40" s="288">
        <v>211</v>
      </c>
      <c r="D40" s="78" t="s">
        <v>120</v>
      </c>
      <c r="E40" s="87">
        <v>1.21136282727152</v>
      </c>
      <c r="F40" s="327">
        <f t="shared" si="30"/>
        <v>5644.9507750852836</v>
      </c>
      <c r="G40" s="290">
        <v>769</v>
      </c>
      <c r="H40" s="81">
        <f t="shared" si="31"/>
        <v>4340967.146040583</v>
      </c>
      <c r="I40" s="597">
        <f>INDEX('Historic Spend Factor'!$U$9:$U$159, MATCH(C40, 'Historic Spend Factor'!$C$9:$C$159, 0))</f>
        <v>21317596.194486644</v>
      </c>
      <c r="J40" s="80">
        <v>71417.390999999989</v>
      </c>
      <c r="K40" s="82">
        <f t="shared" si="0"/>
        <v>86512.3726781156</v>
      </c>
      <c r="L40" s="81">
        <f t="shared" si="44"/>
        <v>17603502.20195942</v>
      </c>
      <c r="M40" s="80">
        <v>18059</v>
      </c>
      <c r="N40" s="82">
        <f t="shared" si="1"/>
        <v>21876.001297696381</v>
      </c>
      <c r="O40" s="81">
        <f t="shared" si="32"/>
        <v>5569231.6648762701</v>
      </c>
      <c r="P40" s="80">
        <v>4650</v>
      </c>
      <c r="Q40" s="82">
        <f t="shared" si="2"/>
        <v>5632.8371468125679</v>
      </c>
      <c r="R40" s="84">
        <f t="shared" si="3"/>
        <v>345890.96978228091</v>
      </c>
      <c r="S40" s="80">
        <v>26724</v>
      </c>
      <c r="T40" s="82">
        <f t="shared" si="4"/>
        <v>32372.4601960041</v>
      </c>
      <c r="U40" s="84">
        <f t="shared" si="5"/>
        <v>2624001.8500254499</v>
      </c>
      <c r="V40" s="80">
        <v>12196</v>
      </c>
      <c r="W40" s="82">
        <f t="shared" si="6"/>
        <v>14773.781041403457</v>
      </c>
      <c r="X40" s="84">
        <f t="shared" si="7"/>
        <v>1637726.8118012859</v>
      </c>
      <c r="Y40" s="80">
        <v>15107</v>
      </c>
      <c r="Z40" s="82">
        <f t="shared" si="8"/>
        <v>18300.058231590854</v>
      </c>
      <c r="AA40" s="84">
        <f t="shared" si="9"/>
        <v>2152616.1438272283</v>
      </c>
      <c r="AB40" s="80">
        <v>2731</v>
      </c>
      <c r="AC40" s="82">
        <f t="shared" si="10"/>
        <v>3308.2318812785211</v>
      </c>
      <c r="AD40" s="84">
        <f t="shared" si="11"/>
        <v>432543.59043178533</v>
      </c>
      <c r="AE40" s="80">
        <v>0</v>
      </c>
      <c r="AF40" s="82">
        <f t="shared" si="12"/>
        <v>0</v>
      </c>
      <c r="AG40" s="84">
        <f t="shared" si="13"/>
        <v>0</v>
      </c>
      <c r="AH40" s="81">
        <f t="shared" si="14"/>
        <v>7192779.3658680301</v>
      </c>
      <c r="AI40" s="80">
        <v>652</v>
      </c>
      <c r="AJ40" s="82">
        <f t="shared" si="15"/>
        <v>789.80856338103104</v>
      </c>
      <c r="AK40" s="84">
        <f t="shared" si="16"/>
        <v>4334145.1404233696</v>
      </c>
      <c r="AL40" s="80">
        <v>2532</v>
      </c>
      <c r="AM40" s="82">
        <f t="shared" si="17"/>
        <v>3067.1706786514887</v>
      </c>
      <c r="AN40" s="84">
        <f t="shared" si="18"/>
        <v>2319289.7900115829</v>
      </c>
      <c r="AO40" s="564">
        <v>498</v>
      </c>
      <c r="AP40" s="82">
        <f t="shared" si="19"/>
        <v>603.25868798121701</v>
      </c>
      <c r="AQ40" s="84">
        <f t="shared" si="20"/>
        <v>2350384.7419698946</v>
      </c>
      <c r="AR40" s="564">
        <v>493</v>
      </c>
      <c r="AS40" s="82">
        <f t="shared" si="21"/>
        <v>597.20187384485939</v>
      </c>
      <c r="AT40" s="84">
        <f t="shared" si="22"/>
        <v>1645508.1071404819</v>
      </c>
      <c r="AU40" s="81">
        <f t="shared" si="33"/>
        <v>62332437.2067357</v>
      </c>
      <c r="AV40" s="620">
        <f>INDEX('2021-22 Baseline'!$J$9:$J$158,MATCH(C40,'2021-22 Baseline'!$C$9:$C$158,0))</f>
        <v>58302454.307157241</v>
      </c>
      <c r="AW40" s="623">
        <v>70286.932999999975</v>
      </c>
      <c r="AX40" s="620">
        <f t="shared" si="34"/>
        <v>829.49208079910477</v>
      </c>
      <c r="AY40" s="620">
        <f t="shared" si="35"/>
        <v>895.85144726303326</v>
      </c>
      <c r="AZ40" s="620">
        <f t="shared" si="36"/>
        <v>872.79073533693929</v>
      </c>
      <c r="BA40" s="620">
        <f t="shared" si="23"/>
        <v>895.85144726303326</v>
      </c>
      <c r="BB40" s="624">
        <f t="shared" si="37"/>
        <v>1646935.8803642162</v>
      </c>
      <c r="BC40" s="620">
        <f t="shared" si="47"/>
        <v>0</v>
      </c>
      <c r="BD40" s="81">
        <f t="shared" si="25"/>
        <v>1646935.8803642162</v>
      </c>
      <c r="BE40" s="81">
        <f t="shared" si="38"/>
        <v>63979373.087099917</v>
      </c>
      <c r="BF40" s="588">
        <f>INDEX('AP Funding Factor'!$I$9:$I$158,MATCH(C40,'AP Funding Factor'!$C$9:$C$158,0))</f>
        <v>815293.9837714287</v>
      </c>
      <c r="BG40" s="290">
        <f>INDEX('Import|Export Adjustments Data'!$Q$9:$Q$159,MATCH($C40,'Import|Export Adjustments Data'!$C$9:$C$159,0))</f>
        <v>403</v>
      </c>
      <c r="BH40" s="289">
        <v>0</v>
      </c>
      <c r="BI40" s="81">
        <f t="shared" si="46"/>
        <v>2418000</v>
      </c>
      <c r="BJ40" s="86">
        <f t="shared" si="26"/>
        <v>71553634.216911927</v>
      </c>
      <c r="BK40" s="620">
        <f t="shared" si="27"/>
        <v>829.49208079910477</v>
      </c>
      <c r="BL40" s="620">
        <f t="shared" si="28"/>
        <v>895.85144726303326</v>
      </c>
      <c r="BM40" s="620">
        <f t="shared" si="40"/>
        <v>895.85144726303326</v>
      </c>
      <c r="BN40" s="620">
        <f t="shared" si="29"/>
        <v>63979373.087099917</v>
      </c>
      <c r="BO40" s="281">
        <f t="shared" si="41"/>
        <v>8.0000000000000071E-2</v>
      </c>
      <c r="BP40" s="81">
        <f t="shared" si="42"/>
        <v>69135634.216911927</v>
      </c>
      <c r="BQ40" s="81">
        <f t="shared" si="43"/>
        <v>71553634.216911927</v>
      </c>
      <c r="BS40" s="599"/>
      <c r="BT40" s="601"/>
    </row>
    <row r="41" spans="1:72" ht="15.4" x14ac:dyDescent="0.45">
      <c r="A41" s="76"/>
      <c r="B41" s="77" t="s">
        <v>109</v>
      </c>
      <c r="C41" s="288">
        <v>212</v>
      </c>
      <c r="D41" s="78" t="s">
        <v>121</v>
      </c>
      <c r="E41" s="87">
        <v>1.21136282727152</v>
      </c>
      <c r="F41" s="327">
        <f t="shared" si="30"/>
        <v>5644.9507750852836</v>
      </c>
      <c r="G41" s="290">
        <v>1039.5</v>
      </c>
      <c r="H41" s="81">
        <f t="shared" si="31"/>
        <v>5867926.3307011519</v>
      </c>
      <c r="I41" s="597">
        <f>INDEX('Historic Spend Factor'!$U$9:$U$159, MATCH(C41, 'Historic Spend Factor'!$C$9:$C$159, 0))</f>
        <v>17381893.654634245</v>
      </c>
      <c r="J41" s="80">
        <v>59804.79</v>
      </c>
      <c r="K41" s="82">
        <f t="shared" si="0"/>
        <v>72445.299498779525</v>
      </c>
      <c r="L41" s="81">
        <f t="shared" si="44"/>
        <v>14741139.906003017</v>
      </c>
      <c r="M41" s="80">
        <v>8136</v>
      </c>
      <c r="N41" s="82">
        <f t="shared" si="1"/>
        <v>9855.6479626810869</v>
      </c>
      <c r="O41" s="81">
        <f t="shared" si="32"/>
        <v>2509068.5434095645</v>
      </c>
      <c r="P41" s="80">
        <v>7585</v>
      </c>
      <c r="Q41" s="82">
        <f t="shared" si="2"/>
        <v>9188.1870448544796</v>
      </c>
      <c r="R41" s="84">
        <f t="shared" si="3"/>
        <v>564211.39909647335</v>
      </c>
      <c r="S41" s="80">
        <v>5319</v>
      </c>
      <c r="T41" s="82">
        <f t="shared" si="4"/>
        <v>6443.2388782572152</v>
      </c>
      <c r="U41" s="84">
        <f t="shared" si="5"/>
        <v>522267.09475697385</v>
      </c>
      <c r="V41" s="80">
        <v>3144</v>
      </c>
      <c r="W41" s="82">
        <f t="shared" si="6"/>
        <v>3808.5247289416589</v>
      </c>
      <c r="X41" s="84">
        <f t="shared" si="7"/>
        <v>422188.67631217145</v>
      </c>
      <c r="Y41" s="80">
        <v>5279</v>
      </c>
      <c r="Z41" s="82">
        <f t="shared" si="8"/>
        <v>6394.7843651663543</v>
      </c>
      <c r="AA41" s="84">
        <f t="shared" si="9"/>
        <v>752211.5988127318</v>
      </c>
      <c r="AB41" s="80">
        <v>2685</v>
      </c>
      <c r="AC41" s="82">
        <f t="shared" si="10"/>
        <v>3252.5091912240314</v>
      </c>
      <c r="AD41" s="84">
        <f t="shared" si="11"/>
        <v>425257.97887562931</v>
      </c>
      <c r="AE41" s="80">
        <v>0</v>
      </c>
      <c r="AF41" s="82">
        <f t="shared" si="12"/>
        <v>0</v>
      </c>
      <c r="AG41" s="84">
        <f t="shared" si="13"/>
        <v>0</v>
      </c>
      <c r="AH41" s="81">
        <f t="shared" si="14"/>
        <v>2686136.7478539795</v>
      </c>
      <c r="AI41" s="80">
        <v>351</v>
      </c>
      <c r="AJ41" s="82">
        <f t="shared" si="15"/>
        <v>425.18835237230354</v>
      </c>
      <c r="AK41" s="84">
        <f t="shared" si="16"/>
        <v>2333259.11700706</v>
      </c>
      <c r="AL41" s="80">
        <v>2076</v>
      </c>
      <c r="AM41" s="82">
        <f t="shared" si="17"/>
        <v>2514.7892294156754</v>
      </c>
      <c r="AN41" s="84">
        <f t="shared" si="18"/>
        <v>1901597.78991471</v>
      </c>
      <c r="AO41" s="564">
        <v>358</v>
      </c>
      <c r="AP41" s="82">
        <f t="shared" si="19"/>
        <v>433.66789216320416</v>
      </c>
      <c r="AQ41" s="84">
        <f t="shared" si="20"/>
        <v>1689634.0112956269</v>
      </c>
      <c r="AR41" s="564">
        <v>350</v>
      </c>
      <c r="AS41" s="82">
        <f t="shared" si="21"/>
        <v>423.97698954503198</v>
      </c>
      <c r="AT41" s="84">
        <f t="shared" si="22"/>
        <v>1168210.6237305652</v>
      </c>
      <c r="AU41" s="81">
        <f t="shared" si="33"/>
        <v>44410940.393848769</v>
      </c>
      <c r="AV41" s="620">
        <f>INDEX('2021-22 Baseline'!$J$9:$J$158,MATCH(C41,'2021-22 Baseline'!$C$9:$C$158,0))</f>
        <v>44826707.782656461</v>
      </c>
      <c r="AW41" s="623">
        <v>59350.128999999972</v>
      </c>
      <c r="AX41" s="620">
        <f t="shared" si="34"/>
        <v>755.2925080020716</v>
      </c>
      <c r="AY41" s="620">
        <f t="shared" si="35"/>
        <v>815.71590864223742</v>
      </c>
      <c r="AZ41" s="620">
        <f t="shared" si="36"/>
        <v>742.59838373897423</v>
      </c>
      <c r="BA41" s="620">
        <f t="shared" si="23"/>
        <v>815.71590864223742</v>
      </c>
      <c r="BB41" s="624">
        <f t="shared" si="37"/>
        <v>4372778.2221594257</v>
      </c>
      <c r="BC41" s="620">
        <f t="shared" si="47"/>
        <v>0</v>
      </c>
      <c r="BD41" s="81">
        <f t="shared" si="25"/>
        <v>4372778.2221594257</v>
      </c>
      <c r="BE41" s="81">
        <f t="shared" si="38"/>
        <v>48783718.616008192</v>
      </c>
      <c r="BF41" s="588">
        <f>INDEX('AP Funding Factor'!$I$9:$I$158,MATCH(C41,'AP Funding Factor'!$C$9:$C$158,0))</f>
        <v>1397816.8582325135</v>
      </c>
      <c r="BG41" s="290">
        <f>INDEX('Import|Export Adjustments Data'!$Q$9:$Q$159,MATCH($C41,'Import|Export Adjustments Data'!$C$9:$C$159,0))</f>
        <v>139.5</v>
      </c>
      <c r="BH41" s="289">
        <v>18000</v>
      </c>
      <c r="BI41" s="81">
        <f t="shared" si="46"/>
        <v>855000</v>
      </c>
      <c r="BJ41" s="86">
        <f t="shared" ref="BJ41:BJ72" si="48">H41 + BE41 + BF41 + BI41</f>
        <v>56904461.804941855</v>
      </c>
      <c r="BK41" s="620">
        <f t="shared" si="27"/>
        <v>755.2925080020716</v>
      </c>
      <c r="BL41" s="620">
        <f t="shared" si="28"/>
        <v>815.71590864223742</v>
      </c>
      <c r="BM41" s="620">
        <f t="shared" si="40"/>
        <v>815.71590864223742</v>
      </c>
      <c r="BN41" s="620">
        <f t="shared" si="29"/>
        <v>48783718.616008192</v>
      </c>
      <c r="BO41" s="281">
        <f t="shared" si="41"/>
        <v>8.0000000000000071E-2</v>
      </c>
      <c r="BP41" s="81">
        <f t="shared" si="42"/>
        <v>56049461.804941855</v>
      </c>
      <c r="BQ41" s="81">
        <f t="shared" si="43"/>
        <v>56904461.804941855</v>
      </c>
      <c r="BS41" s="599"/>
      <c r="BT41" s="601"/>
    </row>
    <row r="42" spans="1:72" ht="15.4" x14ac:dyDescent="0.45">
      <c r="A42" s="76"/>
      <c r="B42" s="77" t="s">
        <v>109</v>
      </c>
      <c r="C42" s="288">
        <v>213</v>
      </c>
      <c r="D42" s="78" t="s">
        <v>122</v>
      </c>
      <c r="E42" s="87">
        <v>1.21136282727152</v>
      </c>
      <c r="F42" s="327">
        <f t="shared" si="30"/>
        <v>5644.9507750852836</v>
      </c>
      <c r="G42" s="290">
        <v>278.5</v>
      </c>
      <c r="H42" s="81">
        <f t="shared" ref="H42:H73" si="49">G42*F42</f>
        <v>1572118.7908612515</v>
      </c>
      <c r="I42" s="597">
        <f>INDEX('Historic Spend Factor'!$U$9:$U$159, MATCH(C42, 'Historic Spend Factor'!$C$9:$C$159, 0))</f>
        <v>11039014.009606054</v>
      </c>
      <c r="J42" s="80">
        <v>48971.343999999983</v>
      </c>
      <c r="K42" s="82">
        <f t="shared" ref="K42:K73" si="50">E42*J42</f>
        <v>59322.065723126165</v>
      </c>
      <c r="L42" s="81">
        <f t="shared" si="44"/>
        <v>12070829.665801037</v>
      </c>
      <c r="M42" s="80">
        <v>5791</v>
      </c>
      <c r="N42" s="82">
        <f t="shared" si="1"/>
        <v>7015.0021327293725</v>
      </c>
      <c r="O42" s="81">
        <f t="shared" si="32"/>
        <v>1785891.8307380516</v>
      </c>
      <c r="P42" s="80">
        <v>5158</v>
      </c>
      <c r="Q42" s="82">
        <f t="shared" si="2"/>
        <v>6248.2094630665006</v>
      </c>
      <c r="R42" s="84">
        <f t="shared" si="3"/>
        <v>383678.62841656024</v>
      </c>
      <c r="S42" s="80">
        <v>5717</v>
      </c>
      <c r="T42" s="82">
        <f t="shared" si="4"/>
        <v>6925.3612835112799</v>
      </c>
      <c r="U42" s="84">
        <f t="shared" si="5"/>
        <v>561346.3020728745</v>
      </c>
      <c r="V42" s="80">
        <v>2889</v>
      </c>
      <c r="W42" s="82">
        <f t="shared" si="6"/>
        <v>3499.6272079874211</v>
      </c>
      <c r="X42" s="84">
        <f t="shared" si="7"/>
        <v>387946.27413036366</v>
      </c>
      <c r="Y42" s="80">
        <v>5959</v>
      </c>
      <c r="Z42" s="82">
        <f t="shared" si="8"/>
        <v>7218.5110877109873</v>
      </c>
      <c r="AA42" s="84">
        <f t="shared" si="9"/>
        <v>849105.68617637199</v>
      </c>
      <c r="AB42" s="80">
        <v>3586</v>
      </c>
      <c r="AC42" s="82">
        <f t="shared" si="10"/>
        <v>4343.9470985956705</v>
      </c>
      <c r="AD42" s="84">
        <f t="shared" si="11"/>
        <v>567960.93566033768</v>
      </c>
      <c r="AE42" s="80">
        <v>0</v>
      </c>
      <c r="AF42" s="82">
        <f t="shared" si="12"/>
        <v>0</v>
      </c>
      <c r="AG42" s="84">
        <f t="shared" si="13"/>
        <v>0</v>
      </c>
      <c r="AH42" s="81">
        <f t="shared" si="14"/>
        <v>2750037.8264565081</v>
      </c>
      <c r="AI42" s="80">
        <v>315</v>
      </c>
      <c r="AJ42" s="82">
        <f t="shared" si="15"/>
        <v>381.57929059052879</v>
      </c>
      <c r="AK42" s="84">
        <f t="shared" si="16"/>
        <v>2093950.48962172</v>
      </c>
      <c r="AL42" s="80">
        <v>947</v>
      </c>
      <c r="AM42" s="82">
        <f t="shared" si="17"/>
        <v>1147.1605974261295</v>
      </c>
      <c r="AN42" s="84">
        <f t="shared" si="18"/>
        <v>867443.69318363699</v>
      </c>
      <c r="AO42" s="564">
        <v>173</v>
      </c>
      <c r="AP42" s="82">
        <f t="shared" si="19"/>
        <v>209.56576911797296</v>
      </c>
      <c r="AQ42" s="84">
        <f t="shared" si="20"/>
        <v>816499.11719034496</v>
      </c>
      <c r="AR42" s="564">
        <v>199</v>
      </c>
      <c r="AS42" s="82">
        <f t="shared" si="21"/>
        <v>241.06120262703249</v>
      </c>
      <c r="AT42" s="84">
        <f t="shared" si="22"/>
        <v>664211.18320680712</v>
      </c>
      <c r="AU42" s="81">
        <f t="shared" si="33"/>
        <v>32087877.815804165</v>
      </c>
      <c r="AV42" s="620">
        <f>INDEX('2021-22 Baseline'!$J$9:$J$158,MATCH(C42,'2021-22 Baseline'!$C$9:$C$158,0))</f>
        <v>30023377.346510917</v>
      </c>
      <c r="AW42" s="623">
        <v>48218.347999999984</v>
      </c>
      <c r="AX42" s="620">
        <f t="shared" si="34"/>
        <v>622.65462405536846</v>
      </c>
      <c r="AY42" s="620">
        <f t="shared" si="35"/>
        <v>672.46699397979796</v>
      </c>
      <c r="AZ42" s="620">
        <f t="shared" si="36"/>
        <v>655.2378430905261</v>
      </c>
      <c r="BA42" s="620">
        <f t="shared" si="23"/>
        <v>672.46699397979796</v>
      </c>
      <c r="BB42" s="624">
        <f t="shared" si="37"/>
        <v>843734.67502643808</v>
      </c>
      <c r="BC42" s="620">
        <f t="shared" si="47"/>
        <v>0</v>
      </c>
      <c r="BD42" s="81">
        <f t="shared" si="25"/>
        <v>843734.67502643808</v>
      </c>
      <c r="BE42" s="81">
        <f t="shared" si="38"/>
        <v>32931612.490830604</v>
      </c>
      <c r="BF42" s="588">
        <f>INDEX('AP Funding Factor'!$I$9:$I$158,MATCH(C42,'AP Funding Factor'!$C$9:$C$158,0))</f>
        <v>634943.07556217245</v>
      </c>
      <c r="BG42" s="290">
        <f>INDEX('Import|Export Adjustments Data'!$Q$9:$Q$159,MATCH($C42,'Import|Export Adjustments Data'!$C$9:$C$159,0))</f>
        <v>-69</v>
      </c>
      <c r="BH42" s="289">
        <v>12000</v>
      </c>
      <c r="BI42" s="81">
        <f t="shared" si="46"/>
        <v>-402000</v>
      </c>
      <c r="BJ42" s="86">
        <f t="shared" si="48"/>
        <v>34736674.357254028</v>
      </c>
      <c r="BK42" s="620">
        <f t="shared" si="27"/>
        <v>622.65462405536846</v>
      </c>
      <c r="BL42" s="620">
        <f t="shared" si="28"/>
        <v>672.46699397979796</v>
      </c>
      <c r="BM42" s="620">
        <f t="shared" si="40"/>
        <v>672.46699397979796</v>
      </c>
      <c r="BN42" s="620">
        <f t="shared" ref="BN42:BN73" si="51">BM42*J42+BC42</f>
        <v>32931612.490830604</v>
      </c>
      <c r="BO42" s="281">
        <f t="shared" si="41"/>
        <v>8.0000000000000071E-2</v>
      </c>
      <c r="BP42" s="81">
        <f t="shared" ref="BP42:BP73" si="52">H42 + BF42 + BN42</f>
        <v>35138674.357254028</v>
      </c>
      <c r="BQ42" s="81">
        <f t="shared" ref="BQ42:BQ73" si="53">H42 + BF42 + BI42 + BN42</f>
        <v>34736674.357254028</v>
      </c>
      <c r="BS42" s="599"/>
      <c r="BT42" s="601"/>
    </row>
    <row r="43" spans="1:72" ht="15.4" x14ac:dyDescent="0.45">
      <c r="A43" s="76"/>
      <c r="B43" s="77" t="s">
        <v>123</v>
      </c>
      <c r="C43" s="288">
        <v>840</v>
      </c>
      <c r="D43" s="78" t="s">
        <v>521</v>
      </c>
      <c r="E43" s="87">
        <v>1</v>
      </c>
      <c r="F43" s="327">
        <f t="shared" si="30"/>
        <v>4660</v>
      </c>
      <c r="G43" s="290">
        <v>1545</v>
      </c>
      <c r="H43" s="81">
        <f t="shared" ref="H43" si="54">G43*F43</f>
        <v>7199700</v>
      </c>
      <c r="I43" s="597">
        <f>INDEX('Historic Spend Factor'!$U$9:$U$159, MATCH(C43, 'Historic Spend Factor'!$C$9:$C$159, 0))</f>
        <v>23651645.5571297</v>
      </c>
      <c r="J43" s="80">
        <v>98893.350999999981</v>
      </c>
      <c r="K43" s="82">
        <f t="shared" ref="K43" si="55">E43*J43</f>
        <v>98893.350999999981</v>
      </c>
      <c r="L43" s="81">
        <f t="shared" ref="L43" si="56">K43/K$8*L$8</f>
        <v>20122778.606071226</v>
      </c>
      <c r="M43" s="80">
        <v>21657</v>
      </c>
      <c r="N43" s="82">
        <f t="shared" ref="N43" si="57">M43*$E43</f>
        <v>21657</v>
      </c>
      <c r="O43" s="81">
        <f t="shared" ref="O43" si="58">N43/N$8*O$8</f>
        <v>5513477.9215306742</v>
      </c>
      <c r="P43" s="80">
        <v>13447</v>
      </c>
      <c r="Q43" s="82">
        <f t="shared" ref="Q43" si="59">P43*$E43</f>
        <v>13447</v>
      </c>
      <c r="R43" s="84">
        <f t="shared" ref="R43" si="60">Q43/Q$8*R$8</f>
        <v>825728.80227760284</v>
      </c>
      <c r="S43" s="80">
        <v>15792</v>
      </c>
      <c r="T43" s="82">
        <f t="shared" ref="T43" si="61">S43*$E43</f>
        <v>15792</v>
      </c>
      <c r="U43" s="84">
        <f t="shared" ref="U43" si="62">T43/T$8*U$8</f>
        <v>1280045.9700840667</v>
      </c>
      <c r="V43" s="80">
        <v>10164</v>
      </c>
      <c r="W43" s="82">
        <f t="shared" ref="W43" si="63">V43*$E43</f>
        <v>10164</v>
      </c>
      <c r="X43" s="84">
        <f t="shared" ref="X43" si="64">W43/W$8*X$8</f>
        <v>1126715.9888520299</v>
      </c>
      <c r="Y43" s="80">
        <v>7214</v>
      </c>
      <c r="Z43" s="82">
        <f t="shared" ref="Z43" si="65">Y43*$E43</f>
        <v>7214</v>
      </c>
      <c r="AA43" s="84">
        <f t="shared" ref="AA43" si="66">Z43/Z$8*AA$8</f>
        <v>848575.05178657919</v>
      </c>
      <c r="AB43" s="80">
        <v>8742</v>
      </c>
      <c r="AC43" s="82">
        <f t="shared" ref="AC43" si="67">AB43*$E43</f>
        <v>8742</v>
      </c>
      <c r="AD43" s="84">
        <f t="shared" ref="AD43" si="68">AC43/AC$8*AD$8</f>
        <v>1142996.0786464952</v>
      </c>
      <c r="AE43" s="80">
        <v>5453</v>
      </c>
      <c r="AF43" s="82">
        <f t="shared" ref="AF43" si="69">AE43*$E43</f>
        <v>5453</v>
      </c>
      <c r="AG43" s="84">
        <f t="shared" ref="AG43" si="70">AF43/AF$8*AG$8</f>
        <v>940942.55621470825</v>
      </c>
      <c r="AH43" s="81">
        <f t="shared" ref="AH43" si="71">AG43+AD43+AA43+X43+U43+R43</f>
        <v>6165004.4478614824</v>
      </c>
      <c r="AI43" s="80">
        <v>659</v>
      </c>
      <c r="AJ43" s="82">
        <f t="shared" ref="AJ43" si="72">AI43*$E43</f>
        <v>659</v>
      </c>
      <c r="AK43" s="84">
        <f t="shared" ref="AK43" si="73">AJ43/AJ$8*AK$8</f>
        <v>3616321.4479621565</v>
      </c>
      <c r="AL43" s="80">
        <v>5297</v>
      </c>
      <c r="AM43" s="82">
        <f t="shared" ref="AM43" si="74">AL43*$E43</f>
        <v>5297</v>
      </c>
      <c r="AN43" s="84">
        <f t="shared" ref="AN43" si="75">AM43/AM$8*AN$8</f>
        <v>4005410.6226304611</v>
      </c>
      <c r="AO43" s="564">
        <v>893</v>
      </c>
      <c r="AP43" s="82">
        <f t="shared" ref="AP43" si="76">AO43*$E43</f>
        <v>893</v>
      </c>
      <c r="AQ43" s="84">
        <f t="shared" ref="AQ43" si="77">(AP43/AP$8)*AQ$8</f>
        <v>3479259.5886235572</v>
      </c>
      <c r="AR43" s="564">
        <v>1197</v>
      </c>
      <c r="AS43" s="82">
        <f t="shared" ref="AS43" si="78">AR43*$E43</f>
        <v>1197</v>
      </c>
      <c r="AT43" s="84">
        <f t="shared" ref="AT43" si="79">(AS43/AS$8)*AT$8</f>
        <v>3298169.8325327709</v>
      </c>
      <c r="AU43" s="81">
        <f t="shared" ref="AU43" si="80">I43+L43+O43+AH43+AK43+AN43+AQ43+AT43</f>
        <v>69852068.02434203</v>
      </c>
      <c r="AV43" s="620">
        <f>INDEX('2021-22 Baseline'!$J$9:$J$158,MATCH(C43,'2021-22 Baseline'!$C$9:$C$158,0))</f>
        <v>62173040.683083005</v>
      </c>
      <c r="AW43" s="623">
        <v>98441.199999999968</v>
      </c>
      <c r="AX43" s="620">
        <f t="shared" ref="AX43" si="81">AV43/AW43</f>
        <v>631.57540423199862</v>
      </c>
      <c r="AY43" s="620">
        <f t="shared" ref="AY43" si="82">AX43*(100%+8%)</f>
        <v>682.10143657055858</v>
      </c>
      <c r="AZ43" s="620">
        <f t="shared" ref="AZ43" si="83">AU43/J43</f>
        <v>706.33735552496387</v>
      </c>
      <c r="BA43" s="620">
        <f t="shared" ref="BA43" si="84">MAX(AY43,AZ43)</f>
        <v>706.33735552496387</v>
      </c>
      <c r="BB43" s="624">
        <f t="shared" ref="BB43" si="85">(BA43-AZ43)*J43</f>
        <v>0</v>
      </c>
      <c r="BC43" s="620">
        <f t="shared" ref="BC43" si="86">MAX(AV43-BA43*J43,0)</f>
        <v>0</v>
      </c>
      <c r="BD43" s="81">
        <f t="shared" ref="BD43" si="87">BB43+BC43</f>
        <v>0</v>
      </c>
      <c r="BE43" s="81">
        <f t="shared" ref="BE43" si="88">AU43+BD43</f>
        <v>69852068.02434203</v>
      </c>
      <c r="BF43" s="588">
        <f>INDEX('AP Funding Factor'!$I$9:$I$158,MATCH(C43,'AP Funding Factor'!$C$9:$C$158,0))</f>
        <v>1341241.8670628574</v>
      </c>
      <c r="BG43" s="290">
        <f>INDEX('Import|Export Adjustments Data'!$Q$9:$Q$159,MATCH($C43,'Import|Export Adjustments Data'!$C$9:$C$159,0))</f>
        <v>-152</v>
      </c>
      <c r="BH43" s="289">
        <v>0</v>
      </c>
      <c r="BI43" s="81">
        <f t="shared" ref="BI43" si="89">BG43*6000+BH43</f>
        <v>-912000</v>
      </c>
      <c r="BJ43" s="86">
        <f t="shared" ref="BJ43" si="90">H43 + BE43 + BF43 + BI43</f>
        <v>77481009.891404882</v>
      </c>
      <c r="BK43" s="620">
        <f t="shared" ref="BK43" si="91">AX43</f>
        <v>631.57540423199862</v>
      </c>
      <c r="BL43" s="620">
        <f t="shared" ref="BL43" si="92">BA43</f>
        <v>706.33735552496387</v>
      </c>
      <c r="BM43" s="620">
        <f t="shared" ref="BM43" si="93">MIN(BK43*(100% + 11%), BL43)</f>
        <v>701.04869869751849</v>
      </c>
      <c r="BN43" s="620">
        <f t="shared" ref="BN43" si="94">BM43*J43+BC43</f>
        <v>69329055.028386921</v>
      </c>
      <c r="BO43" s="281">
        <f t="shared" ref="BO43" si="95">BM43/BK43-1</f>
        <v>0.1100000000000001</v>
      </c>
      <c r="BP43" s="81">
        <f t="shared" ref="BP43" si="96">H43 + BF43 + BN43</f>
        <v>77869996.895449772</v>
      </c>
      <c r="BQ43" s="81">
        <f t="shared" ref="BQ43" si="97">H43 + BF43 + BI43 + BN43</f>
        <v>76957996.895449772</v>
      </c>
      <c r="BS43" s="599"/>
      <c r="BT43" s="601"/>
    </row>
    <row r="44" spans="1:72" ht="15.4" x14ac:dyDescent="0.45">
      <c r="A44" s="76"/>
      <c r="B44" s="77" t="s">
        <v>123</v>
      </c>
      <c r="C44" s="288">
        <v>841</v>
      </c>
      <c r="D44" s="78" t="s">
        <v>124</v>
      </c>
      <c r="E44" s="87">
        <v>1</v>
      </c>
      <c r="F44" s="327">
        <f t="shared" si="30"/>
        <v>4660</v>
      </c>
      <c r="G44" s="290">
        <v>352</v>
      </c>
      <c r="H44" s="81">
        <f t="shared" si="49"/>
        <v>1640320</v>
      </c>
      <c r="I44" s="597">
        <f>INDEX('Historic Spend Factor'!$U$9:$U$159, MATCH(C44, 'Historic Spend Factor'!$C$9:$C$159, 0))</f>
        <v>6179938.3443746297</v>
      </c>
      <c r="J44" s="80">
        <v>21332.562999999976</v>
      </c>
      <c r="K44" s="82">
        <f t="shared" si="50"/>
        <v>21332.562999999976</v>
      </c>
      <c r="L44" s="81">
        <f t="shared" si="44"/>
        <v>4340741.1924899407</v>
      </c>
      <c r="M44" s="80">
        <v>4315</v>
      </c>
      <c r="N44" s="82">
        <f t="shared" si="1"/>
        <v>4315</v>
      </c>
      <c r="O44" s="81">
        <f t="shared" si="32"/>
        <v>1098520.4428778158</v>
      </c>
      <c r="P44" s="80">
        <v>2397</v>
      </c>
      <c r="Q44" s="82">
        <f t="shared" si="2"/>
        <v>2397</v>
      </c>
      <c r="R44" s="84">
        <f t="shared" si="3"/>
        <v>147190.59560194943</v>
      </c>
      <c r="S44" s="80">
        <v>1540</v>
      </c>
      <c r="T44" s="82">
        <f t="shared" si="4"/>
        <v>1540</v>
      </c>
      <c r="U44" s="84">
        <f t="shared" si="5"/>
        <v>124827.17793372991</v>
      </c>
      <c r="V44" s="80">
        <v>1110</v>
      </c>
      <c r="W44" s="82">
        <f t="shared" si="6"/>
        <v>1110</v>
      </c>
      <c r="X44" s="84">
        <f t="shared" si="7"/>
        <v>123047.49583094778</v>
      </c>
      <c r="Y44" s="80">
        <v>2195</v>
      </c>
      <c r="Z44" s="82">
        <f t="shared" si="8"/>
        <v>2195</v>
      </c>
      <c r="AA44" s="84">
        <f t="shared" si="9"/>
        <v>258195.48636977287</v>
      </c>
      <c r="AB44" s="80">
        <v>1731</v>
      </c>
      <c r="AC44" s="82">
        <f t="shared" si="10"/>
        <v>1731</v>
      </c>
      <c r="AD44" s="84">
        <f t="shared" si="11"/>
        <v>226324.20637578165</v>
      </c>
      <c r="AE44" s="80">
        <v>1693</v>
      </c>
      <c r="AF44" s="82">
        <f t="shared" si="12"/>
        <v>1693</v>
      </c>
      <c r="AG44" s="84">
        <f t="shared" si="13"/>
        <v>292135.6588431141</v>
      </c>
      <c r="AH44" s="81">
        <f t="shared" si="14"/>
        <v>1171720.6209552956</v>
      </c>
      <c r="AI44" s="80">
        <v>133</v>
      </c>
      <c r="AJ44" s="82">
        <f t="shared" si="15"/>
        <v>133</v>
      </c>
      <c r="AK44" s="84">
        <f t="shared" si="16"/>
        <v>729849.39693318191</v>
      </c>
      <c r="AL44" s="80">
        <v>994</v>
      </c>
      <c r="AM44" s="82">
        <f t="shared" si="17"/>
        <v>994</v>
      </c>
      <c r="AN44" s="84">
        <f t="shared" si="18"/>
        <v>751628.87651400384</v>
      </c>
      <c r="AO44" s="564">
        <v>172</v>
      </c>
      <c r="AP44" s="82">
        <f t="shared" si="19"/>
        <v>172</v>
      </c>
      <c r="AQ44" s="84">
        <f t="shared" si="20"/>
        <v>670137.34517721378</v>
      </c>
      <c r="AR44" s="564">
        <v>287</v>
      </c>
      <c r="AS44" s="82">
        <f t="shared" si="21"/>
        <v>287</v>
      </c>
      <c r="AT44" s="84">
        <f t="shared" si="22"/>
        <v>790789.25809265266</v>
      </c>
      <c r="AU44" s="81">
        <f t="shared" si="33"/>
        <v>15733325.477414737</v>
      </c>
      <c r="AV44" s="620">
        <f>INDEX('2021-22 Baseline'!$J$9:$J$158,MATCH(C44,'2021-22 Baseline'!$C$9:$C$158,0))</f>
        <v>13928516.211384423</v>
      </c>
      <c r="AW44" s="623">
        <v>21390.818999999978</v>
      </c>
      <c r="AX44" s="620">
        <f t="shared" si="34"/>
        <v>651.14459672555961</v>
      </c>
      <c r="AY44" s="620">
        <f t="shared" si="35"/>
        <v>703.23616446360438</v>
      </c>
      <c r="AZ44" s="620">
        <f t="shared" si="36"/>
        <v>737.5262633662328</v>
      </c>
      <c r="BA44" s="620">
        <f t="shared" si="23"/>
        <v>737.5262633662328</v>
      </c>
      <c r="BB44" s="624">
        <f t="shared" si="37"/>
        <v>0</v>
      </c>
      <c r="BC44" s="620">
        <f t="shared" si="47"/>
        <v>0</v>
      </c>
      <c r="BD44" s="81">
        <f t="shared" si="25"/>
        <v>0</v>
      </c>
      <c r="BE44" s="81">
        <f t="shared" si="38"/>
        <v>15733325.477414737</v>
      </c>
      <c r="BF44" s="588">
        <f>INDEX('AP Funding Factor'!$I$9:$I$158,MATCH(C44,'AP Funding Factor'!$C$9:$C$158,0))</f>
        <v>163404.15284087171</v>
      </c>
      <c r="BG44" s="290">
        <f>INDEX('Import|Export Adjustments Data'!$Q$9:$Q$159,MATCH($C44,'Import|Export Adjustments Data'!$C$9:$C$159,0))</f>
        <v>39</v>
      </c>
      <c r="BH44" s="289">
        <v>0</v>
      </c>
      <c r="BI44" s="81">
        <f t="shared" si="46"/>
        <v>234000</v>
      </c>
      <c r="BJ44" s="86">
        <f t="shared" si="48"/>
        <v>17771049.630255606</v>
      </c>
      <c r="BK44" s="620">
        <f t="shared" si="27"/>
        <v>651.14459672555961</v>
      </c>
      <c r="BL44" s="620">
        <f t="shared" si="28"/>
        <v>737.5262633662328</v>
      </c>
      <c r="BM44" s="620">
        <f t="shared" si="40"/>
        <v>722.77050236537127</v>
      </c>
      <c r="BN44" s="620">
        <f t="shared" si="51"/>
        <v>15418547.276250914</v>
      </c>
      <c r="BO44" s="281">
        <f t="shared" si="41"/>
        <v>0.1100000000000001</v>
      </c>
      <c r="BP44" s="81">
        <f t="shared" si="52"/>
        <v>17222271.429091785</v>
      </c>
      <c r="BQ44" s="81">
        <f t="shared" si="53"/>
        <v>17456271.429091785</v>
      </c>
      <c r="BS44" s="599"/>
      <c r="BT44" s="601"/>
    </row>
    <row r="45" spans="1:72" ht="15.4" x14ac:dyDescent="0.45">
      <c r="A45" s="76"/>
      <c r="B45" s="77" t="s">
        <v>123</v>
      </c>
      <c r="C45" s="288">
        <v>390</v>
      </c>
      <c r="D45" s="78" t="s">
        <v>125</v>
      </c>
      <c r="E45" s="87">
        <v>1</v>
      </c>
      <c r="F45" s="327">
        <f t="shared" si="30"/>
        <v>4660</v>
      </c>
      <c r="G45" s="290">
        <v>718</v>
      </c>
      <c r="H45" s="81">
        <f t="shared" si="49"/>
        <v>3345880</v>
      </c>
      <c r="I45" s="597">
        <f>INDEX('Historic Spend Factor'!$U$9:$U$159, MATCH(C45, 'Historic Spend Factor'!$C$9:$C$159, 0))</f>
        <v>10529739.246192837</v>
      </c>
      <c r="J45" s="80">
        <v>37277.275000000001</v>
      </c>
      <c r="K45" s="82">
        <f t="shared" si="50"/>
        <v>37277.275000000001</v>
      </c>
      <c r="L45" s="81">
        <f t="shared" si="44"/>
        <v>7585164.6675683372</v>
      </c>
      <c r="M45" s="80">
        <v>7669.5</v>
      </c>
      <c r="N45" s="82">
        <f t="shared" si="1"/>
        <v>7669.5</v>
      </c>
      <c r="O45" s="81">
        <f t="shared" si="32"/>
        <v>1952515.0722251236</v>
      </c>
      <c r="P45" s="80">
        <v>4572</v>
      </c>
      <c r="Q45" s="82">
        <f t="shared" si="2"/>
        <v>4572</v>
      </c>
      <c r="R45" s="84">
        <f t="shared" si="3"/>
        <v>280749.02089783596</v>
      </c>
      <c r="S45" s="80">
        <v>7337</v>
      </c>
      <c r="T45" s="82">
        <f t="shared" si="4"/>
        <v>7337</v>
      </c>
      <c r="U45" s="84">
        <f t="shared" si="5"/>
        <v>594712.34058427042</v>
      </c>
      <c r="V45" s="80">
        <v>3131</v>
      </c>
      <c r="W45" s="82">
        <f t="shared" si="6"/>
        <v>3131</v>
      </c>
      <c r="X45" s="84">
        <f t="shared" si="7"/>
        <v>347082.62112315092</v>
      </c>
      <c r="Y45" s="80">
        <v>2187</v>
      </c>
      <c r="Z45" s="82">
        <f t="shared" si="8"/>
        <v>2187</v>
      </c>
      <c r="AA45" s="84">
        <f t="shared" si="9"/>
        <v>257254.45498437053</v>
      </c>
      <c r="AB45" s="80">
        <v>2231</v>
      </c>
      <c r="AC45" s="82">
        <f t="shared" si="10"/>
        <v>2231</v>
      </c>
      <c r="AD45" s="84">
        <f t="shared" si="11"/>
        <v>291698.03837340779</v>
      </c>
      <c r="AE45" s="80">
        <v>1883</v>
      </c>
      <c r="AF45" s="82">
        <f t="shared" si="12"/>
        <v>1883</v>
      </c>
      <c r="AG45" s="84">
        <f t="shared" si="13"/>
        <v>324921.1137634872</v>
      </c>
      <c r="AH45" s="81">
        <f t="shared" si="14"/>
        <v>2096417.5897265228</v>
      </c>
      <c r="AI45" s="80">
        <v>250</v>
      </c>
      <c r="AJ45" s="82">
        <f t="shared" si="15"/>
        <v>250</v>
      </c>
      <c r="AK45" s="84">
        <f t="shared" si="16"/>
        <v>1371897.3626563568</v>
      </c>
      <c r="AL45" s="80">
        <v>1753</v>
      </c>
      <c r="AM45" s="82">
        <f t="shared" si="17"/>
        <v>1753</v>
      </c>
      <c r="AN45" s="84">
        <f t="shared" si="18"/>
        <v>1325558.7731680572</v>
      </c>
      <c r="AO45" s="564">
        <v>262</v>
      </c>
      <c r="AP45" s="82">
        <f t="shared" si="19"/>
        <v>262</v>
      </c>
      <c r="AQ45" s="84">
        <f t="shared" si="20"/>
        <v>1020790.6071885464</v>
      </c>
      <c r="AR45" s="564">
        <v>484</v>
      </c>
      <c r="AS45" s="82">
        <f t="shared" si="21"/>
        <v>484</v>
      </c>
      <c r="AT45" s="84">
        <f t="shared" si="22"/>
        <v>1333595.822009909</v>
      </c>
      <c r="AU45" s="81">
        <f t="shared" si="33"/>
        <v>27215679.14073569</v>
      </c>
      <c r="AV45" s="620">
        <f>INDEX('2021-22 Baseline'!$J$9:$J$158,MATCH(C45,'2021-22 Baseline'!$C$9:$C$158,0))</f>
        <v>24765717.395632286</v>
      </c>
      <c r="AW45" s="623">
        <v>37361.680999999982</v>
      </c>
      <c r="AX45" s="620">
        <f t="shared" si="34"/>
        <v>662.86410923620645</v>
      </c>
      <c r="AY45" s="620">
        <f t="shared" si="35"/>
        <v>715.89323797510303</v>
      </c>
      <c r="AZ45" s="620">
        <f t="shared" si="36"/>
        <v>730.08767783416806</v>
      </c>
      <c r="BA45" s="620">
        <f t="shared" si="23"/>
        <v>730.08767783416806</v>
      </c>
      <c r="BB45" s="624">
        <f t="shared" si="37"/>
        <v>0</v>
      </c>
      <c r="BC45" s="620">
        <f t="shared" si="47"/>
        <v>0</v>
      </c>
      <c r="BD45" s="81">
        <f t="shared" si="25"/>
        <v>0</v>
      </c>
      <c r="BE45" s="81">
        <f t="shared" si="38"/>
        <v>27215679.14073569</v>
      </c>
      <c r="BF45" s="588">
        <f>INDEX('AP Funding Factor'!$I$9:$I$158,MATCH(C45,'AP Funding Factor'!$C$9:$C$158,0))</f>
        <v>87691.665142857193</v>
      </c>
      <c r="BG45" s="290">
        <f>INDEX('Import|Export Adjustments Data'!$Q$9:$Q$159,MATCH($C45,'Import|Export Adjustments Data'!$C$9:$C$159,0))</f>
        <v>7</v>
      </c>
      <c r="BH45" s="289">
        <v>0</v>
      </c>
      <c r="BI45" s="81">
        <f t="shared" si="46"/>
        <v>42000</v>
      </c>
      <c r="BJ45" s="86">
        <f t="shared" si="48"/>
        <v>30691250.805878546</v>
      </c>
      <c r="BK45" s="620">
        <f t="shared" si="27"/>
        <v>662.86410923620645</v>
      </c>
      <c r="BL45" s="620">
        <f t="shared" si="28"/>
        <v>730.08767783416806</v>
      </c>
      <c r="BM45" s="620">
        <f t="shared" si="40"/>
        <v>730.08767783416806</v>
      </c>
      <c r="BN45" s="620">
        <f t="shared" si="51"/>
        <v>27215679.14073569</v>
      </c>
      <c r="BO45" s="281">
        <f t="shared" si="41"/>
        <v>0.10141380059846772</v>
      </c>
      <c r="BP45" s="81">
        <f t="shared" si="52"/>
        <v>30649250.805878546</v>
      </c>
      <c r="BQ45" s="81">
        <f t="shared" si="53"/>
        <v>30691250.805878546</v>
      </c>
      <c r="BS45" s="599"/>
      <c r="BT45" s="601"/>
    </row>
    <row r="46" spans="1:72" ht="15.4" x14ac:dyDescent="0.45">
      <c r="A46" s="76"/>
      <c r="B46" s="77" t="s">
        <v>123</v>
      </c>
      <c r="C46" s="288">
        <v>805</v>
      </c>
      <c r="D46" s="78" t="s">
        <v>126</v>
      </c>
      <c r="E46" s="87">
        <v>1</v>
      </c>
      <c r="F46" s="327">
        <f t="shared" si="30"/>
        <v>4660</v>
      </c>
      <c r="G46" s="290">
        <v>312.83333299999998</v>
      </c>
      <c r="H46" s="81">
        <f t="shared" si="49"/>
        <v>1457803.3317799999</v>
      </c>
      <c r="I46" s="597">
        <f>INDEX('Historic Spend Factor'!$U$9:$U$159, MATCH(C46, 'Historic Spend Factor'!$C$9:$C$159, 0))</f>
        <v>5135435.4765217351</v>
      </c>
      <c r="J46" s="80">
        <v>19218.900999999994</v>
      </c>
      <c r="K46" s="82">
        <f t="shared" si="50"/>
        <v>19218.900999999994</v>
      </c>
      <c r="L46" s="81">
        <f t="shared" si="44"/>
        <v>3910654.1133892899</v>
      </c>
      <c r="M46" s="80">
        <v>5470</v>
      </c>
      <c r="N46" s="82">
        <f t="shared" si="1"/>
        <v>5470</v>
      </c>
      <c r="O46" s="81">
        <f t="shared" si="32"/>
        <v>1392562.4154210088</v>
      </c>
      <c r="P46" s="80">
        <v>335</v>
      </c>
      <c r="Q46" s="82">
        <f t="shared" si="2"/>
        <v>335</v>
      </c>
      <c r="R46" s="84">
        <f t="shared" si="3"/>
        <v>20571.067804194015</v>
      </c>
      <c r="S46" s="80">
        <v>1057</v>
      </c>
      <c r="T46" s="82">
        <f t="shared" si="4"/>
        <v>1057</v>
      </c>
      <c r="U46" s="84">
        <f t="shared" si="5"/>
        <v>85676.83576360553</v>
      </c>
      <c r="V46" s="80">
        <v>1346</v>
      </c>
      <c r="W46" s="82">
        <f t="shared" si="6"/>
        <v>1346</v>
      </c>
      <c r="X46" s="84">
        <f t="shared" si="7"/>
        <v>149208.94539500517</v>
      </c>
      <c r="Y46" s="80">
        <v>1635</v>
      </c>
      <c r="Z46" s="82">
        <f t="shared" si="8"/>
        <v>1635</v>
      </c>
      <c r="AA46" s="84">
        <f t="shared" si="9"/>
        <v>192323.2893916076</v>
      </c>
      <c r="AB46" s="80">
        <v>3884</v>
      </c>
      <c r="AC46" s="82">
        <f t="shared" si="10"/>
        <v>3884</v>
      </c>
      <c r="AD46" s="84">
        <f t="shared" si="11"/>
        <v>507823.92695755977</v>
      </c>
      <c r="AE46" s="80">
        <v>3805</v>
      </c>
      <c r="AF46" s="82">
        <f t="shared" si="12"/>
        <v>3805</v>
      </c>
      <c r="AG46" s="84">
        <f t="shared" si="13"/>
        <v>656571.87353694579</v>
      </c>
      <c r="AH46" s="81">
        <f t="shared" si="14"/>
        <v>1612175.9388489178</v>
      </c>
      <c r="AI46" s="80">
        <v>110</v>
      </c>
      <c r="AJ46" s="82">
        <f t="shared" si="15"/>
        <v>110</v>
      </c>
      <c r="AK46" s="84">
        <f t="shared" si="16"/>
        <v>603634.83956879703</v>
      </c>
      <c r="AL46" s="80">
        <v>1051</v>
      </c>
      <c r="AM46" s="82">
        <f t="shared" si="17"/>
        <v>1051</v>
      </c>
      <c r="AN46" s="84">
        <f t="shared" si="18"/>
        <v>794730.33120343869</v>
      </c>
      <c r="AO46" s="564">
        <v>147</v>
      </c>
      <c r="AP46" s="82">
        <f t="shared" si="19"/>
        <v>147</v>
      </c>
      <c r="AQ46" s="84">
        <f t="shared" si="20"/>
        <v>572733.66128517687</v>
      </c>
      <c r="AR46" s="564">
        <v>330</v>
      </c>
      <c r="AS46" s="82">
        <f t="shared" si="21"/>
        <v>330</v>
      </c>
      <c r="AT46" s="84">
        <f t="shared" si="22"/>
        <v>909269.87864311971</v>
      </c>
      <c r="AU46" s="81">
        <f t="shared" si="33"/>
        <v>14931196.654881485</v>
      </c>
      <c r="AV46" s="620">
        <f>INDEX('2021-22 Baseline'!$J$9:$J$158,MATCH(C46,'2021-22 Baseline'!$C$9:$C$158,0))</f>
        <v>13395722.124706974</v>
      </c>
      <c r="AW46" s="623">
        <v>19199.22499999998</v>
      </c>
      <c r="AX46" s="620">
        <f t="shared" si="34"/>
        <v>697.72202392060035</v>
      </c>
      <c r="AY46" s="620">
        <f t="shared" si="35"/>
        <v>753.53978583424839</v>
      </c>
      <c r="AZ46" s="620">
        <f t="shared" si="36"/>
        <v>776.90168937763349</v>
      </c>
      <c r="BA46" s="620">
        <f t="shared" si="23"/>
        <v>776.90168937763349</v>
      </c>
      <c r="BB46" s="624">
        <f t="shared" si="37"/>
        <v>0</v>
      </c>
      <c r="BC46" s="620">
        <f t="shared" si="47"/>
        <v>0</v>
      </c>
      <c r="BD46" s="81">
        <f t="shared" si="25"/>
        <v>0</v>
      </c>
      <c r="BE46" s="81">
        <f t="shared" si="38"/>
        <v>14931196.654881485</v>
      </c>
      <c r="BF46" s="588">
        <f>INDEX('AP Funding Factor'!$I$9:$I$158,MATCH(C46,'AP Funding Factor'!$C$9:$C$158,0))</f>
        <v>53142.600101694901</v>
      </c>
      <c r="BG46" s="290">
        <f>INDEX('Import|Export Adjustments Data'!$Q$9:$Q$159,MATCH($C46,'Import|Export Adjustments Data'!$C$9:$C$159,0))</f>
        <v>-55</v>
      </c>
      <c r="BH46" s="289">
        <v>0</v>
      </c>
      <c r="BI46" s="81">
        <f t="shared" si="46"/>
        <v>-330000</v>
      </c>
      <c r="BJ46" s="86">
        <f t="shared" si="48"/>
        <v>16112142.586763179</v>
      </c>
      <c r="BK46" s="620">
        <f t="shared" si="27"/>
        <v>697.72202392060035</v>
      </c>
      <c r="BL46" s="620">
        <f t="shared" si="28"/>
        <v>776.90168937763349</v>
      </c>
      <c r="BM46" s="620">
        <f t="shared" si="40"/>
        <v>774.47144655186651</v>
      </c>
      <c r="BN46" s="620">
        <f t="shared" si="51"/>
        <v>14884490.058607109</v>
      </c>
      <c r="BO46" s="281">
        <f t="shared" si="41"/>
        <v>0.1100000000000001</v>
      </c>
      <c r="BP46" s="81">
        <f t="shared" si="52"/>
        <v>16395435.990488803</v>
      </c>
      <c r="BQ46" s="81">
        <f t="shared" si="53"/>
        <v>16065435.990488803</v>
      </c>
      <c r="BS46" s="599"/>
      <c r="BT46" s="601"/>
    </row>
    <row r="47" spans="1:72" ht="15.4" x14ac:dyDescent="0.45">
      <c r="A47" s="76"/>
      <c r="B47" s="77" t="s">
        <v>123</v>
      </c>
      <c r="C47" s="288">
        <v>806</v>
      </c>
      <c r="D47" s="78" t="s">
        <v>127</v>
      </c>
      <c r="E47" s="87">
        <v>1</v>
      </c>
      <c r="F47" s="327">
        <f t="shared" si="30"/>
        <v>4660</v>
      </c>
      <c r="G47" s="290">
        <v>584</v>
      </c>
      <c r="H47" s="81">
        <f t="shared" si="49"/>
        <v>2721440</v>
      </c>
      <c r="I47" s="597">
        <f>INDEX('Historic Spend Factor'!$U$9:$U$159, MATCH(C47, 'Historic Spend Factor'!$C$9:$C$159, 0))</f>
        <v>10042786.890811808</v>
      </c>
      <c r="J47" s="80">
        <v>30977.066999999985</v>
      </c>
      <c r="K47" s="82">
        <f t="shared" si="50"/>
        <v>30977.066999999985</v>
      </c>
      <c r="L47" s="81">
        <f t="shared" si="44"/>
        <v>6303200.9210248599</v>
      </c>
      <c r="M47" s="80">
        <v>9487</v>
      </c>
      <c r="N47" s="82">
        <f t="shared" si="1"/>
        <v>9487</v>
      </c>
      <c r="O47" s="81">
        <f t="shared" si="32"/>
        <v>2415217.4835647368</v>
      </c>
      <c r="P47" s="80">
        <v>1803</v>
      </c>
      <c r="Q47" s="82">
        <f t="shared" si="2"/>
        <v>1803</v>
      </c>
      <c r="R47" s="84">
        <f t="shared" si="3"/>
        <v>110715.32910734871</v>
      </c>
      <c r="S47" s="80">
        <v>2447</v>
      </c>
      <c r="T47" s="82">
        <f t="shared" si="4"/>
        <v>2447</v>
      </c>
      <c r="U47" s="84">
        <f t="shared" si="5"/>
        <v>198345.52234015396</v>
      </c>
      <c r="V47" s="80">
        <v>1386</v>
      </c>
      <c r="W47" s="82">
        <f t="shared" si="6"/>
        <v>1386</v>
      </c>
      <c r="X47" s="84">
        <f t="shared" si="7"/>
        <v>153643.08938891318</v>
      </c>
      <c r="Y47" s="80">
        <v>1471</v>
      </c>
      <c r="Z47" s="82">
        <f t="shared" si="8"/>
        <v>1471</v>
      </c>
      <c r="AA47" s="84">
        <f t="shared" si="9"/>
        <v>173032.14599085916</v>
      </c>
      <c r="AB47" s="80">
        <v>3977</v>
      </c>
      <c r="AC47" s="82">
        <f t="shared" si="10"/>
        <v>3977</v>
      </c>
      <c r="AD47" s="84">
        <f t="shared" si="11"/>
        <v>519983.45970911818</v>
      </c>
      <c r="AE47" s="80">
        <v>11356</v>
      </c>
      <c r="AF47" s="82">
        <f t="shared" si="12"/>
        <v>11356</v>
      </c>
      <c r="AG47" s="84">
        <f t="shared" si="13"/>
        <v>1959534.874082932</v>
      </c>
      <c r="AH47" s="81">
        <f t="shared" si="14"/>
        <v>3115254.4206193252</v>
      </c>
      <c r="AI47" s="80">
        <v>260</v>
      </c>
      <c r="AJ47" s="82">
        <f t="shared" si="15"/>
        <v>260</v>
      </c>
      <c r="AK47" s="84">
        <f t="shared" si="16"/>
        <v>1426773.257162611</v>
      </c>
      <c r="AL47" s="80">
        <v>1539</v>
      </c>
      <c r="AM47" s="82">
        <f t="shared" si="17"/>
        <v>1539</v>
      </c>
      <c r="AN47" s="84">
        <f t="shared" si="18"/>
        <v>1163739.2766147405</v>
      </c>
      <c r="AO47" s="564">
        <v>363</v>
      </c>
      <c r="AP47" s="82">
        <f t="shared" si="19"/>
        <v>363</v>
      </c>
      <c r="AQ47" s="84">
        <f t="shared" si="20"/>
        <v>1414301.4901123755</v>
      </c>
      <c r="AR47" s="564">
        <v>545</v>
      </c>
      <c r="AS47" s="82">
        <f t="shared" si="21"/>
        <v>545</v>
      </c>
      <c r="AT47" s="84">
        <f t="shared" si="22"/>
        <v>1501672.9813954553</v>
      </c>
      <c r="AU47" s="81">
        <f t="shared" si="33"/>
        <v>27382946.721305914</v>
      </c>
      <c r="AV47" s="620">
        <f>INDEX('2021-22 Baseline'!$J$9:$J$158,MATCH(C47,'2021-22 Baseline'!$C$9:$C$158,0))</f>
        <v>24536936.231364701</v>
      </c>
      <c r="AW47" s="623">
        <v>30853.278000000002</v>
      </c>
      <c r="AX47" s="620">
        <f t="shared" si="34"/>
        <v>795.27809756113106</v>
      </c>
      <c r="AY47" s="620">
        <f t="shared" si="35"/>
        <v>858.90034536602161</v>
      </c>
      <c r="AZ47" s="620">
        <f t="shared" si="36"/>
        <v>883.97480372515349</v>
      </c>
      <c r="BA47" s="620">
        <f t="shared" si="23"/>
        <v>883.97480372515349</v>
      </c>
      <c r="BB47" s="624">
        <f t="shared" si="37"/>
        <v>0</v>
      </c>
      <c r="BC47" s="620">
        <f t="shared" si="47"/>
        <v>0</v>
      </c>
      <c r="BD47" s="81">
        <f t="shared" si="25"/>
        <v>0</v>
      </c>
      <c r="BE47" s="81">
        <f t="shared" si="38"/>
        <v>27382946.721305914</v>
      </c>
      <c r="BF47" s="588">
        <f>INDEX('AP Funding Factor'!$I$9:$I$158,MATCH(C47,'AP Funding Factor'!$C$9:$C$158,0))</f>
        <v>1614851.8117615497</v>
      </c>
      <c r="BG47" s="290">
        <f>INDEX('Import|Export Adjustments Data'!$Q$9:$Q$159,MATCH($C47,'Import|Export Adjustments Data'!$C$9:$C$159,0))</f>
        <v>73.5</v>
      </c>
      <c r="BH47" s="289">
        <v>395667</v>
      </c>
      <c r="BI47" s="81">
        <f t="shared" si="46"/>
        <v>836667</v>
      </c>
      <c r="BJ47" s="86">
        <f t="shared" si="48"/>
        <v>32555905.533067465</v>
      </c>
      <c r="BK47" s="620">
        <f t="shared" si="27"/>
        <v>795.27809756113106</v>
      </c>
      <c r="BL47" s="620">
        <f t="shared" si="28"/>
        <v>883.97480372515349</v>
      </c>
      <c r="BM47" s="620">
        <f t="shared" si="40"/>
        <v>882.7586882928556</v>
      </c>
      <c r="BN47" s="620">
        <f t="shared" si="51"/>
        <v>27345275.03207989</v>
      </c>
      <c r="BO47" s="281">
        <f t="shared" si="41"/>
        <v>0.1100000000000001</v>
      </c>
      <c r="BP47" s="81">
        <f t="shared" si="52"/>
        <v>31681566.843841441</v>
      </c>
      <c r="BQ47" s="81">
        <f t="shared" si="53"/>
        <v>32518233.843841441</v>
      </c>
      <c r="BS47" s="599"/>
      <c r="BT47" s="601"/>
    </row>
    <row r="48" spans="1:72" ht="15.4" x14ac:dyDescent="0.45">
      <c r="A48" s="76"/>
      <c r="B48" s="77" t="s">
        <v>123</v>
      </c>
      <c r="C48" s="288">
        <v>391</v>
      </c>
      <c r="D48" s="78" t="s">
        <v>128</v>
      </c>
      <c r="E48" s="87">
        <v>1</v>
      </c>
      <c r="F48" s="327">
        <f t="shared" si="30"/>
        <v>4660</v>
      </c>
      <c r="G48" s="290">
        <v>768.5</v>
      </c>
      <c r="H48" s="81">
        <f t="shared" si="49"/>
        <v>3581210</v>
      </c>
      <c r="I48" s="597">
        <f>INDEX('Historic Spend Factor'!$U$9:$U$159, MATCH(C48, 'Historic Spend Factor'!$C$9:$C$159, 0))</f>
        <v>13564623.159310028</v>
      </c>
      <c r="J48" s="80">
        <v>56993.946999999993</v>
      </c>
      <c r="K48" s="82">
        <f t="shared" si="50"/>
        <v>56993.946999999993</v>
      </c>
      <c r="L48" s="81">
        <f t="shared" si="44"/>
        <v>11597105.020408878</v>
      </c>
      <c r="M48" s="80">
        <v>16414.5</v>
      </c>
      <c r="N48" s="82">
        <f t="shared" si="1"/>
        <v>16414.5</v>
      </c>
      <c r="O48" s="81">
        <f t="shared" si="32"/>
        <v>4178832.8643378699</v>
      </c>
      <c r="P48" s="80">
        <v>2712</v>
      </c>
      <c r="Q48" s="82">
        <f t="shared" si="2"/>
        <v>2712</v>
      </c>
      <c r="R48" s="84">
        <f t="shared" si="3"/>
        <v>166533.53995514679</v>
      </c>
      <c r="S48" s="80">
        <v>5090</v>
      </c>
      <c r="T48" s="82">
        <f t="shared" si="4"/>
        <v>5090</v>
      </c>
      <c r="U48" s="84">
        <f t="shared" si="5"/>
        <v>412578.14005369175</v>
      </c>
      <c r="V48" s="80">
        <v>2941</v>
      </c>
      <c r="W48" s="82">
        <f t="shared" si="6"/>
        <v>2941</v>
      </c>
      <c r="X48" s="84">
        <f t="shared" si="7"/>
        <v>326020.4371520878</v>
      </c>
      <c r="Y48" s="80">
        <v>5322</v>
      </c>
      <c r="Z48" s="82">
        <f t="shared" si="8"/>
        <v>5322</v>
      </c>
      <c r="AA48" s="84">
        <f t="shared" si="9"/>
        <v>626021.12913892081</v>
      </c>
      <c r="AB48" s="80">
        <v>10885</v>
      </c>
      <c r="AC48" s="82">
        <f t="shared" si="10"/>
        <v>10885</v>
      </c>
      <c r="AD48" s="84">
        <f t="shared" si="11"/>
        <v>1423188.3225883206</v>
      </c>
      <c r="AE48" s="80">
        <v>7144</v>
      </c>
      <c r="AF48" s="82">
        <f t="shared" si="12"/>
        <v>7144</v>
      </c>
      <c r="AG48" s="84">
        <f t="shared" si="13"/>
        <v>1232733.1050060289</v>
      </c>
      <c r="AH48" s="81">
        <f t="shared" si="14"/>
        <v>4187074.6738941967</v>
      </c>
      <c r="AI48" s="80">
        <v>454</v>
      </c>
      <c r="AJ48" s="82">
        <f t="shared" si="15"/>
        <v>454</v>
      </c>
      <c r="AK48" s="84">
        <f t="shared" si="16"/>
        <v>2491365.6105839438</v>
      </c>
      <c r="AL48" s="80">
        <v>2661</v>
      </c>
      <c r="AM48" s="82">
        <f t="shared" si="17"/>
        <v>2661</v>
      </c>
      <c r="AN48" s="84">
        <f t="shared" si="18"/>
        <v>2012157.3847120365</v>
      </c>
      <c r="AO48" s="564">
        <v>470</v>
      </c>
      <c r="AP48" s="82">
        <f t="shared" si="19"/>
        <v>470</v>
      </c>
      <c r="AQ48" s="84">
        <f t="shared" si="20"/>
        <v>1831189.2571702932</v>
      </c>
      <c r="AR48" s="564">
        <v>773</v>
      </c>
      <c r="AS48" s="82">
        <f t="shared" si="21"/>
        <v>773</v>
      </c>
      <c r="AT48" s="84">
        <f t="shared" si="22"/>
        <v>2129895.8066397924</v>
      </c>
      <c r="AU48" s="81">
        <f t="shared" si="33"/>
        <v>41992243.777057029</v>
      </c>
      <c r="AV48" s="620">
        <f>INDEX('2021-22 Baseline'!$J$9:$J$158,MATCH(C48,'2021-22 Baseline'!$C$9:$C$158,0))</f>
        <v>40388215.940038361</v>
      </c>
      <c r="AW48" s="623">
        <v>56544.264999999978</v>
      </c>
      <c r="AX48" s="620">
        <f t="shared" si="34"/>
        <v>714.27607981177891</v>
      </c>
      <c r="AY48" s="620">
        <f t="shared" si="35"/>
        <v>771.41816619672124</v>
      </c>
      <c r="AZ48" s="620">
        <f t="shared" si="36"/>
        <v>736.78427249576225</v>
      </c>
      <c r="BA48" s="620">
        <f t="shared" si="23"/>
        <v>771.41816619672124</v>
      </c>
      <c r="BB48" s="624">
        <f t="shared" si="37"/>
        <v>1973922.3019960904</v>
      </c>
      <c r="BC48" s="620">
        <f t="shared" si="47"/>
        <v>0</v>
      </c>
      <c r="BD48" s="81">
        <f t="shared" si="25"/>
        <v>1973922.3019960904</v>
      </c>
      <c r="BE48" s="81">
        <f t="shared" si="38"/>
        <v>43966166.079053119</v>
      </c>
      <c r="BF48" s="588">
        <f>INDEX('AP Funding Factor'!$I$9:$I$158,MATCH(C48,'AP Funding Factor'!$C$9:$C$158,0))</f>
        <v>2691648.3903544806</v>
      </c>
      <c r="BG48" s="290">
        <f>INDEX('Import|Export Adjustments Data'!$Q$9:$Q$159,MATCH($C48,'Import|Export Adjustments Data'!$C$9:$C$159,0))</f>
        <v>-187.5</v>
      </c>
      <c r="BH48" s="289">
        <v>0</v>
      </c>
      <c r="BI48" s="81">
        <f t="shared" si="46"/>
        <v>-1125000</v>
      </c>
      <c r="BJ48" s="86">
        <f t="shared" si="48"/>
        <v>49114024.469407603</v>
      </c>
      <c r="BK48" s="620">
        <f t="shared" si="27"/>
        <v>714.27607981177891</v>
      </c>
      <c r="BL48" s="620">
        <f t="shared" si="28"/>
        <v>771.41816619672124</v>
      </c>
      <c r="BM48" s="620">
        <f t="shared" si="40"/>
        <v>771.41816619672124</v>
      </c>
      <c r="BN48" s="620">
        <f t="shared" si="51"/>
        <v>43966166.079053119</v>
      </c>
      <c r="BO48" s="281">
        <f t="shared" si="41"/>
        <v>8.0000000000000071E-2</v>
      </c>
      <c r="BP48" s="81">
        <f t="shared" si="52"/>
        <v>50239024.469407603</v>
      </c>
      <c r="BQ48" s="81">
        <f t="shared" si="53"/>
        <v>49114024.469407603</v>
      </c>
      <c r="BS48" s="599"/>
      <c r="BT48" s="601"/>
    </row>
    <row r="49" spans="1:72" ht="15.4" x14ac:dyDescent="0.45">
      <c r="A49" s="76"/>
      <c r="B49" s="77" t="s">
        <v>123</v>
      </c>
      <c r="C49" s="288">
        <v>392</v>
      </c>
      <c r="D49" s="78" t="s">
        <v>129</v>
      </c>
      <c r="E49" s="87">
        <v>1</v>
      </c>
      <c r="F49" s="327">
        <f t="shared" si="30"/>
        <v>4660</v>
      </c>
      <c r="G49" s="290">
        <v>704</v>
      </c>
      <c r="H49" s="81">
        <f t="shared" si="49"/>
        <v>3280640</v>
      </c>
      <c r="I49" s="597">
        <f>INDEX('Historic Spend Factor'!$U$9:$U$159, MATCH(C49, 'Historic Spend Factor'!$C$9:$C$159, 0))</f>
        <v>8859089.3182467632</v>
      </c>
      <c r="J49" s="80">
        <v>40148.886999999981</v>
      </c>
      <c r="K49" s="82">
        <f t="shared" si="50"/>
        <v>40148.886999999981</v>
      </c>
      <c r="L49" s="81">
        <f t="shared" si="44"/>
        <v>8169479.1026059072</v>
      </c>
      <c r="M49" s="80">
        <v>7281.5</v>
      </c>
      <c r="N49" s="82">
        <f t="shared" si="1"/>
        <v>7281.5</v>
      </c>
      <c r="O49" s="81">
        <f t="shared" si="32"/>
        <v>1853737.3359941638</v>
      </c>
      <c r="P49" s="80">
        <v>2279</v>
      </c>
      <c r="Q49" s="82">
        <f t="shared" si="2"/>
        <v>2279</v>
      </c>
      <c r="R49" s="84">
        <f t="shared" si="3"/>
        <v>139944.66724106914</v>
      </c>
      <c r="S49" s="80">
        <v>5930</v>
      </c>
      <c r="T49" s="82">
        <f t="shared" si="4"/>
        <v>5930</v>
      </c>
      <c r="U49" s="84">
        <f t="shared" si="5"/>
        <v>480665.69165390806</v>
      </c>
      <c r="V49" s="80">
        <v>3302</v>
      </c>
      <c r="W49" s="82">
        <f t="shared" si="6"/>
        <v>3302</v>
      </c>
      <c r="X49" s="84">
        <f t="shared" si="7"/>
        <v>366038.5866971077</v>
      </c>
      <c r="Y49" s="80">
        <v>3455</v>
      </c>
      <c r="Z49" s="82">
        <f t="shared" si="8"/>
        <v>3455</v>
      </c>
      <c r="AA49" s="84">
        <f t="shared" si="9"/>
        <v>406407.9295706448</v>
      </c>
      <c r="AB49" s="80">
        <v>2567</v>
      </c>
      <c r="AC49" s="82">
        <f t="shared" si="10"/>
        <v>2567</v>
      </c>
      <c r="AD49" s="84">
        <f t="shared" si="11"/>
        <v>335629.25347581255</v>
      </c>
      <c r="AE49" s="80">
        <v>1130</v>
      </c>
      <c r="AF49" s="82">
        <f t="shared" si="12"/>
        <v>1130</v>
      </c>
      <c r="AG49" s="84">
        <f t="shared" si="13"/>
        <v>194987.17926327165</v>
      </c>
      <c r="AH49" s="81">
        <f t="shared" si="14"/>
        <v>1923673.3079018136</v>
      </c>
      <c r="AI49" s="80">
        <v>222</v>
      </c>
      <c r="AJ49" s="82">
        <f t="shared" si="15"/>
        <v>222</v>
      </c>
      <c r="AK49" s="84">
        <f t="shared" si="16"/>
        <v>1218244.8580388448</v>
      </c>
      <c r="AL49" s="80">
        <v>1945</v>
      </c>
      <c r="AM49" s="82">
        <f t="shared" si="17"/>
        <v>1945</v>
      </c>
      <c r="AN49" s="84">
        <f t="shared" si="18"/>
        <v>1470742.6205429954</v>
      </c>
      <c r="AO49" s="564">
        <v>347</v>
      </c>
      <c r="AP49" s="82">
        <f t="shared" si="19"/>
        <v>347</v>
      </c>
      <c r="AQ49" s="84">
        <f t="shared" si="20"/>
        <v>1351963.1324214719</v>
      </c>
      <c r="AR49" s="564">
        <v>424</v>
      </c>
      <c r="AS49" s="82">
        <f t="shared" si="21"/>
        <v>424</v>
      </c>
      <c r="AT49" s="84">
        <f t="shared" si="22"/>
        <v>1168274.0258929781</v>
      </c>
      <c r="AU49" s="81">
        <f t="shared" si="33"/>
        <v>26015203.701644938</v>
      </c>
      <c r="AV49" s="620">
        <f>INDEX('2021-22 Baseline'!$J$9:$J$158,MATCH(C49,'2021-22 Baseline'!$C$9:$C$158,0))</f>
        <v>23894348.59967301</v>
      </c>
      <c r="AW49" s="623">
        <v>39934.704999999994</v>
      </c>
      <c r="AX49" s="620">
        <f t="shared" si="34"/>
        <v>598.33542277758193</v>
      </c>
      <c r="AY49" s="620">
        <f t="shared" si="35"/>
        <v>646.20225659978848</v>
      </c>
      <c r="AZ49" s="620">
        <f t="shared" si="36"/>
        <v>647.96824135236807</v>
      </c>
      <c r="BA49" s="620">
        <f t="shared" si="23"/>
        <v>647.96824135236807</v>
      </c>
      <c r="BB49" s="624">
        <f t="shared" si="37"/>
        <v>0</v>
      </c>
      <c r="BC49" s="620">
        <f t="shared" si="47"/>
        <v>0</v>
      </c>
      <c r="BD49" s="81">
        <f t="shared" si="25"/>
        <v>0</v>
      </c>
      <c r="BE49" s="81">
        <f t="shared" si="38"/>
        <v>26015203.701644938</v>
      </c>
      <c r="BF49" s="588">
        <f>INDEX('AP Funding Factor'!$I$9:$I$158,MATCH(C49,'AP Funding Factor'!$C$9:$C$158,0))</f>
        <v>188204.57332203403</v>
      </c>
      <c r="BG49" s="290">
        <f>INDEX('Import|Export Adjustments Data'!$Q$9:$Q$159,MATCH($C49,'Import|Export Adjustments Data'!$C$9:$C$159,0))</f>
        <v>-109</v>
      </c>
      <c r="BH49" s="289">
        <v>0</v>
      </c>
      <c r="BI49" s="81">
        <f t="shared" si="46"/>
        <v>-654000</v>
      </c>
      <c r="BJ49" s="86">
        <f t="shared" si="48"/>
        <v>28830048.274966974</v>
      </c>
      <c r="BK49" s="620">
        <f t="shared" si="27"/>
        <v>598.33542277758193</v>
      </c>
      <c r="BL49" s="620">
        <f t="shared" si="28"/>
        <v>647.96824135236807</v>
      </c>
      <c r="BM49" s="620">
        <f t="shared" si="40"/>
        <v>647.96824135236807</v>
      </c>
      <c r="BN49" s="620">
        <f t="shared" si="51"/>
        <v>26015203.701644938</v>
      </c>
      <c r="BO49" s="281">
        <f t="shared" si="41"/>
        <v>8.2951496243330425E-2</v>
      </c>
      <c r="BP49" s="81">
        <f t="shared" si="52"/>
        <v>29484048.274966974</v>
      </c>
      <c r="BQ49" s="81">
        <f t="shared" si="53"/>
        <v>28830048.274966974</v>
      </c>
      <c r="BS49" s="599"/>
      <c r="BT49" s="601"/>
    </row>
    <row r="50" spans="1:72" ht="15.4" x14ac:dyDescent="0.45">
      <c r="A50" s="76"/>
      <c r="B50" s="77" t="s">
        <v>123</v>
      </c>
      <c r="C50" s="288">
        <v>929</v>
      </c>
      <c r="D50" s="78" t="s">
        <v>130</v>
      </c>
      <c r="E50" s="87">
        <v>1</v>
      </c>
      <c r="F50" s="327">
        <f t="shared" si="30"/>
        <v>4660</v>
      </c>
      <c r="G50" s="290">
        <v>1083.25</v>
      </c>
      <c r="H50" s="81">
        <f t="shared" si="49"/>
        <v>5047945</v>
      </c>
      <c r="I50" s="597">
        <f>INDEX('Historic Spend Factor'!$U$9:$U$159, MATCH(C50, 'Historic Spend Factor'!$C$9:$C$159, 0))</f>
        <v>15430724.63848082</v>
      </c>
      <c r="J50" s="80">
        <v>56711.11299999999</v>
      </c>
      <c r="K50" s="82">
        <f t="shared" si="50"/>
        <v>56711.11299999999</v>
      </c>
      <c r="L50" s="81">
        <f t="shared" si="44"/>
        <v>11539554.073790945</v>
      </c>
      <c r="M50" s="80">
        <v>9371</v>
      </c>
      <c r="N50" s="82">
        <f t="shared" si="1"/>
        <v>9371</v>
      </c>
      <c r="O50" s="81">
        <f t="shared" si="32"/>
        <v>2385685.9954132126</v>
      </c>
      <c r="P50" s="80">
        <v>6012</v>
      </c>
      <c r="Q50" s="82">
        <f t="shared" si="2"/>
        <v>6012</v>
      </c>
      <c r="R50" s="84">
        <f t="shared" si="3"/>
        <v>369173.90936959535</v>
      </c>
      <c r="S50" s="80">
        <v>4894</v>
      </c>
      <c r="T50" s="82">
        <f t="shared" si="4"/>
        <v>4894</v>
      </c>
      <c r="U50" s="84">
        <f t="shared" si="5"/>
        <v>396691.04468030791</v>
      </c>
      <c r="V50" s="80">
        <v>1697</v>
      </c>
      <c r="W50" s="82">
        <f t="shared" si="6"/>
        <v>1697</v>
      </c>
      <c r="X50" s="84">
        <f t="shared" si="7"/>
        <v>188118.55894154811</v>
      </c>
      <c r="Y50" s="80">
        <v>4727</v>
      </c>
      <c r="Z50" s="82">
        <f t="shared" si="8"/>
        <v>4727</v>
      </c>
      <c r="AA50" s="84">
        <f t="shared" si="9"/>
        <v>556031.9198496202</v>
      </c>
      <c r="AB50" s="80">
        <v>4587</v>
      </c>
      <c r="AC50" s="82">
        <f t="shared" si="10"/>
        <v>4587</v>
      </c>
      <c r="AD50" s="84">
        <f t="shared" si="11"/>
        <v>599739.53474622208</v>
      </c>
      <c r="AE50" s="80">
        <v>2166</v>
      </c>
      <c r="AF50" s="82">
        <f t="shared" si="12"/>
        <v>2166</v>
      </c>
      <c r="AG50" s="84">
        <f t="shared" si="13"/>
        <v>373754.18609225348</v>
      </c>
      <c r="AH50" s="81">
        <f t="shared" si="14"/>
        <v>2483509.1536795474</v>
      </c>
      <c r="AI50" s="80">
        <v>296</v>
      </c>
      <c r="AJ50" s="82">
        <f t="shared" si="15"/>
        <v>296</v>
      </c>
      <c r="AK50" s="84">
        <f t="shared" si="16"/>
        <v>1624326.4773851265</v>
      </c>
      <c r="AL50" s="80">
        <v>2839</v>
      </c>
      <c r="AM50" s="82">
        <f t="shared" si="17"/>
        <v>2839</v>
      </c>
      <c r="AN50" s="84">
        <f t="shared" si="18"/>
        <v>2146754.9098825525</v>
      </c>
      <c r="AO50" s="564">
        <v>530</v>
      </c>
      <c r="AP50" s="82">
        <f t="shared" si="19"/>
        <v>530</v>
      </c>
      <c r="AQ50" s="84">
        <f t="shared" si="20"/>
        <v>2064958.0985111818</v>
      </c>
      <c r="AR50" s="564">
        <v>813</v>
      </c>
      <c r="AS50" s="82">
        <f t="shared" si="21"/>
        <v>813</v>
      </c>
      <c r="AT50" s="84">
        <f t="shared" si="22"/>
        <v>2240110.3373844135</v>
      </c>
      <c r="AU50" s="81">
        <f t="shared" si="33"/>
        <v>39915623.684527792</v>
      </c>
      <c r="AV50" s="620">
        <f>INDEX('2021-22 Baseline'!$J$9:$J$158,MATCH(C50,'2021-22 Baseline'!$C$9:$C$158,0))</f>
        <v>36823730.348448172</v>
      </c>
      <c r="AW50" s="623">
        <v>56717.834999999992</v>
      </c>
      <c r="AX50" s="620">
        <f t="shared" si="34"/>
        <v>649.24428706505068</v>
      </c>
      <c r="AY50" s="620">
        <f t="shared" si="35"/>
        <v>701.18383003025474</v>
      </c>
      <c r="AZ50" s="620">
        <f t="shared" si="36"/>
        <v>703.84130328261767</v>
      </c>
      <c r="BA50" s="620">
        <f t="shared" si="23"/>
        <v>703.84130328261767</v>
      </c>
      <c r="BB50" s="624">
        <f t="shared" si="37"/>
        <v>0</v>
      </c>
      <c r="BC50" s="620">
        <f t="shared" si="47"/>
        <v>0</v>
      </c>
      <c r="BD50" s="81">
        <f t="shared" si="25"/>
        <v>0</v>
      </c>
      <c r="BE50" s="81">
        <f t="shared" si="38"/>
        <v>39915623.684527792</v>
      </c>
      <c r="BF50" s="588">
        <f>INDEX('AP Funding Factor'!$I$9:$I$158,MATCH(C50,'AP Funding Factor'!$C$9:$C$158,0))</f>
        <v>31211.350208232456</v>
      </c>
      <c r="BG50" s="290">
        <f>INDEX('Import|Export Adjustments Data'!$Q$9:$Q$159,MATCH($C50,'Import|Export Adjustments Data'!$C$9:$C$159,0))</f>
        <v>-178.5</v>
      </c>
      <c r="BH50" s="289">
        <v>0</v>
      </c>
      <c r="BI50" s="81">
        <f t="shared" si="46"/>
        <v>-1071000</v>
      </c>
      <c r="BJ50" s="86">
        <f t="shared" si="48"/>
        <v>43923780.034736022</v>
      </c>
      <c r="BK50" s="620">
        <f t="shared" si="27"/>
        <v>649.24428706505068</v>
      </c>
      <c r="BL50" s="620">
        <f t="shared" si="28"/>
        <v>703.84130328261767</v>
      </c>
      <c r="BM50" s="620">
        <f t="shared" si="40"/>
        <v>703.84130328261767</v>
      </c>
      <c r="BN50" s="620">
        <f t="shared" si="51"/>
        <v>39915623.684527792</v>
      </c>
      <c r="BO50" s="281">
        <f t="shared" si="41"/>
        <v>8.4093179262887618E-2</v>
      </c>
      <c r="BP50" s="81">
        <f t="shared" si="52"/>
        <v>44994780.034736022</v>
      </c>
      <c r="BQ50" s="81">
        <f t="shared" si="53"/>
        <v>43923780.034736022</v>
      </c>
      <c r="BS50" s="599"/>
      <c r="BT50" s="601"/>
    </row>
    <row r="51" spans="1:72" ht="15.4" x14ac:dyDescent="0.45">
      <c r="A51" s="76"/>
      <c r="B51" s="77" t="s">
        <v>123</v>
      </c>
      <c r="C51" s="288">
        <v>807</v>
      </c>
      <c r="D51" s="78" t="s">
        <v>131</v>
      </c>
      <c r="E51" s="87">
        <v>1</v>
      </c>
      <c r="F51" s="327">
        <f t="shared" si="30"/>
        <v>4660</v>
      </c>
      <c r="G51" s="290">
        <v>441.5</v>
      </c>
      <c r="H51" s="81">
        <f t="shared" si="49"/>
        <v>2057390</v>
      </c>
      <c r="I51" s="597">
        <f>INDEX('Historic Spend Factor'!$U$9:$U$159, MATCH(C51, 'Historic Spend Factor'!$C$9:$C$159, 0))</f>
        <v>7709588.4779181052</v>
      </c>
      <c r="J51" s="80">
        <v>27038.218999999939</v>
      </c>
      <c r="K51" s="82">
        <f t="shared" si="50"/>
        <v>27038.218999999939</v>
      </c>
      <c r="L51" s="81">
        <f t="shared" si="44"/>
        <v>5501725.7412934406</v>
      </c>
      <c r="M51" s="80">
        <v>5974.5</v>
      </c>
      <c r="N51" s="82">
        <f t="shared" si="1"/>
        <v>5974.5</v>
      </c>
      <c r="O51" s="81">
        <f t="shared" si="32"/>
        <v>1520998.9307006979</v>
      </c>
      <c r="P51" s="80">
        <v>3078</v>
      </c>
      <c r="Q51" s="82">
        <f t="shared" si="2"/>
        <v>3078</v>
      </c>
      <c r="R51" s="84">
        <f t="shared" si="3"/>
        <v>189008.19910838563</v>
      </c>
      <c r="S51" s="80">
        <v>2435</v>
      </c>
      <c r="T51" s="82">
        <f t="shared" si="4"/>
        <v>2435</v>
      </c>
      <c r="U51" s="84">
        <f t="shared" si="5"/>
        <v>197372.84303157945</v>
      </c>
      <c r="V51" s="80">
        <v>435</v>
      </c>
      <c r="W51" s="82">
        <f t="shared" si="6"/>
        <v>435</v>
      </c>
      <c r="X51" s="84">
        <f t="shared" si="7"/>
        <v>48221.315933749807</v>
      </c>
      <c r="Y51" s="80">
        <v>2677</v>
      </c>
      <c r="Z51" s="82">
        <f t="shared" si="8"/>
        <v>2677</v>
      </c>
      <c r="AA51" s="84">
        <f t="shared" si="9"/>
        <v>314892.62734026514</v>
      </c>
      <c r="AB51" s="80">
        <v>3268</v>
      </c>
      <c r="AC51" s="82">
        <f t="shared" si="10"/>
        <v>3268</v>
      </c>
      <c r="AD51" s="84">
        <f t="shared" si="11"/>
        <v>427283.36593648436</v>
      </c>
      <c r="AE51" s="80">
        <v>4358</v>
      </c>
      <c r="AF51" s="82">
        <f t="shared" si="12"/>
        <v>4358</v>
      </c>
      <c r="AG51" s="84">
        <f t="shared" si="13"/>
        <v>751994.80285782111</v>
      </c>
      <c r="AH51" s="81">
        <f t="shared" si="14"/>
        <v>1928773.1542082855</v>
      </c>
      <c r="AI51" s="80">
        <v>196</v>
      </c>
      <c r="AJ51" s="82">
        <f t="shared" si="15"/>
        <v>196</v>
      </c>
      <c r="AK51" s="84">
        <f t="shared" si="16"/>
        <v>1075567.5323225837</v>
      </c>
      <c r="AL51" s="80">
        <v>1370</v>
      </c>
      <c r="AM51" s="82">
        <f t="shared" si="17"/>
        <v>1370</v>
      </c>
      <c r="AN51" s="84">
        <f t="shared" si="18"/>
        <v>1035947.2442899249</v>
      </c>
      <c r="AO51" s="564">
        <v>248</v>
      </c>
      <c r="AP51" s="82">
        <f t="shared" si="19"/>
        <v>248</v>
      </c>
      <c r="AQ51" s="84">
        <f t="shared" si="20"/>
        <v>966244.54420900589</v>
      </c>
      <c r="AR51" s="564">
        <v>512</v>
      </c>
      <c r="AS51" s="82">
        <f t="shared" si="21"/>
        <v>512</v>
      </c>
      <c r="AT51" s="84">
        <f t="shared" si="22"/>
        <v>1410745.9935311435</v>
      </c>
      <c r="AU51" s="81">
        <f t="shared" si="33"/>
        <v>21149591.618473187</v>
      </c>
      <c r="AV51" s="620">
        <f>INDEX('2021-22 Baseline'!$J$9:$J$158,MATCH(C51,'2021-22 Baseline'!$C$9:$C$158,0))</f>
        <v>19156989.943685669</v>
      </c>
      <c r="AW51" s="623">
        <v>26862.397999999994</v>
      </c>
      <c r="AX51" s="620">
        <f t="shared" si="34"/>
        <v>713.15263602622792</v>
      </c>
      <c r="AY51" s="620">
        <f t="shared" si="35"/>
        <v>770.2048469083262</v>
      </c>
      <c r="AZ51" s="620">
        <f t="shared" si="36"/>
        <v>782.21097397255471</v>
      </c>
      <c r="BA51" s="620">
        <f t="shared" si="23"/>
        <v>782.21097397255471</v>
      </c>
      <c r="BB51" s="624">
        <f t="shared" si="37"/>
        <v>0</v>
      </c>
      <c r="BC51" s="620">
        <f t="shared" si="47"/>
        <v>0</v>
      </c>
      <c r="BD51" s="81">
        <f t="shared" si="25"/>
        <v>0</v>
      </c>
      <c r="BE51" s="81">
        <f t="shared" si="38"/>
        <v>21149591.618473187</v>
      </c>
      <c r="BF51" s="588">
        <f>INDEX('AP Funding Factor'!$I$9:$I$158,MATCH(C51,'AP Funding Factor'!$C$9:$C$158,0))</f>
        <v>233358.31419622284</v>
      </c>
      <c r="BG51" s="290">
        <f>INDEX('Import|Export Adjustments Data'!$Q$9:$Q$159,MATCH($C51,'Import|Export Adjustments Data'!$C$9:$C$159,0))</f>
        <v>-93.5</v>
      </c>
      <c r="BH51" s="289">
        <v>60000</v>
      </c>
      <c r="BI51" s="81">
        <f t="shared" si="46"/>
        <v>-501000</v>
      </c>
      <c r="BJ51" s="86">
        <f t="shared" si="48"/>
        <v>22939339.932669409</v>
      </c>
      <c r="BK51" s="620">
        <f t="shared" si="27"/>
        <v>713.15263602622792</v>
      </c>
      <c r="BL51" s="620">
        <f t="shared" si="28"/>
        <v>782.21097397255471</v>
      </c>
      <c r="BM51" s="620">
        <f t="shared" si="40"/>
        <v>782.21097397255471</v>
      </c>
      <c r="BN51" s="620">
        <f t="shared" si="51"/>
        <v>21149591.618473187</v>
      </c>
      <c r="BO51" s="281">
        <f t="shared" si="41"/>
        <v>9.6835283861710364E-2</v>
      </c>
      <c r="BP51" s="81">
        <f t="shared" si="52"/>
        <v>23440339.932669409</v>
      </c>
      <c r="BQ51" s="81">
        <f t="shared" si="53"/>
        <v>22939339.932669409</v>
      </c>
      <c r="BS51" s="599"/>
      <c r="BT51" s="601"/>
    </row>
    <row r="52" spans="1:72" ht="15.4" x14ac:dyDescent="0.45">
      <c r="A52" s="76"/>
      <c r="B52" s="77" t="s">
        <v>123</v>
      </c>
      <c r="C52" s="288">
        <v>393</v>
      </c>
      <c r="D52" s="78" t="s">
        <v>132</v>
      </c>
      <c r="E52" s="87">
        <v>1</v>
      </c>
      <c r="F52" s="327">
        <f t="shared" si="30"/>
        <v>4660</v>
      </c>
      <c r="G52" s="290">
        <v>583</v>
      </c>
      <c r="H52" s="81">
        <f t="shared" si="49"/>
        <v>2716780</v>
      </c>
      <c r="I52" s="597">
        <f>INDEX('Historic Spend Factor'!$U$9:$U$159, MATCH(C52, 'Historic Spend Factor'!$C$9:$C$159, 0))</f>
        <v>7650097.2471680511</v>
      </c>
      <c r="J52" s="80">
        <v>29327.405999999981</v>
      </c>
      <c r="K52" s="82">
        <f t="shared" si="50"/>
        <v>29327.405999999981</v>
      </c>
      <c r="L52" s="81">
        <f t="shared" si="44"/>
        <v>5967528.5755901281</v>
      </c>
      <c r="M52" s="80">
        <v>6807</v>
      </c>
      <c r="N52" s="82">
        <f t="shared" si="1"/>
        <v>6807</v>
      </c>
      <c r="O52" s="81">
        <f t="shared" si="32"/>
        <v>1732938.2745467653</v>
      </c>
      <c r="P52" s="80">
        <v>3422</v>
      </c>
      <c r="Q52" s="82">
        <f t="shared" si="2"/>
        <v>3422</v>
      </c>
      <c r="R52" s="84">
        <f t="shared" si="3"/>
        <v>210131.92246552813</v>
      </c>
      <c r="S52" s="80">
        <v>3399</v>
      </c>
      <c r="T52" s="82">
        <f t="shared" si="4"/>
        <v>3399</v>
      </c>
      <c r="U52" s="84">
        <f t="shared" si="5"/>
        <v>275511.41415373242</v>
      </c>
      <c r="V52" s="80">
        <v>1962</v>
      </c>
      <c r="W52" s="82">
        <f t="shared" si="6"/>
        <v>1962</v>
      </c>
      <c r="X52" s="84">
        <f t="shared" si="7"/>
        <v>217494.76290118878</v>
      </c>
      <c r="Y52" s="80">
        <v>4268</v>
      </c>
      <c r="Z52" s="82">
        <f t="shared" si="8"/>
        <v>4268</v>
      </c>
      <c r="AA52" s="84">
        <f t="shared" si="9"/>
        <v>502040.24411215971</v>
      </c>
      <c r="AB52" s="80">
        <v>5199</v>
      </c>
      <c r="AC52" s="82">
        <f t="shared" si="10"/>
        <v>5199</v>
      </c>
      <c r="AD52" s="84">
        <f t="shared" si="11"/>
        <v>679757.10511131643</v>
      </c>
      <c r="AE52" s="80">
        <v>2817</v>
      </c>
      <c r="AF52" s="82">
        <f t="shared" si="12"/>
        <v>2817</v>
      </c>
      <c r="AG52" s="84">
        <f t="shared" si="13"/>
        <v>486087.50795100559</v>
      </c>
      <c r="AH52" s="81">
        <f t="shared" si="14"/>
        <v>2371022.9566949308</v>
      </c>
      <c r="AI52" s="80">
        <v>178</v>
      </c>
      <c r="AJ52" s="82">
        <f t="shared" si="15"/>
        <v>178</v>
      </c>
      <c r="AK52" s="84">
        <f t="shared" si="16"/>
        <v>976790.92221132608</v>
      </c>
      <c r="AL52" s="80">
        <v>1613</v>
      </c>
      <c r="AM52" s="82">
        <f t="shared" si="17"/>
        <v>1613</v>
      </c>
      <c r="AN52" s="84">
        <f t="shared" si="18"/>
        <v>1219695.5511238314</v>
      </c>
      <c r="AO52" s="564">
        <v>268</v>
      </c>
      <c r="AP52" s="82">
        <f t="shared" si="19"/>
        <v>268</v>
      </c>
      <c r="AQ52" s="84">
        <f t="shared" si="20"/>
        <v>1044167.4913226353</v>
      </c>
      <c r="AR52" s="564">
        <v>382</v>
      </c>
      <c r="AS52" s="82">
        <f t="shared" si="21"/>
        <v>382</v>
      </c>
      <c r="AT52" s="84">
        <f t="shared" si="22"/>
        <v>1052548.7686111266</v>
      </c>
      <c r="AU52" s="81">
        <f t="shared" si="33"/>
        <v>22014789.787268795</v>
      </c>
      <c r="AV52" s="620">
        <f>INDEX('2021-22 Baseline'!$J$9:$J$158,MATCH(C52,'2021-22 Baseline'!$C$9:$C$158,0))</f>
        <v>20070831.09455229</v>
      </c>
      <c r="AW52" s="623">
        <v>29114.328999999943</v>
      </c>
      <c r="AX52" s="620">
        <f t="shared" si="34"/>
        <v>689.37982718242722</v>
      </c>
      <c r="AY52" s="620">
        <f t="shared" si="35"/>
        <v>744.53021335702147</v>
      </c>
      <c r="AZ52" s="620">
        <f t="shared" si="36"/>
        <v>750.65588096229203</v>
      </c>
      <c r="BA52" s="620">
        <f t="shared" si="23"/>
        <v>750.65588096229203</v>
      </c>
      <c r="BB52" s="624">
        <f t="shared" si="37"/>
        <v>0</v>
      </c>
      <c r="BC52" s="620">
        <f t="shared" si="47"/>
        <v>0</v>
      </c>
      <c r="BD52" s="81">
        <f t="shared" si="25"/>
        <v>0</v>
      </c>
      <c r="BE52" s="81">
        <f t="shared" si="38"/>
        <v>22014789.787268795</v>
      </c>
      <c r="BF52" s="588">
        <f>INDEX('AP Funding Factor'!$I$9:$I$158,MATCH(C52,'AP Funding Factor'!$C$9:$C$158,0))</f>
        <v>42896.657142857141</v>
      </c>
      <c r="BG52" s="290">
        <f>INDEX('Import|Export Adjustments Data'!$Q$9:$Q$159,MATCH($C52,'Import|Export Adjustments Data'!$C$9:$C$159,0))</f>
        <v>-12</v>
      </c>
      <c r="BH52" s="289">
        <v>0</v>
      </c>
      <c r="BI52" s="81">
        <f t="shared" si="46"/>
        <v>-72000</v>
      </c>
      <c r="BJ52" s="86">
        <f t="shared" si="48"/>
        <v>24702466.444411654</v>
      </c>
      <c r="BK52" s="620">
        <f t="shared" si="27"/>
        <v>689.37982718242722</v>
      </c>
      <c r="BL52" s="620">
        <f t="shared" si="28"/>
        <v>750.65588096229203</v>
      </c>
      <c r="BM52" s="620">
        <f t="shared" si="40"/>
        <v>750.65588096229203</v>
      </c>
      <c r="BN52" s="620">
        <f t="shared" si="51"/>
        <v>22014789.787268795</v>
      </c>
      <c r="BO52" s="281">
        <f t="shared" si="41"/>
        <v>8.8885765674790562E-2</v>
      </c>
      <c r="BP52" s="81">
        <f t="shared" si="52"/>
        <v>24774466.44441165</v>
      </c>
      <c r="BQ52" s="81">
        <f t="shared" si="53"/>
        <v>24702466.44441165</v>
      </c>
      <c r="BS52" s="599"/>
      <c r="BT52" s="601"/>
    </row>
    <row r="53" spans="1:72" ht="15.4" x14ac:dyDescent="0.45">
      <c r="A53" s="76"/>
      <c r="B53" s="77" t="s">
        <v>123</v>
      </c>
      <c r="C53" s="288">
        <v>808</v>
      </c>
      <c r="D53" s="78" t="s">
        <v>133</v>
      </c>
      <c r="E53" s="87">
        <v>1</v>
      </c>
      <c r="F53" s="327">
        <f t="shared" si="30"/>
        <v>4660</v>
      </c>
      <c r="G53" s="290">
        <v>680.5</v>
      </c>
      <c r="H53" s="81">
        <f t="shared" si="49"/>
        <v>3171130</v>
      </c>
      <c r="I53" s="597">
        <f>INDEX('Historic Spend Factor'!$U$9:$U$159, MATCH(C53, 'Historic Spend Factor'!$C$9:$C$159, 0))</f>
        <v>11685476.038080882</v>
      </c>
      <c r="J53" s="80">
        <v>42288.758999999962</v>
      </c>
      <c r="K53" s="82">
        <f t="shared" si="50"/>
        <v>42288.758999999962</v>
      </c>
      <c r="L53" s="81">
        <f t="shared" si="44"/>
        <v>8604899.3817845397</v>
      </c>
      <c r="M53" s="80">
        <v>8287.5</v>
      </c>
      <c r="N53" s="82">
        <f t="shared" si="1"/>
        <v>8287.5</v>
      </c>
      <c r="O53" s="81">
        <f t="shared" si="32"/>
        <v>2109846.6211703126</v>
      </c>
      <c r="P53" s="80">
        <v>2783</v>
      </c>
      <c r="Q53" s="82">
        <f t="shared" si="2"/>
        <v>2783</v>
      </c>
      <c r="R53" s="84">
        <f t="shared" si="3"/>
        <v>170893.37820618492</v>
      </c>
      <c r="S53" s="80">
        <v>4238</v>
      </c>
      <c r="T53" s="82">
        <f t="shared" si="4"/>
        <v>4238</v>
      </c>
      <c r="U53" s="84">
        <f t="shared" si="5"/>
        <v>343517.90914490086</v>
      </c>
      <c r="V53" s="80">
        <v>3075</v>
      </c>
      <c r="W53" s="82">
        <f t="shared" si="6"/>
        <v>3075</v>
      </c>
      <c r="X53" s="84">
        <f t="shared" si="7"/>
        <v>340874.81953167968</v>
      </c>
      <c r="Y53" s="80">
        <v>3049</v>
      </c>
      <c r="Z53" s="82">
        <f t="shared" si="8"/>
        <v>3049</v>
      </c>
      <c r="AA53" s="84">
        <f t="shared" si="9"/>
        <v>358650.58676147496</v>
      </c>
      <c r="AB53" s="80">
        <v>3835</v>
      </c>
      <c r="AC53" s="82">
        <f t="shared" si="10"/>
        <v>3835</v>
      </c>
      <c r="AD53" s="84">
        <f t="shared" si="11"/>
        <v>501417.29142179235</v>
      </c>
      <c r="AE53" s="80">
        <v>4070</v>
      </c>
      <c r="AF53" s="82">
        <f t="shared" si="12"/>
        <v>4070</v>
      </c>
      <c r="AG53" s="84">
        <f t="shared" si="13"/>
        <v>702298.95539957145</v>
      </c>
      <c r="AH53" s="81">
        <f t="shared" si="14"/>
        <v>2417652.9404656044</v>
      </c>
      <c r="AI53" s="80">
        <v>289</v>
      </c>
      <c r="AJ53" s="82">
        <f t="shared" si="15"/>
        <v>289</v>
      </c>
      <c r="AK53" s="84">
        <f t="shared" si="16"/>
        <v>1585913.3512307485</v>
      </c>
      <c r="AL53" s="80">
        <v>2251</v>
      </c>
      <c r="AM53" s="82">
        <f t="shared" si="17"/>
        <v>2251</v>
      </c>
      <c r="AN53" s="84">
        <f t="shared" si="18"/>
        <v>1702129.3772968035</v>
      </c>
      <c r="AO53" s="564">
        <v>390</v>
      </c>
      <c r="AP53" s="82">
        <f t="shared" si="19"/>
        <v>390</v>
      </c>
      <c r="AQ53" s="84">
        <f t="shared" si="20"/>
        <v>1519497.4687157751</v>
      </c>
      <c r="AR53" s="564">
        <v>584</v>
      </c>
      <c r="AS53" s="82">
        <f t="shared" si="21"/>
        <v>584</v>
      </c>
      <c r="AT53" s="84">
        <f t="shared" si="22"/>
        <v>1609132.1488714605</v>
      </c>
      <c r="AU53" s="81">
        <f t="shared" si="33"/>
        <v>31234547.327616122</v>
      </c>
      <c r="AV53" s="620">
        <f>INDEX('2021-22 Baseline'!$J$9:$J$158,MATCH(C53,'2021-22 Baseline'!$C$9:$C$158,0))</f>
        <v>28549918.204919368</v>
      </c>
      <c r="AW53" s="623">
        <v>42154.639999999992</v>
      </c>
      <c r="AX53" s="620">
        <f t="shared" si="34"/>
        <v>677.26632714499215</v>
      </c>
      <c r="AY53" s="620">
        <f t="shared" si="35"/>
        <v>731.44763331659158</v>
      </c>
      <c r="AZ53" s="620">
        <f t="shared" si="36"/>
        <v>738.60165363604426</v>
      </c>
      <c r="BA53" s="620">
        <f t="shared" si="23"/>
        <v>738.60165363604426</v>
      </c>
      <c r="BB53" s="624">
        <f t="shared" si="37"/>
        <v>0</v>
      </c>
      <c r="BC53" s="620">
        <f t="shared" si="47"/>
        <v>0</v>
      </c>
      <c r="BD53" s="81">
        <f t="shared" si="25"/>
        <v>0</v>
      </c>
      <c r="BE53" s="81">
        <f t="shared" si="38"/>
        <v>31234547.327616122</v>
      </c>
      <c r="BF53" s="588">
        <f>INDEX('AP Funding Factor'!$I$9:$I$158,MATCH(C53,'AP Funding Factor'!$C$9:$C$158,0))</f>
        <v>86532.942348668308</v>
      </c>
      <c r="BG53" s="290">
        <f>INDEX('Import|Export Adjustments Data'!$Q$9:$Q$159,MATCH($C53,'Import|Export Adjustments Data'!$C$9:$C$159,0))</f>
        <v>-70</v>
      </c>
      <c r="BH53" s="289">
        <v>0</v>
      </c>
      <c r="BI53" s="81">
        <f t="shared" si="46"/>
        <v>-420000</v>
      </c>
      <c r="BJ53" s="86">
        <f t="shared" si="48"/>
        <v>34072210.269964792</v>
      </c>
      <c r="BK53" s="620">
        <f t="shared" si="27"/>
        <v>677.26632714499215</v>
      </c>
      <c r="BL53" s="620">
        <f t="shared" si="28"/>
        <v>738.60165363604426</v>
      </c>
      <c r="BM53" s="620">
        <f t="shared" si="40"/>
        <v>738.60165363604426</v>
      </c>
      <c r="BN53" s="620">
        <f t="shared" si="51"/>
        <v>31234547.327616122</v>
      </c>
      <c r="BO53" s="281">
        <f t="shared" si="41"/>
        <v>9.0563082841591092E-2</v>
      </c>
      <c r="BP53" s="81">
        <f t="shared" si="52"/>
        <v>34492210.269964792</v>
      </c>
      <c r="BQ53" s="81">
        <f t="shared" si="53"/>
        <v>34072210.269964792</v>
      </c>
      <c r="BS53" s="599"/>
      <c r="BT53" s="601"/>
    </row>
    <row r="54" spans="1:72" ht="15.4" x14ac:dyDescent="0.45">
      <c r="A54" s="76"/>
      <c r="B54" s="77" t="s">
        <v>123</v>
      </c>
      <c r="C54" s="288">
        <v>394</v>
      </c>
      <c r="D54" s="78" t="s">
        <v>134</v>
      </c>
      <c r="E54" s="87">
        <v>1</v>
      </c>
      <c r="F54" s="327">
        <f t="shared" si="30"/>
        <v>4660</v>
      </c>
      <c r="G54" s="290">
        <v>834.5</v>
      </c>
      <c r="H54" s="81">
        <f t="shared" si="49"/>
        <v>3888770</v>
      </c>
      <c r="I54" s="597">
        <f>INDEX('Historic Spend Factor'!$U$9:$U$159, MATCH(C54, 'Historic Spend Factor'!$C$9:$C$159, 0))</f>
        <v>10106871.391767658</v>
      </c>
      <c r="J54" s="80">
        <v>52601.58499999997</v>
      </c>
      <c r="K54" s="82">
        <f t="shared" si="50"/>
        <v>52601.58499999997</v>
      </c>
      <c r="L54" s="81">
        <f t="shared" si="44"/>
        <v>10703348.997481506</v>
      </c>
      <c r="M54" s="80">
        <v>12330.5</v>
      </c>
      <c r="N54" s="82">
        <f t="shared" si="1"/>
        <v>12330.5</v>
      </c>
      <c r="O54" s="81">
        <f t="shared" si="32"/>
        <v>3139120.8159686928</v>
      </c>
      <c r="P54" s="80">
        <v>5330</v>
      </c>
      <c r="Q54" s="82">
        <f t="shared" si="2"/>
        <v>5330</v>
      </c>
      <c r="R54" s="84">
        <f t="shared" si="3"/>
        <v>327294.89969060931</v>
      </c>
      <c r="S54" s="80">
        <v>6479</v>
      </c>
      <c r="T54" s="82">
        <f t="shared" si="4"/>
        <v>6479</v>
      </c>
      <c r="U54" s="84">
        <f t="shared" si="5"/>
        <v>525165.77002119226</v>
      </c>
      <c r="V54" s="80">
        <v>3967</v>
      </c>
      <c r="W54" s="82">
        <f t="shared" si="6"/>
        <v>3967</v>
      </c>
      <c r="X54" s="84">
        <f t="shared" si="7"/>
        <v>439756.23059582867</v>
      </c>
      <c r="Y54" s="80">
        <v>6529</v>
      </c>
      <c r="Z54" s="82">
        <f t="shared" si="8"/>
        <v>6529</v>
      </c>
      <c r="AA54" s="84">
        <f t="shared" si="9"/>
        <v>767999.23941150203</v>
      </c>
      <c r="AB54" s="80">
        <v>7565</v>
      </c>
      <c r="AC54" s="82">
        <f t="shared" si="10"/>
        <v>7565</v>
      </c>
      <c r="AD54" s="84">
        <f t="shared" si="11"/>
        <v>989106.07812408335</v>
      </c>
      <c r="AE54" s="80">
        <v>3913</v>
      </c>
      <c r="AF54" s="82">
        <f t="shared" si="12"/>
        <v>3913</v>
      </c>
      <c r="AG54" s="84">
        <f t="shared" si="13"/>
        <v>675207.81633378938</v>
      </c>
      <c r="AH54" s="81">
        <f t="shared" si="14"/>
        <v>3724530.0341770048</v>
      </c>
      <c r="AI54" s="80">
        <v>328</v>
      </c>
      <c r="AJ54" s="82">
        <f t="shared" si="15"/>
        <v>328</v>
      </c>
      <c r="AK54" s="84">
        <f t="shared" si="16"/>
        <v>1799929.3398051402</v>
      </c>
      <c r="AL54" s="80">
        <v>3445</v>
      </c>
      <c r="AM54" s="82">
        <f t="shared" si="17"/>
        <v>3445</v>
      </c>
      <c r="AN54" s="84">
        <f t="shared" si="18"/>
        <v>2604991.4281597016</v>
      </c>
      <c r="AO54" s="564">
        <v>399</v>
      </c>
      <c r="AP54" s="82">
        <f t="shared" si="19"/>
        <v>399</v>
      </c>
      <c r="AQ54" s="84">
        <f t="shared" si="20"/>
        <v>1554562.7949169087</v>
      </c>
      <c r="AR54" s="564">
        <v>803</v>
      </c>
      <c r="AS54" s="82">
        <f t="shared" si="21"/>
        <v>803</v>
      </c>
      <c r="AT54" s="84">
        <f t="shared" si="22"/>
        <v>2212556.7046982581</v>
      </c>
      <c r="AU54" s="81">
        <f t="shared" si="33"/>
        <v>35845911.506974868</v>
      </c>
      <c r="AV54" s="620">
        <f>INDEX('2021-22 Baseline'!$J$9:$J$158,MATCH(C54,'2021-22 Baseline'!$C$9:$C$158,0))</f>
        <v>28591576.990665969</v>
      </c>
      <c r="AW54" s="623">
        <v>52459.433999999987</v>
      </c>
      <c r="AX54" s="620">
        <f t="shared" si="34"/>
        <v>545.02259766405359</v>
      </c>
      <c r="AY54" s="620">
        <f t="shared" si="35"/>
        <v>588.6244054771779</v>
      </c>
      <c r="AZ54" s="620">
        <f t="shared" si="36"/>
        <v>681.46067284806895</v>
      </c>
      <c r="BA54" s="620">
        <f t="shared" si="23"/>
        <v>681.46067284806895</v>
      </c>
      <c r="BB54" s="624">
        <f t="shared" si="37"/>
        <v>0</v>
      </c>
      <c r="BC54" s="620">
        <f t="shared" si="47"/>
        <v>0</v>
      </c>
      <c r="BD54" s="81">
        <f t="shared" si="25"/>
        <v>0</v>
      </c>
      <c r="BE54" s="81">
        <f t="shared" si="38"/>
        <v>35845911.506974868</v>
      </c>
      <c r="BF54" s="588">
        <f>INDEX('AP Funding Factor'!$I$9:$I$158,MATCH(C54,'AP Funding Factor'!$C$9:$C$158,0))</f>
        <v>181758.66049878934</v>
      </c>
      <c r="BG54" s="290">
        <f>INDEX('Import|Export Adjustments Data'!$Q$9:$Q$159,MATCH($C54,'Import|Export Adjustments Data'!$C$9:$C$159,0))</f>
        <v>-73</v>
      </c>
      <c r="BH54" s="289">
        <v>540167</v>
      </c>
      <c r="BI54" s="81">
        <f t="shared" si="46"/>
        <v>102167</v>
      </c>
      <c r="BJ54" s="86">
        <f t="shared" si="48"/>
        <v>40018607.167473659</v>
      </c>
      <c r="BK54" s="620">
        <f t="shared" si="27"/>
        <v>545.02259766405359</v>
      </c>
      <c r="BL54" s="620">
        <f t="shared" si="28"/>
        <v>681.46067284806895</v>
      </c>
      <c r="BM54" s="620">
        <f t="shared" si="40"/>
        <v>604.97508340709953</v>
      </c>
      <c r="BN54" s="620">
        <f t="shared" si="51"/>
        <v>31822648.272720616</v>
      </c>
      <c r="BO54" s="281">
        <f t="shared" si="41"/>
        <v>0.1100000000000001</v>
      </c>
      <c r="BP54" s="81">
        <f t="shared" si="52"/>
        <v>35893176.933219403</v>
      </c>
      <c r="BQ54" s="81">
        <f t="shared" si="53"/>
        <v>35995343.933219403</v>
      </c>
      <c r="BS54" s="599"/>
      <c r="BT54" s="601"/>
    </row>
    <row r="55" spans="1:72" ht="15.4" x14ac:dyDescent="0.45">
      <c r="A55" s="76"/>
      <c r="B55" s="77" t="s">
        <v>135</v>
      </c>
      <c r="C55" s="288">
        <v>889</v>
      </c>
      <c r="D55" s="78" t="s">
        <v>136</v>
      </c>
      <c r="E55" s="87">
        <v>1</v>
      </c>
      <c r="F55" s="327">
        <f t="shared" si="30"/>
        <v>4660</v>
      </c>
      <c r="G55" s="290">
        <v>348.5</v>
      </c>
      <c r="H55" s="81">
        <f t="shared" si="49"/>
        <v>1624010</v>
      </c>
      <c r="I55" s="597">
        <f>INDEX('Historic Spend Factor'!$U$9:$U$159, MATCH(C55, 'Historic Spend Factor'!$C$9:$C$159, 0))</f>
        <v>9589129.9312952347</v>
      </c>
      <c r="J55" s="80">
        <v>36356.526000000005</v>
      </c>
      <c r="K55" s="82">
        <f t="shared" si="50"/>
        <v>36356.526000000005</v>
      </c>
      <c r="L55" s="81">
        <f t="shared" si="44"/>
        <v>7397811.0377094261</v>
      </c>
      <c r="M55" s="80">
        <v>6695.5</v>
      </c>
      <c r="N55" s="82">
        <f t="shared" si="1"/>
        <v>6695.5</v>
      </c>
      <c r="O55" s="81">
        <f t="shared" si="32"/>
        <v>1704552.4044700849</v>
      </c>
      <c r="P55" s="80">
        <v>5082</v>
      </c>
      <c r="Q55" s="82">
        <f t="shared" si="2"/>
        <v>5082</v>
      </c>
      <c r="R55" s="84">
        <f t="shared" si="3"/>
        <v>312066.16889825073</v>
      </c>
      <c r="S55" s="80">
        <v>5735</v>
      </c>
      <c r="T55" s="82">
        <f t="shared" si="4"/>
        <v>5735</v>
      </c>
      <c r="U55" s="84">
        <f t="shared" si="5"/>
        <v>464859.65288957214</v>
      </c>
      <c r="V55" s="80">
        <v>3828</v>
      </c>
      <c r="W55" s="82">
        <f t="shared" si="6"/>
        <v>3828</v>
      </c>
      <c r="X55" s="84">
        <f t="shared" si="7"/>
        <v>424347.58021699829</v>
      </c>
      <c r="Y55" s="80">
        <v>2097</v>
      </c>
      <c r="Z55" s="82">
        <f t="shared" si="8"/>
        <v>2097</v>
      </c>
      <c r="AA55" s="84">
        <f t="shared" si="9"/>
        <v>246667.85189859397</v>
      </c>
      <c r="AB55" s="80">
        <v>2509</v>
      </c>
      <c r="AC55" s="82">
        <f t="shared" si="10"/>
        <v>2509</v>
      </c>
      <c r="AD55" s="84">
        <f t="shared" si="11"/>
        <v>328045.88896408788</v>
      </c>
      <c r="AE55" s="80">
        <v>3614</v>
      </c>
      <c r="AF55" s="82">
        <f t="shared" si="12"/>
        <v>3614</v>
      </c>
      <c r="AG55" s="84">
        <f t="shared" si="13"/>
        <v>623613.86359067587</v>
      </c>
      <c r="AH55" s="81">
        <f t="shared" si="14"/>
        <v>2399601.0064581791</v>
      </c>
      <c r="AI55" s="80">
        <v>250</v>
      </c>
      <c r="AJ55" s="82">
        <f t="shared" si="15"/>
        <v>250</v>
      </c>
      <c r="AK55" s="84">
        <f t="shared" si="16"/>
        <v>1371897.3626563568</v>
      </c>
      <c r="AL55" s="80">
        <v>1448</v>
      </c>
      <c r="AM55" s="82">
        <f t="shared" si="17"/>
        <v>1448</v>
      </c>
      <c r="AN55" s="84">
        <f t="shared" si="18"/>
        <v>1094928.1822859936</v>
      </c>
      <c r="AO55" s="564">
        <v>277</v>
      </c>
      <c r="AP55" s="82">
        <f t="shared" si="19"/>
        <v>277</v>
      </c>
      <c r="AQ55" s="84">
        <f t="shared" si="20"/>
        <v>1079232.8175237686</v>
      </c>
      <c r="AR55" s="564">
        <v>399</v>
      </c>
      <c r="AS55" s="82">
        <f t="shared" si="21"/>
        <v>399</v>
      </c>
      <c r="AT55" s="84">
        <f t="shared" si="22"/>
        <v>1099389.9441775903</v>
      </c>
      <c r="AU55" s="81">
        <f t="shared" si="33"/>
        <v>25736542.686576635</v>
      </c>
      <c r="AV55" s="620">
        <f>INDEX('2021-22 Baseline'!$J$9:$J$158,MATCH(C55,'2021-22 Baseline'!$C$9:$C$158,0))</f>
        <v>23000427.795109097</v>
      </c>
      <c r="AW55" s="623">
        <v>36453.739999999983</v>
      </c>
      <c r="AX55" s="620">
        <f t="shared" si="34"/>
        <v>630.9483689494989</v>
      </c>
      <c r="AY55" s="620">
        <f t="shared" si="35"/>
        <v>681.42423846545887</v>
      </c>
      <c r="AZ55" s="620">
        <f t="shared" si="36"/>
        <v>707.89334180544722</v>
      </c>
      <c r="BA55" s="620">
        <f t="shared" si="23"/>
        <v>707.89334180544722</v>
      </c>
      <c r="BB55" s="624">
        <f t="shared" si="37"/>
        <v>0</v>
      </c>
      <c r="BC55" s="620">
        <f t="shared" si="47"/>
        <v>0</v>
      </c>
      <c r="BD55" s="81">
        <f t="shared" si="25"/>
        <v>0</v>
      </c>
      <c r="BE55" s="81">
        <f t="shared" si="38"/>
        <v>25736542.686576635</v>
      </c>
      <c r="BF55" s="588">
        <f>INDEX('AP Funding Factor'!$I$9:$I$158,MATCH(C55,'AP Funding Factor'!$C$9:$C$158,0))</f>
        <v>664182.63144364185</v>
      </c>
      <c r="BG55" s="290">
        <f>INDEX('Import|Export Adjustments Data'!$Q$9:$Q$159,MATCH($C55,'Import|Export Adjustments Data'!$C$9:$C$159,0))</f>
        <v>22.5</v>
      </c>
      <c r="BH55" s="289">
        <v>239000</v>
      </c>
      <c r="BI55" s="81">
        <f t="shared" si="46"/>
        <v>374000</v>
      </c>
      <c r="BJ55" s="86">
        <f t="shared" si="48"/>
        <v>28398735.318020277</v>
      </c>
      <c r="BK55" s="620">
        <f t="shared" si="27"/>
        <v>630.9483689494989</v>
      </c>
      <c r="BL55" s="620">
        <f t="shared" si="28"/>
        <v>707.89334180544722</v>
      </c>
      <c r="BM55" s="620">
        <f t="shared" si="40"/>
        <v>700.35268953394382</v>
      </c>
      <c r="BN55" s="620">
        <f t="shared" si="51"/>
        <v>25462390.766210761</v>
      </c>
      <c r="BO55" s="281">
        <f t="shared" si="41"/>
        <v>0.1100000000000001</v>
      </c>
      <c r="BP55" s="81">
        <f t="shared" si="52"/>
        <v>27750583.397654403</v>
      </c>
      <c r="BQ55" s="81">
        <f t="shared" si="53"/>
        <v>28124583.397654403</v>
      </c>
      <c r="BS55" s="599"/>
      <c r="BT55" s="601"/>
    </row>
    <row r="56" spans="1:72" ht="15.4" x14ac:dyDescent="0.45">
      <c r="A56" s="76"/>
      <c r="B56" s="77" t="s">
        <v>135</v>
      </c>
      <c r="C56" s="288">
        <v>890</v>
      </c>
      <c r="D56" s="78" t="s">
        <v>137</v>
      </c>
      <c r="E56" s="87">
        <v>1</v>
      </c>
      <c r="F56" s="327">
        <f t="shared" si="30"/>
        <v>4660</v>
      </c>
      <c r="G56" s="290">
        <v>657.5</v>
      </c>
      <c r="H56" s="81">
        <f t="shared" si="49"/>
        <v>3063950</v>
      </c>
      <c r="I56" s="597">
        <f>INDEX('Historic Spend Factor'!$U$9:$U$159, MATCH(C56, 'Historic Spend Factor'!$C$9:$C$159, 0))</f>
        <v>8426485.1899473108</v>
      </c>
      <c r="J56" s="80">
        <v>27857.25999999998</v>
      </c>
      <c r="K56" s="82">
        <f t="shared" si="50"/>
        <v>27857.25999999998</v>
      </c>
      <c r="L56" s="81">
        <f t="shared" si="44"/>
        <v>5668383.86891919</v>
      </c>
      <c r="M56" s="80">
        <v>8119</v>
      </c>
      <c r="N56" s="82">
        <f t="shared" si="1"/>
        <v>8119</v>
      </c>
      <c r="O56" s="81">
        <f t="shared" si="32"/>
        <v>2066949.5888122797</v>
      </c>
      <c r="P56" s="80">
        <v>3441</v>
      </c>
      <c r="Q56" s="82">
        <f t="shared" si="2"/>
        <v>3441</v>
      </c>
      <c r="R56" s="84">
        <f t="shared" si="3"/>
        <v>211298.63974397496</v>
      </c>
      <c r="S56" s="80">
        <v>3306</v>
      </c>
      <c r="T56" s="82">
        <f t="shared" si="4"/>
        <v>3306</v>
      </c>
      <c r="U56" s="84">
        <f t="shared" si="5"/>
        <v>267973.14951227995</v>
      </c>
      <c r="V56" s="80">
        <v>1000</v>
      </c>
      <c r="W56" s="82">
        <f t="shared" si="6"/>
        <v>1000</v>
      </c>
      <c r="X56" s="84">
        <f t="shared" si="7"/>
        <v>110853.59984770071</v>
      </c>
      <c r="Y56" s="80">
        <v>2484</v>
      </c>
      <c r="Z56" s="82">
        <f t="shared" si="8"/>
        <v>2484</v>
      </c>
      <c r="AA56" s="84">
        <f t="shared" si="9"/>
        <v>292190.24516743317</v>
      </c>
      <c r="AB56" s="80">
        <v>3078</v>
      </c>
      <c r="AC56" s="82">
        <f t="shared" si="10"/>
        <v>3078</v>
      </c>
      <c r="AD56" s="84">
        <f t="shared" si="11"/>
        <v>402441.30977738643</v>
      </c>
      <c r="AE56" s="80">
        <v>6183</v>
      </c>
      <c r="AF56" s="82">
        <f t="shared" si="12"/>
        <v>6183</v>
      </c>
      <c r="AG56" s="84">
        <f t="shared" si="13"/>
        <v>1066907.7251192997</v>
      </c>
      <c r="AH56" s="81">
        <f t="shared" si="14"/>
        <v>2351664.6691680751</v>
      </c>
      <c r="AI56" s="80">
        <v>187</v>
      </c>
      <c r="AJ56" s="82">
        <f t="shared" si="15"/>
        <v>187</v>
      </c>
      <c r="AK56" s="84">
        <f t="shared" si="16"/>
        <v>1026179.2272669548</v>
      </c>
      <c r="AL56" s="80">
        <v>1419</v>
      </c>
      <c r="AM56" s="82">
        <f t="shared" si="17"/>
        <v>1419</v>
      </c>
      <c r="AN56" s="84">
        <f t="shared" si="18"/>
        <v>1072999.372005404</v>
      </c>
      <c r="AO56" s="564">
        <v>243</v>
      </c>
      <c r="AP56" s="82">
        <f t="shared" si="19"/>
        <v>243</v>
      </c>
      <c r="AQ56" s="84">
        <f t="shared" si="20"/>
        <v>946763.80743059842</v>
      </c>
      <c r="AR56" s="564">
        <v>501</v>
      </c>
      <c r="AS56" s="82">
        <f t="shared" si="21"/>
        <v>501</v>
      </c>
      <c r="AT56" s="84">
        <f t="shared" si="22"/>
        <v>1380436.9975763727</v>
      </c>
      <c r="AU56" s="81">
        <f t="shared" si="33"/>
        <v>22939862.721126184</v>
      </c>
      <c r="AV56" s="620">
        <f>INDEX('2021-22 Baseline'!$J$9:$J$158,MATCH(C56,'2021-22 Baseline'!$C$9:$C$158,0))</f>
        <v>20578955.412826169</v>
      </c>
      <c r="AW56" s="623">
        <v>27716.688999999969</v>
      </c>
      <c r="AX56" s="620">
        <f t="shared" si="34"/>
        <v>742.47524344723104</v>
      </c>
      <c r="AY56" s="620">
        <f t="shared" si="35"/>
        <v>801.87326292300952</v>
      </c>
      <c r="AZ56" s="620">
        <f t="shared" si="36"/>
        <v>823.47878869372653</v>
      </c>
      <c r="BA56" s="620">
        <f t="shared" si="23"/>
        <v>823.47878869372653</v>
      </c>
      <c r="BB56" s="624">
        <f t="shared" si="37"/>
        <v>0</v>
      </c>
      <c r="BC56" s="620">
        <f t="shared" si="47"/>
        <v>0</v>
      </c>
      <c r="BD56" s="81">
        <f t="shared" si="25"/>
        <v>0</v>
      </c>
      <c r="BE56" s="81">
        <f t="shared" si="38"/>
        <v>22939862.721126184</v>
      </c>
      <c r="BF56" s="588">
        <f>INDEX('AP Funding Factor'!$I$9:$I$158,MATCH(C56,'AP Funding Factor'!$C$9:$C$158,0))</f>
        <v>1605241.0666971433</v>
      </c>
      <c r="BG56" s="290">
        <f>INDEX('Import|Export Adjustments Data'!$Q$9:$Q$159,MATCH($C56,'Import|Export Adjustments Data'!$C$9:$C$159,0))</f>
        <v>36</v>
      </c>
      <c r="BH56" s="289">
        <v>261334</v>
      </c>
      <c r="BI56" s="81">
        <f t="shared" si="46"/>
        <v>477334</v>
      </c>
      <c r="BJ56" s="86">
        <f t="shared" si="48"/>
        <v>28086387.787823327</v>
      </c>
      <c r="BK56" s="620">
        <f t="shared" si="27"/>
        <v>742.47524344723104</v>
      </c>
      <c r="BL56" s="620">
        <f t="shared" si="28"/>
        <v>823.47878869372653</v>
      </c>
      <c r="BM56" s="620">
        <f t="shared" si="40"/>
        <v>823.47878869372653</v>
      </c>
      <c r="BN56" s="620">
        <f t="shared" si="51"/>
        <v>22939862.721126184</v>
      </c>
      <c r="BO56" s="281">
        <f t="shared" si="41"/>
        <v>0.10909932144054379</v>
      </c>
      <c r="BP56" s="81">
        <f t="shared" si="52"/>
        <v>27609053.787823327</v>
      </c>
      <c r="BQ56" s="81">
        <f t="shared" si="53"/>
        <v>28086387.787823327</v>
      </c>
      <c r="BS56" s="599"/>
      <c r="BT56" s="601"/>
    </row>
    <row r="57" spans="1:72" ht="15.4" x14ac:dyDescent="0.45">
      <c r="A57" s="76"/>
      <c r="B57" s="77" t="s">
        <v>135</v>
      </c>
      <c r="C57" s="288">
        <v>350</v>
      </c>
      <c r="D57" s="78" t="s">
        <v>138</v>
      </c>
      <c r="E57" s="87">
        <v>1.0085131058565699</v>
      </c>
      <c r="F57" s="327">
        <f t="shared" si="30"/>
        <v>4699.6710732916163</v>
      </c>
      <c r="G57" s="290">
        <v>1008.166666</v>
      </c>
      <c r="H57" s="81">
        <f t="shared" si="49"/>
        <v>4738051.7172570499</v>
      </c>
      <c r="I57" s="597">
        <f>INDEX('Historic Spend Factor'!$U$9:$U$159, MATCH(C57, 'Historic Spend Factor'!$C$9:$C$159, 0))</f>
        <v>16687499.721916322</v>
      </c>
      <c r="J57" s="80">
        <v>65584.858999999982</v>
      </c>
      <c r="K57" s="82">
        <f t="shared" si="50"/>
        <v>66143.189847255198</v>
      </c>
      <c r="L57" s="81">
        <f t="shared" si="44"/>
        <v>13458789.212185303</v>
      </c>
      <c r="M57" s="80">
        <v>13137.5</v>
      </c>
      <c r="N57" s="82">
        <f t="shared" si="1"/>
        <v>13249.340928190688</v>
      </c>
      <c r="O57" s="81">
        <f t="shared" si="32"/>
        <v>3373040.9882445438</v>
      </c>
      <c r="P57" s="80">
        <v>6563</v>
      </c>
      <c r="Q57" s="82">
        <f t="shared" si="2"/>
        <v>6618.8715137366689</v>
      </c>
      <c r="R57" s="84">
        <f t="shared" si="3"/>
        <v>406439.56625768752</v>
      </c>
      <c r="S57" s="80">
        <v>11069</v>
      </c>
      <c r="T57" s="82">
        <f t="shared" si="4"/>
        <v>11163.231568726373</v>
      </c>
      <c r="U57" s="84">
        <f t="shared" si="5"/>
        <v>904853.69697716739</v>
      </c>
      <c r="V57" s="80">
        <v>5133</v>
      </c>
      <c r="W57" s="82">
        <f t="shared" si="6"/>
        <v>5176.6977723617738</v>
      </c>
      <c r="X57" s="84">
        <f t="shared" si="7"/>
        <v>573855.58338987571</v>
      </c>
      <c r="Y57" s="80">
        <v>6556</v>
      </c>
      <c r="Z57" s="82">
        <f t="shared" si="8"/>
        <v>6611.8119219956725</v>
      </c>
      <c r="AA57" s="84">
        <f t="shared" si="9"/>
        <v>777740.31662192964</v>
      </c>
      <c r="AB57" s="80">
        <v>5399</v>
      </c>
      <c r="AC57" s="82">
        <f t="shared" si="10"/>
        <v>5444.9622585196212</v>
      </c>
      <c r="AD57" s="84">
        <f t="shared" si="11"/>
        <v>711916.09584375331</v>
      </c>
      <c r="AE57" s="80">
        <v>4806</v>
      </c>
      <c r="AF57" s="82">
        <f t="shared" si="12"/>
        <v>4846.9139867466756</v>
      </c>
      <c r="AG57" s="84">
        <f t="shared" si="13"/>
        <v>836359.36850215285</v>
      </c>
      <c r="AH57" s="81">
        <f t="shared" si="14"/>
        <v>4211164.6275925664</v>
      </c>
      <c r="AI57" s="80">
        <v>385</v>
      </c>
      <c r="AJ57" s="82">
        <f t="shared" si="15"/>
        <v>388.27754575477945</v>
      </c>
      <c r="AK57" s="84">
        <f t="shared" si="16"/>
        <v>2130707.7639986598</v>
      </c>
      <c r="AL57" s="80">
        <v>2654</v>
      </c>
      <c r="AM57" s="82">
        <f t="shared" si="17"/>
        <v>2676.5937829433365</v>
      </c>
      <c r="AN57" s="84">
        <f t="shared" si="18"/>
        <v>2023948.8711851786</v>
      </c>
      <c r="AO57" s="564">
        <v>544</v>
      </c>
      <c r="AP57" s="82">
        <f t="shared" si="19"/>
        <v>548.63112958597401</v>
      </c>
      <c r="AQ57" s="84">
        <f t="shared" si="20"/>
        <v>2137547.7247809335</v>
      </c>
      <c r="AR57" s="564">
        <v>921</v>
      </c>
      <c r="AS57" s="82">
        <f t="shared" si="21"/>
        <v>928.84057049390094</v>
      </c>
      <c r="AT57" s="84">
        <f t="shared" si="22"/>
        <v>2559293.1903387741</v>
      </c>
      <c r="AU57" s="81">
        <f t="shared" si="33"/>
        <v>46581992.100242279</v>
      </c>
      <c r="AV57" s="620">
        <f>INDEX('2021-22 Baseline'!$J$9:$J$158,MATCH(C57,'2021-22 Baseline'!$C$9:$C$158,0))</f>
        <v>41850332.656229854</v>
      </c>
      <c r="AW57" s="623">
        <v>65135.05799999999</v>
      </c>
      <c r="AX57" s="620">
        <f t="shared" si="34"/>
        <v>642.51624150284567</v>
      </c>
      <c r="AY57" s="620">
        <f t="shared" si="35"/>
        <v>693.91754082307341</v>
      </c>
      <c r="AZ57" s="620">
        <f t="shared" si="36"/>
        <v>710.25527553916515</v>
      </c>
      <c r="BA57" s="620">
        <f t="shared" si="23"/>
        <v>710.25527553916515</v>
      </c>
      <c r="BB57" s="624">
        <f t="shared" si="37"/>
        <v>0</v>
      </c>
      <c r="BC57" s="620">
        <f t="shared" si="47"/>
        <v>0</v>
      </c>
      <c r="BD57" s="81">
        <f t="shared" si="25"/>
        <v>0</v>
      </c>
      <c r="BE57" s="81">
        <f t="shared" si="38"/>
        <v>46581992.100242279</v>
      </c>
      <c r="BF57" s="588">
        <f>INDEX('AP Funding Factor'!$I$9:$I$158,MATCH(C57,'AP Funding Factor'!$C$9:$C$158,0))</f>
        <v>187702.56600968534</v>
      </c>
      <c r="BG57" s="290">
        <f>INDEX('Import|Export Adjustments Data'!$Q$9:$Q$159,MATCH($C57,'Import|Export Adjustments Data'!$C$9:$C$159,0))</f>
        <v>-110.75</v>
      </c>
      <c r="BH57" s="289">
        <v>0</v>
      </c>
      <c r="BI57" s="81">
        <f t="shared" si="46"/>
        <v>-664500</v>
      </c>
      <c r="BJ57" s="86">
        <f t="shared" si="48"/>
        <v>50843246.383509018</v>
      </c>
      <c r="BK57" s="620">
        <f t="shared" si="27"/>
        <v>642.51624150284567</v>
      </c>
      <c r="BL57" s="620">
        <f t="shared" si="28"/>
        <v>710.25527553916515</v>
      </c>
      <c r="BM57" s="620">
        <f t="shared" si="40"/>
        <v>710.25527553916515</v>
      </c>
      <c r="BN57" s="620">
        <f t="shared" si="51"/>
        <v>46581992.100242279</v>
      </c>
      <c r="BO57" s="281">
        <f t="shared" si="41"/>
        <v>0.10542773810336348</v>
      </c>
      <c r="BP57" s="81">
        <f t="shared" si="52"/>
        <v>51507746.383509018</v>
      </c>
      <c r="BQ57" s="81">
        <f t="shared" si="53"/>
        <v>50843246.383509018</v>
      </c>
      <c r="BS57" s="599"/>
      <c r="BT57" s="601"/>
    </row>
    <row r="58" spans="1:72" ht="15.4" x14ac:dyDescent="0.45">
      <c r="A58" s="76"/>
      <c r="B58" s="77" t="s">
        <v>135</v>
      </c>
      <c r="C58" s="288">
        <v>351</v>
      </c>
      <c r="D58" s="78" t="s">
        <v>139</v>
      </c>
      <c r="E58" s="87">
        <v>1.0085131058565699</v>
      </c>
      <c r="F58" s="327">
        <f t="shared" si="30"/>
        <v>4699.6710732916163</v>
      </c>
      <c r="G58" s="290">
        <v>529</v>
      </c>
      <c r="H58" s="81">
        <f t="shared" si="49"/>
        <v>2486125.997771265</v>
      </c>
      <c r="I58" s="597">
        <f>INDEX('Historic Spend Factor'!$U$9:$U$159, MATCH(C58, 'Historic Spend Factor'!$C$9:$C$159, 0))</f>
        <v>15745212.480803216</v>
      </c>
      <c r="J58" s="80">
        <v>41626.262999999977</v>
      </c>
      <c r="K58" s="82">
        <f t="shared" si="50"/>
        <v>41980.631783332399</v>
      </c>
      <c r="L58" s="81">
        <f t="shared" si="44"/>
        <v>8542201.7817860693</v>
      </c>
      <c r="M58" s="80">
        <v>6763</v>
      </c>
      <c r="N58" s="82">
        <f t="shared" si="1"/>
        <v>6820.5741349079826</v>
      </c>
      <c r="O58" s="81">
        <f t="shared" si="32"/>
        <v>1736394.0021691988</v>
      </c>
      <c r="P58" s="80">
        <v>3035</v>
      </c>
      <c r="Q58" s="82">
        <f t="shared" si="2"/>
        <v>3060.8372762746899</v>
      </c>
      <c r="R58" s="84">
        <f t="shared" si="3"/>
        <v>187954.30193388413</v>
      </c>
      <c r="S58" s="80">
        <v>6391</v>
      </c>
      <c r="T58" s="82">
        <f t="shared" si="4"/>
        <v>6445.4072595293383</v>
      </c>
      <c r="U58" s="84">
        <f t="shared" si="5"/>
        <v>522442.85639001511</v>
      </c>
      <c r="V58" s="80">
        <v>2422</v>
      </c>
      <c r="W58" s="82">
        <f t="shared" si="6"/>
        <v>2442.6187423846122</v>
      </c>
      <c r="X58" s="84">
        <f t="shared" si="7"/>
        <v>270773.08064879774</v>
      </c>
      <c r="Y58" s="80">
        <v>3965</v>
      </c>
      <c r="Z58" s="82">
        <f t="shared" si="8"/>
        <v>3998.7544647212999</v>
      </c>
      <c r="AA58" s="84">
        <f t="shared" si="9"/>
        <v>470369.18172757031</v>
      </c>
      <c r="AB58" s="80">
        <v>1329</v>
      </c>
      <c r="AC58" s="82">
        <f t="shared" si="10"/>
        <v>1340.3139176833815</v>
      </c>
      <c r="AD58" s="84">
        <f t="shared" si="11"/>
        <v>175242.91375742696</v>
      </c>
      <c r="AE58" s="80">
        <v>1032</v>
      </c>
      <c r="AF58" s="82">
        <f t="shared" si="12"/>
        <v>1040.7855252439801</v>
      </c>
      <c r="AG58" s="84">
        <f t="shared" si="13"/>
        <v>179592.77326138612</v>
      </c>
      <c r="AH58" s="81">
        <f t="shared" si="14"/>
        <v>1806375.1077190805</v>
      </c>
      <c r="AI58" s="80">
        <v>211</v>
      </c>
      <c r="AJ58" s="82">
        <f t="shared" si="15"/>
        <v>212.79626533573625</v>
      </c>
      <c r="AK58" s="84">
        <f t="shared" si="16"/>
        <v>1167738.5407888754</v>
      </c>
      <c r="AL58" s="80">
        <v>1835</v>
      </c>
      <c r="AM58" s="82">
        <f t="shared" si="17"/>
        <v>1850.6215492468059</v>
      </c>
      <c r="AN58" s="84">
        <f t="shared" si="18"/>
        <v>1399376.8570553139</v>
      </c>
      <c r="AO58" s="564">
        <v>343</v>
      </c>
      <c r="AP58" s="82">
        <f t="shared" si="19"/>
        <v>345.91999530880349</v>
      </c>
      <c r="AQ58" s="84">
        <f t="shared" si="20"/>
        <v>1347755.2749997431</v>
      </c>
      <c r="AR58" s="564">
        <v>406</v>
      </c>
      <c r="AS58" s="82">
        <f t="shared" si="21"/>
        <v>409.4563209777674</v>
      </c>
      <c r="AT58" s="84">
        <f t="shared" si="22"/>
        <v>1128200.9069245844</v>
      </c>
      <c r="AU58" s="81">
        <f t="shared" si="33"/>
        <v>32873254.952246074</v>
      </c>
      <c r="AV58" s="620">
        <f>INDEX('2021-22 Baseline'!$J$9:$J$158,MATCH(C58,'2021-22 Baseline'!$C$9:$C$158,0))</f>
        <v>33575097.38558735</v>
      </c>
      <c r="AW58" s="623">
        <v>41432.689999999995</v>
      </c>
      <c r="AX58" s="620">
        <f t="shared" si="34"/>
        <v>810.35282492127237</v>
      </c>
      <c r="AY58" s="620">
        <f t="shared" si="35"/>
        <v>875.18105091497421</v>
      </c>
      <c r="AZ58" s="620">
        <f t="shared" si="36"/>
        <v>789.72390464755608</v>
      </c>
      <c r="BA58" s="620">
        <f t="shared" si="23"/>
        <v>875.18105091497421</v>
      </c>
      <c r="BB58" s="624">
        <f t="shared" si="37"/>
        <v>3557261.6457570135</v>
      </c>
      <c r="BC58" s="620">
        <f t="shared" si="47"/>
        <v>0</v>
      </c>
      <c r="BD58" s="81">
        <f t="shared" si="25"/>
        <v>3557261.6457570135</v>
      </c>
      <c r="BE58" s="81">
        <f t="shared" si="38"/>
        <v>36430516.598003089</v>
      </c>
      <c r="BF58" s="588">
        <f>INDEX('AP Funding Factor'!$I$9:$I$158,MATCH(C58,'AP Funding Factor'!$C$9:$C$158,0))</f>
        <v>338234.53189375543</v>
      </c>
      <c r="BG58" s="290">
        <f>INDEX('Import|Export Adjustments Data'!$Q$9:$Q$159,MATCH($C58,'Import|Export Adjustments Data'!$C$9:$C$159,0))</f>
        <v>1.5</v>
      </c>
      <c r="BH58" s="289">
        <v>6000</v>
      </c>
      <c r="BI58" s="81">
        <f t="shared" si="46"/>
        <v>15000</v>
      </c>
      <c r="BJ58" s="86">
        <f t="shared" si="48"/>
        <v>39269877.127668105</v>
      </c>
      <c r="BK58" s="620">
        <f t="shared" si="27"/>
        <v>810.35282492127237</v>
      </c>
      <c r="BL58" s="620">
        <f t="shared" si="28"/>
        <v>875.18105091497421</v>
      </c>
      <c r="BM58" s="620">
        <f t="shared" si="40"/>
        <v>875.18105091497421</v>
      </c>
      <c r="BN58" s="620">
        <f t="shared" si="51"/>
        <v>36430516.598003089</v>
      </c>
      <c r="BO58" s="281">
        <f t="shared" si="41"/>
        <v>8.0000000000000071E-2</v>
      </c>
      <c r="BP58" s="81">
        <f t="shared" si="52"/>
        <v>39254877.127668113</v>
      </c>
      <c r="BQ58" s="81">
        <f t="shared" si="53"/>
        <v>39269877.127668113</v>
      </c>
      <c r="BS58" s="599"/>
      <c r="BT58" s="601"/>
    </row>
    <row r="59" spans="1:72" ht="15.4" x14ac:dyDescent="0.45">
      <c r="A59" s="76"/>
      <c r="B59" s="77" t="s">
        <v>135</v>
      </c>
      <c r="C59" s="288">
        <v>895</v>
      </c>
      <c r="D59" s="78" t="s">
        <v>140</v>
      </c>
      <c r="E59" s="87">
        <v>1.00565807130392</v>
      </c>
      <c r="F59" s="327">
        <f t="shared" si="30"/>
        <v>4686.366612276267</v>
      </c>
      <c r="G59" s="290">
        <v>598.999999</v>
      </c>
      <c r="H59" s="81">
        <f t="shared" si="49"/>
        <v>2807133.5960671175</v>
      </c>
      <c r="I59" s="597">
        <f>INDEX('Historic Spend Factor'!$U$9:$U$159, MATCH(C59, 'Historic Spend Factor'!$C$9:$C$159, 0))</f>
        <v>16990449.353413954</v>
      </c>
      <c r="J59" s="80">
        <v>75253.95299999998</v>
      </c>
      <c r="K59" s="82">
        <f t="shared" si="50"/>
        <v>75679.74523197583</v>
      </c>
      <c r="L59" s="81">
        <f t="shared" si="44"/>
        <v>15399283.600642923</v>
      </c>
      <c r="M59" s="80">
        <v>8090</v>
      </c>
      <c r="N59" s="82">
        <f t="shared" si="1"/>
        <v>8135.7737968487136</v>
      </c>
      <c r="O59" s="81">
        <f t="shared" si="32"/>
        <v>2071219.8921130889</v>
      </c>
      <c r="P59" s="80">
        <v>4045</v>
      </c>
      <c r="Q59" s="82">
        <f t="shared" si="2"/>
        <v>4067.8868984243568</v>
      </c>
      <c r="R59" s="84">
        <f t="shared" si="3"/>
        <v>249793.36479785058</v>
      </c>
      <c r="S59" s="80">
        <v>7333</v>
      </c>
      <c r="T59" s="82">
        <f t="shared" si="4"/>
        <v>7374.4906368716456</v>
      </c>
      <c r="U59" s="84">
        <f t="shared" si="5"/>
        <v>597751.20448013127</v>
      </c>
      <c r="V59" s="80">
        <v>4222</v>
      </c>
      <c r="W59" s="82">
        <f t="shared" si="6"/>
        <v>4245.8883770451503</v>
      </c>
      <c r="X59" s="84">
        <f t="shared" si="7"/>
        <v>470672.01114696643</v>
      </c>
      <c r="Y59" s="80">
        <v>0</v>
      </c>
      <c r="Z59" s="82">
        <f t="shared" si="8"/>
        <v>0</v>
      </c>
      <c r="AA59" s="84">
        <f t="shared" si="9"/>
        <v>0</v>
      </c>
      <c r="AB59" s="80">
        <v>518</v>
      </c>
      <c r="AC59" s="82">
        <f t="shared" si="10"/>
        <v>520.93088093543054</v>
      </c>
      <c r="AD59" s="84">
        <f t="shared" si="11"/>
        <v>68110.495785296429</v>
      </c>
      <c r="AE59" s="80">
        <v>451</v>
      </c>
      <c r="AF59" s="82">
        <f t="shared" si="12"/>
        <v>453.55179015806794</v>
      </c>
      <c r="AG59" s="84">
        <f t="shared" si="13"/>
        <v>78262.640896220328</v>
      </c>
      <c r="AH59" s="81">
        <f t="shared" si="14"/>
        <v>1464589.7171064653</v>
      </c>
      <c r="AI59" s="80">
        <v>270</v>
      </c>
      <c r="AJ59" s="82">
        <f t="shared" si="15"/>
        <v>271.52767925205842</v>
      </c>
      <c r="AK59" s="84">
        <f t="shared" si="16"/>
        <v>1490032.4282164006</v>
      </c>
      <c r="AL59" s="80">
        <v>2720</v>
      </c>
      <c r="AM59" s="82">
        <f t="shared" si="17"/>
        <v>2735.3899539466624</v>
      </c>
      <c r="AN59" s="84">
        <f t="shared" si="18"/>
        <v>2068408.5290871458</v>
      </c>
      <c r="AO59" s="564">
        <v>522</v>
      </c>
      <c r="AP59" s="82">
        <f t="shared" si="19"/>
        <v>524.9535132206463</v>
      </c>
      <c r="AQ59" s="84">
        <f t="shared" si="20"/>
        <v>2045296.2423903213</v>
      </c>
      <c r="AR59" s="564">
        <v>709</v>
      </c>
      <c r="AS59" s="82">
        <f t="shared" si="21"/>
        <v>713.01157255447936</v>
      </c>
      <c r="AT59" s="84">
        <f t="shared" si="22"/>
        <v>1964605.8971143982</v>
      </c>
      <c r="AU59" s="81">
        <f t="shared" si="33"/>
        <v>43493885.660084687</v>
      </c>
      <c r="AV59" s="620">
        <f>INDEX('2021-22 Baseline'!$J$9:$J$158,MATCH(C59,'2021-22 Baseline'!$C$9:$C$158,0))</f>
        <v>41005597.196083829</v>
      </c>
      <c r="AW59" s="623">
        <v>74764.269999999975</v>
      </c>
      <c r="AX59" s="620">
        <f t="shared" si="34"/>
        <v>548.46515850531068</v>
      </c>
      <c r="AY59" s="620">
        <f t="shared" si="35"/>
        <v>592.3423711857356</v>
      </c>
      <c r="AZ59" s="620">
        <f t="shared" si="36"/>
        <v>577.96147479567878</v>
      </c>
      <c r="BA59" s="620">
        <f t="shared" si="23"/>
        <v>592.3423711857356</v>
      </c>
      <c r="BB59" s="624">
        <f t="shared" si="37"/>
        <v>1082219.3010352051</v>
      </c>
      <c r="BC59" s="620">
        <f t="shared" si="47"/>
        <v>0</v>
      </c>
      <c r="BD59" s="81">
        <f t="shared" si="25"/>
        <v>1082219.3010352051</v>
      </c>
      <c r="BE59" s="81">
        <f t="shared" si="38"/>
        <v>44576104.96111989</v>
      </c>
      <c r="BF59" s="588">
        <f>INDEX('AP Funding Factor'!$I$9:$I$158,MATCH(C59,'AP Funding Factor'!$C$9:$C$158,0))</f>
        <v>104983.49498305091</v>
      </c>
      <c r="BG59" s="290">
        <f>INDEX('Import|Export Adjustments Data'!$Q$9:$Q$159,MATCH($C59,'Import|Export Adjustments Data'!$C$9:$C$159,0))</f>
        <v>46</v>
      </c>
      <c r="BH59" s="289">
        <v>326444</v>
      </c>
      <c r="BI59" s="81">
        <f t="shared" si="46"/>
        <v>602444</v>
      </c>
      <c r="BJ59" s="86">
        <f t="shared" si="48"/>
        <v>48090666.052170053</v>
      </c>
      <c r="BK59" s="620">
        <f t="shared" si="27"/>
        <v>548.46515850531068</v>
      </c>
      <c r="BL59" s="620">
        <f t="shared" si="28"/>
        <v>592.3423711857356</v>
      </c>
      <c r="BM59" s="620">
        <f t="shared" si="40"/>
        <v>592.3423711857356</v>
      </c>
      <c r="BN59" s="620">
        <f t="shared" si="51"/>
        <v>44576104.96111989</v>
      </c>
      <c r="BO59" s="281">
        <f t="shared" si="41"/>
        <v>8.0000000000000071E-2</v>
      </c>
      <c r="BP59" s="81">
        <f t="shared" si="52"/>
        <v>47488222.052170061</v>
      </c>
      <c r="BQ59" s="81">
        <f t="shared" si="53"/>
        <v>48090666.052170061</v>
      </c>
      <c r="BS59" s="599"/>
      <c r="BT59" s="601"/>
    </row>
    <row r="60" spans="1:72" ht="15.4" x14ac:dyDescent="0.45">
      <c r="A60" s="76"/>
      <c r="B60" s="77" t="s">
        <v>135</v>
      </c>
      <c r="C60" s="288">
        <v>896</v>
      </c>
      <c r="D60" s="78" t="s">
        <v>141</v>
      </c>
      <c r="E60" s="87">
        <v>1.00565807130392</v>
      </c>
      <c r="F60" s="327">
        <f t="shared" si="30"/>
        <v>4686.366612276267</v>
      </c>
      <c r="G60" s="290">
        <v>1083</v>
      </c>
      <c r="H60" s="81">
        <f t="shared" si="49"/>
        <v>5075335.0410951972</v>
      </c>
      <c r="I60" s="597">
        <f>INDEX('Historic Spend Factor'!$U$9:$U$159, MATCH(C60, 'Historic Spend Factor'!$C$9:$C$159, 0))</f>
        <v>16520842.232554745</v>
      </c>
      <c r="J60" s="80">
        <v>67962.14</v>
      </c>
      <c r="K60" s="82">
        <f t="shared" si="50"/>
        <v>68346.674634087001</v>
      </c>
      <c r="L60" s="81">
        <f t="shared" si="44"/>
        <v>13907153.39520568</v>
      </c>
      <c r="M60" s="80">
        <v>9555</v>
      </c>
      <c r="N60" s="82">
        <f t="shared" si="1"/>
        <v>9609.0628713089554</v>
      </c>
      <c r="O60" s="81">
        <f t="shared" si="32"/>
        <v>2446292.4683733699</v>
      </c>
      <c r="P60" s="80">
        <v>5882</v>
      </c>
      <c r="Q60" s="82">
        <f t="shared" si="2"/>
        <v>5915.2807754096575</v>
      </c>
      <c r="R60" s="84">
        <f t="shared" si="3"/>
        <v>363234.75197551475</v>
      </c>
      <c r="S60" s="80">
        <v>4842</v>
      </c>
      <c r="T60" s="82">
        <f t="shared" si="4"/>
        <v>4869.3963812535812</v>
      </c>
      <c r="U60" s="84">
        <f t="shared" si="5"/>
        <v>394696.75877441646</v>
      </c>
      <c r="V60" s="80">
        <v>2034</v>
      </c>
      <c r="W60" s="82">
        <f t="shared" si="6"/>
        <v>2045.5085170321734</v>
      </c>
      <c r="X60" s="84">
        <f t="shared" si="7"/>
        <v>226751.98263214823</v>
      </c>
      <c r="Y60" s="80">
        <v>3274</v>
      </c>
      <c r="Z60" s="82">
        <f t="shared" si="8"/>
        <v>3292.5245254490342</v>
      </c>
      <c r="AA60" s="84">
        <f t="shared" si="9"/>
        <v>387296.11445681955</v>
      </c>
      <c r="AB60" s="80">
        <v>4396</v>
      </c>
      <c r="AC60" s="82">
        <f t="shared" si="10"/>
        <v>4420.8728814520327</v>
      </c>
      <c r="AD60" s="84">
        <f t="shared" si="11"/>
        <v>578018.80206981301</v>
      </c>
      <c r="AE60" s="80">
        <v>944</v>
      </c>
      <c r="AF60" s="82">
        <f t="shared" si="12"/>
        <v>949.34121931090056</v>
      </c>
      <c r="AG60" s="84">
        <f t="shared" si="13"/>
        <v>163813.59868299775</v>
      </c>
      <c r="AH60" s="81">
        <f t="shared" si="14"/>
        <v>2113812.0085917101</v>
      </c>
      <c r="AI60" s="80">
        <v>302</v>
      </c>
      <c r="AJ60" s="82">
        <f t="shared" si="15"/>
        <v>303.70873753378385</v>
      </c>
      <c r="AK60" s="84">
        <f t="shared" si="16"/>
        <v>1666628.8641531589</v>
      </c>
      <c r="AL60" s="80">
        <v>3190</v>
      </c>
      <c r="AM60" s="82">
        <f t="shared" si="17"/>
        <v>3208.0492474595048</v>
      </c>
      <c r="AN60" s="84">
        <f t="shared" si="18"/>
        <v>2425817.3558044098</v>
      </c>
      <c r="AO60" s="564">
        <v>517</v>
      </c>
      <c r="AP60" s="82">
        <f t="shared" si="19"/>
        <v>519.92522286412668</v>
      </c>
      <c r="AQ60" s="84">
        <f t="shared" si="20"/>
        <v>2025705.2822141689</v>
      </c>
      <c r="AR60" s="564">
        <v>785</v>
      </c>
      <c r="AS60" s="82">
        <f t="shared" si="21"/>
        <v>789.44158597357728</v>
      </c>
      <c r="AT60" s="84">
        <f t="shared" si="22"/>
        <v>2175198.3487091716</v>
      </c>
      <c r="AU60" s="81">
        <f t="shared" si="33"/>
        <v>43281449.955606416</v>
      </c>
      <c r="AV60" s="620">
        <f>INDEX('2021-22 Baseline'!$J$9:$J$158,MATCH(C60,'2021-22 Baseline'!$C$9:$C$158,0))</f>
        <v>40344226.323591284</v>
      </c>
      <c r="AW60" s="623">
        <v>67196.696999999971</v>
      </c>
      <c r="AX60" s="620">
        <f t="shared" si="34"/>
        <v>600.39002100938535</v>
      </c>
      <c r="AY60" s="620">
        <f t="shared" si="35"/>
        <v>648.42122269013623</v>
      </c>
      <c r="AZ60" s="620">
        <f t="shared" si="36"/>
        <v>636.84648475763731</v>
      </c>
      <c r="BA60" s="620">
        <f t="shared" si="23"/>
        <v>648.42122269013623</v>
      </c>
      <c r="BB60" s="624">
        <f t="shared" si="37"/>
        <v>786643.95983180217</v>
      </c>
      <c r="BC60" s="620">
        <f t="shared" si="47"/>
        <v>0</v>
      </c>
      <c r="BD60" s="81">
        <f t="shared" si="25"/>
        <v>786643.95983180217</v>
      </c>
      <c r="BE60" s="81">
        <f t="shared" si="38"/>
        <v>44068093.91543822</v>
      </c>
      <c r="BF60" s="588">
        <f>INDEX('AP Funding Factor'!$I$9:$I$158,MATCH(C60,'AP Funding Factor'!$C$9:$C$158,0))</f>
        <v>805777.9973040492</v>
      </c>
      <c r="BG60" s="290">
        <f>INDEX('Import|Export Adjustments Data'!$Q$9:$Q$159,MATCH($C60,'Import|Export Adjustments Data'!$C$9:$C$159,0))</f>
        <v>-45</v>
      </c>
      <c r="BH60" s="289">
        <v>0</v>
      </c>
      <c r="BI60" s="81">
        <f t="shared" si="46"/>
        <v>-270000</v>
      </c>
      <c r="BJ60" s="86">
        <f t="shared" si="48"/>
        <v>49679206.953837469</v>
      </c>
      <c r="BK60" s="620">
        <f t="shared" si="27"/>
        <v>600.39002100938535</v>
      </c>
      <c r="BL60" s="620">
        <f t="shared" si="28"/>
        <v>648.42122269013623</v>
      </c>
      <c r="BM60" s="620">
        <f t="shared" si="40"/>
        <v>648.42122269013623</v>
      </c>
      <c r="BN60" s="620">
        <f t="shared" si="51"/>
        <v>44068093.915438212</v>
      </c>
      <c r="BO60" s="281">
        <f t="shared" si="41"/>
        <v>8.0000000000000071E-2</v>
      </c>
      <c r="BP60" s="81">
        <f t="shared" si="52"/>
        <v>49949206.953837462</v>
      </c>
      <c r="BQ60" s="81">
        <f t="shared" si="53"/>
        <v>49679206.953837462</v>
      </c>
      <c r="BS60" s="599"/>
      <c r="BT60" s="601"/>
    </row>
    <row r="61" spans="1:72" ht="15.4" x14ac:dyDescent="0.45">
      <c r="A61" s="76"/>
      <c r="B61" s="77" t="s">
        <v>135</v>
      </c>
      <c r="C61" s="288">
        <v>909</v>
      </c>
      <c r="D61" s="78" t="s">
        <v>142</v>
      </c>
      <c r="E61" s="87">
        <v>1</v>
      </c>
      <c r="F61" s="327">
        <f t="shared" si="30"/>
        <v>4660</v>
      </c>
      <c r="G61" s="290">
        <v>725.5</v>
      </c>
      <c r="H61" s="81">
        <f t="shared" si="49"/>
        <v>3380830</v>
      </c>
      <c r="I61" s="597">
        <f>INDEX('Historic Spend Factor'!$U$9:$U$159, MATCH(C61, 'Historic Spend Factor'!$C$9:$C$159, 0))</f>
        <v>19140578.762625884</v>
      </c>
      <c r="J61" s="80">
        <v>88670.371999999901</v>
      </c>
      <c r="K61" s="82">
        <f t="shared" si="50"/>
        <v>88670.371999999901</v>
      </c>
      <c r="L61" s="81">
        <f t="shared" si="44"/>
        <v>18042611.021179527</v>
      </c>
      <c r="M61" s="80">
        <v>11281</v>
      </c>
      <c r="N61" s="82">
        <f t="shared" si="1"/>
        <v>11281</v>
      </c>
      <c r="O61" s="81">
        <f t="shared" si="32"/>
        <v>2871937.2227357221</v>
      </c>
      <c r="P61" s="80">
        <v>9383</v>
      </c>
      <c r="Q61" s="82">
        <f t="shared" si="2"/>
        <v>9383</v>
      </c>
      <c r="R61" s="84">
        <f t="shared" si="3"/>
        <v>576174.11703508196</v>
      </c>
      <c r="S61" s="80">
        <v>5255</v>
      </c>
      <c r="T61" s="82">
        <f t="shared" si="4"/>
        <v>5255</v>
      </c>
      <c r="U61" s="84">
        <f t="shared" si="5"/>
        <v>425952.48054659134</v>
      </c>
      <c r="V61" s="80">
        <v>1900</v>
      </c>
      <c r="W61" s="82">
        <f t="shared" si="6"/>
        <v>1900</v>
      </c>
      <c r="X61" s="84">
        <f t="shared" si="7"/>
        <v>210621.83971063132</v>
      </c>
      <c r="Y61" s="80">
        <v>3395</v>
      </c>
      <c r="Z61" s="82">
        <f t="shared" si="8"/>
        <v>3395</v>
      </c>
      <c r="AA61" s="84">
        <f t="shared" si="9"/>
        <v>399350.19418012706</v>
      </c>
      <c r="AB61" s="80">
        <v>4450</v>
      </c>
      <c r="AC61" s="82">
        <f t="shared" si="10"/>
        <v>4450</v>
      </c>
      <c r="AD61" s="84">
        <f t="shared" si="11"/>
        <v>581827.10477887245</v>
      </c>
      <c r="AE61" s="80">
        <v>1197</v>
      </c>
      <c r="AF61" s="82">
        <f t="shared" si="12"/>
        <v>1197</v>
      </c>
      <c r="AG61" s="84">
        <f t="shared" si="13"/>
        <v>206548.36599835061</v>
      </c>
      <c r="AH61" s="81">
        <f t="shared" si="14"/>
        <v>2400474.1022496549</v>
      </c>
      <c r="AI61" s="80">
        <v>445</v>
      </c>
      <c r="AJ61" s="82">
        <f t="shared" si="15"/>
        <v>445</v>
      </c>
      <c r="AK61" s="84">
        <f t="shared" si="16"/>
        <v>2441977.3055283152</v>
      </c>
      <c r="AL61" s="80">
        <v>3324</v>
      </c>
      <c r="AM61" s="82">
        <f t="shared" si="17"/>
        <v>3324</v>
      </c>
      <c r="AN61" s="84">
        <f t="shared" si="18"/>
        <v>2513495.3576786206</v>
      </c>
      <c r="AO61" s="564">
        <v>786</v>
      </c>
      <c r="AP61" s="82">
        <f t="shared" si="19"/>
        <v>786</v>
      </c>
      <c r="AQ61" s="84">
        <f t="shared" si="20"/>
        <v>3062371.8215656397</v>
      </c>
      <c r="AR61" s="564">
        <v>884</v>
      </c>
      <c r="AS61" s="82">
        <f t="shared" si="21"/>
        <v>884</v>
      </c>
      <c r="AT61" s="84">
        <f t="shared" si="22"/>
        <v>2435741.1294561145</v>
      </c>
      <c r="AU61" s="81">
        <f t="shared" si="33"/>
        <v>52909186.723019488</v>
      </c>
      <c r="AV61" s="620">
        <f>INDEX('2021-22 Baseline'!$J$9:$J$158,MATCH(C61,'2021-22 Baseline'!$C$9:$C$158,0))</f>
        <v>50076917.050503716</v>
      </c>
      <c r="AW61" s="623">
        <v>88682.595000000016</v>
      </c>
      <c r="AX61" s="620">
        <f t="shared" si="34"/>
        <v>564.67581999042432</v>
      </c>
      <c r="AY61" s="620">
        <f t="shared" si="35"/>
        <v>609.84988558965836</v>
      </c>
      <c r="AZ61" s="620">
        <f t="shared" si="36"/>
        <v>596.69521543249584</v>
      </c>
      <c r="BA61" s="620">
        <f t="shared" si="23"/>
        <v>609.84988558965836</v>
      </c>
      <c r="BB61" s="624">
        <f t="shared" si="37"/>
        <v>1166429.4963728972</v>
      </c>
      <c r="BC61" s="620">
        <f t="shared" si="47"/>
        <v>0</v>
      </c>
      <c r="BD61" s="81">
        <f t="shared" si="25"/>
        <v>1166429.4963728972</v>
      </c>
      <c r="BE61" s="81">
        <f t="shared" si="38"/>
        <v>54075616.219392389</v>
      </c>
      <c r="BF61" s="588">
        <f>INDEX('AP Funding Factor'!$I$9:$I$158,MATCH(C61,'AP Funding Factor'!$C$9:$C$158,0))</f>
        <v>1215294.866108278</v>
      </c>
      <c r="BG61" s="290">
        <f>INDEX('Import|Export Adjustments Data'!$Q$9:$Q$159,MATCH($C61,'Import|Export Adjustments Data'!$C$9:$C$159,0))</f>
        <v>-114.5</v>
      </c>
      <c r="BH61" s="289">
        <v>4000</v>
      </c>
      <c r="BI61" s="81">
        <f t="shared" si="46"/>
        <v>-683000</v>
      </c>
      <c r="BJ61" s="86">
        <f t="shared" si="48"/>
        <v>57988741.085500665</v>
      </c>
      <c r="BK61" s="620">
        <f t="shared" si="27"/>
        <v>564.67581999042432</v>
      </c>
      <c r="BL61" s="620">
        <f t="shared" si="28"/>
        <v>609.84988558965836</v>
      </c>
      <c r="BM61" s="620">
        <f t="shared" si="40"/>
        <v>609.84988558965836</v>
      </c>
      <c r="BN61" s="620">
        <f t="shared" si="51"/>
        <v>54075616.219392389</v>
      </c>
      <c r="BO61" s="281">
        <f t="shared" si="41"/>
        <v>8.0000000000000071E-2</v>
      </c>
      <c r="BP61" s="81">
        <f t="shared" si="52"/>
        <v>58671741.085500665</v>
      </c>
      <c r="BQ61" s="81">
        <f t="shared" si="53"/>
        <v>57988741.085500665</v>
      </c>
      <c r="BS61" s="599"/>
      <c r="BT61" s="601"/>
    </row>
    <row r="62" spans="1:72" ht="15.4" x14ac:dyDescent="0.45">
      <c r="A62" s="76"/>
      <c r="B62" s="77" t="s">
        <v>135</v>
      </c>
      <c r="C62" s="288">
        <v>876</v>
      </c>
      <c r="D62" s="78" t="s">
        <v>143</v>
      </c>
      <c r="E62" s="87">
        <v>1.00565807130392</v>
      </c>
      <c r="F62" s="327">
        <f t="shared" si="30"/>
        <v>4686.366612276267</v>
      </c>
      <c r="G62" s="290">
        <v>441.5</v>
      </c>
      <c r="H62" s="81">
        <f t="shared" si="49"/>
        <v>2069030.8593199719</v>
      </c>
      <c r="I62" s="597">
        <f>INDEX('Historic Spend Factor'!$U$9:$U$159, MATCH(C62, 'Historic Spend Factor'!$C$9:$C$159, 0))</f>
        <v>7755620.0151292775</v>
      </c>
      <c r="J62" s="80">
        <v>27638.031999999992</v>
      </c>
      <c r="K62" s="82">
        <f t="shared" si="50"/>
        <v>27794.409955756015</v>
      </c>
      <c r="L62" s="81">
        <f t="shared" si="44"/>
        <v>5655595.1676271986</v>
      </c>
      <c r="M62" s="80">
        <v>7501</v>
      </c>
      <c r="N62" s="82">
        <f t="shared" si="1"/>
        <v>7543.4411928507043</v>
      </c>
      <c r="O62" s="81">
        <f t="shared" si="32"/>
        <v>1920422.7948999109</v>
      </c>
      <c r="P62" s="80">
        <v>3235</v>
      </c>
      <c r="Q62" s="82">
        <f t="shared" si="2"/>
        <v>3253.3038606681812</v>
      </c>
      <c r="R62" s="84">
        <f t="shared" si="3"/>
        <v>199772.93822522782</v>
      </c>
      <c r="S62" s="80">
        <v>3290</v>
      </c>
      <c r="T62" s="82">
        <f t="shared" si="4"/>
        <v>3308.6150545898968</v>
      </c>
      <c r="U62" s="84">
        <f t="shared" si="5"/>
        <v>268185.11696981202</v>
      </c>
      <c r="V62" s="80">
        <v>3408</v>
      </c>
      <c r="W62" s="82">
        <f t="shared" si="6"/>
        <v>3427.2827070037597</v>
      </c>
      <c r="X62" s="84">
        <f t="shared" si="7"/>
        <v>379926.62576713919</v>
      </c>
      <c r="Y62" s="80">
        <v>1406</v>
      </c>
      <c r="Z62" s="82">
        <f t="shared" si="8"/>
        <v>1413.9552482533115</v>
      </c>
      <c r="AA62" s="84">
        <f t="shared" si="9"/>
        <v>166322.03327009419</v>
      </c>
      <c r="AB62" s="80">
        <v>5300</v>
      </c>
      <c r="AC62" s="82">
        <f t="shared" si="10"/>
        <v>5329.9877779107765</v>
      </c>
      <c r="AD62" s="84">
        <f t="shared" si="11"/>
        <v>696883.45108507934</v>
      </c>
      <c r="AE62" s="80">
        <v>1815</v>
      </c>
      <c r="AF62" s="82">
        <f t="shared" si="12"/>
        <v>1825.269399416615</v>
      </c>
      <c r="AG62" s="84">
        <f t="shared" si="13"/>
        <v>314959.40848478914</v>
      </c>
      <c r="AH62" s="81">
        <f t="shared" si="14"/>
        <v>2026049.5738021417</v>
      </c>
      <c r="AI62" s="80">
        <v>150</v>
      </c>
      <c r="AJ62" s="82">
        <f t="shared" si="15"/>
        <v>150.84871069558801</v>
      </c>
      <c r="AK62" s="84">
        <f t="shared" si="16"/>
        <v>827795.7934535559</v>
      </c>
      <c r="AL62" s="80">
        <v>1378</v>
      </c>
      <c r="AM62" s="82">
        <f t="shared" si="17"/>
        <v>1385.7968222568018</v>
      </c>
      <c r="AN62" s="84">
        <f t="shared" si="18"/>
        <v>1047892.2621625318</v>
      </c>
      <c r="AO62" s="564">
        <v>180</v>
      </c>
      <c r="AP62" s="82">
        <f t="shared" si="19"/>
        <v>181.01845283470561</v>
      </c>
      <c r="AQ62" s="84">
        <f t="shared" si="20"/>
        <v>705274.56634149002</v>
      </c>
      <c r="AR62" s="564">
        <v>363</v>
      </c>
      <c r="AS62" s="82">
        <f t="shared" si="21"/>
        <v>365.05387988332296</v>
      </c>
      <c r="AT62" s="84">
        <f t="shared" si="22"/>
        <v>1005856.0516960882</v>
      </c>
      <c r="AU62" s="81">
        <f t="shared" si="33"/>
        <v>20944506.225112196</v>
      </c>
      <c r="AV62" s="620">
        <f>INDEX('2021-22 Baseline'!$J$9:$J$158,MATCH(C62,'2021-22 Baseline'!$C$9:$C$158,0))</f>
        <v>19314317.530095592</v>
      </c>
      <c r="AW62" s="623">
        <v>27513.361999999936</v>
      </c>
      <c r="AX62" s="620">
        <f t="shared" si="34"/>
        <v>701.99772496344281</v>
      </c>
      <c r="AY62" s="620">
        <f t="shared" si="35"/>
        <v>758.1575429605183</v>
      </c>
      <c r="AZ62" s="620">
        <f t="shared" si="36"/>
        <v>757.81467454383881</v>
      </c>
      <c r="BA62" s="620">
        <f t="shared" si="23"/>
        <v>758.1575429605183</v>
      </c>
      <c r="BB62" s="624">
        <f t="shared" si="37"/>
        <v>9476.2082719771788</v>
      </c>
      <c r="BC62" s="620">
        <f t="shared" si="47"/>
        <v>0</v>
      </c>
      <c r="BD62" s="81">
        <f t="shared" si="25"/>
        <v>9476.2082719771788</v>
      </c>
      <c r="BE62" s="81">
        <f t="shared" si="38"/>
        <v>20953982.433384173</v>
      </c>
      <c r="BF62" s="588">
        <f>INDEX('AP Funding Factor'!$I$9:$I$158,MATCH(C62,'AP Funding Factor'!$C$9:$C$158,0))</f>
        <v>67644.32397094433</v>
      </c>
      <c r="BG62" s="290">
        <f>INDEX('Import|Export Adjustments Data'!$Q$9:$Q$159,MATCH($C62,'Import|Export Adjustments Data'!$C$9:$C$159,0))</f>
        <v>-28</v>
      </c>
      <c r="BH62" s="289">
        <v>0</v>
      </c>
      <c r="BI62" s="81">
        <f t="shared" si="46"/>
        <v>-168000</v>
      </c>
      <c r="BJ62" s="86">
        <f t="shared" si="48"/>
        <v>22922657.616675086</v>
      </c>
      <c r="BK62" s="620">
        <f t="shared" si="27"/>
        <v>701.99772496344281</v>
      </c>
      <c r="BL62" s="620">
        <f t="shared" si="28"/>
        <v>758.1575429605183</v>
      </c>
      <c r="BM62" s="620">
        <f t="shared" si="40"/>
        <v>758.1575429605183</v>
      </c>
      <c r="BN62" s="620">
        <f t="shared" si="51"/>
        <v>20953982.433384173</v>
      </c>
      <c r="BO62" s="281">
        <f t="shared" si="41"/>
        <v>8.0000000000000071E-2</v>
      </c>
      <c r="BP62" s="81">
        <f t="shared" si="52"/>
        <v>23090657.61667509</v>
      </c>
      <c r="BQ62" s="81">
        <f t="shared" si="53"/>
        <v>22922657.61667509</v>
      </c>
      <c r="BS62" s="599"/>
      <c r="BT62" s="601"/>
    </row>
    <row r="63" spans="1:72" ht="15.4" x14ac:dyDescent="0.45">
      <c r="A63" s="76"/>
      <c r="B63" s="77" t="s">
        <v>135</v>
      </c>
      <c r="C63" s="288">
        <v>340</v>
      </c>
      <c r="D63" s="78" t="s">
        <v>144</v>
      </c>
      <c r="E63" s="87">
        <v>1.0017474983146799</v>
      </c>
      <c r="F63" s="327">
        <f t="shared" si="30"/>
        <v>4668.143342146408</v>
      </c>
      <c r="G63" s="290">
        <v>606.5</v>
      </c>
      <c r="H63" s="81">
        <f t="shared" si="49"/>
        <v>2831228.9370117965</v>
      </c>
      <c r="I63" s="597">
        <f>INDEX('Historic Spend Factor'!$U$9:$U$159, MATCH(C63, 'Historic Spend Factor'!$C$9:$C$159, 0))</f>
        <v>9881342.4970102645</v>
      </c>
      <c r="J63" s="80">
        <v>32709.121999999985</v>
      </c>
      <c r="K63" s="82">
        <f t="shared" si="50"/>
        <v>32766.281135569643</v>
      </c>
      <c r="L63" s="81">
        <f t="shared" si="44"/>
        <v>6667269.481396744</v>
      </c>
      <c r="M63" s="80">
        <v>8842.5</v>
      </c>
      <c r="N63" s="82">
        <f t="shared" si="1"/>
        <v>8857.9522538475576</v>
      </c>
      <c r="O63" s="81">
        <f t="shared" si="32"/>
        <v>2255073.3795798765</v>
      </c>
      <c r="P63" s="80">
        <v>1828</v>
      </c>
      <c r="Q63" s="82">
        <f t="shared" si="2"/>
        <v>1831.194426919235</v>
      </c>
      <c r="R63" s="84">
        <f t="shared" si="3"/>
        <v>112446.64095169489</v>
      </c>
      <c r="S63" s="80">
        <v>2597</v>
      </c>
      <c r="T63" s="82">
        <f t="shared" si="4"/>
        <v>2601.5382531232235</v>
      </c>
      <c r="U63" s="84">
        <f t="shared" si="5"/>
        <v>210871.86910650489</v>
      </c>
      <c r="V63" s="80">
        <v>1241</v>
      </c>
      <c r="W63" s="82">
        <f t="shared" si="6"/>
        <v>1243.1686454085177</v>
      </c>
      <c r="X63" s="84">
        <f t="shared" si="7"/>
        <v>137809.71956132393</v>
      </c>
      <c r="Y63" s="80">
        <v>3609</v>
      </c>
      <c r="Z63" s="82">
        <f t="shared" si="8"/>
        <v>3615.3067214176799</v>
      </c>
      <c r="AA63" s="84">
        <f t="shared" si="9"/>
        <v>425264.63658876845</v>
      </c>
      <c r="AB63" s="80">
        <v>5006</v>
      </c>
      <c r="AC63" s="82">
        <f t="shared" si="10"/>
        <v>5014.7479765632879</v>
      </c>
      <c r="AD63" s="84">
        <f t="shared" si="11"/>
        <v>655666.58346056787</v>
      </c>
      <c r="AE63" s="80">
        <v>7867</v>
      </c>
      <c r="AF63" s="82">
        <f t="shared" si="12"/>
        <v>7880.7475692415865</v>
      </c>
      <c r="AG63" s="84">
        <f t="shared" si="13"/>
        <v>1359862.6008958421</v>
      </c>
      <c r="AH63" s="81">
        <f t="shared" si="14"/>
        <v>2901922.0505647026</v>
      </c>
      <c r="AI63" s="80">
        <v>255</v>
      </c>
      <c r="AJ63" s="82">
        <f t="shared" si="15"/>
        <v>255.44561207024339</v>
      </c>
      <c r="AK63" s="84">
        <f t="shared" si="16"/>
        <v>1401780.646005223</v>
      </c>
      <c r="AL63" s="80">
        <v>1715</v>
      </c>
      <c r="AM63" s="82">
        <f t="shared" si="17"/>
        <v>1717.996959609676</v>
      </c>
      <c r="AN63" s="84">
        <f t="shared" si="18"/>
        <v>1299090.6686176008</v>
      </c>
      <c r="AO63" s="564">
        <v>268</v>
      </c>
      <c r="AP63" s="82">
        <f t="shared" si="19"/>
        <v>268.46832954833422</v>
      </c>
      <c r="AQ63" s="84">
        <f t="shared" si="20"/>
        <v>1045992.1722539652</v>
      </c>
      <c r="AR63" s="564">
        <v>618</v>
      </c>
      <c r="AS63" s="82">
        <f t="shared" si="21"/>
        <v>619.07995395847217</v>
      </c>
      <c r="AT63" s="84">
        <f t="shared" si="22"/>
        <v>1705790.165473358</v>
      </c>
      <c r="AU63" s="81">
        <f t="shared" si="33"/>
        <v>27158261.060901739</v>
      </c>
      <c r="AV63" s="620">
        <f>INDEX('2021-22 Baseline'!$J$9:$J$158,MATCH(C63,'2021-22 Baseline'!$C$9:$C$158,0))</f>
        <v>24359929.050794218</v>
      </c>
      <c r="AW63" s="623">
        <v>32333.51999999995</v>
      </c>
      <c r="AX63" s="620">
        <f t="shared" si="34"/>
        <v>753.39551805043982</v>
      </c>
      <c r="AY63" s="620">
        <f t="shared" si="35"/>
        <v>813.66715949447507</v>
      </c>
      <c r="AZ63" s="620">
        <f t="shared" si="36"/>
        <v>830.29624154698342</v>
      </c>
      <c r="BA63" s="620">
        <f t="shared" si="23"/>
        <v>830.29624154698342</v>
      </c>
      <c r="BB63" s="624">
        <f t="shared" si="37"/>
        <v>0</v>
      </c>
      <c r="BC63" s="620">
        <f t="shared" si="47"/>
        <v>0</v>
      </c>
      <c r="BD63" s="81">
        <f t="shared" si="25"/>
        <v>0</v>
      </c>
      <c r="BE63" s="81">
        <f t="shared" si="38"/>
        <v>27158261.060901739</v>
      </c>
      <c r="BF63" s="588">
        <f>INDEX('AP Funding Factor'!$I$9:$I$158,MATCH(C63,'AP Funding Factor'!$C$9:$C$158,0))</f>
        <v>246655.65241458532</v>
      </c>
      <c r="BG63" s="290">
        <f>INDEX('Import|Export Adjustments Data'!$Q$9:$Q$159,MATCH($C63,'Import|Export Adjustments Data'!$C$9:$C$159,0))</f>
        <v>-192</v>
      </c>
      <c r="BH63" s="289">
        <v>0</v>
      </c>
      <c r="BI63" s="81">
        <f t="shared" si="46"/>
        <v>-1152000</v>
      </c>
      <c r="BJ63" s="86">
        <f t="shared" si="48"/>
        <v>29084145.650328122</v>
      </c>
      <c r="BK63" s="620">
        <f t="shared" si="27"/>
        <v>753.39551805043982</v>
      </c>
      <c r="BL63" s="620">
        <f t="shared" si="28"/>
        <v>830.29624154698342</v>
      </c>
      <c r="BM63" s="620">
        <f t="shared" si="40"/>
        <v>830.29624154698342</v>
      </c>
      <c r="BN63" s="620">
        <f t="shared" si="51"/>
        <v>27158261.060901739</v>
      </c>
      <c r="BO63" s="281">
        <f t="shared" si="41"/>
        <v>0.10207218075246782</v>
      </c>
      <c r="BP63" s="81">
        <f t="shared" si="52"/>
        <v>30236145.650328122</v>
      </c>
      <c r="BQ63" s="81">
        <f t="shared" si="53"/>
        <v>29084145.650328122</v>
      </c>
      <c r="BS63" s="599"/>
      <c r="BT63" s="601"/>
    </row>
    <row r="64" spans="1:72" ht="15.4" x14ac:dyDescent="0.45">
      <c r="A64" s="76"/>
      <c r="B64" s="77" t="s">
        <v>135</v>
      </c>
      <c r="C64" s="288">
        <v>888</v>
      </c>
      <c r="D64" s="78" t="s">
        <v>145</v>
      </c>
      <c r="E64" s="87">
        <v>1</v>
      </c>
      <c r="F64" s="327">
        <f t="shared" si="30"/>
        <v>4660</v>
      </c>
      <c r="G64" s="290">
        <v>3147.5</v>
      </c>
      <c r="H64" s="81">
        <f t="shared" si="49"/>
        <v>14667350</v>
      </c>
      <c r="I64" s="597">
        <f>INDEX('Historic Spend Factor'!$U$9:$U$159, MATCH(C64, 'Historic Spend Factor'!$C$9:$C$159, 0))</f>
        <v>52113021.669182912</v>
      </c>
      <c r="J64" s="80">
        <v>244899.07899999991</v>
      </c>
      <c r="K64" s="82">
        <f t="shared" si="50"/>
        <v>244899.07899999991</v>
      </c>
      <c r="L64" s="81">
        <f t="shared" si="44"/>
        <v>49831964.411315642</v>
      </c>
      <c r="M64" s="80">
        <v>38619.5</v>
      </c>
      <c r="N64" s="82">
        <f t="shared" si="1"/>
        <v>38619.5</v>
      </c>
      <c r="O64" s="81">
        <f t="shared" si="32"/>
        <v>9831821.609205056</v>
      </c>
      <c r="P64" s="80">
        <v>20643</v>
      </c>
      <c r="Q64" s="82">
        <f t="shared" si="2"/>
        <v>20643</v>
      </c>
      <c r="R64" s="84">
        <f t="shared" si="3"/>
        <v>1267607.6199462004</v>
      </c>
      <c r="S64" s="80">
        <v>30089</v>
      </c>
      <c r="T64" s="82">
        <f t="shared" si="4"/>
        <v>30089</v>
      </c>
      <c r="U64" s="84">
        <f t="shared" si="5"/>
        <v>2438912.3096415577</v>
      </c>
      <c r="V64" s="80">
        <v>17550</v>
      </c>
      <c r="W64" s="82">
        <f t="shared" si="6"/>
        <v>17550</v>
      </c>
      <c r="X64" s="84">
        <f t="shared" si="7"/>
        <v>1945480.6773271475</v>
      </c>
      <c r="Y64" s="80">
        <v>14784</v>
      </c>
      <c r="Z64" s="82">
        <f t="shared" si="8"/>
        <v>14784</v>
      </c>
      <c r="AA64" s="84">
        <f t="shared" si="9"/>
        <v>1739026.0002235638</v>
      </c>
      <c r="AB64" s="80">
        <v>13108</v>
      </c>
      <c r="AC64" s="82">
        <f t="shared" si="10"/>
        <v>13108</v>
      </c>
      <c r="AD64" s="84">
        <f t="shared" si="11"/>
        <v>1713840.3796497665</v>
      </c>
      <c r="AE64" s="80">
        <v>4128</v>
      </c>
      <c r="AF64" s="82">
        <f t="shared" si="12"/>
        <v>4128</v>
      </c>
      <c r="AG64" s="84">
        <f t="shared" si="13"/>
        <v>712307.14690158004</v>
      </c>
      <c r="AH64" s="81">
        <f t="shared" si="14"/>
        <v>9817174.133689817</v>
      </c>
      <c r="AI64" s="80">
        <v>1279</v>
      </c>
      <c r="AJ64" s="82">
        <f t="shared" si="15"/>
        <v>1279</v>
      </c>
      <c r="AK64" s="84">
        <f t="shared" si="16"/>
        <v>7018626.9073499218</v>
      </c>
      <c r="AL64" s="80">
        <v>9942</v>
      </c>
      <c r="AM64" s="82">
        <f t="shared" si="17"/>
        <v>9942</v>
      </c>
      <c r="AN64" s="84">
        <f t="shared" si="18"/>
        <v>7517801.0968835279</v>
      </c>
      <c r="AO64" s="564">
        <v>1781</v>
      </c>
      <c r="AP64" s="82">
        <f t="shared" si="19"/>
        <v>1781</v>
      </c>
      <c r="AQ64" s="84">
        <f t="shared" si="20"/>
        <v>6939038.4404687071</v>
      </c>
      <c r="AR64" s="564">
        <v>3051</v>
      </c>
      <c r="AS64" s="82">
        <f t="shared" si="21"/>
        <v>3051</v>
      </c>
      <c r="AT64" s="84">
        <f t="shared" si="22"/>
        <v>8406613.3325459342</v>
      </c>
      <c r="AU64" s="81">
        <f t="shared" si="33"/>
        <v>151476061.60064152</v>
      </c>
      <c r="AV64" s="620">
        <f>INDEX('2021-22 Baseline'!$J$9:$J$158,MATCH(C64,'2021-22 Baseline'!$C$9:$C$158,0))</f>
        <v>136499851.51415518</v>
      </c>
      <c r="AW64" s="623">
        <v>243158.13799999989</v>
      </c>
      <c r="AX64" s="620">
        <f t="shared" si="34"/>
        <v>561.36246410208673</v>
      </c>
      <c r="AY64" s="620">
        <f t="shared" si="35"/>
        <v>606.27146123025375</v>
      </c>
      <c r="AZ64" s="620">
        <f t="shared" si="36"/>
        <v>618.52442328148391</v>
      </c>
      <c r="BA64" s="620">
        <f t="shared" si="23"/>
        <v>618.52442328148391</v>
      </c>
      <c r="BB64" s="624">
        <f t="shared" si="37"/>
        <v>0</v>
      </c>
      <c r="BC64" s="620">
        <f t="shared" si="47"/>
        <v>0</v>
      </c>
      <c r="BD64" s="81">
        <f t="shared" si="25"/>
        <v>0</v>
      </c>
      <c r="BE64" s="81">
        <f t="shared" si="38"/>
        <v>151476061.60064152</v>
      </c>
      <c r="BF64" s="588">
        <f>INDEX('AP Funding Factor'!$I$9:$I$158,MATCH(C64,'AP Funding Factor'!$C$9:$C$158,0))</f>
        <v>1507192.8217714289</v>
      </c>
      <c r="BG64" s="290">
        <f>INDEX('Import|Export Adjustments Data'!$Q$9:$Q$159,MATCH($C64,'Import|Export Adjustments Data'!$C$9:$C$159,0))</f>
        <v>-258.5</v>
      </c>
      <c r="BH64" s="289">
        <v>93000</v>
      </c>
      <c r="BI64" s="81">
        <f t="shared" si="46"/>
        <v>-1458000</v>
      </c>
      <c r="BJ64" s="86">
        <f t="shared" si="48"/>
        <v>166192604.42241296</v>
      </c>
      <c r="BK64" s="620">
        <f t="shared" si="27"/>
        <v>561.36246410208673</v>
      </c>
      <c r="BL64" s="620">
        <f t="shared" si="28"/>
        <v>618.52442328148391</v>
      </c>
      <c r="BM64" s="620">
        <f t="shared" si="40"/>
        <v>618.52442328148391</v>
      </c>
      <c r="BN64" s="620">
        <f t="shared" si="51"/>
        <v>151476061.60064152</v>
      </c>
      <c r="BO64" s="281">
        <f t="shared" si="41"/>
        <v>0.10182718445706751</v>
      </c>
      <c r="BP64" s="81">
        <f t="shared" si="52"/>
        <v>167650604.42241293</v>
      </c>
      <c r="BQ64" s="81">
        <f t="shared" si="53"/>
        <v>166192604.42241293</v>
      </c>
      <c r="BS64" s="599"/>
      <c r="BT64" s="601"/>
    </row>
    <row r="65" spans="1:72" ht="15.4" x14ac:dyDescent="0.45">
      <c r="A65" s="76"/>
      <c r="B65" s="77" t="s">
        <v>135</v>
      </c>
      <c r="C65" s="288">
        <v>341</v>
      </c>
      <c r="D65" s="78" t="s">
        <v>146</v>
      </c>
      <c r="E65" s="87">
        <v>1.0017474983146799</v>
      </c>
      <c r="F65" s="327">
        <f t="shared" si="30"/>
        <v>4668.143342146408</v>
      </c>
      <c r="G65" s="290">
        <v>1539.5</v>
      </c>
      <c r="H65" s="81">
        <f t="shared" si="49"/>
        <v>7186606.6752343951</v>
      </c>
      <c r="I65" s="597">
        <f>INDEX('Historic Spend Factor'!$U$9:$U$159, MATCH(C65, 'Historic Spend Factor'!$C$9:$C$159, 0))</f>
        <v>20141018.767434221</v>
      </c>
      <c r="J65" s="80">
        <v>94367.82799999995</v>
      </c>
      <c r="K65" s="82">
        <f t="shared" si="50"/>
        <v>94532.735620389954</v>
      </c>
      <c r="L65" s="81">
        <f t="shared" si="44"/>
        <v>19235482.372473866</v>
      </c>
      <c r="M65" s="80">
        <v>24895.5</v>
      </c>
      <c r="N65" s="82">
        <f t="shared" si="1"/>
        <v>24939.004844293115</v>
      </c>
      <c r="O65" s="81">
        <f t="shared" si="32"/>
        <v>6349016.6040521134</v>
      </c>
      <c r="P65" s="80">
        <v>4245</v>
      </c>
      <c r="Q65" s="82">
        <f t="shared" si="2"/>
        <v>4252.4181303458163</v>
      </c>
      <c r="R65" s="84">
        <f t="shared" si="3"/>
        <v>261124.72146605296</v>
      </c>
      <c r="S65" s="80">
        <v>8101</v>
      </c>
      <c r="T65" s="82">
        <f t="shared" si="4"/>
        <v>8115.1564838472223</v>
      </c>
      <c r="U65" s="84">
        <f t="shared" si="5"/>
        <v>657787.06647354492</v>
      </c>
      <c r="V65" s="80">
        <v>6652</v>
      </c>
      <c r="W65" s="82">
        <f t="shared" si="6"/>
        <v>6663.6243587892504</v>
      </c>
      <c r="X65" s="84">
        <f t="shared" si="7"/>
        <v>738686.74820461473</v>
      </c>
      <c r="Y65" s="80">
        <v>7275</v>
      </c>
      <c r="Z65" s="82">
        <f t="shared" si="8"/>
        <v>7287.7130502392965</v>
      </c>
      <c r="AA65" s="84">
        <f t="shared" si="9"/>
        <v>857245.83851019409</v>
      </c>
      <c r="AB65" s="80">
        <v>24184</v>
      </c>
      <c r="AC65" s="82">
        <f t="shared" si="10"/>
        <v>24226.26149924222</v>
      </c>
      <c r="AD65" s="84">
        <f t="shared" si="11"/>
        <v>3167527.0983640379</v>
      </c>
      <c r="AE65" s="80">
        <v>16533</v>
      </c>
      <c r="AF65" s="82">
        <f t="shared" si="12"/>
        <v>16561.891389636603</v>
      </c>
      <c r="AG65" s="84">
        <f t="shared" si="13"/>
        <v>2857837.5976370866</v>
      </c>
      <c r="AH65" s="81">
        <f t="shared" si="14"/>
        <v>8540209.0706555303</v>
      </c>
      <c r="AI65" s="80">
        <v>774</v>
      </c>
      <c r="AJ65" s="82">
        <f t="shared" si="15"/>
        <v>775.35256369556225</v>
      </c>
      <c r="AK65" s="84">
        <f t="shared" si="16"/>
        <v>4254816.549051147</v>
      </c>
      <c r="AL65" s="80">
        <v>5932</v>
      </c>
      <c r="AM65" s="82">
        <f t="shared" si="17"/>
        <v>5942.3661600026808</v>
      </c>
      <c r="AN65" s="84">
        <f t="shared" si="18"/>
        <v>4493414.4876032704</v>
      </c>
      <c r="AO65" s="564">
        <v>995</v>
      </c>
      <c r="AP65" s="82">
        <f t="shared" si="19"/>
        <v>996.73876082310653</v>
      </c>
      <c r="AQ65" s="84">
        <f t="shared" si="20"/>
        <v>3883441.0872861766</v>
      </c>
      <c r="AR65" s="564">
        <v>1654</v>
      </c>
      <c r="AS65" s="82">
        <f t="shared" si="21"/>
        <v>1656.8903622124806</v>
      </c>
      <c r="AT65" s="84">
        <f t="shared" si="22"/>
        <v>4565334.8441633247</v>
      </c>
      <c r="AU65" s="81">
        <f t="shared" si="33"/>
        <v>71462733.782719642</v>
      </c>
      <c r="AV65" s="620">
        <f>INDEX('2021-22 Baseline'!$J$9:$J$158,MATCH(C65,'2021-22 Baseline'!$C$9:$C$158,0))</f>
        <v>58722111.941215836</v>
      </c>
      <c r="AW65" s="623">
        <v>93037.118999999977</v>
      </c>
      <c r="AX65" s="620">
        <f t="shared" si="34"/>
        <v>631.16864077891159</v>
      </c>
      <c r="AY65" s="620">
        <f t="shared" si="35"/>
        <v>681.6621320412246</v>
      </c>
      <c r="AZ65" s="620">
        <f t="shared" si="36"/>
        <v>757.2785693734487</v>
      </c>
      <c r="BA65" s="620">
        <f t="shared" si="23"/>
        <v>757.2785693734487</v>
      </c>
      <c r="BB65" s="624">
        <f t="shared" si="37"/>
        <v>0</v>
      </c>
      <c r="BC65" s="620">
        <f t="shared" si="47"/>
        <v>0</v>
      </c>
      <c r="BD65" s="81">
        <f t="shared" si="25"/>
        <v>0</v>
      </c>
      <c r="BE65" s="81">
        <f t="shared" si="38"/>
        <v>71462733.782719642</v>
      </c>
      <c r="BF65" s="588">
        <f>INDEX('AP Funding Factor'!$I$9:$I$158,MATCH(C65,'AP Funding Factor'!$C$9:$C$158,0))</f>
        <v>1266454.9984537191</v>
      </c>
      <c r="BG65" s="290">
        <f>INDEX('Import|Export Adjustments Data'!$Q$9:$Q$159,MATCH($C65,'Import|Export Adjustments Data'!$C$9:$C$159,0))</f>
        <v>-92</v>
      </c>
      <c r="BH65" s="289">
        <v>0</v>
      </c>
      <c r="BI65" s="81">
        <f t="shared" si="46"/>
        <v>-552000</v>
      </c>
      <c r="BJ65" s="86">
        <f t="shared" si="48"/>
        <v>79363795.456407756</v>
      </c>
      <c r="BK65" s="620">
        <f t="shared" si="27"/>
        <v>631.16864077891159</v>
      </c>
      <c r="BL65" s="620">
        <f t="shared" si="28"/>
        <v>757.2785693734487</v>
      </c>
      <c r="BM65" s="620">
        <f t="shared" si="40"/>
        <v>700.59719126459197</v>
      </c>
      <c r="BN65" s="620">
        <f t="shared" si="51"/>
        <v>66113835.242540084</v>
      </c>
      <c r="BO65" s="281">
        <f t="shared" si="41"/>
        <v>0.1100000000000001</v>
      </c>
      <c r="BP65" s="81">
        <f t="shared" si="52"/>
        <v>74566896.916228205</v>
      </c>
      <c r="BQ65" s="81">
        <f t="shared" si="53"/>
        <v>74014896.916228205</v>
      </c>
      <c r="BS65" s="599"/>
      <c r="BT65" s="601"/>
    </row>
    <row r="66" spans="1:72" ht="15.4" x14ac:dyDescent="0.45">
      <c r="A66" s="76"/>
      <c r="B66" s="77" t="s">
        <v>135</v>
      </c>
      <c r="C66" s="288">
        <v>352</v>
      </c>
      <c r="D66" s="78" t="s">
        <v>147</v>
      </c>
      <c r="E66" s="87">
        <v>1.0085131058565699</v>
      </c>
      <c r="F66" s="327">
        <f t="shared" si="30"/>
        <v>4699.6710732916163</v>
      </c>
      <c r="G66" s="290">
        <v>1900</v>
      </c>
      <c r="H66" s="81">
        <f t="shared" si="49"/>
        <v>8929375.0392540712</v>
      </c>
      <c r="I66" s="597">
        <f>INDEX('Historic Spend Factor'!$U$9:$U$159, MATCH(C66, 'Historic Spend Factor'!$C$9:$C$159, 0))</f>
        <v>33460421.32463276</v>
      </c>
      <c r="J66" s="80">
        <v>117712.19199999998</v>
      </c>
      <c r="K66" s="82">
        <f t="shared" si="50"/>
        <v>118714.28835110487</v>
      </c>
      <c r="L66" s="81">
        <f t="shared" si="44"/>
        <v>24155934.829901602</v>
      </c>
      <c r="M66" s="80">
        <v>36228</v>
      </c>
      <c r="N66" s="82">
        <f t="shared" si="1"/>
        <v>36536.412798971818</v>
      </c>
      <c r="O66" s="81">
        <f t="shared" si="32"/>
        <v>9301505.5316554401</v>
      </c>
      <c r="P66" s="80">
        <v>10807</v>
      </c>
      <c r="Q66" s="82">
        <f t="shared" si="2"/>
        <v>10899.001134991951</v>
      </c>
      <c r="R66" s="84">
        <f t="shared" si="3"/>
        <v>669265.94431614026</v>
      </c>
      <c r="S66" s="80">
        <v>18876</v>
      </c>
      <c r="T66" s="82">
        <f t="shared" si="4"/>
        <v>19036.693386148614</v>
      </c>
      <c r="U66" s="84">
        <f t="shared" si="5"/>
        <v>1543049.8133653456</v>
      </c>
      <c r="V66" s="80">
        <v>9475</v>
      </c>
      <c r="W66" s="82">
        <f t="shared" si="6"/>
        <v>9555.661677991</v>
      </c>
      <c r="X66" s="84">
        <f t="shared" si="7"/>
        <v>1059279.4959320226</v>
      </c>
      <c r="Y66" s="80">
        <v>19832</v>
      </c>
      <c r="Z66" s="82">
        <f t="shared" si="8"/>
        <v>20000.831915347495</v>
      </c>
      <c r="AA66" s="84">
        <f t="shared" si="9"/>
        <v>2352676.3208124018</v>
      </c>
      <c r="AB66" s="80">
        <v>25439</v>
      </c>
      <c r="AC66" s="82">
        <f t="shared" si="10"/>
        <v>25655.564899885281</v>
      </c>
      <c r="AD66" s="84">
        <f t="shared" si="11"/>
        <v>3354405.1791385883</v>
      </c>
      <c r="AE66" s="80">
        <v>13358</v>
      </c>
      <c r="AF66" s="82">
        <f t="shared" si="12"/>
        <v>13471.718068032062</v>
      </c>
      <c r="AG66" s="84">
        <f t="shared" si="13"/>
        <v>2324612.6601023218</v>
      </c>
      <c r="AH66" s="81">
        <f t="shared" si="14"/>
        <v>11303289.41366682</v>
      </c>
      <c r="AI66" s="80">
        <v>972</v>
      </c>
      <c r="AJ66" s="82">
        <f t="shared" si="15"/>
        <v>980.27473889258602</v>
      </c>
      <c r="AK66" s="84">
        <f t="shared" si="16"/>
        <v>5379345.3158615502</v>
      </c>
      <c r="AL66" s="80">
        <v>5573</v>
      </c>
      <c r="AM66" s="82">
        <f t="shared" si="17"/>
        <v>5620.4435389386645</v>
      </c>
      <c r="AN66" s="84">
        <f t="shared" si="18"/>
        <v>4249987.5882121334</v>
      </c>
      <c r="AO66" s="564">
        <v>1243</v>
      </c>
      <c r="AP66" s="82">
        <f t="shared" si="19"/>
        <v>1253.5817905797164</v>
      </c>
      <c r="AQ66" s="84">
        <f t="shared" si="20"/>
        <v>4884139.3784976108</v>
      </c>
      <c r="AR66" s="564">
        <v>1826</v>
      </c>
      <c r="AS66" s="82">
        <f t="shared" si="21"/>
        <v>1841.5449312940966</v>
      </c>
      <c r="AT66" s="84">
        <f t="shared" si="22"/>
        <v>5074125.2611928349</v>
      </c>
      <c r="AU66" s="81">
        <f t="shared" si="33"/>
        <v>97808748.643620744</v>
      </c>
      <c r="AV66" s="620">
        <f>INDEX('2021-22 Baseline'!$J$9:$J$158,MATCH(C66,'2021-22 Baseline'!$C$9:$C$158,0))</f>
        <v>89632610.141720846</v>
      </c>
      <c r="AW66" s="623">
        <v>116922.26299999998</v>
      </c>
      <c r="AX66" s="620">
        <f t="shared" si="34"/>
        <v>766.6000284455738</v>
      </c>
      <c r="AY66" s="620">
        <f t="shared" si="35"/>
        <v>827.92803072121978</v>
      </c>
      <c r="AZ66" s="620">
        <f t="shared" si="36"/>
        <v>830.91434270139803</v>
      </c>
      <c r="BA66" s="620">
        <f t="shared" si="23"/>
        <v>830.91434270139803</v>
      </c>
      <c r="BB66" s="624">
        <f t="shared" si="37"/>
        <v>0</v>
      </c>
      <c r="BC66" s="620">
        <f t="shared" si="47"/>
        <v>0</v>
      </c>
      <c r="BD66" s="81">
        <f t="shared" si="25"/>
        <v>0</v>
      </c>
      <c r="BE66" s="81">
        <f t="shared" si="38"/>
        <v>97808748.643620744</v>
      </c>
      <c r="BF66" s="588">
        <f>INDEX('AP Funding Factor'!$I$9:$I$158,MATCH(C66,'AP Funding Factor'!$C$9:$C$158,0))</f>
        <v>2815308.5120379669</v>
      </c>
      <c r="BG66" s="290">
        <f>INDEX('Import|Export Adjustments Data'!$Q$9:$Q$159,MATCH($C66,'Import|Export Adjustments Data'!$C$9:$C$159,0))</f>
        <v>-79.5</v>
      </c>
      <c r="BH66" s="289">
        <v>252419</v>
      </c>
      <c r="BI66" s="81">
        <f t="shared" si="46"/>
        <v>-224581</v>
      </c>
      <c r="BJ66" s="86">
        <f t="shared" si="48"/>
        <v>109328851.19491278</v>
      </c>
      <c r="BK66" s="620">
        <f t="shared" si="27"/>
        <v>766.6000284455738</v>
      </c>
      <c r="BL66" s="620">
        <f t="shared" si="28"/>
        <v>830.91434270139803</v>
      </c>
      <c r="BM66" s="620">
        <f t="shared" si="40"/>
        <v>830.91434270139803</v>
      </c>
      <c r="BN66" s="620">
        <f t="shared" si="51"/>
        <v>97808748.643620744</v>
      </c>
      <c r="BO66" s="281">
        <f t="shared" si="41"/>
        <v>8.3895528136404662E-2</v>
      </c>
      <c r="BP66" s="81">
        <f t="shared" si="52"/>
        <v>109553432.19491278</v>
      </c>
      <c r="BQ66" s="81">
        <f t="shared" si="53"/>
        <v>109328851.19491278</v>
      </c>
      <c r="BS66" s="599"/>
      <c r="BT66" s="601"/>
    </row>
    <row r="67" spans="1:72" ht="15.4" x14ac:dyDescent="0.45">
      <c r="A67" s="76"/>
      <c r="B67" s="77" t="s">
        <v>135</v>
      </c>
      <c r="C67" s="288">
        <v>353</v>
      </c>
      <c r="D67" s="78" t="s">
        <v>148</v>
      </c>
      <c r="E67" s="87">
        <v>1.0085131058565699</v>
      </c>
      <c r="F67" s="327">
        <f t="shared" si="30"/>
        <v>4699.6710732916163</v>
      </c>
      <c r="G67" s="290">
        <v>1059.5</v>
      </c>
      <c r="H67" s="81">
        <f t="shared" si="49"/>
        <v>4979301.5021524671</v>
      </c>
      <c r="I67" s="597">
        <f>INDEX('Historic Spend Factor'!$U$9:$U$159, MATCH(C67, 'Historic Spend Factor'!$C$9:$C$159, 0))</f>
        <v>13922231.407149991</v>
      </c>
      <c r="J67" s="80">
        <v>56805.240999999973</v>
      </c>
      <c r="K67" s="82">
        <f t="shared" si="50"/>
        <v>57288.830029840938</v>
      </c>
      <c r="L67" s="81">
        <f t="shared" si="44"/>
        <v>11657107.698689815</v>
      </c>
      <c r="M67" s="80">
        <v>12935.5</v>
      </c>
      <c r="N67" s="82">
        <f t="shared" si="1"/>
        <v>13045.62128080766</v>
      </c>
      <c r="O67" s="81">
        <f t="shared" si="32"/>
        <v>3321177.674857263</v>
      </c>
      <c r="P67" s="80">
        <v>5901</v>
      </c>
      <c r="Q67" s="82">
        <f t="shared" si="2"/>
        <v>5951.2358376596194</v>
      </c>
      <c r="R67" s="84">
        <f t="shared" si="3"/>
        <v>365442.61473207583</v>
      </c>
      <c r="S67" s="80">
        <v>11902</v>
      </c>
      <c r="T67" s="82">
        <f t="shared" si="4"/>
        <v>12003.322985904895</v>
      </c>
      <c r="U67" s="84">
        <f t="shared" si="5"/>
        <v>972948.65854388359</v>
      </c>
      <c r="V67" s="80">
        <v>6674</v>
      </c>
      <c r="W67" s="82">
        <f t="shared" si="6"/>
        <v>6730.8164684867479</v>
      </c>
      <c r="X67" s="84">
        <f t="shared" si="7"/>
        <v>746135.23544594389</v>
      </c>
      <c r="Y67" s="80">
        <v>6888</v>
      </c>
      <c r="Z67" s="82">
        <f t="shared" si="8"/>
        <v>6946.6382731400536</v>
      </c>
      <c r="AA67" s="84">
        <f t="shared" si="9"/>
        <v>817125.57975775632</v>
      </c>
      <c r="AB67" s="80">
        <v>5104</v>
      </c>
      <c r="AC67" s="82">
        <f t="shared" si="10"/>
        <v>5147.4508922919331</v>
      </c>
      <c r="AD67" s="84">
        <f t="shared" si="11"/>
        <v>673017.17969744699</v>
      </c>
      <c r="AE67" s="80">
        <v>2771</v>
      </c>
      <c r="AF67" s="82">
        <f t="shared" si="12"/>
        <v>2794.5898163285551</v>
      </c>
      <c r="AG67" s="84">
        <f t="shared" si="13"/>
        <v>482220.51812722953</v>
      </c>
      <c r="AH67" s="81">
        <f t="shared" si="14"/>
        <v>4056889.7863043365</v>
      </c>
      <c r="AI67" s="80">
        <v>420</v>
      </c>
      <c r="AJ67" s="82">
        <f t="shared" si="15"/>
        <v>423.57550445975937</v>
      </c>
      <c r="AK67" s="84">
        <f t="shared" si="16"/>
        <v>2324408.4698167192</v>
      </c>
      <c r="AL67" s="80">
        <v>2689</v>
      </c>
      <c r="AM67" s="82">
        <f t="shared" si="17"/>
        <v>2711.8917416483164</v>
      </c>
      <c r="AN67" s="84">
        <f t="shared" si="18"/>
        <v>2050639.9829001301</v>
      </c>
      <c r="AO67" s="564">
        <v>632</v>
      </c>
      <c r="AP67" s="82">
        <f t="shared" si="19"/>
        <v>637.38028290135219</v>
      </c>
      <c r="AQ67" s="84">
        <f t="shared" si="20"/>
        <v>2483327.503789614</v>
      </c>
      <c r="AR67" s="564">
        <v>991</v>
      </c>
      <c r="AS67" s="82">
        <f t="shared" si="21"/>
        <v>999.43648790386078</v>
      </c>
      <c r="AT67" s="84">
        <f t="shared" si="22"/>
        <v>2753810.5880843918</v>
      </c>
      <c r="AU67" s="81">
        <f t="shared" si="33"/>
        <v>42569593.111592256</v>
      </c>
      <c r="AV67" s="620">
        <f>INDEX('2021-22 Baseline'!$J$9:$J$158,MATCH(C67,'2021-22 Baseline'!$C$9:$C$158,0))</f>
        <v>38002221.323478259</v>
      </c>
      <c r="AW67" s="623">
        <v>56629.473999999951</v>
      </c>
      <c r="AX67" s="620">
        <f t="shared" si="34"/>
        <v>671.06788460507846</v>
      </c>
      <c r="AY67" s="620">
        <f t="shared" si="35"/>
        <v>724.75331537348484</v>
      </c>
      <c r="AZ67" s="620">
        <f t="shared" si="36"/>
        <v>749.39551988860103</v>
      </c>
      <c r="BA67" s="620">
        <f t="shared" si="23"/>
        <v>749.39551988860103</v>
      </c>
      <c r="BB67" s="624">
        <f t="shared" si="37"/>
        <v>0</v>
      </c>
      <c r="BC67" s="620">
        <f t="shared" si="47"/>
        <v>0</v>
      </c>
      <c r="BD67" s="81">
        <f t="shared" si="25"/>
        <v>0</v>
      </c>
      <c r="BE67" s="81">
        <f t="shared" si="38"/>
        <v>42569593.111592256</v>
      </c>
      <c r="BF67" s="588">
        <f>INDEX('AP Funding Factor'!$I$9:$I$158,MATCH(C67,'AP Funding Factor'!$C$9:$C$158,0))</f>
        <v>633700.26233694702</v>
      </c>
      <c r="BG67" s="290">
        <f>INDEX('Import|Export Adjustments Data'!$Q$9:$Q$159,MATCH($C67,'Import|Export Adjustments Data'!$C$9:$C$159,0))</f>
        <v>125</v>
      </c>
      <c r="BH67" s="289">
        <v>228000</v>
      </c>
      <c r="BI67" s="81">
        <f t="shared" si="46"/>
        <v>978000</v>
      </c>
      <c r="BJ67" s="86">
        <f t="shared" si="48"/>
        <v>49160594.876081668</v>
      </c>
      <c r="BK67" s="620">
        <f t="shared" si="27"/>
        <v>671.06788460507846</v>
      </c>
      <c r="BL67" s="620">
        <f t="shared" si="28"/>
        <v>749.39551988860103</v>
      </c>
      <c r="BM67" s="620">
        <f t="shared" si="40"/>
        <v>744.88535191163714</v>
      </c>
      <c r="BN67" s="620">
        <f t="shared" si="51"/>
        <v>42313391.932710335</v>
      </c>
      <c r="BO67" s="281">
        <f t="shared" si="41"/>
        <v>0.1100000000000001</v>
      </c>
      <c r="BP67" s="81">
        <f t="shared" si="52"/>
        <v>47926393.697199747</v>
      </c>
      <c r="BQ67" s="81">
        <f t="shared" si="53"/>
        <v>48904393.697199747</v>
      </c>
      <c r="BS67" s="599"/>
      <c r="BT67" s="601"/>
    </row>
    <row r="68" spans="1:72" ht="15.4" x14ac:dyDescent="0.45">
      <c r="A68" s="76"/>
      <c r="B68" s="77" t="s">
        <v>135</v>
      </c>
      <c r="C68" s="288">
        <v>354</v>
      </c>
      <c r="D68" s="78" t="s">
        <v>149</v>
      </c>
      <c r="E68" s="87">
        <v>1.0085131058565699</v>
      </c>
      <c r="F68" s="327">
        <f t="shared" si="30"/>
        <v>4699.6710732916163</v>
      </c>
      <c r="G68" s="290">
        <v>700.5</v>
      </c>
      <c r="H68" s="81">
        <f t="shared" si="49"/>
        <v>3292119.5868407772</v>
      </c>
      <c r="I68" s="597">
        <f>INDEX('Historic Spend Factor'!$U$9:$U$159, MATCH(C68, 'Historic Spend Factor'!$C$9:$C$159, 0))</f>
        <v>10404355.02886804</v>
      </c>
      <c r="J68" s="80">
        <v>51556.558999999965</v>
      </c>
      <c r="K68" s="82">
        <f t="shared" si="50"/>
        <v>51995.465444367459</v>
      </c>
      <c r="L68" s="81">
        <f t="shared" si="44"/>
        <v>10580016.038253507</v>
      </c>
      <c r="M68" s="80">
        <v>11158</v>
      </c>
      <c r="N68" s="82">
        <f t="shared" si="1"/>
        <v>11252.989235147608</v>
      </c>
      <c r="O68" s="81">
        <f t="shared" si="32"/>
        <v>2864806.1919568125</v>
      </c>
      <c r="P68" s="80">
        <v>7112</v>
      </c>
      <c r="Q68" s="82">
        <f t="shared" si="2"/>
        <v>7172.5452088519251</v>
      </c>
      <c r="R68" s="84">
        <f t="shared" si="3"/>
        <v>440438.54871623847</v>
      </c>
      <c r="S68" s="80">
        <v>6071</v>
      </c>
      <c r="T68" s="82">
        <f t="shared" si="4"/>
        <v>6122.6830656552365</v>
      </c>
      <c r="U68" s="84">
        <f t="shared" si="5"/>
        <v>496283.92757687089</v>
      </c>
      <c r="V68" s="80">
        <v>5818</v>
      </c>
      <c r="W68" s="82">
        <f t="shared" si="6"/>
        <v>5867.5292498735243</v>
      </c>
      <c r="X68" s="84">
        <f t="shared" si="7"/>
        <v>650436.73956015916</v>
      </c>
      <c r="Y68" s="80">
        <v>8860</v>
      </c>
      <c r="Z68" s="82">
        <f t="shared" si="8"/>
        <v>8935.4261178892102</v>
      </c>
      <c r="AA68" s="84">
        <f t="shared" si="9"/>
        <v>1051064.5523597158</v>
      </c>
      <c r="AB68" s="80">
        <v>5769</v>
      </c>
      <c r="AC68" s="82">
        <f t="shared" si="10"/>
        <v>5818.112107686552</v>
      </c>
      <c r="AD68" s="84">
        <f t="shared" si="11"/>
        <v>760704.5669425102</v>
      </c>
      <c r="AE68" s="80">
        <v>1796</v>
      </c>
      <c r="AF68" s="82">
        <f t="shared" si="12"/>
        <v>1811.2895381183996</v>
      </c>
      <c r="AG68" s="84">
        <f t="shared" si="13"/>
        <v>312547.11315644329</v>
      </c>
      <c r="AH68" s="81">
        <f t="shared" si="14"/>
        <v>3711475.448311938</v>
      </c>
      <c r="AI68" s="80">
        <v>341</v>
      </c>
      <c r="AJ68" s="82">
        <f t="shared" si="15"/>
        <v>343.90296909709036</v>
      </c>
      <c r="AK68" s="84">
        <f t="shared" si="16"/>
        <v>1887198.3052559556</v>
      </c>
      <c r="AL68" s="80">
        <v>2618</v>
      </c>
      <c r="AM68" s="82">
        <f t="shared" si="17"/>
        <v>2640.2873111325002</v>
      </c>
      <c r="AN68" s="84">
        <f t="shared" si="18"/>
        <v>1996495.1562783716</v>
      </c>
      <c r="AO68" s="564">
        <v>398</v>
      </c>
      <c r="AP68" s="82">
        <f t="shared" si="19"/>
        <v>401.38821613091483</v>
      </c>
      <c r="AQ68" s="84">
        <f t="shared" si="20"/>
        <v>1563867.6368801682</v>
      </c>
      <c r="AR68" s="564">
        <v>672</v>
      </c>
      <c r="AS68" s="82">
        <f t="shared" si="21"/>
        <v>677.72080713561502</v>
      </c>
      <c r="AT68" s="84">
        <f t="shared" si="22"/>
        <v>1867367.0183579328</v>
      </c>
      <c r="AU68" s="81">
        <f t="shared" si="33"/>
        <v>34875580.824162729</v>
      </c>
      <c r="AV68" s="620">
        <f>INDEX('2021-22 Baseline'!$J$9:$J$158,MATCH(C68,'2021-22 Baseline'!$C$9:$C$158,0))</f>
        <v>29030992.526394218</v>
      </c>
      <c r="AW68" s="623">
        <v>51053.815999999977</v>
      </c>
      <c r="AX68" s="620">
        <f t="shared" si="34"/>
        <v>568.63511488336599</v>
      </c>
      <c r="AY68" s="620">
        <f t="shared" si="35"/>
        <v>614.12592407403531</v>
      </c>
      <c r="AZ68" s="620">
        <f t="shared" si="36"/>
        <v>676.45284131865264</v>
      </c>
      <c r="BA68" s="620">
        <f t="shared" si="23"/>
        <v>676.45284131865264</v>
      </c>
      <c r="BB68" s="624">
        <f t="shared" si="37"/>
        <v>0</v>
      </c>
      <c r="BC68" s="620">
        <f t="shared" si="47"/>
        <v>0</v>
      </c>
      <c r="BD68" s="81">
        <f t="shared" si="25"/>
        <v>0</v>
      </c>
      <c r="BE68" s="81">
        <f t="shared" si="38"/>
        <v>34875580.824162729</v>
      </c>
      <c r="BF68" s="588">
        <f>INDEX('AP Funding Factor'!$I$9:$I$158,MATCH(C68,'AP Funding Factor'!$C$9:$C$158,0))</f>
        <v>105591.77142857142</v>
      </c>
      <c r="BG68" s="290">
        <f>INDEX('Import|Export Adjustments Data'!$Q$9:$Q$159,MATCH($C68,'Import|Export Adjustments Data'!$C$9:$C$159,0))</f>
        <v>-94</v>
      </c>
      <c r="BH68" s="289">
        <v>18000</v>
      </c>
      <c r="BI68" s="81">
        <f t="shared" si="46"/>
        <v>-546000</v>
      </c>
      <c r="BJ68" s="86">
        <f t="shared" si="48"/>
        <v>37727292.182432078</v>
      </c>
      <c r="BK68" s="620">
        <f t="shared" si="27"/>
        <v>568.63511488336599</v>
      </c>
      <c r="BL68" s="620">
        <f t="shared" si="28"/>
        <v>676.45284131865264</v>
      </c>
      <c r="BM68" s="620">
        <f t="shared" si="40"/>
        <v>631.18497752053634</v>
      </c>
      <c r="BN68" s="620">
        <f t="shared" si="51"/>
        <v>32541725.533451185</v>
      </c>
      <c r="BO68" s="281">
        <f t="shared" si="41"/>
        <v>0.1100000000000001</v>
      </c>
      <c r="BP68" s="81">
        <f t="shared" si="52"/>
        <v>35939436.891720533</v>
      </c>
      <c r="BQ68" s="81">
        <f t="shared" si="53"/>
        <v>35393436.891720533</v>
      </c>
      <c r="BS68" s="599"/>
      <c r="BT68" s="601"/>
    </row>
    <row r="69" spans="1:72" ht="15.4" x14ac:dyDescent="0.45">
      <c r="A69" s="76"/>
      <c r="B69" s="77" t="s">
        <v>135</v>
      </c>
      <c r="C69" s="288">
        <v>355</v>
      </c>
      <c r="D69" s="78" t="s">
        <v>150</v>
      </c>
      <c r="E69" s="87">
        <v>1.0085131058565699</v>
      </c>
      <c r="F69" s="327">
        <f t="shared" si="30"/>
        <v>4699.6710732916163</v>
      </c>
      <c r="G69" s="290">
        <v>905.5</v>
      </c>
      <c r="H69" s="81">
        <f t="shared" si="49"/>
        <v>4255552.1568655586</v>
      </c>
      <c r="I69" s="597">
        <f>INDEX('Historic Spend Factor'!$U$9:$U$159, MATCH(C69, 'Historic Spend Factor'!$C$9:$C$159, 0))</f>
        <v>16895552.428143222</v>
      </c>
      <c r="J69" s="80">
        <v>55440.377999999946</v>
      </c>
      <c r="K69" s="82">
        <f t="shared" si="50"/>
        <v>55912.347806642196</v>
      </c>
      <c r="L69" s="81">
        <f t="shared" si="44"/>
        <v>11377021.659006309</v>
      </c>
      <c r="M69" s="80">
        <v>12635</v>
      </c>
      <c r="N69" s="82">
        <f t="shared" si="1"/>
        <v>12742.563092497761</v>
      </c>
      <c r="O69" s="81">
        <f t="shared" si="32"/>
        <v>3244024.5774667794</v>
      </c>
      <c r="P69" s="80">
        <v>5125</v>
      </c>
      <c r="Q69" s="82">
        <f t="shared" si="2"/>
        <v>5168.6296675149206</v>
      </c>
      <c r="R69" s="84">
        <f t="shared" si="3"/>
        <v>317385.76520960662</v>
      </c>
      <c r="S69" s="80">
        <v>4396</v>
      </c>
      <c r="T69" s="82">
        <f t="shared" si="4"/>
        <v>4433.4236133454815</v>
      </c>
      <c r="U69" s="84">
        <f t="shared" si="5"/>
        <v>359358.28457056894</v>
      </c>
      <c r="V69" s="80">
        <v>6500</v>
      </c>
      <c r="W69" s="82">
        <f t="shared" si="6"/>
        <v>6555.3351880677046</v>
      </c>
      <c r="X69" s="84">
        <f t="shared" si="7"/>
        <v>726682.50380560919</v>
      </c>
      <c r="Y69" s="80">
        <v>4717</v>
      </c>
      <c r="Z69" s="82">
        <f t="shared" si="8"/>
        <v>4757.15632032544</v>
      </c>
      <c r="AA69" s="84">
        <f t="shared" si="9"/>
        <v>559579.17533643101</v>
      </c>
      <c r="AB69" s="80">
        <v>8232</v>
      </c>
      <c r="AC69" s="82">
        <f t="shared" si="10"/>
        <v>8302.0798874112843</v>
      </c>
      <c r="AD69" s="84">
        <f t="shared" si="11"/>
        <v>1085477.5515809921</v>
      </c>
      <c r="AE69" s="80">
        <v>4669</v>
      </c>
      <c r="AF69" s="82">
        <f t="shared" si="12"/>
        <v>4708.7476912443253</v>
      </c>
      <c r="AG69" s="84">
        <f t="shared" si="13"/>
        <v>812518.07980369357</v>
      </c>
      <c r="AH69" s="81">
        <f t="shared" si="14"/>
        <v>3861001.3603069019</v>
      </c>
      <c r="AI69" s="80">
        <v>341</v>
      </c>
      <c r="AJ69" s="82">
        <f t="shared" si="15"/>
        <v>343.90296909709036</v>
      </c>
      <c r="AK69" s="84">
        <f t="shared" si="16"/>
        <v>1887198.3052559556</v>
      </c>
      <c r="AL69" s="80">
        <v>2807</v>
      </c>
      <c r="AM69" s="82">
        <f t="shared" si="17"/>
        <v>2830.8962881393918</v>
      </c>
      <c r="AN69" s="84">
        <f t="shared" si="18"/>
        <v>2140627.1595391096</v>
      </c>
      <c r="AO69" s="564">
        <v>424</v>
      </c>
      <c r="AP69" s="82">
        <f t="shared" si="19"/>
        <v>427.60955688318563</v>
      </c>
      <c r="AQ69" s="84">
        <f t="shared" si="20"/>
        <v>1666029.8443145512</v>
      </c>
      <c r="AR69" s="564">
        <v>862</v>
      </c>
      <c r="AS69" s="82">
        <f t="shared" si="21"/>
        <v>869.33829724836335</v>
      </c>
      <c r="AT69" s="84">
        <f t="shared" si="22"/>
        <v>2395342.8122388963</v>
      </c>
      <c r="AU69" s="81">
        <f t="shared" si="33"/>
        <v>43466798.146271728</v>
      </c>
      <c r="AV69" s="620">
        <f>INDEX('2021-22 Baseline'!$J$9:$J$158,MATCH(C69,'2021-22 Baseline'!$C$9:$C$158,0))</f>
        <v>37570975.88055978</v>
      </c>
      <c r="AW69" s="623">
        <v>54680.567999999992</v>
      </c>
      <c r="AX69" s="620">
        <f t="shared" si="34"/>
        <v>687.09922472933681</v>
      </c>
      <c r="AY69" s="620">
        <f t="shared" si="35"/>
        <v>742.06716270768379</v>
      </c>
      <c r="AZ69" s="620">
        <f t="shared" si="36"/>
        <v>784.0278099523739</v>
      </c>
      <c r="BA69" s="620">
        <f t="shared" si="23"/>
        <v>784.0278099523739</v>
      </c>
      <c r="BB69" s="624">
        <f t="shared" si="37"/>
        <v>0</v>
      </c>
      <c r="BC69" s="620">
        <f t="shared" si="47"/>
        <v>0</v>
      </c>
      <c r="BD69" s="81">
        <f t="shared" si="25"/>
        <v>0</v>
      </c>
      <c r="BE69" s="81">
        <f t="shared" si="38"/>
        <v>43466798.146271728</v>
      </c>
      <c r="BF69" s="588">
        <f>INDEX('AP Funding Factor'!$I$9:$I$158,MATCH(C69,'AP Funding Factor'!$C$9:$C$158,0))</f>
        <v>210268.49733656179</v>
      </c>
      <c r="BG69" s="290">
        <f>INDEX('Import|Export Adjustments Data'!$Q$9:$Q$159,MATCH($C69,'Import|Export Adjustments Data'!$C$9:$C$159,0))</f>
        <v>-65</v>
      </c>
      <c r="BH69" s="289">
        <v>6000</v>
      </c>
      <c r="BI69" s="81">
        <f t="shared" si="46"/>
        <v>-384000</v>
      </c>
      <c r="BJ69" s="86">
        <f t="shared" si="48"/>
        <v>47548618.800473846</v>
      </c>
      <c r="BK69" s="620">
        <f t="shared" si="27"/>
        <v>687.09922472933681</v>
      </c>
      <c r="BL69" s="620">
        <f t="shared" si="28"/>
        <v>784.0278099523739</v>
      </c>
      <c r="BM69" s="620">
        <f t="shared" si="40"/>
        <v>762.68013944956397</v>
      </c>
      <c r="BN69" s="620">
        <f t="shared" si="51"/>
        <v>42283275.224176496</v>
      </c>
      <c r="BO69" s="281">
        <f t="shared" si="41"/>
        <v>0.1100000000000001</v>
      </c>
      <c r="BP69" s="81">
        <f t="shared" si="52"/>
        <v>46749095.878378615</v>
      </c>
      <c r="BQ69" s="81">
        <f t="shared" si="53"/>
        <v>46365095.878378615</v>
      </c>
      <c r="BS69" s="599"/>
      <c r="BT69" s="601"/>
    </row>
    <row r="70" spans="1:72" ht="15.4" x14ac:dyDescent="0.45">
      <c r="A70" s="76"/>
      <c r="B70" s="77" t="s">
        <v>135</v>
      </c>
      <c r="C70" s="288">
        <v>343</v>
      </c>
      <c r="D70" s="78" t="s">
        <v>151</v>
      </c>
      <c r="E70" s="87">
        <v>1.0017474983146799</v>
      </c>
      <c r="F70" s="327">
        <f t="shared" si="30"/>
        <v>4668.143342146408</v>
      </c>
      <c r="G70" s="290">
        <v>748</v>
      </c>
      <c r="H70" s="81">
        <f t="shared" si="49"/>
        <v>3491771.219925513</v>
      </c>
      <c r="I70" s="597">
        <f>INDEX('Historic Spend Factor'!$U$9:$U$159, MATCH(C70, 'Historic Spend Factor'!$C$9:$C$159, 0))</f>
        <v>13035760.423229409</v>
      </c>
      <c r="J70" s="80">
        <v>52505.48899999998</v>
      </c>
      <c r="K70" s="82">
        <f t="shared" si="50"/>
        <v>52597.242253538927</v>
      </c>
      <c r="L70" s="81">
        <f t="shared" si="44"/>
        <v>10702465.337208148</v>
      </c>
      <c r="M70" s="80">
        <v>8873</v>
      </c>
      <c r="N70" s="82">
        <f t="shared" si="1"/>
        <v>8888.5055525461539</v>
      </c>
      <c r="O70" s="81">
        <f t="shared" si="32"/>
        <v>2262851.6931877001</v>
      </c>
      <c r="P70" s="80">
        <v>6467</v>
      </c>
      <c r="Q70" s="82">
        <f t="shared" si="2"/>
        <v>6478.3010716010349</v>
      </c>
      <c r="R70" s="84">
        <f t="shared" si="3"/>
        <v>397807.67343250045</v>
      </c>
      <c r="S70" s="80">
        <v>3363</v>
      </c>
      <c r="T70" s="82">
        <f t="shared" si="4"/>
        <v>3368.8768368322685</v>
      </c>
      <c r="U70" s="84">
        <f t="shared" si="5"/>
        <v>273069.73269356025</v>
      </c>
      <c r="V70" s="80">
        <v>1192</v>
      </c>
      <c r="W70" s="82">
        <f t="shared" si="6"/>
        <v>1194.0830179910984</v>
      </c>
      <c r="X70" s="84">
        <f t="shared" si="7"/>
        <v>132368.40106132004</v>
      </c>
      <c r="Y70" s="80">
        <v>1736</v>
      </c>
      <c r="Z70" s="82">
        <f t="shared" si="8"/>
        <v>1739.0336570742843</v>
      </c>
      <c r="AA70" s="84">
        <f t="shared" si="9"/>
        <v>204560.65644724356</v>
      </c>
      <c r="AB70" s="80">
        <v>6030</v>
      </c>
      <c r="AC70" s="82">
        <f t="shared" si="10"/>
        <v>6040.5374148375195</v>
      </c>
      <c r="AD70" s="84">
        <f t="shared" si="11"/>
        <v>789786.15626592562</v>
      </c>
      <c r="AE70" s="80">
        <v>3271</v>
      </c>
      <c r="AF70" s="82">
        <f t="shared" si="12"/>
        <v>3276.7160669873178</v>
      </c>
      <c r="AG70" s="84">
        <f t="shared" si="13"/>
        <v>565413.8257951315</v>
      </c>
      <c r="AH70" s="81">
        <f t="shared" si="14"/>
        <v>2363006.4456956815</v>
      </c>
      <c r="AI70" s="80">
        <v>320</v>
      </c>
      <c r="AJ70" s="82">
        <f t="shared" si="15"/>
        <v>320.55919946069758</v>
      </c>
      <c r="AK70" s="84">
        <f t="shared" si="16"/>
        <v>1759097.2812614562</v>
      </c>
      <c r="AL70" s="80">
        <v>2746</v>
      </c>
      <c r="AM70" s="82">
        <f t="shared" si="17"/>
        <v>2750.7986303721109</v>
      </c>
      <c r="AN70" s="84">
        <f t="shared" si="18"/>
        <v>2080060.0443288235</v>
      </c>
      <c r="AO70" s="564">
        <v>410</v>
      </c>
      <c r="AP70" s="82">
        <f t="shared" si="19"/>
        <v>410.71647430901874</v>
      </c>
      <c r="AQ70" s="84">
        <f t="shared" si="20"/>
        <v>1600211.9053139021</v>
      </c>
      <c r="AR70" s="564">
        <v>739</v>
      </c>
      <c r="AS70" s="82">
        <f t="shared" si="21"/>
        <v>740.29140125454842</v>
      </c>
      <c r="AT70" s="84">
        <f t="shared" si="22"/>
        <v>2039771.735088692</v>
      </c>
      <c r="AU70" s="81">
        <f t="shared" si="33"/>
        <v>35843224.865313813</v>
      </c>
      <c r="AV70" s="620">
        <f>INDEX('2021-22 Baseline'!$J$9:$J$158,MATCH(C70,'2021-22 Baseline'!$C$9:$C$158,0))</f>
        <v>32562871.987838197</v>
      </c>
      <c r="AW70" s="623">
        <v>52194.768999999978</v>
      </c>
      <c r="AX70" s="620">
        <f t="shared" si="34"/>
        <v>623.87232689617247</v>
      </c>
      <c r="AY70" s="620">
        <f t="shared" si="35"/>
        <v>673.78211304786635</v>
      </c>
      <c r="AZ70" s="620">
        <f t="shared" si="36"/>
        <v>682.65671928726965</v>
      </c>
      <c r="BA70" s="620">
        <f t="shared" si="23"/>
        <v>682.65671928726965</v>
      </c>
      <c r="BB70" s="624">
        <f t="shared" si="37"/>
        <v>0</v>
      </c>
      <c r="BC70" s="620">
        <f t="shared" si="47"/>
        <v>0</v>
      </c>
      <c r="BD70" s="81">
        <f t="shared" si="25"/>
        <v>0</v>
      </c>
      <c r="BE70" s="81">
        <f t="shared" si="38"/>
        <v>35843224.865313813</v>
      </c>
      <c r="BF70" s="588">
        <f>INDEX('AP Funding Factor'!$I$9:$I$158,MATCH(C70,'AP Funding Factor'!$C$9:$C$158,0))</f>
        <v>155572.92965133174</v>
      </c>
      <c r="BG70" s="290">
        <f>INDEX('Import|Export Adjustments Data'!$Q$9:$Q$159,MATCH($C70,'Import|Export Adjustments Data'!$C$9:$C$159,0))</f>
        <v>-41</v>
      </c>
      <c r="BH70" s="289">
        <v>0</v>
      </c>
      <c r="BI70" s="81">
        <f t="shared" si="46"/>
        <v>-246000</v>
      </c>
      <c r="BJ70" s="86">
        <f t="shared" si="48"/>
        <v>39244569.014890663</v>
      </c>
      <c r="BK70" s="620">
        <f t="shared" si="27"/>
        <v>623.87232689617247</v>
      </c>
      <c r="BL70" s="620">
        <f t="shared" si="28"/>
        <v>682.65671928726965</v>
      </c>
      <c r="BM70" s="620">
        <f t="shared" si="40"/>
        <v>682.65671928726965</v>
      </c>
      <c r="BN70" s="620">
        <f t="shared" si="51"/>
        <v>35843224.865313813</v>
      </c>
      <c r="BO70" s="281">
        <f t="shared" si="41"/>
        <v>9.4225035887639752E-2</v>
      </c>
      <c r="BP70" s="81">
        <f t="shared" si="52"/>
        <v>39490569.014890656</v>
      </c>
      <c r="BQ70" s="81">
        <f t="shared" si="53"/>
        <v>39244569.014890656</v>
      </c>
      <c r="BS70" s="599"/>
      <c r="BT70" s="601"/>
    </row>
    <row r="71" spans="1:72" ht="15.4" x14ac:dyDescent="0.45">
      <c r="A71" s="76"/>
      <c r="B71" s="77" t="s">
        <v>135</v>
      </c>
      <c r="C71" s="288">
        <v>342</v>
      </c>
      <c r="D71" s="78" t="s">
        <v>522</v>
      </c>
      <c r="E71" s="87">
        <v>1.0017474983146799</v>
      </c>
      <c r="F71" s="327">
        <f t="shared" si="30"/>
        <v>4668.143342146408</v>
      </c>
      <c r="G71" s="290">
        <v>445</v>
      </c>
      <c r="H71" s="81">
        <f t="shared" si="49"/>
        <v>2077323.7872551517</v>
      </c>
      <c r="I71" s="597">
        <f>INDEX('Historic Spend Factor'!$U$9:$U$159, MATCH(C71, 'Historic Spend Factor'!$C$9:$C$159, 0))</f>
        <v>9554127.312277168</v>
      </c>
      <c r="J71" s="80">
        <v>35800.783999999963</v>
      </c>
      <c r="K71" s="82">
        <f t="shared" si="50"/>
        <v>35863.34580970418</v>
      </c>
      <c r="L71" s="81">
        <f t="shared" si="44"/>
        <v>7297458.9343387662</v>
      </c>
      <c r="M71" s="80">
        <v>6852</v>
      </c>
      <c r="N71" s="82">
        <f t="shared" si="1"/>
        <v>6863.9738584521865</v>
      </c>
      <c r="O71" s="81">
        <f t="shared" si="32"/>
        <v>1747442.7816659668</v>
      </c>
      <c r="P71" s="80">
        <v>3686</v>
      </c>
      <c r="Q71" s="82">
        <f t="shared" si="2"/>
        <v>3692.4412787879101</v>
      </c>
      <c r="R71" s="84">
        <f t="shared" si="3"/>
        <v>226738.68629537601</v>
      </c>
      <c r="S71" s="80">
        <v>3122</v>
      </c>
      <c r="T71" s="82">
        <f t="shared" si="4"/>
        <v>3127.4556897384305</v>
      </c>
      <c r="U71" s="84">
        <f t="shared" si="5"/>
        <v>253500.95315768509</v>
      </c>
      <c r="V71" s="80">
        <v>3118</v>
      </c>
      <c r="W71" s="82">
        <f t="shared" si="6"/>
        <v>3123.4486997451718</v>
      </c>
      <c r="X71" s="84">
        <f t="shared" si="7"/>
        <v>346245.53230637236</v>
      </c>
      <c r="Y71" s="80">
        <v>3910</v>
      </c>
      <c r="Z71" s="82">
        <f t="shared" si="8"/>
        <v>3916.8327184103982</v>
      </c>
      <c r="AA71" s="84">
        <f t="shared" si="9"/>
        <v>460732.81492437917</v>
      </c>
      <c r="AB71" s="80">
        <v>4460</v>
      </c>
      <c r="AC71" s="82">
        <f t="shared" si="10"/>
        <v>4467.793842483472</v>
      </c>
      <c r="AD71" s="84">
        <f t="shared" si="11"/>
        <v>584153.608117086</v>
      </c>
      <c r="AE71" s="80">
        <v>3253</v>
      </c>
      <c r="AF71" s="82">
        <f t="shared" si="12"/>
        <v>3258.6846120176538</v>
      </c>
      <c r="AG71" s="84">
        <f t="shared" si="13"/>
        <v>562302.40761588595</v>
      </c>
      <c r="AH71" s="81">
        <f t="shared" si="14"/>
        <v>2433674.0024167849</v>
      </c>
      <c r="AI71" s="80">
        <v>226</v>
      </c>
      <c r="AJ71" s="82">
        <f t="shared" si="15"/>
        <v>226.39493461911766</v>
      </c>
      <c r="AK71" s="84">
        <f t="shared" si="16"/>
        <v>1242362.4548909033</v>
      </c>
      <c r="AL71" s="80">
        <v>2051</v>
      </c>
      <c r="AM71" s="82">
        <f t="shared" si="17"/>
        <v>2054.5841190434085</v>
      </c>
      <c r="AN71" s="84">
        <f t="shared" si="18"/>
        <v>1553606.3914488044</v>
      </c>
      <c r="AO71" s="564">
        <v>262</v>
      </c>
      <c r="AP71" s="82">
        <f t="shared" si="19"/>
        <v>262.45784455844614</v>
      </c>
      <c r="AQ71" s="84">
        <f t="shared" si="20"/>
        <v>1022574.4370542496</v>
      </c>
      <c r="AR71" s="564">
        <v>362</v>
      </c>
      <c r="AS71" s="82">
        <f t="shared" si="21"/>
        <v>362.63259438991412</v>
      </c>
      <c r="AT71" s="84">
        <f t="shared" si="22"/>
        <v>999184.53058471787</v>
      </c>
      <c r="AU71" s="81">
        <f t="shared" si="33"/>
        <v>25850430.844677363</v>
      </c>
      <c r="AV71" s="620">
        <f>INDEX('2021-22 Baseline'!$J$9:$J$158,MATCH(C71,'2021-22 Baseline'!$C$9:$C$158,0))</f>
        <v>24533631.142241705</v>
      </c>
      <c r="AW71" s="623">
        <v>35523.320999999989</v>
      </c>
      <c r="AX71" s="620">
        <f t="shared" si="34"/>
        <v>690.63450295769678</v>
      </c>
      <c r="AY71" s="620">
        <f t="shared" si="35"/>
        <v>745.88526319431253</v>
      </c>
      <c r="AZ71" s="620">
        <f t="shared" si="36"/>
        <v>722.06326109163945</v>
      </c>
      <c r="BA71" s="620">
        <f t="shared" si="23"/>
        <v>745.88526319431253</v>
      </c>
      <c r="BB71" s="624">
        <f t="shared" si="37"/>
        <v>852846.35172534396</v>
      </c>
      <c r="BC71" s="620">
        <f t="shared" si="47"/>
        <v>0</v>
      </c>
      <c r="BD71" s="81">
        <f t="shared" si="25"/>
        <v>852846.35172534396</v>
      </c>
      <c r="BE71" s="81">
        <f t="shared" si="38"/>
        <v>26703277.196402706</v>
      </c>
      <c r="BF71" s="588">
        <f>INDEX('AP Funding Factor'!$I$9:$I$158,MATCH(C71,'AP Funding Factor'!$C$9:$C$158,0))</f>
        <v>94984.723399515744</v>
      </c>
      <c r="BG71" s="290">
        <f>INDEX('Import|Export Adjustments Data'!$Q$9:$Q$159,MATCH($C71,'Import|Export Adjustments Data'!$C$9:$C$159,0))</f>
        <v>29.5</v>
      </c>
      <c r="BH71" s="289">
        <v>0</v>
      </c>
      <c r="BI71" s="81">
        <f t="shared" si="46"/>
        <v>177000</v>
      </c>
      <c r="BJ71" s="86">
        <f t="shared" si="48"/>
        <v>29052585.707057375</v>
      </c>
      <c r="BK71" s="620">
        <f t="shared" si="27"/>
        <v>690.63450295769678</v>
      </c>
      <c r="BL71" s="620">
        <f t="shared" si="28"/>
        <v>745.88526319431253</v>
      </c>
      <c r="BM71" s="620">
        <f t="shared" si="40"/>
        <v>745.88526319431253</v>
      </c>
      <c r="BN71" s="620">
        <f t="shared" si="51"/>
        <v>26703277.196402706</v>
      </c>
      <c r="BO71" s="281">
        <f t="shared" si="41"/>
        <v>8.0000000000000071E-2</v>
      </c>
      <c r="BP71" s="81">
        <f t="shared" si="52"/>
        <v>28875585.707057372</v>
      </c>
      <c r="BQ71" s="81">
        <f t="shared" si="53"/>
        <v>29052585.707057372</v>
      </c>
      <c r="BS71" s="599"/>
      <c r="BT71" s="601"/>
    </row>
    <row r="72" spans="1:72" ht="15.4" x14ac:dyDescent="0.45">
      <c r="A72" s="76"/>
      <c r="B72" s="77" t="s">
        <v>135</v>
      </c>
      <c r="C72" s="288">
        <v>356</v>
      </c>
      <c r="D72" s="78" t="s">
        <v>152</v>
      </c>
      <c r="E72" s="87">
        <v>1.0085131058565699</v>
      </c>
      <c r="F72" s="327">
        <f t="shared" si="30"/>
        <v>4699.6710732916163</v>
      </c>
      <c r="G72" s="290">
        <v>750</v>
      </c>
      <c r="H72" s="81">
        <f t="shared" si="49"/>
        <v>3524753.3049687124</v>
      </c>
      <c r="I72" s="597">
        <f>INDEX('Historic Spend Factor'!$U$9:$U$159, MATCH(C72, 'Historic Spend Factor'!$C$9:$C$159, 0))</f>
        <v>14157289.401344683</v>
      </c>
      <c r="J72" s="80">
        <v>61424.466</v>
      </c>
      <c r="K72" s="82">
        <f t="shared" si="50"/>
        <v>61947.37898124128</v>
      </c>
      <c r="L72" s="81">
        <f t="shared" si="44"/>
        <v>12605027.333596053</v>
      </c>
      <c r="M72" s="80">
        <v>8225</v>
      </c>
      <c r="N72" s="82">
        <f t="shared" si="1"/>
        <v>8295.0202956702869</v>
      </c>
      <c r="O72" s="81">
        <f t="shared" si="32"/>
        <v>2111761.1515365457</v>
      </c>
      <c r="P72" s="80">
        <v>5392</v>
      </c>
      <c r="Q72" s="82">
        <f t="shared" si="2"/>
        <v>5437.9026667786247</v>
      </c>
      <c r="R72" s="84">
        <f t="shared" si="3"/>
        <v>333920.78946540458</v>
      </c>
      <c r="S72" s="80">
        <v>5147</v>
      </c>
      <c r="T72" s="82">
        <f t="shared" si="4"/>
        <v>5190.8169558437658</v>
      </c>
      <c r="U72" s="84">
        <f t="shared" si="5"/>
        <v>420750.02062891686</v>
      </c>
      <c r="V72" s="80">
        <v>2183</v>
      </c>
      <c r="W72" s="82">
        <f t="shared" si="6"/>
        <v>2201.584110084892</v>
      </c>
      <c r="X72" s="84">
        <f t="shared" si="7"/>
        <v>244053.52397040688</v>
      </c>
      <c r="Y72" s="80">
        <v>1857</v>
      </c>
      <c r="Z72" s="82">
        <f t="shared" si="8"/>
        <v>1872.8088375756504</v>
      </c>
      <c r="AA72" s="84">
        <f t="shared" si="9"/>
        <v>220296.48687720002</v>
      </c>
      <c r="AB72" s="80">
        <v>2529</v>
      </c>
      <c r="AC72" s="82">
        <f t="shared" si="10"/>
        <v>2550.5296447112655</v>
      </c>
      <c r="AD72" s="84">
        <f t="shared" si="11"/>
        <v>333475.79299663869</v>
      </c>
      <c r="AE72" s="80">
        <v>2704</v>
      </c>
      <c r="AF72" s="82">
        <f t="shared" si="12"/>
        <v>2727.0194382361651</v>
      </c>
      <c r="AG72" s="84">
        <f t="shared" si="13"/>
        <v>470560.90978564729</v>
      </c>
      <c r="AH72" s="81">
        <f t="shared" si="14"/>
        <v>2023057.5237242144</v>
      </c>
      <c r="AI72" s="80">
        <v>291</v>
      </c>
      <c r="AJ72" s="82">
        <f t="shared" si="15"/>
        <v>293.47731380426188</v>
      </c>
      <c r="AK72" s="84">
        <f t="shared" si="16"/>
        <v>1610483.0112301556</v>
      </c>
      <c r="AL72" s="80">
        <v>2433</v>
      </c>
      <c r="AM72" s="82">
        <f t="shared" si="17"/>
        <v>2453.7123865490348</v>
      </c>
      <c r="AN72" s="84">
        <f t="shared" si="18"/>
        <v>1855413.5657850564</v>
      </c>
      <c r="AO72" s="564">
        <v>437</v>
      </c>
      <c r="AP72" s="82">
        <f t="shared" si="19"/>
        <v>440.72022725932106</v>
      </c>
      <c r="AQ72" s="84">
        <f t="shared" si="20"/>
        <v>1717110.9480317424</v>
      </c>
      <c r="AR72" s="564">
        <v>677</v>
      </c>
      <c r="AS72" s="82">
        <f t="shared" si="21"/>
        <v>682.76337266489782</v>
      </c>
      <c r="AT72" s="84">
        <f t="shared" si="22"/>
        <v>1881261.1181969054</v>
      </c>
      <c r="AU72" s="81">
        <f t="shared" si="33"/>
        <v>37961404.053445362</v>
      </c>
      <c r="AV72" s="620">
        <f>INDEX('2021-22 Baseline'!$J$9:$J$158,MATCH(C72,'2021-22 Baseline'!$C$9:$C$158,0))</f>
        <v>34792338.388173327</v>
      </c>
      <c r="AW72" s="623">
        <v>60940.238999999994</v>
      </c>
      <c r="AX72" s="620">
        <f t="shared" si="34"/>
        <v>570.92553227717622</v>
      </c>
      <c r="AY72" s="620">
        <f t="shared" si="35"/>
        <v>616.59957485935035</v>
      </c>
      <c r="AZ72" s="620">
        <f t="shared" si="36"/>
        <v>618.01764875652907</v>
      </c>
      <c r="BA72" s="620">
        <f t="shared" si="23"/>
        <v>618.01764875652907</v>
      </c>
      <c r="BB72" s="624">
        <f t="shared" si="37"/>
        <v>0</v>
      </c>
      <c r="BC72" s="620">
        <f t="shared" si="47"/>
        <v>0</v>
      </c>
      <c r="BD72" s="81">
        <f t="shared" si="25"/>
        <v>0</v>
      </c>
      <c r="BE72" s="81">
        <f t="shared" si="38"/>
        <v>37961404.053445362</v>
      </c>
      <c r="BF72" s="588">
        <f>INDEX('AP Funding Factor'!$I$9:$I$158,MATCH(C72,'AP Funding Factor'!$C$9:$C$158,0))</f>
        <v>236257.11261501216</v>
      </c>
      <c r="BG72" s="290">
        <f>INDEX('Import|Export Adjustments Data'!$Q$9:$Q$159,MATCH($C72,'Import|Export Adjustments Data'!$C$9:$C$159,0))</f>
        <v>-135</v>
      </c>
      <c r="BH72" s="289">
        <v>0</v>
      </c>
      <c r="BI72" s="81">
        <f t="shared" si="46"/>
        <v>-810000</v>
      </c>
      <c r="BJ72" s="86">
        <f t="shared" si="48"/>
        <v>40912414.471029088</v>
      </c>
      <c r="BK72" s="620">
        <f t="shared" si="27"/>
        <v>570.92553227717622</v>
      </c>
      <c r="BL72" s="620">
        <f t="shared" si="28"/>
        <v>618.01764875652907</v>
      </c>
      <c r="BM72" s="620">
        <f t="shared" si="40"/>
        <v>618.01764875652907</v>
      </c>
      <c r="BN72" s="620">
        <f t="shared" si="51"/>
        <v>37961404.053445362</v>
      </c>
      <c r="BO72" s="281">
        <f t="shared" si="41"/>
        <v>8.2483815869160093E-2</v>
      </c>
      <c r="BP72" s="81">
        <f t="shared" si="52"/>
        <v>41722414.471029088</v>
      </c>
      <c r="BQ72" s="81">
        <f t="shared" si="53"/>
        <v>40912414.471029088</v>
      </c>
      <c r="BS72" s="599"/>
      <c r="BT72" s="601"/>
    </row>
    <row r="73" spans="1:72" ht="15.4" x14ac:dyDescent="0.45">
      <c r="A73" s="76"/>
      <c r="B73" s="77" t="s">
        <v>135</v>
      </c>
      <c r="C73" s="288">
        <v>357</v>
      </c>
      <c r="D73" s="78" t="s">
        <v>153</v>
      </c>
      <c r="E73" s="87">
        <v>1.0085131058565699</v>
      </c>
      <c r="F73" s="327">
        <f t="shared" si="30"/>
        <v>4699.6710732916163</v>
      </c>
      <c r="G73" s="290">
        <v>698.5</v>
      </c>
      <c r="H73" s="81">
        <f t="shared" si="49"/>
        <v>3282720.2446941938</v>
      </c>
      <c r="I73" s="597">
        <f>INDEX('Historic Spend Factor'!$U$9:$U$159, MATCH(C73, 'Historic Spend Factor'!$C$9:$C$159, 0))</f>
        <v>8817760.4647761919</v>
      </c>
      <c r="J73" s="80">
        <v>48783.651999999951</v>
      </c>
      <c r="K73" s="82">
        <f t="shared" si="50"/>
        <v>49198.952393546024</v>
      </c>
      <c r="L73" s="81">
        <f t="shared" si="44"/>
        <v>10010982.706673222</v>
      </c>
      <c r="M73" s="80">
        <v>10383.5</v>
      </c>
      <c r="N73" s="82">
        <f t="shared" si="1"/>
        <v>10471.895834661695</v>
      </c>
      <c r="O73" s="81">
        <f t="shared" si="32"/>
        <v>2665954.0324595412</v>
      </c>
      <c r="P73" s="80">
        <v>3798</v>
      </c>
      <c r="Q73" s="82">
        <f t="shared" si="2"/>
        <v>3830.3327760432526</v>
      </c>
      <c r="R73" s="84">
        <f t="shared" si="3"/>
        <v>235206.07536899237</v>
      </c>
      <c r="S73" s="80">
        <v>9733</v>
      </c>
      <c r="T73" s="82">
        <f t="shared" si="4"/>
        <v>9815.858059301996</v>
      </c>
      <c r="U73" s="84">
        <f t="shared" si="5"/>
        <v>795640.16918229032</v>
      </c>
      <c r="V73" s="80">
        <v>7735</v>
      </c>
      <c r="W73" s="82">
        <f t="shared" si="6"/>
        <v>7800.848873800569</v>
      </c>
      <c r="X73" s="84">
        <f t="shared" si="7"/>
        <v>864752.17952867504</v>
      </c>
      <c r="Y73" s="80">
        <v>3085</v>
      </c>
      <c r="Z73" s="82">
        <f t="shared" si="8"/>
        <v>3111.2629315675181</v>
      </c>
      <c r="AA73" s="84">
        <f t="shared" si="9"/>
        <v>365974.50835549925</v>
      </c>
      <c r="AB73" s="80">
        <v>3758</v>
      </c>
      <c r="AC73" s="82">
        <f t="shared" si="10"/>
        <v>3789.9922518089897</v>
      </c>
      <c r="AD73" s="84">
        <f t="shared" si="11"/>
        <v>495532.63348413125</v>
      </c>
      <c r="AE73" s="80">
        <v>2220</v>
      </c>
      <c r="AF73" s="82">
        <f t="shared" si="12"/>
        <v>2238.8990950015855</v>
      </c>
      <c r="AG73" s="84">
        <f t="shared" si="13"/>
        <v>386333.29131809808</v>
      </c>
      <c r="AH73" s="81">
        <f t="shared" si="14"/>
        <v>3143438.8572376864</v>
      </c>
      <c r="AI73" s="80">
        <v>283</v>
      </c>
      <c r="AJ73" s="82">
        <f t="shared" si="15"/>
        <v>285.40920895740931</v>
      </c>
      <c r="AK73" s="84">
        <f t="shared" si="16"/>
        <v>1566208.5641860275</v>
      </c>
      <c r="AL73" s="80">
        <v>2129</v>
      </c>
      <c r="AM73" s="82">
        <f t="shared" si="17"/>
        <v>2147.1244023686372</v>
      </c>
      <c r="AN73" s="84">
        <f t="shared" si="18"/>
        <v>1623582.1954609063</v>
      </c>
      <c r="AO73" s="564">
        <v>444</v>
      </c>
      <c r="AP73" s="82">
        <f t="shared" si="19"/>
        <v>447.77981900031705</v>
      </c>
      <c r="AQ73" s="84">
        <f t="shared" si="20"/>
        <v>1744616.1577256147</v>
      </c>
      <c r="AR73" s="564">
        <v>701</v>
      </c>
      <c r="AS73" s="82">
        <f t="shared" si="21"/>
        <v>706.96768720545549</v>
      </c>
      <c r="AT73" s="84">
        <f t="shared" si="22"/>
        <v>1947952.7974239744</v>
      </c>
      <c r="AU73" s="81">
        <f t="shared" si="33"/>
        <v>31520495.775943164</v>
      </c>
      <c r="AV73" s="620">
        <f>INDEX('2021-22 Baseline'!$J$9:$J$158,MATCH(C73,'2021-22 Baseline'!$C$9:$C$158,0))</f>
        <v>25468423.694328438</v>
      </c>
      <c r="AW73" s="623">
        <v>48334.621999999959</v>
      </c>
      <c r="AX73" s="620">
        <f t="shared" si="34"/>
        <v>526.91885527373029</v>
      </c>
      <c r="AY73" s="620">
        <f t="shared" si="35"/>
        <v>569.07236369562872</v>
      </c>
      <c r="AZ73" s="620">
        <f t="shared" si="36"/>
        <v>646.12825165166385</v>
      </c>
      <c r="BA73" s="620">
        <f t="shared" si="23"/>
        <v>646.12825165166385</v>
      </c>
      <c r="BB73" s="624">
        <f t="shared" si="37"/>
        <v>0</v>
      </c>
      <c r="BC73" s="620">
        <f t="shared" si="47"/>
        <v>0</v>
      </c>
      <c r="BD73" s="81">
        <f t="shared" si="25"/>
        <v>0</v>
      </c>
      <c r="BE73" s="81">
        <f t="shared" si="38"/>
        <v>31520495.775943164</v>
      </c>
      <c r="BF73" s="588">
        <f>INDEX('AP Funding Factor'!$I$9:$I$158,MATCH(C73,'AP Funding Factor'!$C$9:$C$158,0))</f>
        <v>186990.650188862</v>
      </c>
      <c r="BG73" s="290">
        <f>INDEX('Import|Export Adjustments Data'!$Q$9:$Q$159,MATCH($C73,'Import|Export Adjustments Data'!$C$9:$C$159,0))</f>
        <v>-127.5</v>
      </c>
      <c r="BH73" s="289">
        <v>30000</v>
      </c>
      <c r="BI73" s="81">
        <f t="shared" si="46"/>
        <v>-735000</v>
      </c>
      <c r="BJ73" s="86">
        <f t="shared" ref="BJ73:BJ104" si="98">H73 + BE73 + BF73 + BI73</f>
        <v>34255206.670826219</v>
      </c>
      <c r="BK73" s="620">
        <f t="shared" ref="BK73:BK136" si="99">AX73</f>
        <v>526.91885527373029</v>
      </c>
      <c r="BL73" s="620">
        <f t="shared" ref="BL73:BL136" si="100">BA73</f>
        <v>646.12825165166385</v>
      </c>
      <c r="BM73" s="620">
        <f t="shared" si="40"/>
        <v>584.87992935384068</v>
      </c>
      <c r="BN73" s="620">
        <f t="shared" si="51"/>
        <v>28532578.935382321</v>
      </c>
      <c r="BO73" s="281">
        <f t="shared" si="41"/>
        <v>0.1100000000000001</v>
      </c>
      <c r="BP73" s="81">
        <f t="shared" si="52"/>
        <v>32002289.830265377</v>
      </c>
      <c r="BQ73" s="81">
        <f t="shared" si="53"/>
        <v>31267289.830265377</v>
      </c>
      <c r="BS73" s="599"/>
      <c r="BT73" s="601"/>
    </row>
    <row r="74" spans="1:72" ht="15.4" x14ac:dyDescent="0.45">
      <c r="A74" s="76"/>
      <c r="B74" s="77" t="s">
        <v>135</v>
      </c>
      <c r="C74" s="288">
        <v>358</v>
      </c>
      <c r="D74" s="78" t="s">
        <v>154</v>
      </c>
      <c r="E74" s="87">
        <v>1.0085131058565699</v>
      </c>
      <c r="F74" s="327">
        <f t="shared" ref="F74:F137" si="101">4660 * $E74</f>
        <v>4699.6710732916163</v>
      </c>
      <c r="G74" s="290">
        <v>781</v>
      </c>
      <c r="H74" s="81">
        <f t="shared" ref="H74:H105" si="102">G74*F74</f>
        <v>3670443.1082407525</v>
      </c>
      <c r="I74" s="597">
        <f>INDEX('Historic Spend Factor'!$U$9:$U$159, MATCH(C74, 'Historic Spend Factor'!$C$9:$C$159, 0))</f>
        <v>12036365.010671107</v>
      </c>
      <c r="J74" s="80">
        <v>55339.652999999955</v>
      </c>
      <c r="K74" s="82">
        <f t="shared" ref="K74:K105" si="103">E74*J74</f>
        <v>55810.765324054802</v>
      </c>
      <c r="L74" s="81">
        <f t="shared" ref="L74:L137" si="104">K74/K$8*L$8</f>
        <v>11356351.697004909</v>
      </c>
      <c r="M74" s="80">
        <v>6046.5</v>
      </c>
      <c r="N74" s="82">
        <f t="shared" ref="N74:N137" si="105">M74*$E74</f>
        <v>6097.9744945617504</v>
      </c>
      <c r="O74" s="81">
        <f t="shared" ref="O74:O137" si="106">N74/N$8*O$8</f>
        <v>1552433.2890900578</v>
      </c>
      <c r="P74" s="80">
        <v>4537</v>
      </c>
      <c r="Q74" s="82">
        <f t="shared" ref="Q74:Q137" si="107">P74*$E74</f>
        <v>4575.6239612712579</v>
      </c>
      <c r="R74" s="84">
        <f t="shared" ref="R74:R137" si="108">Q74/Q$8*R$8</f>
        <v>280971.55448897276</v>
      </c>
      <c r="S74" s="80">
        <v>3320</v>
      </c>
      <c r="T74" s="82">
        <f t="shared" ref="T74:T137" si="109">S74*$E74</f>
        <v>3348.2635114438121</v>
      </c>
      <c r="U74" s="84">
        <f t="shared" ref="U74:U137" si="110">T74/T$8*U$8</f>
        <v>271398.88643637148</v>
      </c>
      <c r="V74" s="80">
        <v>3253</v>
      </c>
      <c r="W74" s="82">
        <f t="shared" ref="W74:W137" si="111">V74*$E74</f>
        <v>3280.6931333514221</v>
      </c>
      <c r="X74" s="84">
        <f t="shared" ref="X74:X137" si="112">W74/W$8*X$8</f>
        <v>363676.64382763795</v>
      </c>
      <c r="Y74" s="80">
        <v>1262</v>
      </c>
      <c r="Z74" s="82">
        <f t="shared" ref="Z74:Z137" si="113">Y74*$E74</f>
        <v>1272.7435395909913</v>
      </c>
      <c r="AA74" s="84">
        <f t="shared" ref="AA74:AA137" si="114">Z74/Z$8*AA$8</f>
        <v>149711.45204040196</v>
      </c>
      <c r="AB74" s="80">
        <v>1831</v>
      </c>
      <c r="AC74" s="82">
        <f t="shared" ref="AC74:AC137" si="115">AB74*$E74</f>
        <v>1846.5874968233795</v>
      </c>
      <c r="AD74" s="84">
        <f t="shared" ref="AD74:AD137" si="116">AC74/AC$8*AD$8</f>
        <v>241437.00157249716</v>
      </c>
      <c r="AE74" s="80">
        <v>580</v>
      </c>
      <c r="AF74" s="82">
        <f t="shared" ref="AF74:AF137" si="117">AE74*$E74</f>
        <v>584.93760139681058</v>
      </c>
      <c r="AG74" s="84">
        <f t="shared" ref="AG74:AG137" si="118">AF74/AF$8*AG$8</f>
        <v>100933.92295698058</v>
      </c>
      <c r="AH74" s="81">
        <f t="shared" ref="AH74:AH137" si="119">AG74+AD74+AA74+X74+U74+R74</f>
        <v>1408129.4613228617</v>
      </c>
      <c r="AI74" s="80">
        <v>223</v>
      </c>
      <c r="AJ74" s="82">
        <f t="shared" ref="AJ74:AJ137" si="120">AI74*$E74</f>
        <v>224.89842260601509</v>
      </c>
      <c r="AK74" s="84">
        <f t="shared" ref="AK74:AK137" si="121">AJ74/AJ$8*AK$8</f>
        <v>1234150.2113550676</v>
      </c>
      <c r="AL74" s="80">
        <v>1621</v>
      </c>
      <c r="AM74" s="82">
        <f t="shared" ref="AM74:AM137" si="122">AL74*$E74</f>
        <v>1634.7997445934998</v>
      </c>
      <c r="AN74" s="84">
        <f t="shared" ref="AN74:AN137" si="123">AM74/AM$8*AN$8</f>
        <v>1236179.7739981818</v>
      </c>
      <c r="AO74" s="564">
        <v>337</v>
      </c>
      <c r="AP74" s="82">
        <f t="shared" ref="AP74:AP137" si="124">AO74*$E74</f>
        <v>339.86891667366405</v>
      </c>
      <c r="AQ74" s="84">
        <f t="shared" ref="AQ74:AQ137" si="125">(AP74/AP$8)*AQ$8</f>
        <v>1324179.3809764236</v>
      </c>
      <c r="AR74" s="564">
        <v>440</v>
      </c>
      <c r="AS74" s="82">
        <f t="shared" ref="AS74:AS137" si="126">AR74*$E74</f>
        <v>443.74576657689079</v>
      </c>
      <c r="AT74" s="84">
        <f t="shared" ref="AT74:AT137" si="127">(AS74/AS$8)*AT$8</f>
        <v>1222680.7858295988</v>
      </c>
      <c r="AU74" s="81">
        <f t="shared" ref="AU74:AU137" si="128">I74+L74+O74+AH74+AK74+AN74+AQ74+AT74</f>
        <v>31370469.610248212</v>
      </c>
      <c r="AV74" s="620">
        <f>INDEX('2021-22 Baseline'!$J$9:$J$158,MATCH(C74,'2021-22 Baseline'!$C$9:$C$158,0))</f>
        <v>29285998.367004436</v>
      </c>
      <c r="AW74" s="623">
        <v>54972.568999999959</v>
      </c>
      <c r="AX74" s="620">
        <f t="shared" ref="AX74:AX137" si="129">AV74/AW74</f>
        <v>532.73839843658129</v>
      </c>
      <c r="AY74" s="620">
        <f t="shared" ref="AY74:AY137" si="130">AX74*(100%+8%)</f>
        <v>575.35747031150788</v>
      </c>
      <c r="AZ74" s="620">
        <f t="shared" ref="AZ74:AZ137" si="131">AU74/J74</f>
        <v>566.8714549086211</v>
      </c>
      <c r="BA74" s="620">
        <f t="shared" ref="BA74:BA137" si="132">MAX(AY74,AZ74)</f>
        <v>575.35747031150788</v>
      </c>
      <c r="BB74" s="624">
        <f t="shared" ref="BB74:BB137" si="133">(BA74-AZ74)*J74</f>
        <v>469613.14774840913</v>
      </c>
      <c r="BC74" s="620">
        <f t="shared" si="47"/>
        <v>0</v>
      </c>
      <c r="BD74" s="81">
        <f t="shared" ref="BD74:BD137" si="134">BB74+BC74</f>
        <v>469613.14774840913</v>
      </c>
      <c r="BE74" s="81">
        <f t="shared" si="38"/>
        <v>31840082.757996622</v>
      </c>
      <c r="BF74" s="588">
        <f>INDEX('AP Funding Factor'!$I$9:$I$158,MATCH(C74,'AP Funding Factor'!$C$9:$C$158,0))</f>
        <v>66271.946527845081</v>
      </c>
      <c r="BG74" s="290">
        <f>INDEX('Import|Export Adjustments Data'!$Q$9:$Q$159,MATCH($C74,'Import|Export Adjustments Data'!$C$9:$C$159,0))</f>
        <v>-68</v>
      </c>
      <c r="BH74" s="289">
        <v>4824</v>
      </c>
      <c r="BI74" s="81">
        <f t="shared" si="46"/>
        <v>-403176</v>
      </c>
      <c r="BJ74" s="86">
        <f t="shared" si="98"/>
        <v>35173621.812765218</v>
      </c>
      <c r="BK74" s="620">
        <f t="shared" si="99"/>
        <v>532.73839843658129</v>
      </c>
      <c r="BL74" s="620">
        <f t="shared" si="100"/>
        <v>575.35747031150788</v>
      </c>
      <c r="BM74" s="620">
        <f t="shared" ref="BM74:BM137" si="135">MIN(BK74*(100% + 11%), BL74)</f>
        <v>575.35747031150788</v>
      </c>
      <c r="BN74" s="620">
        <f t="shared" ref="BN74:BN105" si="136">BM74*J74+BC74</f>
        <v>31840082.757996622</v>
      </c>
      <c r="BO74" s="281">
        <f t="shared" si="41"/>
        <v>8.0000000000000071E-2</v>
      </c>
      <c r="BP74" s="81">
        <f t="shared" ref="BP74:BP105" si="137">H74 + BF74 + BN74</f>
        <v>35576797.812765218</v>
      </c>
      <c r="BQ74" s="81">
        <f t="shared" ref="BQ74:BQ105" si="138">H74 + BF74 + BI74 + BN74</f>
        <v>35173621.812765218</v>
      </c>
      <c r="BS74" s="599"/>
      <c r="BT74" s="601"/>
    </row>
    <row r="75" spans="1:72" ht="15.4" x14ac:dyDescent="0.45">
      <c r="A75" s="76"/>
      <c r="B75" s="77" t="s">
        <v>135</v>
      </c>
      <c r="C75" s="288">
        <v>877</v>
      </c>
      <c r="D75" s="78" t="s">
        <v>155</v>
      </c>
      <c r="E75" s="87">
        <v>1.00565807130392</v>
      </c>
      <c r="F75" s="327">
        <f t="shared" si="101"/>
        <v>4686.366612276267</v>
      </c>
      <c r="G75" s="290">
        <v>466</v>
      </c>
      <c r="H75" s="81">
        <f t="shared" si="102"/>
        <v>2183846.8413207405</v>
      </c>
      <c r="I75" s="597">
        <f>INDEX('Historic Spend Factor'!$U$9:$U$159, MATCH(C75, 'Historic Spend Factor'!$C$9:$C$159, 0))</f>
        <v>10247385.920244709</v>
      </c>
      <c r="J75" s="80">
        <v>42510.960999999996</v>
      </c>
      <c r="K75" s="82">
        <f t="shared" si="103"/>
        <v>42751.491048536162</v>
      </c>
      <c r="L75" s="81">
        <f t="shared" si="104"/>
        <v>8699055.9097257126</v>
      </c>
      <c r="M75" s="80">
        <v>6229.5</v>
      </c>
      <c r="N75" s="82">
        <f t="shared" si="105"/>
        <v>6264.7469551877703</v>
      </c>
      <c r="O75" s="81">
        <f t="shared" si="106"/>
        <v>1594890.5213743495</v>
      </c>
      <c r="P75" s="80">
        <v>5257</v>
      </c>
      <c r="Q75" s="82">
        <f t="shared" si="107"/>
        <v>5286.7444808447081</v>
      </c>
      <c r="R75" s="84">
        <f t="shared" si="108"/>
        <v>324638.74381762685</v>
      </c>
      <c r="S75" s="80">
        <v>3071</v>
      </c>
      <c r="T75" s="82">
        <f t="shared" si="109"/>
        <v>3088.3759369743384</v>
      </c>
      <c r="U75" s="84">
        <f t="shared" si="110"/>
        <v>250333.28091619845</v>
      </c>
      <c r="V75" s="80">
        <v>3048</v>
      </c>
      <c r="W75" s="82">
        <f t="shared" si="111"/>
        <v>3065.2458013343485</v>
      </c>
      <c r="X75" s="84">
        <f t="shared" si="112"/>
        <v>339793.53149596252</v>
      </c>
      <c r="Y75" s="80">
        <v>1021</v>
      </c>
      <c r="Z75" s="82">
        <f t="shared" si="113"/>
        <v>1026.7768908013024</v>
      </c>
      <c r="AA75" s="84">
        <f t="shared" si="114"/>
        <v>120778.66000623483</v>
      </c>
      <c r="AB75" s="80">
        <v>1231</v>
      </c>
      <c r="AC75" s="82">
        <f t="shared" si="115"/>
        <v>1237.9650857751255</v>
      </c>
      <c r="AD75" s="84">
        <f t="shared" si="116"/>
        <v>161861.04307277975</v>
      </c>
      <c r="AE75" s="80">
        <v>483</v>
      </c>
      <c r="AF75" s="82">
        <f t="shared" si="117"/>
        <v>485.73284843979337</v>
      </c>
      <c r="AG75" s="84">
        <f t="shared" si="118"/>
        <v>83815.644241406684</v>
      </c>
      <c r="AH75" s="81">
        <f t="shared" si="119"/>
        <v>1281220.903550209</v>
      </c>
      <c r="AI75" s="80">
        <v>152</v>
      </c>
      <c r="AJ75" s="82">
        <f t="shared" si="120"/>
        <v>152.86002683819584</v>
      </c>
      <c r="AK75" s="84">
        <f t="shared" si="121"/>
        <v>838833.0706996033</v>
      </c>
      <c r="AL75" s="80">
        <v>1572</v>
      </c>
      <c r="AM75" s="82">
        <f t="shared" si="122"/>
        <v>1580.8944880897623</v>
      </c>
      <c r="AN75" s="84">
        <f t="shared" si="123"/>
        <v>1195418.4587224238</v>
      </c>
      <c r="AO75" s="564">
        <v>321</v>
      </c>
      <c r="AP75" s="82">
        <f t="shared" si="124"/>
        <v>322.81624088855835</v>
      </c>
      <c r="AQ75" s="84">
        <f t="shared" si="125"/>
        <v>1257739.6433089909</v>
      </c>
      <c r="AR75" s="564">
        <v>535</v>
      </c>
      <c r="AS75" s="82">
        <f t="shared" si="126"/>
        <v>538.02706814759722</v>
      </c>
      <c r="AT75" s="84">
        <f t="shared" si="127"/>
        <v>1482460.0210947855</v>
      </c>
      <c r="AU75" s="81">
        <f t="shared" si="128"/>
        <v>26597004.448720776</v>
      </c>
      <c r="AV75" s="620">
        <f>INDEX('2021-22 Baseline'!$J$9:$J$158,MATCH(C75,'2021-22 Baseline'!$C$9:$C$158,0))</f>
        <v>23591646.578802228</v>
      </c>
      <c r="AW75" s="623">
        <v>42451.862999999976</v>
      </c>
      <c r="AX75" s="620">
        <f t="shared" si="129"/>
        <v>555.72700257706572</v>
      </c>
      <c r="AY75" s="620">
        <f t="shared" si="130"/>
        <v>600.18516278323102</v>
      </c>
      <c r="AZ75" s="620">
        <f t="shared" si="131"/>
        <v>625.65051043472715</v>
      </c>
      <c r="BA75" s="620">
        <f t="shared" si="132"/>
        <v>625.65051043472715</v>
      </c>
      <c r="BB75" s="624">
        <f t="shared" si="133"/>
        <v>0</v>
      </c>
      <c r="BC75" s="620">
        <f t="shared" si="47"/>
        <v>0</v>
      </c>
      <c r="BD75" s="81">
        <f t="shared" si="134"/>
        <v>0</v>
      </c>
      <c r="BE75" s="81">
        <f t="shared" ref="BE75:BE138" si="139">AU75+BD75</f>
        <v>26597004.448720776</v>
      </c>
      <c r="BF75" s="588">
        <f>INDEX('AP Funding Factor'!$I$9:$I$158,MATCH(C75,'AP Funding Factor'!$C$9:$C$158,0))</f>
        <v>438094.39066126884</v>
      </c>
      <c r="BG75" s="290">
        <f>INDEX('Import|Export Adjustments Data'!$Q$9:$Q$159,MATCH($C75,'Import|Export Adjustments Data'!$C$9:$C$159,0))</f>
        <v>-82</v>
      </c>
      <c r="BH75" s="289">
        <v>0</v>
      </c>
      <c r="BI75" s="81">
        <f t="shared" si="46"/>
        <v>-492000</v>
      </c>
      <c r="BJ75" s="86">
        <f t="shared" si="98"/>
        <v>28726945.680702787</v>
      </c>
      <c r="BK75" s="620">
        <f t="shared" si="99"/>
        <v>555.72700257706572</v>
      </c>
      <c r="BL75" s="620">
        <f t="shared" si="100"/>
        <v>625.65051043472715</v>
      </c>
      <c r="BM75" s="620">
        <f t="shared" si="135"/>
        <v>616.85697286054301</v>
      </c>
      <c r="BN75" s="620">
        <f t="shared" si="136"/>
        <v>26223182.7158526</v>
      </c>
      <c r="BO75" s="281">
        <f t="shared" ref="BO75:BO138" si="140">BM75/BK75-1</f>
        <v>0.1100000000000001</v>
      </c>
      <c r="BP75" s="81">
        <f t="shared" si="137"/>
        <v>28845123.947834611</v>
      </c>
      <c r="BQ75" s="81">
        <f t="shared" si="138"/>
        <v>28353123.947834611</v>
      </c>
      <c r="BS75" s="599"/>
      <c r="BT75" s="601"/>
    </row>
    <row r="76" spans="1:72" ht="15.4" x14ac:dyDescent="0.45">
      <c r="A76" s="76"/>
      <c r="B76" s="77" t="s">
        <v>135</v>
      </c>
      <c r="C76" s="288">
        <v>359</v>
      </c>
      <c r="D76" s="78" t="s">
        <v>156</v>
      </c>
      <c r="E76" s="87">
        <v>1.0085131058565699</v>
      </c>
      <c r="F76" s="327">
        <f t="shared" si="101"/>
        <v>4699.6710732916163</v>
      </c>
      <c r="G76" s="290">
        <v>940.5</v>
      </c>
      <c r="H76" s="81">
        <f t="shared" si="102"/>
        <v>4420040.644430765</v>
      </c>
      <c r="I76" s="597">
        <f>INDEX('Historic Spend Factor'!$U$9:$U$159, MATCH(C76, 'Historic Spend Factor'!$C$9:$C$159, 0))</f>
        <v>12848709.117964236</v>
      </c>
      <c r="J76" s="80">
        <v>65626.048999999985</v>
      </c>
      <c r="K76" s="82">
        <f t="shared" si="103"/>
        <v>66184.730502085426</v>
      </c>
      <c r="L76" s="81">
        <f t="shared" si="104"/>
        <v>13467241.887636658</v>
      </c>
      <c r="M76" s="80">
        <v>11975</v>
      </c>
      <c r="N76" s="82">
        <f t="shared" si="105"/>
        <v>12076.944442632424</v>
      </c>
      <c r="O76" s="81">
        <f t="shared" si="106"/>
        <v>3074570.1871915059</v>
      </c>
      <c r="P76" s="80">
        <v>6524</v>
      </c>
      <c r="Q76" s="82">
        <f t="shared" si="107"/>
        <v>6579.5395026082624</v>
      </c>
      <c r="R76" s="84">
        <f t="shared" si="108"/>
        <v>404024.33799560461</v>
      </c>
      <c r="S76" s="80">
        <v>7225</v>
      </c>
      <c r="T76" s="82">
        <f t="shared" si="109"/>
        <v>7286.5071898137176</v>
      </c>
      <c r="U76" s="84">
        <f t="shared" si="110"/>
        <v>590619.56460927229</v>
      </c>
      <c r="V76" s="80">
        <v>4892</v>
      </c>
      <c r="W76" s="82">
        <f t="shared" si="111"/>
        <v>4933.64611385034</v>
      </c>
      <c r="X76" s="84">
        <f t="shared" si="112"/>
        <v>546912.43209492927</v>
      </c>
      <c r="Y76" s="80">
        <v>5088</v>
      </c>
      <c r="Z76" s="82">
        <f t="shared" si="113"/>
        <v>5131.3146825982276</v>
      </c>
      <c r="AA76" s="84">
        <f t="shared" si="114"/>
        <v>603591.02058761101</v>
      </c>
      <c r="AB76" s="80">
        <v>5175</v>
      </c>
      <c r="AC76" s="82">
        <f t="shared" si="115"/>
        <v>5219.0553228077497</v>
      </c>
      <c r="AD76" s="84">
        <f t="shared" si="116"/>
        <v>682379.29171910044</v>
      </c>
      <c r="AE76" s="80">
        <v>1436</v>
      </c>
      <c r="AF76" s="82">
        <f t="shared" si="117"/>
        <v>1448.2248200100344</v>
      </c>
      <c r="AG76" s="84">
        <f t="shared" si="118"/>
        <v>249898.47132107601</v>
      </c>
      <c r="AH76" s="81">
        <f t="shared" si="119"/>
        <v>3077425.1183275939</v>
      </c>
      <c r="AI76" s="80">
        <v>355</v>
      </c>
      <c r="AJ76" s="82">
        <f t="shared" si="120"/>
        <v>358.02215257908233</v>
      </c>
      <c r="AK76" s="84">
        <f t="shared" si="121"/>
        <v>1964678.5875831794</v>
      </c>
      <c r="AL76" s="80">
        <v>3047</v>
      </c>
      <c r="AM76" s="82">
        <f t="shared" si="122"/>
        <v>3072.9394335449688</v>
      </c>
      <c r="AN76" s="84">
        <f t="shared" si="123"/>
        <v>2323651.9255844913</v>
      </c>
      <c r="AO76" s="564">
        <v>490</v>
      </c>
      <c r="AP76" s="82">
        <f t="shared" si="124"/>
        <v>494.17142186971927</v>
      </c>
      <c r="AQ76" s="84">
        <f t="shared" si="125"/>
        <v>1925364.6785710615</v>
      </c>
      <c r="AR76" s="564">
        <v>624</v>
      </c>
      <c r="AS76" s="82">
        <f t="shared" si="126"/>
        <v>629.31217805449967</v>
      </c>
      <c r="AT76" s="84">
        <f t="shared" si="127"/>
        <v>1733983.6599037948</v>
      </c>
      <c r="AU76" s="81">
        <f t="shared" si="128"/>
        <v>40415625.162762523</v>
      </c>
      <c r="AV76" s="620">
        <f>INDEX('2021-22 Baseline'!$J$9:$J$158,MATCH(C76,'2021-22 Baseline'!$C$9:$C$158,0))</f>
        <v>35998295.993343763</v>
      </c>
      <c r="AW76" s="623">
        <v>65506.574999999983</v>
      </c>
      <c r="AX76" s="620">
        <f t="shared" si="129"/>
        <v>549.53714178071095</v>
      </c>
      <c r="AY76" s="620">
        <f t="shared" si="130"/>
        <v>593.50011312316792</v>
      </c>
      <c r="AZ76" s="620">
        <f t="shared" si="131"/>
        <v>615.84730116485503</v>
      </c>
      <c r="BA76" s="620">
        <f t="shared" si="132"/>
        <v>615.84730116485503</v>
      </c>
      <c r="BB76" s="624">
        <f t="shared" si="133"/>
        <v>0</v>
      </c>
      <c r="BC76" s="620">
        <f t="shared" si="47"/>
        <v>0</v>
      </c>
      <c r="BD76" s="81">
        <f t="shared" si="134"/>
        <v>0</v>
      </c>
      <c r="BE76" s="81">
        <f t="shared" si="139"/>
        <v>40415625.162762523</v>
      </c>
      <c r="BF76" s="588">
        <f>INDEX('AP Funding Factor'!$I$9:$I$158,MATCH(C76,'AP Funding Factor'!$C$9:$C$158,0))</f>
        <v>175433.63808426159</v>
      </c>
      <c r="BG76" s="290">
        <f>INDEX('Import|Export Adjustments Data'!$Q$9:$Q$159,MATCH($C76,'Import|Export Adjustments Data'!$C$9:$C$159,0))</f>
        <v>-150.5</v>
      </c>
      <c r="BH76" s="289">
        <v>0</v>
      </c>
      <c r="BI76" s="81">
        <f t="shared" si="46"/>
        <v>-903000</v>
      </c>
      <c r="BJ76" s="86">
        <f t="shared" si="98"/>
        <v>44108099.445277549</v>
      </c>
      <c r="BK76" s="620">
        <f t="shared" si="99"/>
        <v>549.53714178071095</v>
      </c>
      <c r="BL76" s="620">
        <f t="shared" si="100"/>
        <v>615.84730116485503</v>
      </c>
      <c r="BM76" s="620">
        <f t="shared" si="135"/>
        <v>609.98622737658923</v>
      </c>
      <c r="BN76" s="620">
        <f t="shared" si="136"/>
        <v>40030986.047141179</v>
      </c>
      <c r="BO76" s="281">
        <f t="shared" si="140"/>
        <v>0.1100000000000001</v>
      </c>
      <c r="BP76" s="81">
        <f t="shared" si="137"/>
        <v>44626460.329656206</v>
      </c>
      <c r="BQ76" s="81">
        <f t="shared" si="138"/>
        <v>43723460.329656206</v>
      </c>
      <c r="BS76" s="599"/>
      <c r="BT76" s="601"/>
    </row>
    <row r="77" spans="1:72" ht="15.4" x14ac:dyDescent="0.45">
      <c r="A77" s="76"/>
      <c r="B77" s="77" t="s">
        <v>135</v>
      </c>
      <c r="C77" s="288">
        <v>344</v>
      </c>
      <c r="D77" s="78" t="s">
        <v>157</v>
      </c>
      <c r="E77" s="87">
        <v>1.0017474983146799</v>
      </c>
      <c r="F77" s="327">
        <f t="shared" si="101"/>
        <v>4668.143342146408</v>
      </c>
      <c r="G77" s="290">
        <v>1198</v>
      </c>
      <c r="H77" s="81">
        <f t="shared" si="102"/>
        <v>5592435.723891397</v>
      </c>
      <c r="I77" s="597">
        <f>INDEX('Historic Spend Factor'!$U$9:$U$159, MATCH(C77, 'Historic Spend Factor'!$C$9:$C$159, 0))</f>
        <v>14720841.191687044</v>
      </c>
      <c r="J77" s="80">
        <v>64688.80399999996</v>
      </c>
      <c r="K77" s="82">
        <f t="shared" si="103"/>
        <v>64801.847575968619</v>
      </c>
      <c r="L77" s="81">
        <f t="shared" si="104"/>
        <v>13185853.43554179</v>
      </c>
      <c r="M77" s="80">
        <v>13467</v>
      </c>
      <c r="N77" s="82">
        <f t="shared" si="105"/>
        <v>13490.533559803795</v>
      </c>
      <c r="O77" s="81">
        <f t="shared" si="106"/>
        <v>3434444.241199004</v>
      </c>
      <c r="P77" s="80">
        <v>6217</v>
      </c>
      <c r="Q77" s="82">
        <f t="shared" si="107"/>
        <v>6227.8641970223653</v>
      </c>
      <c r="R77" s="84">
        <f t="shared" si="108"/>
        <v>382429.30349928181</v>
      </c>
      <c r="S77" s="80">
        <v>4912</v>
      </c>
      <c r="T77" s="82">
        <f t="shared" si="109"/>
        <v>4920.5837117217079</v>
      </c>
      <c r="U77" s="84">
        <f t="shared" si="110"/>
        <v>398845.83020837588</v>
      </c>
      <c r="V77" s="80">
        <v>1828</v>
      </c>
      <c r="W77" s="82">
        <f t="shared" si="111"/>
        <v>1831.194426919235</v>
      </c>
      <c r="X77" s="84">
        <f t="shared" si="112"/>
        <v>202994.49424504448</v>
      </c>
      <c r="Y77" s="80">
        <v>2444</v>
      </c>
      <c r="Z77" s="82">
        <f t="shared" si="113"/>
        <v>2448.2708858810779</v>
      </c>
      <c r="AA77" s="84">
        <f t="shared" si="114"/>
        <v>287987.46794761711</v>
      </c>
      <c r="AB77" s="80">
        <v>8855</v>
      </c>
      <c r="AC77" s="82">
        <f t="shared" si="115"/>
        <v>8870.4740975764907</v>
      </c>
      <c r="AD77" s="84">
        <f t="shared" si="116"/>
        <v>1159793.7667885195</v>
      </c>
      <c r="AE77" s="80">
        <v>8306</v>
      </c>
      <c r="AF77" s="82">
        <f t="shared" si="117"/>
        <v>8320.5147210017312</v>
      </c>
      <c r="AG77" s="84">
        <f t="shared" si="118"/>
        <v>1435746.6331563322</v>
      </c>
      <c r="AH77" s="81">
        <f t="shared" si="119"/>
        <v>3867797.4958451712</v>
      </c>
      <c r="AI77" s="80">
        <v>460</v>
      </c>
      <c r="AJ77" s="82">
        <f t="shared" si="120"/>
        <v>460.80384922475275</v>
      </c>
      <c r="AK77" s="84">
        <f t="shared" si="121"/>
        <v>2528702.3418133431</v>
      </c>
      <c r="AL77" s="80">
        <v>4346</v>
      </c>
      <c r="AM77" s="82">
        <f t="shared" si="122"/>
        <v>4353.5946276755985</v>
      </c>
      <c r="AN77" s="84">
        <f t="shared" si="123"/>
        <v>3292039.6768583637</v>
      </c>
      <c r="AO77" s="564">
        <v>566</v>
      </c>
      <c r="AP77" s="82">
        <f t="shared" si="124"/>
        <v>566.98908404610881</v>
      </c>
      <c r="AQ77" s="84">
        <f t="shared" si="125"/>
        <v>2209073.0205065086</v>
      </c>
      <c r="AR77" s="564">
        <v>742</v>
      </c>
      <c r="AS77" s="82">
        <f t="shared" si="126"/>
        <v>743.29664374949255</v>
      </c>
      <c r="AT77" s="84">
        <f t="shared" si="127"/>
        <v>2048052.2698725434</v>
      </c>
      <c r="AU77" s="81">
        <f t="shared" si="128"/>
        <v>45286803.673323773</v>
      </c>
      <c r="AV77" s="620">
        <f>INDEX('2021-22 Baseline'!$J$9:$J$158,MATCH(C77,'2021-22 Baseline'!$C$9:$C$158,0))</f>
        <v>41810199.595572673</v>
      </c>
      <c r="AW77" s="623">
        <v>64669.222999999976</v>
      </c>
      <c r="AX77" s="620">
        <f t="shared" si="129"/>
        <v>646.52392059160331</v>
      </c>
      <c r="AY77" s="620">
        <f t="shared" si="130"/>
        <v>698.24583423893159</v>
      </c>
      <c r="AZ77" s="620">
        <f t="shared" si="131"/>
        <v>700.07174152305868</v>
      </c>
      <c r="BA77" s="620">
        <f t="shared" si="132"/>
        <v>700.07174152305868</v>
      </c>
      <c r="BB77" s="624">
        <f t="shared" si="133"/>
        <v>0</v>
      </c>
      <c r="BC77" s="620">
        <f t="shared" si="47"/>
        <v>0</v>
      </c>
      <c r="BD77" s="81">
        <f t="shared" si="134"/>
        <v>0</v>
      </c>
      <c r="BE77" s="81">
        <f t="shared" si="139"/>
        <v>45286803.673323773</v>
      </c>
      <c r="BF77" s="588">
        <f>INDEX('AP Funding Factor'!$I$9:$I$158,MATCH(C77,'AP Funding Factor'!$C$9:$C$158,0))</f>
        <v>1822824.2374814919</v>
      </c>
      <c r="BG77" s="290">
        <f>INDEX('Import|Export Adjustments Data'!$Q$9:$Q$159,MATCH($C77,'Import|Export Adjustments Data'!$C$9:$C$159,0))</f>
        <v>-96</v>
      </c>
      <c r="BH77" s="289">
        <v>0</v>
      </c>
      <c r="BI77" s="81">
        <f t="shared" si="46"/>
        <v>-576000</v>
      </c>
      <c r="BJ77" s="86">
        <f t="shared" si="98"/>
        <v>52126063.634696662</v>
      </c>
      <c r="BK77" s="620">
        <f t="shared" si="99"/>
        <v>646.52392059160331</v>
      </c>
      <c r="BL77" s="620">
        <f t="shared" si="100"/>
        <v>700.07174152305868</v>
      </c>
      <c r="BM77" s="620">
        <f t="shared" si="135"/>
        <v>700.07174152305868</v>
      </c>
      <c r="BN77" s="620">
        <f t="shared" si="136"/>
        <v>45286803.673323773</v>
      </c>
      <c r="BO77" s="281">
        <f t="shared" si="140"/>
        <v>8.282419138097219E-2</v>
      </c>
      <c r="BP77" s="81">
        <f t="shared" si="137"/>
        <v>52702063.634696662</v>
      </c>
      <c r="BQ77" s="81">
        <f t="shared" si="138"/>
        <v>52126063.634696662</v>
      </c>
      <c r="BS77" s="599"/>
      <c r="BT77" s="601"/>
    </row>
    <row r="78" spans="1:72" ht="15.4" x14ac:dyDescent="0.45">
      <c r="A78" s="76"/>
      <c r="B78" s="77" t="s">
        <v>158</v>
      </c>
      <c r="C78" s="288">
        <v>301</v>
      </c>
      <c r="D78" s="78" t="s">
        <v>159</v>
      </c>
      <c r="E78" s="87">
        <v>1.1270590386057799</v>
      </c>
      <c r="F78" s="327">
        <f t="shared" si="101"/>
        <v>5252.0951199029341</v>
      </c>
      <c r="G78" s="290">
        <v>526</v>
      </c>
      <c r="H78" s="81">
        <f t="shared" si="102"/>
        <v>2762602.0330689433</v>
      </c>
      <c r="I78" s="597">
        <f>INDEX('Historic Spend Factor'!$U$9:$U$159, MATCH(C78, 'Historic Spend Factor'!$C$9:$C$159, 0))</f>
        <v>14791426.287369061</v>
      </c>
      <c r="J78" s="80">
        <v>59573.575999999965</v>
      </c>
      <c r="K78" s="82">
        <f t="shared" si="103"/>
        <v>67142.93729286833</v>
      </c>
      <c r="L78" s="81">
        <f t="shared" si="104"/>
        <v>13662217.413440797</v>
      </c>
      <c r="M78" s="80">
        <v>12042.5</v>
      </c>
      <c r="N78" s="82">
        <f t="shared" si="105"/>
        <v>13572.608472410106</v>
      </c>
      <c r="O78" s="81">
        <f t="shared" si="106"/>
        <v>3455339.0197263374</v>
      </c>
      <c r="P78" s="80">
        <v>11102</v>
      </c>
      <c r="Q78" s="82">
        <f t="shared" si="107"/>
        <v>12512.609446601369</v>
      </c>
      <c r="R78" s="84">
        <f t="shared" si="108"/>
        <v>768351.45472667273</v>
      </c>
      <c r="S78" s="80">
        <v>21138</v>
      </c>
      <c r="T78" s="82">
        <f t="shared" si="109"/>
        <v>23823.773958048976</v>
      </c>
      <c r="U78" s="84">
        <f t="shared" si="110"/>
        <v>1931074.3317625588</v>
      </c>
      <c r="V78" s="80">
        <v>8806</v>
      </c>
      <c r="W78" s="82">
        <f t="shared" si="111"/>
        <v>9924.881893962498</v>
      </c>
      <c r="X78" s="84">
        <f t="shared" si="112"/>
        <v>1100208.8860090086</v>
      </c>
      <c r="Y78" s="80">
        <v>6490</v>
      </c>
      <c r="Z78" s="82">
        <f t="shared" si="113"/>
        <v>7314.613160551512</v>
      </c>
      <c r="AA78" s="84">
        <f t="shared" si="114"/>
        <v>860410.06951951678</v>
      </c>
      <c r="AB78" s="80">
        <v>999</v>
      </c>
      <c r="AC78" s="82">
        <f t="shared" si="115"/>
        <v>1125.9319795671743</v>
      </c>
      <c r="AD78" s="84">
        <f t="shared" si="116"/>
        <v>147212.97614595812</v>
      </c>
      <c r="AE78" s="80">
        <v>0</v>
      </c>
      <c r="AF78" s="82">
        <f t="shared" si="117"/>
        <v>0</v>
      </c>
      <c r="AG78" s="84">
        <f t="shared" si="118"/>
        <v>0</v>
      </c>
      <c r="AH78" s="81">
        <f t="shared" si="119"/>
        <v>4807257.7181637147</v>
      </c>
      <c r="AI78" s="80">
        <v>418</v>
      </c>
      <c r="AJ78" s="82">
        <f t="shared" si="120"/>
        <v>471.11067813721604</v>
      </c>
      <c r="AK78" s="84">
        <f t="shared" si="121"/>
        <v>2585261.9874227778</v>
      </c>
      <c r="AL78" s="80">
        <v>2151</v>
      </c>
      <c r="AM78" s="82">
        <f t="shared" si="122"/>
        <v>2424.3039920410329</v>
      </c>
      <c r="AN78" s="84">
        <f t="shared" si="123"/>
        <v>1833175.9415153079</v>
      </c>
      <c r="AO78" s="564">
        <v>574</v>
      </c>
      <c r="AP78" s="82">
        <f t="shared" si="124"/>
        <v>646.93188815971769</v>
      </c>
      <c r="AQ78" s="84">
        <f t="shared" si="125"/>
        <v>2520541.9653595081</v>
      </c>
      <c r="AR78" s="564">
        <v>467</v>
      </c>
      <c r="AS78" s="82">
        <f t="shared" si="126"/>
        <v>526.33657102889924</v>
      </c>
      <c r="AT78" s="84">
        <f t="shared" si="127"/>
        <v>1450248.4547420698</v>
      </c>
      <c r="AU78" s="81">
        <f t="shared" si="128"/>
        <v>45105468.787739567</v>
      </c>
      <c r="AV78" s="620">
        <f>INDEX('2021-22 Baseline'!$J$9:$J$158,MATCH(C78,'2021-22 Baseline'!$C$9:$C$158,0))</f>
        <v>38330305.750774033</v>
      </c>
      <c r="AW78" s="623">
        <v>59457.695999999982</v>
      </c>
      <c r="AX78" s="620">
        <f t="shared" si="129"/>
        <v>644.6651708598672</v>
      </c>
      <c r="AY78" s="620">
        <f t="shared" si="130"/>
        <v>696.23838452865664</v>
      </c>
      <c r="AZ78" s="620">
        <f t="shared" si="131"/>
        <v>757.13884940765672</v>
      </c>
      <c r="BA78" s="620">
        <f t="shared" si="132"/>
        <v>757.13884940765672</v>
      </c>
      <c r="BB78" s="624">
        <f t="shared" si="133"/>
        <v>0</v>
      </c>
      <c r="BC78" s="620">
        <f t="shared" si="47"/>
        <v>0</v>
      </c>
      <c r="BD78" s="81">
        <f t="shared" si="134"/>
        <v>0</v>
      </c>
      <c r="BE78" s="81">
        <f t="shared" si="139"/>
        <v>45105468.787739567</v>
      </c>
      <c r="BF78" s="588">
        <f>INDEX('AP Funding Factor'!$I$9:$I$158,MATCH(C78,'AP Funding Factor'!$C$9:$C$158,0))</f>
        <v>148382.28</v>
      </c>
      <c r="BG78" s="290">
        <f>INDEX('Import|Export Adjustments Data'!$Q$9:$Q$159,MATCH($C78,'Import|Export Adjustments Data'!$C$9:$C$159,0))</f>
        <v>44.5</v>
      </c>
      <c r="BH78" s="289">
        <v>1054061</v>
      </c>
      <c r="BI78" s="81">
        <f t="shared" si="46"/>
        <v>1321061</v>
      </c>
      <c r="BJ78" s="86">
        <f t="shared" si="98"/>
        <v>49337514.100808509</v>
      </c>
      <c r="BK78" s="620">
        <f t="shared" si="99"/>
        <v>644.6651708598672</v>
      </c>
      <c r="BL78" s="620">
        <f t="shared" si="100"/>
        <v>757.13884940765672</v>
      </c>
      <c r="BM78" s="620">
        <f t="shared" si="135"/>
        <v>715.57833965445263</v>
      </c>
      <c r="BN78" s="620">
        <f t="shared" si="136"/>
        <v>42629560.601358324</v>
      </c>
      <c r="BO78" s="281">
        <f t="shared" si="140"/>
        <v>0.1100000000000001</v>
      </c>
      <c r="BP78" s="81">
        <f t="shared" si="137"/>
        <v>45540544.914427266</v>
      </c>
      <c r="BQ78" s="81">
        <f t="shared" si="138"/>
        <v>46861605.914427266</v>
      </c>
      <c r="BS78" s="599"/>
      <c r="BT78" s="601"/>
    </row>
    <row r="79" spans="1:72" ht="15.4" x14ac:dyDescent="0.45">
      <c r="A79" s="76"/>
      <c r="B79" s="77" t="s">
        <v>158</v>
      </c>
      <c r="C79" s="288">
        <v>302</v>
      </c>
      <c r="D79" s="78" t="s">
        <v>160</v>
      </c>
      <c r="E79" s="87">
        <v>1.11471802742381</v>
      </c>
      <c r="F79" s="327">
        <f t="shared" si="101"/>
        <v>5194.5860077949546</v>
      </c>
      <c r="G79" s="290">
        <v>819.5</v>
      </c>
      <c r="H79" s="81">
        <f t="shared" si="102"/>
        <v>4256963.2333879657</v>
      </c>
      <c r="I79" s="597">
        <f>INDEX('Historic Spend Factor'!$U$9:$U$159, MATCH(C79, 'Historic Spend Factor'!$C$9:$C$159, 0))</f>
        <v>22756841.305787064</v>
      </c>
      <c r="J79" s="80">
        <v>90294.475999999981</v>
      </c>
      <c r="K79" s="82">
        <f t="shared" si="103"/>
        <v>100652.88017398653</v>
      </c>
      <c r="L79" s="81">
        <f t="shared" si="104"/>
        <v>20480806.882603738</v>
      </c>
      <c r="M79" s="80">
        <v>10544.5</v>
      </c>
      <c r="N79" s="82">
        <f t="shared" si="105"/>
        <v>11754.144240170364</v>
      </c>
      <c r="O79" s="81">
        <f t="shared" si="106"/>
        <v>2992391.132412903</v>
      </c>
      <c r="P79" s="80">
        <v>11727</v>
      </c>
      <c r="Q79" s="82">
        <f t="shared" si="107"/>
        <v>13072.29830759902</v>
      </c>
      <c r="R79" s="84">
        <f t="shared" si="108"/>
        <v>802719.80549931386</v>
      </c>
      <c r="S79" s="80">
        <v>6430</v>
      </c>
      <c r="T79" s="82">
        <f t="shared" si="109"/>
        <v>7167.6369163350982</v>
      </c>
      <c r="U79" s="84">
        <f t="shared" si="110"/>
        <v>580984.34332450165</v>
      </c>
      <c r="V79" s="80">
        <v>2855</v>
      </c>
      <c r="W79" s="82">
        <f t="shared" si="111"/>
        <v>3182.5199682949774</v>
      </c>
      <c r="X79" s="84">
        <f t="shared" si="112"/>
        <v>352793.79507268855</v>
      </c>
      <c r="Y79" s="80">
        <v>1640</v>
      </c>
      <c r="Z79" s="82">
        <f t="shared" si="113"/>
        <v>1828.1375649750485</v>
      </c>
      <c r="AA79" s="84">
        <f t="shared" si="114"/>
        <v>215041.85318432114</v>
      </c>
      <c r="AB79" s="80">
        <v>582</v>
      </c>
      <c r="AC79" s="82">
        <f t="shared" si="115"/>
        <v>648.76589196065743</v>
      </c>
      <c r="AD79" s="84">
        <f t="shared" si="116"/>
        <v>84824.62485365216</v>
      </c>
      <c r="AE79" s="80">
        <v>0</v>
      </c>
      <c r="AF79" s="82">
        <f t="shared" si="117"/>
        <v>0</v>
      </c>
      <c r="AG79" s="84">
        <f t="shared" si="118"/>
        <v>0</v>
      </c>
      <c r="AH79" s="81">
        <f t="shared" si="119"/>
        <v>2036364.4219344775</v>
      </c>
      <c r="AI79" s="80">
        <v>511</v>
      </c>
      <c r="AJ79" s="82">
        <f t="shared" si="120"/>
        <v>569.62091201356691</v>
      </c>
      <c r="AK79" s="84">
        <f t="shared" si="121"/>
        <v>3125845.7076212843</v>
      </c>
      <c r="AL79" s="80">
        <v>2316</v>
      </c>
      <c r="AM79" s="82">
        <f t="shared" si="122"/>
        <v>2581.686951513544</v>
      </c>
      <c r="AN79" s="84">
        <f t="shared" si="123"/>
        <v>1952183.5642625643</v>
      </c>
      <c r="AO79" s="564">
        <v>558</v>
      </c>
      <c r="AP79" s="82">
        <f t="shared" si="124"/>
        <v>622.01265930248599</v>
      </c>
      <c r="AQ79" s="84">
        <f t="shared" si="125"/>
        <v>2423452.977741783</v>
      </c>
      <c r="AR79" s="564">
        <v>587</v>
      </c>
      <c r="AS79" s="82">
        <f t="shared" si="126"/>
        <v>654.33948209777645</v>
      </c>
      <c r="AT79" s="84">
        <f t="shared" si="127"/>
        <v>1802942.9741771121</v>
      </c>
      <c r="AU79" s="81">
        <f t="shared" si="128"/>
        <v>57570828.966540933</v>
      </c>
      <c r="AV79" s="620">
        <f>INDEX('2021-22 Baseline'!$J$9:$J$158,MATCH(C79,'2021-22 Baseline'!$C$9:$C$158,0))</f>
        <v>54774861.228609584</v>
      </c>
      <c r="AW79" s="623">
        <v>89805.639999999985</v>
      </c>
      <c r="AX79" s="620">
        <f t="shared" si="129"/>
        <v>609.92673988637682</v>
      </c>
      <c r="AY79" s="620">
        <f t="shared" si="130"/>
        <v>658.72087907728701</v>
      </c>
      <c r="AZ79" s="620">
        <f t="shared" si="131"/>
        <v>637.58971220499632</v>
      </c>
      <c r="BA79" s="620">
        <f t="shared" si="132"/>
        <v>658.72087907728701</v>
      </c>
      <c r="BB79" s="624">
        <f t="shared" si="133"/>
        <v>1908027.6400020465</v>
      </c>
      <c r="BC79" s="620">
        <f t="shared" si="47"/>
        <v>0</v>
      </c>
      <c r="BD79" s="81">
        <f t="shared" si="134"/>
        <v>1908027.6400020465</v>
      </c>
      <c r="BE79" s="81">
        <f t="shared" si="139"/>
        <v>59478856.606542982</v>
      </c>
      <c r="BF79" s="588">
        <f>INDEX('AP Funding Factor'!$I$9:$I$158,MATCH(C79,'AP Funding Factor'!$C$9:$C$158,0))</f>
        <v>883860.67671253718</v>
      </c>
      <c r="BG79" s="290">
        <f>INDEX('Import|Export Adjustments Data'!$Q$9:$Q$159,MATCH($C79,'Import|Export Adjustments Data'!$C$9:$C$159,0))</f>
        <v>75</v>
      </c>
      <c r="BH79" s="289">
        <v>234000</v>
      </c>
      <c r="BI79" s="81">
        <f t="shared" ref="BI79:BI142" si="141">BG79*6000+BH79</f>
        <v>684000</v>
      </c>
      <c r="BJ79" s="86">
        <f t="shared" si="98"/>
        <v>65303680.516643487</v>
      </c>
      <c r="BK79" s="620">
        <f t="shared" si="99"/>
        <v>609.92673988637682</v>
      </c>
      <c r="BL79" s="620">
        <f t="shared" si="100"/>
        <v>658.72087907728701</v>
      </c>
      <c r="BM79" s="620">
        <f t="shared" si="135"/>
        <v>658.72087907728701</v>
      </c>
      <c r="BN79" s="620">
        <f t="shared" si="136"/>
        <v>59478856.606542982</v>
      </c>
      <c r="BO79" s="281">
        <f t="shared" si="140"/>
        <v>8.0000000000000071E-2</v>
      </c>
      <c r="BP79" s="81">
        <f t="shared" si="137"/>
        <v>64619680.516643487</v>
      </c>
      <c r="BQ79" s="81">
        <f t="shared" si="138"/>
        <v>65303680.516643487</v>
      </c>
      <c r="BS79" s="599"/>
      <c r="BT79" s="601"/>
    </row>
    <row r="80" spans="1:72" ht="15.4" x14ac:dyDescent="0.45">
      <c r="A80" s="76"/>
      <c r="B80" s="77" t="s">
        <v>158</v>
      </c>
      <c r="C80" s="288">
        <v>303</v>
      </c>
      <c r="D80" s="78" t="s">
        <v>161</v>
      </c>
      <c r="E80" s="87">
        <v>1.0892729502421299</v>
      </c>
      <c r="F80" s="327">
        <f t="shared" si="101"/>
        <v>5076.0119481283255</v>
      </c>
      <c r="G80" s="290">
        <v>696</v>
      </c>
      <c r="H80" s="81">
        <f t="shared" si="102"/>
        <v>3532904.3158973143</v>
      </c>
      <c r="I80" s="597">
        <f>INDEX('Historic Spend Factor'!$U$9:$U$159, MATCH(C80, 'Historic Spend Factor'!$C$9:$C$159, 0))</f>
        <v>15371320.538629018</v>
      </c>
      <c r="J80" s="80">
        <v>54732.361999999943</v>
      </c>
      <c r="K80" s="82">
        <f t="shared" si="103"/>
        <v>59618.481429460182</v>
      </c>
      <c r="L80" s="81">
        <f t="shared" si="104"/>
        <v>12131144.212467797</v>
      </c>
      <c r="M80" s="80">
        <v>7199</v>
      </c>
      <c r="N80" s="82">
        <f t="shared" si="105"/>
        <v>7841.6759687930935</v>
      </c>
      <c r="O80" s="81">
        <f t="shared" si="106"/>
        <v>1996347.9393146965</v>
      </c>
      <c r="P80" s="80">
        <v>8434</v>
      </c>
      <c r="Q80" s="82">
        <f t="shared" si="107"/>
        <v>9186.9280623421237</v>
      </c>
      <c r="R80" s="84">
        <f t="shared" si="108"/>
        <v>564134.08979908237</v>
      </c>
      <c r="S80" s="80">
        <v>6710</v>
      </c>
      <c r="T80" s="82">
        <f t="shared" si="109"/>
        <v>7309.0214961246911</v>
      </c>
      <c r="U80" s="84">
        <f t="shared" si="110"/>
        <v>592444.49793390499</v>
      </c>
      <c r="V80" s="80">
        <v>4512</v>
      </c>
      <c r="W80" s="82">
        <f t="shared" si="111"/>
        <v>4914.7995514924896</v>
      </c>
      <c r="X80" s="84">
        <f t="shared" si="112"/>
        <v>544823.2228128073</v>
      </c>
      <c r="Y80" s="80">
        <v>4072</v>
      </c>
      <c r="Z80" s="82">
        <f t="shared" si="113"/>
        <v>4435.5194533859531</v>
      </c>
      <c r="AA80" s="84">
        <f t="shared" si="114"/>
        <v>521745.37702486344</v>
      </c>
      <c r="AB80" s="80">
        <v>262</v>
      </c>
      <c r="AC80" s="82">
        <f t="shared" si="115"/>
        <v>285.38951296343805</v>
      </c>
      <c r="AD80" s="84">
        <f t="shared" si="116"/>
        <v>37314.012148712289</v>
      </c>
      <c r="AE80" s="80">
        <v>0</v>
      </c>
      <c r="AF80" s="82">
        <f t="shared" si="117"/>
        <v>0</v>
      </c>
      <c r="AG80" s="84">
        <f t="shared" si="118"/>
        <v>0</v>
      </c>
      <c r="AH80" s="81">
        <f t="shared" si="119"/>
        <v>2260461.1997193703</v>
      </c>
      <c r="AI80" s="80">
        <v>308</v>
      </c>
      <c r="AJ80" s="82">
        <f t="shared" si="120"/>
        <v>335.49606867457601</v>
      </c>
      <c r="AK80" s="84">
        <f t="shared" si="121"/>
        <v>1841064.6871849073</v>
      </c>
      <c r="AL80" s="80">
        <v>2230</v>
      </c>
      <c r="AM80" s="82">
        <f t="shared" si="122"/>
        <v>2429.0786790399497</v>
      </c>
      <c r="AN80" s="84">
        <f t="shared" si="123"/>
        <v>1836786.3968721509</v>
      </c>
      <c r="AO80" s="564">
        <v>378</v>
      </c>
      <c r="AP80" s="82">
        <f t="shared" si="124"/>
        <v>411.74517519152511</v>
      </c>
      <c r="AQ80" s="84">
        <f t="shared" si="125"/>
        <v>1604219.8755370663</v>
      </c>
      <c r="AR80" s="564">
        <v>620</v>
      </c>
      <c r="AS80" s="82">
        <f t="shared" si="126"/>
        <v>675.34922915012055</v>
      </c>
      <c r="AT80" s="84">
        <f t="shared" si="127"/>
        <v>1860832.459488044</v>
      </c>
      <c r="AU80" s="81">
        <f t="shared" si="128"/>
        <v>38902177.309213042</v>
      </c>
      <c r="AV80" s="620">
        <f>INDEX('2021-22 Baseline'!$J$9:$J$158,MATCH(C80,'2021-22 Baseline'!$C$9:$C$158,0))</f>
        <v>37005054.76688464</v>
      </c>
      <c r="AW80" s="623">
        <v>54400.626999999979</v>
      </c>
      <c r="AX80" s="620">
        <f t="shared" si="129"/>
        <v>680.23213715688712</v>
      </c>
      <c r="AY80" s="620">
        <f t="shared" si="130"/>
        <v>734.65070812943816</v>
      </c>
      <c r="AZ80" s="620">
        <f t="shared" si="131"/>
        <v>710.77102992947903</v>
      </c>
      <c r="BA80" s="620">
        <f t="shared" si="132"/>
        <v>734.65070812943816</v>
      </c>
      <c r="BB80" s="624">
        <f t="shared" si="133"/>
        <v>1306991.19168367</v>
      </c>
      <c r="BC80" s="620">
        <f t="shared" si="47"/>
        <v>0</v>
      </c>
      <c r="BD80" s="81">
        <f t="shared" si="134"/>
        <v>1306991.19168367</v>
      </c>
      <c r="BE80" s="81">
        <f t="shared" si="139"/>
        <v>40209168.500896715</v>
      </c>
      <c r="BF80" s="588">
        <f>INDEX('AP Funding Factor'!$I$9:$I$158,MATCH(C80,'AP Funding Factor'!$C$9:$C$158,0))</f>
        <v>474098.18008523004</v>
      </c>
      <c r="BG80" s="290">
        <f>INDEX('Import|Export Adjustments Data'!$Q$9:$Q$159,MATCH($C80,'Import|Export Adjustments Data'!$C$9:$C$159,0))</f>
        <v>-251</v>
      </c>
      <c r="BH80" s="289">
        <v>500785</v>
      </c>
      <c r="BI80" s="81">
        <f t="shared" si="141"/>
        <v>-1005215</v>
      </c>
      <c r="BJ80" s="86">
        <f t="shared" si="98"/>
        <v>43210955.996879257</v>
      </c>
      <c r="BK80" s="620">
        <f t="shared" si="99"/>
        <v>680.23213715688712</v>
      </c>
      <c r="BL80" s="620">
        <f t="shared" si="100"/>
        <v>734.65070812943816</v>
      </c>
      <c r="BM80" s="620">
        <f t="shared" si="135"/>
        <v>734.65070812943816</v>
      </c>
      <c r="BN80" s="620">
        <f t="shared" si="136"/>
        <v>40209168.500896707</v>
      </c>
      <c r="BO80" s="281">
        <f t="shared" si="140"/>
        <v>8.0000000000000071E-2</v>
      </c>
      <c r="BP80" s="81">
        <f t="shared" si="137"/>
        <v>44216170.99687925</v>
      </c>
      <c r="BQ80" s="81">
        <f t="shared" si="138"/>
        <v>43210955.99687925</v>
      </c>
      <c r="BS80" s="599"/>
      <c r="BT80" s="601"/>
    </row>
    <row r="81" spans="1:72" ht="15.4" x14ac:dyDescent="0.45">
      <c r="A81" s="76"/>
      <c r="B81" s="77" t="s">
        <v>158</v>
      </c>
      <c r="C81" s="288">
        <v>304</v>
      </c>
      <c r="D81" s="78" t="s">
        <v>162</v>
      </c>
      <c r="E81" s="87">
        <v>1.15250411578745</v>
      </c>
      <c r="F81" s="327">
        <f t="shared" si="101"/>
        <v>5370.6691795695169</v>
      </c>
      <c r="G81" s="290">
        <v>902.5</v>
      </c>
      <c r="H81" s="81">
        <f t="shared" si="102"/>
        <v>4847028.9345614891</v>
      </c>
      <c r="I81" s="597">
        <f>INDEX('Historic Spend Factor'!$U$9:$U$159, MATCH(C81, 'Historic Spend Factor'!$C$9:$C$159, 0))</f>
        <v>24721239.015207548</v>
      </c>
      <c r="J81" s="80">
        <v>73772.999999999985</v>
      </c>
      <c r="K81" s="82">
        <f t="shared" si="103"/>
        <v>85023.686133987532</v>
      </c>
      <c r="L81" s="81">
        <f t="shared" si="104"/>
        <v>17300584.872953892</v>
      </c>
      <c r="M81" s="80">
        <v>10456</v>
      </c>
      <c r="N81" s="82">
        <f t="shared" si="105"/>
        <v>12050.583034673578</v>
      </c>
      <c r="O81" s="81">
        <f t="shared" si="106"/>
        <v>3067859.0526501769</v>
      </c>
      <c r="P81" s="80">
        <v>11397</v>
      </c>
      <c r="Q81" s="82">
        <f t="shared" si="107"/>
        <v>13135.089407629568</v>
      </c>
      <c r="R81" s="84">
        <f t="shared" si="108"/>
        <v>806575.56662238354</v>
      </c>
      <c r="S81" s="80">
        <v>11962</v>
      </c>
      <c r="T81" s="82">
        <f t="shared" si="109"/>
        <v>13786.254233049478</v>
      </c>
      <c r="U81" s="84">
        <f t="shared" si="110"/>
        <v>1117467.0196029251</v>
      </c>
      <c r="V81" s="80">
        <v>7630</v>
      </c>
      <c r="W81" s="82">
        <f t="shared" si="111"/>
        <v>8793.6064034582432</v>
      </c>
      <c r="X81" s="84">
        <f t="shared" si="112"/>
        <v>974802.92546713864</v>
      </c>
      <c r="Y81" s="80">
        <v>4172</v>
      </c>
      <c r="Z81" s="82">
        <f t="shared" si="113"/>
        <v>4808.2471710652417</v>
      </c>
      <c r="AA81" s="84">
        <f t="shared" si="114"/>
        <v>565588.93709306361</v>
      </c>
      <c r="AB81" s="80">
        <v>476</v>
      </c>
      <c r="AC81" s="82">
        <f t="shared" si="115"/>
        <v>548.59195911482618</v>
      </c>
      <c r="AD81" s="84">
        <f t="shared" si="116"/>
        <v>71727.117140842456</v>
      </c>
      <c r="AE81" s="80">
        <v>0</v>
      </c>
      <c r="AF81" s="82">
        <f t="shared" si="117"/>
        <v>0</v>
      </c>
      <c r="AG81" s="84">
        <f t="shared" si="118"/>
        <v>0</v>
      </c>
      <c r="AH81" s="81">
        <f t="shared" si="119"/>
        <v>3536161.565926353</v>
      </c>
      <c r="AI81" s="80">
        <v>558</v>
      </c>
      <c r="AJ81" s="82">
        <f t="shared" si="120"/>
        <v>643.09729660939718</v>
      </c>
      <c r="AK81" s="84">
        <f t="shared" si="121"/>
        <v>3529053.9405994592</v>
      </c>
      <c r="AL81" s="80">
        <v>2229</v>
      </c>
      <c r="AM81" s="82">
        <f t="shared" si="122"/>
        <v>2568.9316740902264</v>
      </c>
      <c r="AN81" s="84">
        <f t="shared" si="123"/>
        <v>1942538.4587904185</v>
      </c>
      <c r="AO81" s="564">
        <v>660</v>
      </c>
      <c r="AP81" s="82">
        <f t="shared" si="124"/>
        <v>760.65271641971708</v>
      </c>
      <c r="AQ81" s="84">
        <f t="shared" si="125"/>
        <v>2963615.0696706115</v>
      </c>
      <c r="AR81" s="564">
        <v>723</v>
      </c>
      <c r="AS81" s="82">
        <f t="shared" si="126"/>
        <v>833.26047571432639</v>
      </c>
      <c r="AT81" s="84">
        <f t="shared" si="127"/>
        <v>2295935.3079723446</v>
      </c>
      <c r="AU81" s="81">
        <f t="shared" si="128"/>
        <v>59356987.283770792</v>
      </c>
      <c r="AV81" s="620">
        <f>INDEX('2021-22 Baseline'!$J$9:$J$158,MATCH(C81,'2021-22 Baseline'!$C$9:$C$158,0))</f>
        <v>64373083.758271612</v>
      </c>
      <c r="AW81" s="623">
        <v>73604.193999999959</v>
      </c>
      <c r="AX81" s="620">
        <f t="shared" si="129"/>
        <v>874.5844531396084</v>
      </c>
      <c r="AY81" s="620">
        <f t="shared" si="130"/>
        <v>944.5512093907771</v>
      </c>
      <c r="AZ81" s="620">
        <f t="shared" si="131"/>
        <v>804.58958268974834</v>
      </c>
      <c r="BA81" s="620">
        <f t="shared" si="132"/>
        <v>944.5512093907771</v>
      </c>
      <c r="BB81" s="624">
        <f t="shared" si="133"/>
        <v>10325389.086614992</v>
      </c>
      <c r="BC81" s="620">
        <f t="shared" ref="BC81:BC144" si="142">MAX(AV81-BA81*J81,0)</f>
        <v>0</v>
      </c>
      <c r="BD81" s="81">
        <f t="shared" si="134"/>
        <v>10325389.086614992</v>
      </c>
      <c r="BE81" s="81">
        <f t="shared" si="139"/>
        <v>69682376.370385781</v>
      </c>
      <c r="BF81" s="588">
        <f>INDEX('AP Funding Factor'!$I$9:$I$158,MATCH(C81,'AP Funding Factor'!$C$9:$C$158,0))</f>
        <v>251683.0997917676</v>
      </c>
      <c r="BG81" s="290">
        <f>INDEX('Import|Export Adjustments Data'!$Q$9:$Q$159,MATCH($C81,'Import|Export Adjustments Data'!$C$9:$C$159,0))</f>
        <v>-437</v>
      </c>
      <c r="BH81" s="289">
        <v>144000</v>
      </c>
      <c r="BI81" s="81">
        <f t="shared" si="141"/>
        <v>-2478000</v>
      </c>
      <c r="BJ81" s="86">
        <f t="shared" si="98"/>
        <v>72303088.404739037</v>
      </c>
      <c r="BK81" s="620">
        <f t="shared" si="99"/>
        <v>874.5844531396084</v>
      </c>
      <c r="BL81" s="620">
        <f t="shared" si="100"/>
        <v>944.5512093907771</v>
      </c>
      <c r="BM81" s="620">
        <f t="shared" si="135"/>
        <v>944.5512093907771</v>
      </c>
      <c r="BN81" s="620">
        <f t="shared" si="136"/>
        <v>69682376.370385781</v>
      </c>
      <c r="BO81" s="281">
        <f t="shared" si="140"/>
        <v>8.0000000000000071E-2</v>
      </c>
      <c r="BP81" s="81">
        <f t="shared" si="137"/>
        <v>74781088.404739037</v>
      </c>
      <c r="BQ81" s="81">
        <f t="shared" si="138"/>
        <v>72303088.404739037</v>
      </c>
      <c r="BS81" s="599"/>
      <c r="BT81" s="601"/>
    </row>
    <row r="82" spans="1:72" ht="15.4" x14ac:dyDescent="0.45">
      <c r="A82" s="76"/>
      <c r="B82" s="77" t="s">
        <v>158</v>
      </c>
      <c r="C82" s="288">
        <v>305</v>
      </c>
      <c r="D82" s="78" t="s">
        <v>163</v>
      </c>
      <c r="E82" s="87">
        <v>1.0892729502421299</v>
      </c>
      <c r="F82" s="327">
        <f t="shared" si="101"/>
        <v>5076.0119481283255</v>
      </c>
      <c r="G82" s="290">
        <v>994.5</v>
      </c>
      <c r="H82" s="81">
        <f t="shared" si="102"/>
        <v>5048093.8824136201</v>
      </c>
      <c r="I82" s="597">
        <f>INDEX('Historic Spend Factor'!$U$9:$U$159, MATCH(C82, 'Historic Spend Factor'!$C$9:$C$159, 0))</f>
        <v>20756961.046230074</v>
      </c>
      <c r="J82" s="80">
        <v>73199.574999999997</v>
      </c>
      <c r="K82" s="82">
        <f t="shared" si="103"/>
        <v>79734.317016720059</v>
      </c>
      <c r="L82" s="81">
        <f t="shared" si="104"/>
        <v>16224306.208753668</v>
      </c>
      <c r="M82" s="80">
        <v>7294</v>
      </c>
      <c r="N82" s="82">
        <f t="shared" si="105"/>
        <v>7945.1568990660953</v>
      </c>
      <c r="O82" s="81">
        <f t="shared" si="106"/>
        <v>2022692.3002307813</v>
      </c>
      <c r="P82" s="80">
        <v>3367</v>
      </c>
      <c r="Q82" s="82">
        <f t="shared" si="107"/>
        <v>3667.5820234652515</v>
      </c>
      <c r="R82" s="84">
        <f t="shared" si="108"/>
        <v>225212.17457357247</v>
      </c>
      <c r="S82" s="80">
        <v>5511</v>
      </c>
      <c r="T82" s="82">
        <f t="shared" si="109"/>
        <v>6002.9832287843774</v>
      </c>
      <c r="U82" s="84">
        <f t="shared" si="110"/>
        <v>486581.46469653503</v>
      </c>
      <c r="V82" s="80">
        <v>3231</v>
      </c>
      <c r="W82" s="82">
        <f t="shared" si="111"/>
        <v>3519.4409022323216</v>
      </c>
      <c r="X82" s="84">
        <f t="shared" si="112"/>
        <v>390142.69346369256</v>
      </c>
      <c r="Y82" s="80">
        <v>2677</v>
      </c>
      <c r="Z82" s="82">
        <f t="shared" si="113"/>
        <v>2915.9836877981816</v>
      </c>
      <c r="AA82" s="84">
        <f t="shared" si="114"/>
        <v>343004.02119242621</v>
      </c>
      <c r="AB82" s="80">
        <v>4134</v>
      </c>
      <c r="AC82" s="82">
        <f t="shared" si="115"/>
        <v>4503.0543763009646</v>
      </c>
      <c r="AD82" s="84">
        <f t="shared" si="116"/>
        <v>588763.8405449487</v>
      </c>
      <c r="AE82" s="80">
        <v>280</v>
      </c>
      <c r="AF82" s="82">
        <f t="shared" si="117"/>
        <v>304.99642606779639</v>
      </c>
      <c r="AG82" s="84">
        <f t="shared" si="118"/>
        <v>52628.666198529732</v>
      </c>
      <c r="AH82" s="81">
        <f t="shared" si="119"/>
        <v>2086332.8606697046</v>
      </c>
      <c r="AI82" s="80">
        <v>287</v>
      </c>
      <c r="AJ82" s="82">
        <f t="shared" si="120"/>
        <v>312.6213367194913</v>
      </c>
      <c r="AK82" s="84">
        <f t="shared" si="121"/>
        <v>1715537.5494223</v>
      </c>
      <c r="AL82" s="80">
        <v>2550</v>
      </c>
      <c r="AM82" s="82">
        <f t="shared" si="122"/>
        <v>2777.646023117431</v>
      </c>
      <c r="AN82" s="84">
        <f t="shared" si="123"/>
        <v>2100361.1264681546</v>
      </c>
      <c r="AO82" s="564">
        <v>443</v>
      </c>
      <c r="AP82" s="82">
        <f t="shared" si="124"/>
        <v>482.54791695726357</v>
      </c>
      <c r="AQ82" s="84">
        <f t="shared" si="125"/>
        <v>1880077.7906426464</v>
      </c>
      <c r="AR82" s="564">
        <v>553</v>
      </c>
      <c r="AS82" s="82">
        <f t="shared" si="126"/>
        <v>602.36794148389788</v>
      </c>
      <c r="AT82" s="84">
        <f t="shared" si="127"/>
        <v>1659742.500156272</v>
      </c>
      <c r="AU82" s="81">
        <f t="shared" si="128"/>
        <v>48446011.38257359</v>
      </c>
      <c r="AV82" s="620">
        <f>INDEX('2021-22 Baseline'!$J$9:$J$158,MATCH(C82,'2021-22 Baseline'!$C$9:$C$158,0))</f>
        <v>52568912.767584339</v>
      </c>
      <c r="AW82" s="623">
        <v>72637.695999999996</v>
      </c>
      <c r="AX82" s="620">
        <f t="shared" si="129"/>
        <v>723.71393453317046</v>
      </c>
      <c r="AY82" s="620">
        <f t="shared" si="130"/>
        <v>781.61104929582416</v>
      </c>
      <c r="AZ82" s="620">
        <f t="shared" si="131"/>
        <v>661.83459921145163</v>
      </c>
      <c r="BA82" s="620">
        <f t="shared" si="132"/>
        <v>781.61104929582416</v>
      </c>
      <c r="BB82" s="624">
        <f t="shared" si="133"/>
        <v>8767585.2411847822</v>
      </c>
      <c r="BC82" s="620">
        <f t="shared" si="142"/>
        <v>0</v>
      </c>
      <c r="BD82" s="81">
        <f t="shared" si="134"/>
        <v>8767585.2411847822</v>
      </c>
      <c r="BE82" s="81">
        <f t="shared" si="139"/>
        <v>57213596.623758376</v>
      </c>
      <c r="BF82" s="588">
        <f>INDEX('AP Funding Factor'!$I$9:$I$158,MATCH(C82,'AP Funding Factor'!$C$9:$C$158,0))</f>
        <v>1005243.8879467313</v>
      </c>
      <c r="BG82" s="290">
        <f>INDEX('Import|Export Adjustments Data'!$Q$9:$Q$159,MATCH($C82,'Import|Export Adjustments Data'!$C$9:$C$159,0))</f>
        <v>192.5</v>
      </c>
      <c r="BH82" s="289">
        <v>0</v>
      </c>
      <c r="BI82" s="81">
        <f t="shared" si="141"/>
        <v>1155000</v>
      </c>
      <c r="BJ82" s="86">
        <f t="shared" si="98"/>
        <v>64421934.394118726</v>
      </c>
      <c r="BK82" s="620">
        <f t="shared" si="99"/>
        <v>723.71393453317046</v>
      </c>
      <c r="BL82" s="620">
        <f t="shared" si="100"/>
        <v>781.61104929582416</v>
      </c>
      <c r="BM82" s="620">
        <f t="shared" si="135"/>
        <v>781.61104929582416</v>
      </c>
      <c r="BN82" s="620">
        <f t="shared" si="136"/>
        <v>57213596.623758376</v>
      </c>
      <c r="BO82" s="281">
        <f t="shared" si="140"/>
        <v>8.0000000000000071E-2</v>
      </c>
      <c r="BP82" s="81">
        <f t="shared" si="137"/>
        <v>63266934.394118726</v>
      </c>
      <c r="BQ82" s="81">
        <f t="shared" si="138"/>
        <v>64421934.394118726</v>
      </c>
      <c r="BS82" s="599"/>
      <c r="BT82" s="601"/>
    </row>
    <row r="83" spans="1:72" ht="15.4" x14ac:dyDescent="0.45">
      <c r="A83" s="76"/>
      <c r="B83" s="77" t="s">
        <v>158</v>
      </c>
      <c r="C83" s="288">
        <v>306</v>
      </c>
      <c r="D83" s="78" t="s">
        <v>164</v>
      </c>
      <c r="E83" s="87">
        <v>1.0892729502421299</v>
      </c>
      <c r="F83" s="327">
        <f t="shared" si="101"/>
        <v>5076.0119481283255</v>
      </c>
      <c r="G83" s="290">
        <v>1288.1666660000001</v>
      </c>
      <c r="H83" s="81">
        <f t="shared" si="102"/>
        <v>6538749.3877966302</v>
      </c>
      <c r="I83" s="597">
        <f>INDEX('Historic Spend Factor'!$U$9:$U$159, MATCH(C83, 'Historic Spend Factor'!$C$9:$C$159, 0))</f>
        <v>29593003.002400305</v>
      </c>
      <c r="J83" s="80">
        <v>88823.63999999997</v>
      </c>
      <c r="K83" s="82">
        <f t="shared" si="103"/>
        <v>96753.188394044832</v>
      </c>
      <c r="L83" s="81">
        <f t="shared" si="104"/>
        <v>19687299.194511715</v>
      </c>
      <c r="M83" s="80">
        <v>17168</v>
      </c>
      <c r="N83" s="82">
        <f t="shared" si="105"/>
        <v>18700.638009756887</v>
      </c>
      <c r="O83" s="81">
        <f t="shared" si="106"/>
        <v>4760841.9811299769</v>
      </c>
      <c r="P83" s="80">
        <v>18056</v>
      </c>
      <c r="Q83" s="82">
        <f t="shared" si="107"/>
        <v>19667.912389571899</v>
      </c>
      <c r="R83" s="84">
        <f t="shared" si="108"/>
        <v>1207731.2218890481</v>
      </c>
      <c r="S83" s="80">
        <v>13343</v>
      </c>
      <c r="T83" s="82">
        <f t="shared" si="109"/>
        <v>14534.16897508074</v>
      </c>
      <c r="U83" s="84">
        <f t="shared" si="110"/>
        <v>1178090.4524488964</v>
      </c>
      <c r="V83" s="80">
        <v>6300</v>
      </c>
      <c r="W83" s="82">
        <f t="shared" si="111"/>
        <v>6862.4195865254187</v>
      </c>
      <c r="X83" s="84">
        <f t="shared" si="112"/>
        <v>760723.91483171249</v>
      </c>
      <c r="Y83" s="80">
        <v>9052</v>
      </c>
      <c r="Z83" s="82">
        <f t="shared" si="113"/>
        <v>9860.0987455917602</v>
      </c>
      <c r="AA83" s="84">
        <f t="shared" si="114"/>
        <v>1159832.7978460374</v>
      </c>
      <c r="AB83" s="80">
        <v>847</v>
      </c>
      <c r="AC83" s="82">
        <f t="shared" si="115"/>
        <v>922.61418885508397</v>
      </c>
      <c r="AD83" s="84">
        <f t="shared" si="116"/>
        <v>120629.64996167671</v>
      </c>
      <c r="AE83" s="80">
        <v>414</v>
      </c>
      <c r="AF83" s="82">
        <f t="shared" si="117"/>
        <v>450.95900140024179</v>
      </c>
      <c r="AG83" s="84">
        <f t="shared" si="118"/>
        <v>77815.24216496895</v>
      </c>
      <c r="AH83" s="81">
        <f t="shared" si="119"/>
        <v>4504823.2791423397</v>
      </c>
      <c r="AI83" s="80">
        <v>589</v>
      </c>
      <c r="AJ83" s="82">
        <f t="shared" si="120"/>
        <v>641.58176769261445</v>
      </c>
      <c r="AK83" s="84">
        <f t="shared" si="121"/>
        <v>3520737.3401036044</v>
      </c>
      <c r="AL83" s="80">
        <v>3302</v>
      </c>
      <c r="AM83" s="82">
        <f t="shared" si="122"/>
        <v>3596.7792816995129</v>
      </c>
      <c r="AN83" s="84">
        <f t="shared" si="123"/>
        <v>2719761.7410187637</v>
      </c>
      <c r="AO83" s="564">
        <v>704</v>
      </c>
      <c r="AP83" s="82">
        <f t="shared" si="124"/>
        <v>766.8481569704594</v>
      </c>
      <c r="AQ83" s="84">
        <f t="shared" si="125"/>
        <v>2987753.4189896686</v>
      </c>
      <c r="AR83" s="564">
        <v>975</v>
      </c>
      <c r="AS83" s="82">
        <f t="shared" si="126"/>
        <v>1062.0411264860766</v>
      </c>
      <c r="AT83" s="84">
        <f t="shared" si="127"/>
        <v>2926309.1096787788</v>
      </c>
      <c r="AU83" s="81">
        <f t="shared" si="128"/>
        <v>70700529.066975147</v>
      </c>
      <c r="AV83" s="620">
        <f>INDEX('2021-22 Baseline'!$J$9:$J$158,MATCH(C83,'2021-22 Baseline'!$C$9:$C$158,0))</f>
        <v>68065081.770874664</v>
      </c>
      <c r="AW83" s="623">
        <v>88854.284999999989</v>
      </c>
      <c r="AX83" s="620">
        <f t="shared" si="129"/>
        <v>766.03038076188079</v>
      </c>
      <c r="AY83" s="620">
        <f t="shared" si="130"/>
        <v>827.31281122283133</v>
      </c>
      <c r="AZ83" s="620">
        <f t="shared" si="131"/>
        <v>795.96523028075831</v>
      </c>
      <c r="BA83" s="620">
        <f t="shared" si="132"/>
        <v>827.31281122283133</v>
      </c>
      <c r="BB83" s="624">
        <f t="shared" si="133"/>
        <v>2784406.2444695542</v>
      </c>
      <c r="BC83" s="620">
        <f t="shared" si="142"/>
        <v>0</v>
      </c>
      <c r="BD83" s="81">
        <f t="shared" si="134"/>
        <v>2784406.2444695542</v>
      </c>
      <c r="BE83" s="81">
        <f t="shared" si="139"/>
        <v>73484935.3114447</v>
      </c>
      <c r="BF83" s="588">
        <f>INDEX('AP Funding Factor'!$I$9:$I$158,MATCH(C83,'AP Funding Factor'!$C$9:$C$158,0))</f>
        <v>731702.17961786897</v>
      </c>
      <c r="BG83" s="290">
        <f>INDEX('Import|Export Adjustments Data'!$Q$9:$Q$159,MATCH($C83,'Import|Export Adjustments Data'!$C$9:$C$159,0))</f>
        <v>-398.5</v>
      </c>
      <c r="BH83" s="289">
        <v>467496</v>
      </c>
      <c r="BI83" s="81">
        <f t="shared" si="141"/>
        <v>-1923504</v>
      </c>
      <c r="BJ83" s="86">
        <f t="shared" si="98"/>
        <v>78831882.878859192</v>
      </c>
      <c r="BK83" s="620">
        <f t="shared" si="99"/>
        <v>766.03038076188079</v>
      </c>
      <c r="BL83" s="620">
        <f t="shared" si="100"/>
        <v>827.31281122283133</v>
      </c>
      <c r="BM83" s="620">
        <f t="shared" si="135"/>
        <v>827.31281122283133</v>
      </c>
      <c r="BN83" s="620">
        <f t="shared" si="136"/>
        <v>73484935.3114447</v>
      </c>
      <c r="BO83" s="281">
        <f t="shared" si="140"/>
        <v>8.0000000000000071E-2</v>
      </c>
      <c r="BP83" s="81">
        <f t="shared" si="137"/>
        <v>80755386.878859192</v>
      </c>
      <c r="BQ83" s="81">
        <f t="shared" si="138"/>
        <v>78831882.878859192</v>
      </c>
      <c r="BS83" s="599"/>
      <c r="BT83" s="601"/>
    </row>
    <row r="84" spans="1:72" ht="15.4" x14ac:dyDescent="0.45">
      <c r="A84" s="76"/>
      <c r="B84" s="77" t="s">
        <v>158</v>
      </c>
      <c r="C84" s="288">
        <v>307</v>
      </c>
      <c r="D84" s="78" t="s">
        <v>165</v>
      </c>
      <c r="E84" s="87">
        <v>1.15250411578745</v>
      </c>
      <c r="F84" s="327">
        <f t="shared" si="101"/>
        <v>5370.6691795695169</v>
      </c>
      <c r="G84" s="290">
        <v>1032</v>
      </c>
      <c r="H84" s="81">
        <f t="shared" si="102"/>
        <v>5542530.593315741</v>
      </c>
      <c r="I84" s="597">
        <f>INDEX('Historic Spend Factor'!$U$9:$U$159, MATCH(C84, 'Historic Spend Factor'!$C$9:$C$159, 0))</f>
        <v>26199669.519666299</v>
      </c>
      <c r="J84" s="80">
        <v>75526.749999999985</v>
      </c>
      <c r="K84" s="82">
        <f t="shared" si="103"/>
        <v>87044.890227049778</v>
      </c>
      <c r="L84" s="81">
        <f t="shared" si="104"/>
        <v>17711858.654973637</v>
      </c>
      <c r="M84" s="80">
        <v>12680</v>
      </c>
      <c r="N84" s="82">
        <f t="shared" si="105"/>
        <v>14613.752188184866</v>
      </c>
      <c r="O84" s="81">
        <f t="shared" si="106"/>
        <v>3720395.255126649</v>
      </c>
      <c r="P84" s="80">
        <v>11468</v>
      </c>
      <c r="Q84" s="82">
        <f t="shared" si="107"/>
        <v>13216.917199850477</v>
      </c>
      <c r="R84" s="84">
        <f t="shared" si="108"/>
        <v>811600.29815087258</v>
      </c>
      <c r="S84" s="80">
        <v>10298</v>
      </c>
      <c r="T84" s="82">
        <f t="shared" si="109"/>
        <v>11868.487384379161</v>
      </c>
      <c r="U84" s="84">
        <f t="shared" si="110"/>
        <v>962019.34190527676</v>
      </c>
      <c r="V84" s="80">
        <v>5106</v>
      </c>
      <c r="W84" s="82">
        <f t="shared" si="111"/>
        <v>5884.6860152107201</v>
      </c>
      <c r="X84" s="84">
        <f t="shared" si="112"/>
        <v>652338.62875952956</v>
      </c>
      <c r="Y84" s="80">
        <v>3487</v>
      </c>
      <c r="Z84" s="82">
        <f t="shared" si="113"/>
        <v>4018.7818517508381</v>
      </c>
      <c r="AA84" s="84">
        <f t="shared" si="114"/>
        <v>472724.98169786978</v>
      </c>
      <c r="AB84" s="80">
        <v>1244</v>
      </c>
      <c r="AC84" s="82">
        <f t="shared" si="115"/>
        <v>1433.7151200395879</v>
      </c>
      <c r="AD84" s="84">
        <f t="shared" si="116"/>
        <v>187454.90277984878</v>
      </c>
      <c r="AE84" s="80">
        <v>0</v>
      </c>
      <c r="AF84" s="82">
        <f t="shared" si="117"/>
        <v>0</v>
      </c>
      <c r="AG84" s="84">
        <f t="shared" si="118"/>
        <v>0</v>
      </c>
      <c r="AH84" s="81">
        <f t="shared" si="119"/>
        <v>3086138.1532933973</v>
      </c>
      <c r="AI84" s="80">
        <v>486</v>
      </c>
      <c r="AJ84" s="82">
        <f t="shared" si="120"/>
        <v>560.11700027270069</v>
      </c>
      <c r="AK84" s="84">
        <f t="shared" si="121"/>
        <v>3073692.1418124316</v>
      </c>
      <c r="AL84" s="80">
        <v>2228</v>
      </c>
      <c r="AM84" s="82">
        <f t="shared" si="122"/>
        <v>2567.7791699744389</v>
      </c>
      <c r="AN84" s="84">
        <f t="shared" si="123"/>
        <v>1941666.9745110152</v>
      </c>
      <c r="AO84" s="564">
        <v>653</v>
      </c>
      <c r="AP84" s="82">
        <f t="shared" si="124"/>
        <v>752.58518760920492</v>
      </c>
      <c r="AQ84" s="84">
        <f t="shared" si="125"/>
        <v>2932182.7886286504</v>
      </c>
      <c r="AR84" s="564">
        <v>656</v>
      </c>
      <c r="AS84" s="82">
        <f t="shared" si="126"/>
        <v>756.04269995656728</v>
      </c>
      <c r="AT84" s="84">
        <f t="shared" si="127"/>
        <v>2083172.284965226</v>
      </c>
      <c r="AU84" s="81">
        <f t="shared" si="128"/>
        <v>60748775.7729773</v>
      </c>
      <c r="AV84" s="620">
        <f>INDEX('2021-22 Baseline'!$J$9:$J$158,MATCH(C84,'2021-22 Baseline'!$C$9:$C$158,0))</f>
        <v>60071437.566055946</v>
      </c>
      <c r="AW84" s="623">
        <v>75849.27499999998</v>
      </c>
      <c r="AX84" s="620">
        <f t="shared" si="129"/>
        <v>791.98433427420321</v>
      </c>
      <c r="AY84" s="620">
        <f t="shared" si="130"/>
        <v>855.34308101613954</v>
      </c>
      <c r="AZ84" s="620">
        <f t="shared" si="131"/>
        <v>804.33456719609023</v>
      </c>
      <c r="BA84" s="620">
        <f t="shared" si="132"/>
        <v>855.34308101613954</v>
      </c>
      <c r="BB84" s="624">
        <f t="shared" si="133"/>
        <v>3852507.2711584079</v>
      </c>
      <c r="BC84" s="620">
        <f t="shared" si="142"/>
        <v>0</v>
      </c>
      <c r="BD84" s="81">
        <f t="shared" si="134"/>
        <v>3852507.2711584079</v>
      </c>
      <c r="BE84" s="81">
        <f t="shared" si="139"/>
        <v>64601283.044135705</v>
      </c>
      <c r="BF84" s="588">
        <f>INDEX('AP Funding Factor'!$I$9:$I$158,MATCH(C84,'AP Funding Factor'!$C$9:$C$158,0))</f>
        <v>204084.86374818411</v>
      </c>
      <c r="BG84" s="290">
        <f>INDEX('Import|Export Adjustments Data'!$Q$9:$Q$159,MATCH($C84,'Import|Export Adjustments Data'!$C$9:$C$159,0))</f>
        <v>-331</v>
      </c>
      <c r="BH84" s="289">
        <v>18000</v>
      </c>
      <c r="BI84" s="81">
        <f t="shared" si="141"/>
        <v>-1968000</v>
      </c>
      <c r="BJ84" s="86">
        <f t="shared" si="98"/>
        <v>68379898.501199618</v>
      </c>
      <c r="BK84" s="620">
        <f t="shared" si="99"/>
        <v>791.98433427420321</v>
      </c>
      <c r="BL84" s="620">
        <f t="shared" si="100"/>
        <v>855.34308101613954</v>
      </c>
      <c r="BM84" s="620">
        <f t="shared" si="135"/>
        <v>855.34308101613954</v>
      </c>
      <c r="BN84" s="620">
        <f t="shared" si="136"/>
        <v>64601283.044135705</v>
      </c>
      <c r="BO84" s="281">
        <f t="shared" si="140"/>
        <v>8.0000000000000071E-2</v>
      </c>
      <c r="BP84" s="81">
        <f t="shared" si="137"/>
        <v>70347898.501199633</v>
      </c>
      <c r="BQ84" s="81">
        <f t="shared" si="138"/>
        <v>68379898.501199633</v>
      </c>
      <c r="BS84" s="599"/>
      <c r="BT84" s="601"/>
    </row>
    <row r="85" spans="1:72" ht="15.4" x14ac:dyDescent="0.45">
      <c r="A85" s="76"/>
      <c r="B85" s="77" t="s">
        <v>158</v>
      </c>
      <c r="C85" s="288">
        <v>308</v>
      </c>
      <c r="D85" s="78" t="s">
        <v>166</v>
      </c>
      <c r="E85" s="87">
        <v>1.0892729502421299</v>
      </c>
      <c r="F85" s="327">
        <f t="shared" si="101"/>
        <v>5076.0119481283255</v>
      </c>
      <c r="G85" s="290">
        <v>1084.5</v>
      </c>
      <c r="H85" s="81">
        <f t="shared" si="102"/>
        <v>5504934.9577451693</v>
      </c>
      <c r="I85" s="597">
        <f>INDEX('Historic Spend Factor'!$U$9:$U$159, MATCH(C85, 'Historic Spend Factor'!$C$9:$C$159, 0))</f>
        <v>20377209.353726875</v>
      </c>
      <c r="J85" s="80">
        <v>79965.89899999999</v>
      </c>
      <c r="K85" s="82">
        <f t="shared" si="103"/>
        <v>87104.690722494168</v>
      </c>
      <c r="L85" s="81">
        <f t="shared" si="104"/>
        <v>17724026.835323408</v>
      </c>
      <c r="M85" s="80">
        <v>15106</v>
      </c>
      <c r="N85" s="82">
        <f t="shared" si="105"/>
        <v>16454.557186357615</v>
      </c>
      <c r="O85" s="81">
        <f t="shared" si="106"/>
        <v>4189030.6947197951</v>
      </c>
      <c r="P85" s="80">
        <v>9777</v>
      </c>
      <c r="Q85" s="82">
        <f t="shared" si="107"/>
        <v>10649.821634517304</v>
      </c>
      <c r="R85" s="84">
        <f t="shared" si="108"/>
        <v>653964.78491411288</v>
      </c>
      <c r="S85" s="80">
        <v>13985</v>
      </c>
      <c r="T85" s="82">
        <f t="shared" si="109"/>
        <v>15233.482209136186</v>
      </c>
      <c r="U85" s="84">
        <f t="shared" si="110"/>
        <v>1234774.4118637349</v>
      </c>
      <c r="V85" s="80">
        <v>11854</v>
      </c>
      <c r="W85" s="82">
        <f t="shared" si="111"/>
        <v>12912.241552170208</v>
      </c>
      <c r="X85" s="84">
        <f t="shared" si="112"/>
        <v>1431368.4581611298</v>
      </c>
      <c r="Y85" s="80">
        <v>13821</v>
      </c>
      <c r="Z85" s="82">
        <f t="shared" si="113"/>
        <v>15054.841445296477</v>
      </c>
      <c r="AA85" s="84">
        <f t="shared" si="114"/>
        <v>1770884.787785029</v>
      </c>
      <c r="AB85" s="80">
        <v>4479</v>
      </c>
      <c r="AC85" s="82">
        <f t="shared" si="115"/>
        <v>4878.8535441345002</v>
      </c>
      <c r="AD85" s="84">
        <f t="shared" si="116"/>
        <v>637898.70387054328</v>
      </c>
      <c r="AE85" s="80">
        <v>0</v>
      </c>
      <c r="AF85" s="82">
        <f t="shared" si="117"/>
        <v>0</v>
      </c>
      <c r="AG85" s="84">
        <f t="shared" si="118"/>
        <v>0</v>
      </c>
      <c r="AH85" s="81">
        <f t="shared" si="119"/>
        <v>5728891.1465945495</v>
      </c>
      <c r="AI85" s="80">
        <v>575</v>
      </c>
      <c r="AJ85" s="82">
        <f t="shared" si="120"/>
        <v>626.33194638922464</v>
      </c>
      <c r="AK85" s="84">
        <f t="shared" si="121"/>
        <v>3437052.5815952001</v>
      </c>
      <c r="AL85" s="80">
        <v>2569</v>
      </c>
      <c r="AM85" s="82">
        <f t="shared" si="122"/>
        <v>2798.3422091720317</v>
      </c>
      <c r="AN85" s="84">
        <f t="shared" si="123"/>
        <v>2116010.8760379176</v>
      </c>
      <c r="AO85" s="564">
        <v>823</v>
      </c>
      <c r="AP85" s="82">
        <f t="shared" si="124"/>
        <v>896.47163804927288</v>
      </c>
      <c r="AQ85" s="84">
        <f t="shared" si="125"/>
        <v>3492785.602029115</v>
      </c>
      <c r="AR85" s="564">
        <v>1004</v>
      </c>
      <c r="AS85" s="82">
        <f t="shared" si="126"/>
        <v>1093.6300420430985</v>
      </c>
      <c r="AT85" s="84">
        <f t="shared" si="127"/>
        <v>3013348.0472999946</v>
      </c>
      <c r="AU85" s="81">
        <f t="shared" si="128"/>
        <v>60078355.137326851</v>
      </c>
      <c r="AV85" s="620">
        <f>INDEX('2021-22 Baseline'!$J$9:$J$158,MATCH(C85,'2021-22 Baseline'!$C$9:$C$158,0))</f>
        <v>56055827.085038297</v>
      </c>
      <c r="AW85" s="623">
        <v>79948.968999999983</v>
      </c>
      <c r="AX85" s="620">
        <f t="shared" si="129"/>
        <v>701.14509025173686</v>
      </c>
      <c r="AY85" s="620">
        <f t="shared" si="130"/>
        <v>757.23669747187591</v>
      </c>
      <c r="AZ85" s="620">
        <f t="shared" si="131"/>
        <v>751.29969010073728</v>
      </c>
      <c r="BA85" s="620">
        <f t="shared" si="132"/>
        <v>757.23669747187591</v>
      </c>
      <c r="BB85" s="624">
        <f t="shared" si="133"/>
        <v>474758.13180272747</v>
      </c>
      <c r="BC85" s="620">
        <f t="shared" si="142"/>
        <v>0</v>
      </c>
      <c r="BD85" s="81">
        <f t="shared" si="134"/>
        <v>474758.13180272747</v>
      </c>
      <c r="BE85" s="81">
        <f t="shared" si="139"/>
        <v>60553113.269129582</v>
      </c>
      <c r="BF85" s="588">
        <f>INDEX('AP Funding Factor'!$I$9:$I$158,MATCH(C85,'AP Funding Factor'!$C$9:$C$158,0))</f>
        <v>600438.61508439737</v>
      </c>
      <c r="BG85" s="290">
        <f>INDEX('Import|Export Adjustments Data'!$Q$9:$Q$159,MATCH($C85,'Import|Export Adjustments Data'!$C$9:$C$159,0))</f>
        <v>-239.5</v>
      </c>
      <c r="BH85" s="289">
        <v>18000</v>
      </c>
      <c r="BI85" s="81">
        <f t="shared" si="141"/>
        <v>-1419000</v>
      </c>
      <c r="BJ85" s="86">
        <f t="shared" si="98"/>
        <v>65239486.841959149</v>
      </c>
      <c r="BK85" s="620">
        <f t="shared" si="99"/>
        <v>701.14509025173686</v>
      </c>
      <c r="BL85" s="620">
        <f t="shared" si="100"/>
        <v>757.23669747187591</v>
      </c>
      <c r="BM85" s="620">
        <f t="shared" si="135"/>
        <v>757.23669747187591</v>
      </c>
      <c r="BN85" s="620">
        <f t="shared" si="136"/>
        <v>60553113.269129574</v>
      </c>
      <c r="BO85" s="281">
        <f t="shared" si="140"/>
        <v>8.0000000000000071E-2</v>
      </c>
      <c r="BP85" s="81">
        <f t="shared" si="137"/>
        <v>66658486.841959141</v>
      </c>
      <c r="BQ85" s="81">
        <f t="shared" si="138"/>
        <v>65239486.841959141</v>
      </c>
      <c r="BS85" s="599"/>
      <c r="BT85" s="601"/>
    </row>
    <row r="86" spans="1:72" ht="15.4" x14ac:dyDescent="0.45">
      <c r="A86" s="76"/>
      <c r="B86" s="77" t="s">
        <v>158</v>
      </c>
      <c r="C86" s="288">
        <v>203</v>
      </c>
      <c r="D86" s="78" t="s">
        <v>167</v>
      </c>
      <c r="E86" s="87">
        <v>1.21136282727152</v>
      </c>
      <c r="F86" s="327">
        <f t="shared" si="101"/>
        <v>5644.9507750852836</v>
      </c>
      <c r="G86" s="290">
        <v>602.5</v>
      </c>
      <c r="H86" s="81">
        <f t="shared" si="102"/>
        <v>3401082.8419888834</v>
      </c>
      <c r="I86" s="597">
        <f>INDEX('Historic Spend Factor'!$U$9:$U$159, MATCH(C86, 'Historic Spend Factor'!$C$9:$C$159, 0))</f>
        <v>21112710.122021813</v>
      </c>
      <c r="J86" s="80">
        <v>65643.429000000004</v>
      </c>
      <c r="K86" s="82">
        <f t="shared" si="103"/>
        <v>79518.009745237287</v>
      </c>
      <c r="L86" s="81">
        <f t="shared" si="104"/>
        <v>16180292.093639586</v>
      </c>
      <c r="M86" s="80">
        <v>11691.5</v>
      </c>
      <c r="N86" s="82">
        <f t="shared" si="105"/>
        <v>14162.648495044976</v>
      </c>
      <c r="O86" s="81">
        <f t="shared" si="106"/>
        <v>3605552.4674622575</v>
      </c>
      <c r="P86" s="80">
        <v>11320</v>
      </c>
      <c r="Q86" s="82">
        <f t="shared" si="107"/>
        <v>13712.627204713606</v>
      </c>
      <c r="R86" s="84">
        <f t="shared" si="108"/>
        <v>842039.9522441763</v>
      </c>
      <c r="S86" s="80">
        <v>18033</v>
      </c>
      <c r="T86" s="82">
        <f t="shared" si="109"/>
        <v>21844.505864187322</v>
      </c>
      <c r="U86" s="84">
        <f t="shared" si="110"/>
        <v>1770641.5716774787</v>
      </c>
      <c r="V86" s="80">
        <v>5699</v>
      </c>
      <c r="W86" s="82">
        <f t="shared" si="111"/>
        <v>6903.5567526203922</v>
      </c>
      <c r="X86" s="84">
        <f t="shared" si="112"/>
        <v>765284.11778087309</v>
      </c>
      <c r="Y86" s="80">
        <v>7030</v>
      </c>
      <c r="Z86" s="82">
        <f t="shared" si="113"/>
        <v>8515.8806757187849</v>
      </c>
      <c r="AA86" s="84">
        <f t="shared" si="114"/>
        <v>1001713.8737741056</v>
      </c>
      <c r="AB86" s="80">
        <v>2021</v>
      </c>
      <c r="AC86" s="82">
        <f t="shared" si="115"/>
        <v>2448.1642739157419</v>
      </c>
      <c r="AD86" s="84">
        <f t="shared" si="116"/>
        <v>320091.75989111612</v>
      </c>
      <c r="AE86" s="80">
        <v>0</v>
      </c>
      <c r="AF86" s="82">
        <f t="shared" si="117"/>
        <v>0</v>
      </c>
      <c r="AG86" s="84">
        <f t="shared" si="118"/>
        <v>0</v>
      </c>
      <c r="AH86" s="81">
        <f t="shared" si="119"/>
        <v>4699771.2753677499</v>
      </c>
      <c r="AI86" s="80">
        <v>475</v>
      </c>
      <c r="AJ86" s="82">
        <f t="shared" si="120"/>
        <v>575.39734295397204</v>
      </c>
      <c r="AK86" s="84">
        <f t="shared" si="121"/>
        <v>3157544.3891121177</v>
      </c>
      <c r="AL86" s="80">
        <v>2544</v>
      </c>
      <c r="AM86" s="82">
        <f t="shared" si="122"/>
        <v>3081.7070325787467</v>
      </c>
      <c r="AN86" s="84">
        <f t="shared" si="123"/>
        <v>2330281.6847509742</v>
      </c>
      <c r="AO86" s="564">
        <v>540</v>
      </c>
      <c r="AP86" s="82">
        <f t="shared" si="124"/>
        <v>654.13592672662082</v>
      </c>
      <c r="AQ86" s="84">
        <f t="shared" si="125"/>
        <v>2548609.9611721751</v>
      </c>
      <c r="AR86" s="564">
        <v>646</v>
      </c>
      <c r="AS86" s="82">
        <f t="shared" si="126"/>
        <v>782.54038641740192</v>
      </c>
      <c r="AT86" s="84">
        <f t="shared" si="127"/>
        <v>2156183.0369427004</v>
      </c>
      <c r="AU86" s="81">
        <f t="shared" si="128"/>
        <v>55790945.030469373</v>
      </c>
      <c r="AV86" s="620">
        <f>INDEX('2021-22 Baseline'!$J$9:$J$158,MATCH(C86,'2021-22 Baseline'!$C$9:$C$158,0))</f>
        <v>52622271.625144653</v>
      </c>
      <c r="AW86" s="623">
        <v>65165.566999999945</v>
      </c>
      <c r="AX86" s="620">
        <f t="shared" si="129"/>
        <v>807.51651597145928</v>
      </c>
      <c r="AY86" s="620">
        <f t="shared" si="130"/>
        <v>872.11783724917609</v>
      </c>
      <c r="AZ86" s="620">
        <f t="shared" si="131"/>
        <v>849.90905990711383</v>
      </c>
      <c r="BA86" s="620">
        <f t="shared" si="132"/>
        <v>872.11783724917609</v>
      </c>
      <c r="BB86" s="624">
        <f t="shared" si="133"/>
        <v>1457860.298630473</v>
      </c>
      <c r="BC86" s="620">
        <f t="shared" si="142"/>
        <v>0</v>
      </c>
      <c r="BD86" s="81">
        <f t="shared" si="134"/>
        <v>1457860.298630473</v>
      </c>
      <c r="BE86" s="81">
        <f t="shared" si="139"/>
        <v>57248805.329099849</v>
      </c>
      <c r="BF86" s="588">
        <f>INDEX('AP Funding Factor'!$I$9:$I$158,MATCH(C86,'AP Funding Factor'!$C$9:$C$158,0))</f>
        <v>775364.24640088971</v>
      </c>
      <c r="BG86" s="290">
        <f>INDEX('Import|Export Adjustments Data'!$Q$9:$Q$159,MATCH($C86,'Import|Export Adjustments Data'!$C$9:$C$159,0))</f>
        <v>25</v>
      </c>
      <c r="BH86" s="289">
        <v>0</v>
      </c>
      <c r="BI86" s="81">
        <f t="shared" si="141"/>
        <v>150000</v>
      </c>
      <c r="BJ86" s="86">
        <f t="shared" si="98"/>
        <v>61575252.417489626</v>
      </c>
      <c r="BK86" s="620">
        <f t="shared" si="99"/>
        <v>807.51651597145928</v>
      </c>
      <c r="BL86" s="620">
        <f t="shared" si="100"/>
        <v>872.11783724917609</v>
      </c>
      <c r="BM86" s="620">
        <f t="shared" si="135"/>
        <v>872.11783724917609</v>
      </c>
      <c r="BN86" s="620">
        <f t="shared" si="136"/>
        <v>57248805.329099849</v>
      </c>
      <c r="BO86" s="281">
        <f t="shared" si="140"/>
        <v>8.0000000000000071E-2</v>
      </c>
      <c r="BP86" s="81">
        <f t="shared" si="137"/>
        <v>61425252.417489618</v>
      </c>
      <c r="BQ86" s="81">
        <f t="shared" si="138"/>
        <v>61575252.417489618</v>
      </c>
      <c r="BS86" s="599"/>
      <c r="BT86" s="601"/>
    </row>
    <row r="87" spans="1:72" ht="15.4" x14ac:dyDescent="0.45">
      <c r="A87" s="76"/>
      <c r="B87" s="77" t="s">
        <v>158</v>
      </c>
      <c r="C87" s="288">
        <v>310</v>
      </c>
      <c r="D87" s="78" t="s">
        <v>168</v>
      </c>
      <c r="E87" s="87">
        <v>1.11471802742381</v>
      </c>
      <c r="F87" s="327">
        <f t="shared" si="101"/>
        <v>5194.5860077949546</v>
      </c>
      <c r="G87" s="290">
        <v>594</v>
      </c>
      <c r="H87" s="81">
        <f t="shared" si="102"/>
        <v>3085584.0886302032</v>
      </c>
      <c r="I87" s="597">
        <f>INDEX('Historic Spend Factor'!$U$9:$U$159, MATCH(C87, 'Historic Spend Factor'!$C$9:$C$159, 0))</f>
        <v>16586681.379015349</v>
      </c>
      <c r="J87" s="80">
        <v>55292.604999999967</v>
      </c>
      <c r="K87" s="82">
        <f t="shared" si="103"/>
        <v>61635.663576723855</v>
      </c>
      <c r="L87" s="81">
        <f t="shared" si="104"/>
        <v>12541599.610601753</v>
      </c>
      <c r="M87" s="80">
        <v>6253.5</v>
      </c>
      <c r="N87" s="82">
        <f t="shared" si="105"/>
        <v>6970.8891844947957</v>
      </c>
      <c r="O87" s="81">
        <f t="shared" si="106"/>
        <v>1774661.4772197914</v>
      </c>
      <c r="P87" s="80">
        <v>7801</v>
      </c>
      <c r="Q87" s="82">
        <f t="shared" si="107"/>
        <v>8695.9153319331417</v>
      </c>
      <c r="R87" s="84">
        <f t="shared" si="108"/>
        <v>533982.87735142384</v>
      </c>
      <c r="S87" s="80">
        <v>3438</v>
      </c>
      <c r="T87" s="82">
        <f t="shared" si="109"/>
        <v>3832.4005782830586</v>
      </c>
      <c r="U87" s="84">
        <f t="shared" si="110"/>
        <v>310641.39538874594</v>
      </c>
      <c r="V87" s="80">
        <v>1353</v>
      </c>
      <c r="W87" s="82">
        <f t="shared" si="111"/>
        <v>1508.213491104415</v>
      </c>
      <c r="X87" s="84">
        <f t="shared" si="112"/>
        <v>167190.89482779254</v>
      </c>
      <c r="Y87" s="80">
        <v>0</v>
      </c>
      <c r="Z87" s="82">
        <f t="shared" si="113"/>
        <v>0</v>
      </c>
      <c r="AA87" s="84">
        <f t="shared" si="114"/>
        <v>0</v>
      </c>
      <c r="AB87" s="80">
        <v>0</v>
      </c>
      <c r="AC87" s="82">
        <f t="shared" si="115"/>
        <v>0</v>
      </c>
      <c r="AD87" s="84">
        <f t="shared" si="116"/>
        <v>0</v>
      </c>
      <c r="AE87" s="80">
        <v>0</v>
      </c>
      <c r="AF87" s="82">
        <f t="shared" si="117"/>
        <v>0</v>
      </c>
      <c r="AG87" s="84">
        <f t="shared" si="118"/>
        <v>0</v>
      </c>
      <c r="AH87" s="81">
        <f t="shared" si="119"/>
        <v>1011815.1675679623</v>
      </c>
      <c r="AI87" s="80">
        <v>330</v>
      </c>
      <c r="AJ87" s="82">
        <f t="shared" si="120"/>
        <v>367.85694904985729</v>
      </c>
      <c r="AK87" s="84">
        <f t="shared" si="121"/>
        <v>2018647.9129452521</v>
      </c>
      <c r="AL87" s="80">
        <v>1516</v>
      </c>
      <c r="AM87" s="82">
        <f t="shared" si="122"/>
        <v>1689.9125295744959</v>
      </c>
      <c r="AN87" s="84">
        <f t="shared" si="123"/>
        <v>1277854.1810976025</v>
      </c>
      <c r="AO87" s="564">
        <v>356</v>
      </c>
      <c r="AP87" s="82">
        <f t="shared" si="124"/>
        <v>396.83961776287634</v>
      </c>
      <c r="AQ87" s="84">
        <f t="shared" si="125"/>
        <v>1546145.6273764782</v>
      </c>
      <c r="AR87" s="564">
        <v>413</v>
      </c>
      <c r="AS87" s="82">
        <f t="shared" si="126"/>
        <v>460.37854532603353</v>
      </c>
      <c r="AT87" s="84">
        <f t="shared" si="127"/>
        <v>1268510.1334499957</v>
      </c>
      <c r="AU87" s="81">
        <f t="shared" si="128"/>
        <v>38025915.489274181</v>
      </c>
      <c r="AV87" s="620">
        <f>INDEX('2021-22 Baseline'!$J$9:$J$158,MATCH(C87,'2021-22 Baseline'!$C$9:$C$158,0))</f>
        <v>36656774.752671801</v>
      </c>
      <c r="AW87" s="623">
        <v>55237.155999999974</v>
      </c>
      <c r="AX87" s="620">
        <f t="shared" si="129"/>
        <v>663.62530961354742</v>
      </c>
      <c r="AY87" s="620">
        <f t="shared" si="130"/>
        <v>716.71533438263123</v>
      </c>
      <c r="AZ87" s="620">
        <f t="shared" si="131"/>
        <v>687.72154050752727</v>
      </c>
      <c r="BA87" s="620">
        <f t="shared" si="132"/>
        <v>716.71533438263123</v>
      </c>
      <c r="BB87" s="624">
        <f t="shared" si="133"/>
        <v>1603142.3921875416</v>
      </c>
      <c r="BC87" s="620">
        <f t="shared" si="142"/>
        <v>0</v>
      </c>
      <c r="BD87" s="81">
        <f t="shared" si="134"/>
        <v>1603142.3921875416</v>
      </c>
      <c r="BE87" s="81">
        <f t="shared" si="139"/>
        <v>39629057.881461725</v>
      </c>
      <c r="BF87" s="588">
        <f>INDEX('AP Funding Factor'!$I$9:$I$158,MATCH(C87,'AP Funding Factor'!$C$9:$C$158,0))</f>
        <v>343304.21096790629</v>
      </c>
      <c r="BG87" s="290">
        <f>INDEX('Import|Export Adjustments Data'!$Q$9:$Q$159,MATCH($C87,'Import|Export Adjustments Data'!$C$9:$C$159,0))</f>
        <v>-262</v>
      </c>
      <c r="BH87" s="289">
        <v>12000</v>
      </c>
      <c r="BI87" s="81">
        <f t="shared" si="141"/>
        <v>-1560000</v>
      </c>
      <c r="BJ87" s="86">
        <f t="shared" si="98"/>
        <v>41497946.18105983</v>
      </c>
      <c r="BK87" s="620">
        <f t="shared" si="99"/>
        <v>663.62530961354742</v>
      </c>
      <c r="BL87" s="620">
        <f t="shared" si="100"/>
        <v>716.71533438263123</v>
      </c>
      <c r="BM87" s="620">
        <f t="shared" si="135"/>
        <v>716.71533438263123</v>
      </c>
      <c r="BN87" s="620">
        <f t="shared" si="136"/>
        <v>39629057.881461725</v>
      </c>
      <c r="BO87" s="281">
        <f t="shared" si="140"/>
        <v>8.0000000000000071E-2</v>
      </c>
      <c r="BP87" s="81">
        <f t="shared" si="137"/>
        <v>43057946.181059837</v>
      </c>
      <c r="BQ87" s="81">
        <f t="shared" si="138"/>
        <v>41497946.181059837</v>
      </c>
      <c r="BS87" s="599"/>
      <c r="BT87" s="601"/>
    </row>
    <row r="88" spans="1:72" ht="15.4" x14ac:dyDescent="0.45">
      <c r="A88" s="76"/>
      <c r="B88" s="77" t="s">
        <v>158</v>
      </c>
      <c r="C88" s="288">
        <v>311</v>
      </c>
      <c r="D88" s="78" t="s">
        <v>169</v>
      </c>
      <c r="E88" s="87">
        <v>1.0892729502421299</v>
      </c>
      <c r="F88" s="327">
        <f t="shared" si="101"/>
        <v>5076.0119481283255</v>
      </c>
      <c r="G88" s="290">
        <v>415.5</v>
      </c>
      <c r="H88" s="81">
        <f t="shared" si="102"/>
        <v>2109082.964447319</v>
      </c>
      <c r="I88" s="597">
        <f>INDEX('Historic Spend Factor'!$U$9:$U$159, MATCH(C88, 'Historic Spend Factor'!$C$9:$C$159, 0))</f>
        <v>11194566.720824271</v>
      </c>
      <c r="J88" s="80">
        <v>56766.329999999987</v>
      </c>
      <c r="K88" s="82">
        <f t="shared" si="103"/>
        <v>61834.027753518312</v>
      </c>
      <c r="L88" s="81">
        <f t="shared" si="104"/>
        <v>12581962.672148839</v>
      </c>
      <c r="M88" s="80">
        <v>7634.5</v>
      </c>
      <c r="N88" s="82">
        <f t="shared" si="105"/>
        <v>8316.0543386235404</v>
      </c>
      <c r="O88" s="81">
        <f t="shared" si="106"/>
        <v>2117116.0359352757</v>
      </c>
      <c r="P88" s="80">
        <v>9163</v>
      </c>
      <c r="Q88" s="82">
        <f t="shared" si="107"/>
        <v>9981.0080430686357</v>
      </c>
      <c r="R88" s="84">
        <f t="shared" si="108"/>
        <v>612895.50211394252</v>
      </c>
      <c r="S88" s="80">
        <v>6948</v>
      </c>
      <c r="T88" s="82">
        <f t="shared" si="109"/>
        <v>7568.2684582823185</v>
      </c>
      <c r="U88" s="84">
        <f t="shared" si="110"/>
        <v>613458.17759236542</v>
      </c>
      <c r="V88" s="80">
        <v>3834</v>
      </c>
      <c r="W88" s="82">
        <f t="shared" si="111"/>
        <v>4176.2724912283256</v>
      </c>
      <c r="X88" s="84">
        <f t="shared" si="112"/>
        <v>462954.83959758497</v>
      </c>
      <c r="Y88" s="80">
        <v>1599</v>
      </c>
      <c r="Z88" s="82">
        <f t="shared" si="113"/>
        <v>1741.7474474371656</v>
      </c>
      <c r="AA88" s="84">
        <f t="shared" si="114"/>
        <v>204879.87668535282</v>
      </c>
      <c r="AB88" s="80">
        <v>1743</v>
      </c>
      <c r="AC88" s="82">
        <f t="shared" si="115"/>
        <v>1898.6027522720324</v>
      </c>
      <c r="AD88" s="84">
        <f t="shared" si="116"/>
        <v>248237.87471452483</v>
      </c>
      <c r="AE88" s="80">
        <v>536</v>
      </c>
      <c r="AF88" s="82">
        <f t="shared" si="117"/>
        <v>583.85030132978159</v>
      </c>
      <c r="AG88" s="84">
        <f t="shared" si="118"/>
        <v>100746.3038657569</v>
      </c>
      <c r="AH88" s="81">
        <f t="shared" si="119"/>
        <v>2243172.5745695275</v>
      </c>
      <c r="AI88" s="80">
        <v>274</v>
      </c>
      <c r="AJ88" s="82">
        <f t="shared" si="120"/>
        <v>298.46078836634359</v>
      </c>
      <c r="AK88" s="84">
        <f t="shared" si="121"/>
        <v>1637830.2736644952</v>
      </c>
      <c r="AL88" s="80">
        <v>1897</v>
      </c>
      <c r="AM88" s="82">
        <f t="shared" si="122"/>
        <v>2066.3507866093205</v>
      </c>
      <c r="AN88" s="84">
        <f t="shared" si="123"/>
        <v>1562503.9438863096</v>
      </c>
      <c r="AO88" s="564">
        <v>297</v>
      </c>
      <c r="AP88" s="82">
        <f t="shared" si="124"/>
        <v>323.51406622191257</v>
      </c>
      <c r="AQ88" s="84">
        <f t="shared" si="125"/>
        <v>1260458.4736362663</v>
      </c>
      <c r="AR88" s="564">
        <v>539</v>
      </c>
      <c r="AS88" s="82">
        <f t="shared" si="126"/>
        <v>587.11812018050796</v>
      </c>
      <c r="AT88" s="84">
        <f t="shared" si="127"/>
        <v>1617723.702683961</v>
      </c>
      <c r="AU88" s="81">
        <f t="shared" si="128"/>
        <v>34215334.397348948</v>
      </c>
      <c r="AV88" s="620">
        <f>INDEX('2021-22 Baseline'!$J$9:$J$158,MATCH(C88,'2021-22 Baseline'!$C$9:$C$158,0))</f>
        <v>30953682.215836331</v>
      </c>
      <c r="AW88" s="623">
        <v>56027.900999999969</v>
      </c>
      <c r="AX88" s="620">
        <f t="shared" si="129"/>
        <v>552.46906743546128</v>
      </c>
      <c r="AY88" s="620">
        <f t="shared" si="130"/>
        <v>596.66659283029821</v>
      </c>
      <c r="AZ88" s="620">
        <f t="shared" si="131"/>
        <v>602.7399410416167</v>
      </c>
      <c r="BA88" s="620">
        <f t="shared" si="132"/>
        <v>602.7399410416167</v>
      </c>
      <c r="BB88" s="624">
        <f t="shared" si="133"/>
        <v>0</v>
      </c>
      <c r="BC88" s="620">
        <f t="shared" si="142"/>
        <v>0</v>
      </c>
      <c r="BD88" s="81">
        <f t="shared" si="134"/>
        <v>0</v>
      </c>
      <c r="BE88" s="81">
        <f t="shared" si="139"/>
        <v>34215334.397348948</v>
      </c>
      <c r="BF88" s="588">
        <f>INDEX('AP Funding Factor'!$I$9:$I$158,MATCH(C88,'AP Funding Factor'!$C$9:$C$158,0))</f>
        <v>135746.38629942859</v>
      </c>
      <c r="BG88" s="290">
        <f>INDEX('Import|Export Adjustments Data'!$Q$9:$Q$159,MATCH($C88,'Import|Export Adjustments Data'!$C$9:$C$159,0))</f>
        <v>-229</v>
      </c>
      <c r="BH88" s="289">
        <v>24000</v>
      </c>
      <c r="BI88" s="81">
        <f t="shared" si="141"/>
        <v>-1350000</v>
      </c>
      <c r="BJ88" s="86">
        <f t="shared" si="98"/>
        <v>35110163.748095699</v>
      </c>
      <c r="BK88" s="620">
        <f t="shared" si="99"/>
        <v>552.46906743546128</v>
      </c>
      <c r="BL88" s="620">
        <f t="shared" si="100"/>
        <v>602.7399410416167</v>
      </c>
      <c r="BM88" s="620">
        <f t="shared" si="135"/>
        <v>602.7399410416167</v>
      </c>
      <c r="BN88" s="620">
        <f t="shared" si="136"/>
        <v>34215334.397348948</v>
      </c>
      <c r="BO88" s="281">
        <f t="shared" si="140"/>
        <v>9.0993100916058056E-2</v>
      </c>
      <c r="BP88" s="81">
        <f t="shared" si="137"/>
        <v>36460163.748095699</v>
      </c>
      <c r="BQ88" s="81">
        <f t="shared" si="138"/>
        <v>35110163.748095699</v>
      </c>
      <c r="BS88" s="599"/>
      <c r="BT88" s="601"/>
    </row>
    <row r="89" spans="1:72" ht="15.4" x14ac:dyDescent="0.45">
      <c r="A89" s="76"/>
      <c r="B89" s="77" t="s">
        <v>158</v>
      </c>
      <c r="C89" s="288">
        <v>312</v>
      </c>
      <c r="D89" s="78" t="s">
        <v>170</v>
      </c>
      <c r="E89" s="87">
        <v>1.11471802742381</v>
      </c>
      <c r="F89" s="327">
        <f t="shared" si="101"/>
        <v>5194.5860077949546</v>
      </c>
      <c r="G89" s="290">
        <v>968.5</v>
      </c>
      <c r="H89" s="81">
        <f t="shared" si="102"/>
        <v>5030956.5485494137</v>
      </c>
      <c r="I89" s="597">
        <f>INDEX('Historic Spend Factor'!$U$9:$U$159, MATCH(C89, 'Historic Spend Factor'!$C$9:$C$159, 0))</f>
        <v>16861582.250965293</v>
      </c>
      <c r="J89" s="80">
        <v>70822.488999999972</v>
      </c>
      <c r="K89" s="82">
        <f t="shared" si="103"/>
        <v>78947.105235324445</v>
      </c>
      <c r="L89" s="81">
        <f t="shared" si="104"/>
        <v>16064124.677508812</v>
      </c>
      <c r="M89" s="80">
        <v>9426</v>
      </c>
      <c r="N89" s="82">
        <f t="shared" si="105"/>
        <v>10507.332126496833</v>
      </c>
      <c r="O89" s="81">
        <f t="shared" si="106"/>
        <v>2674975.467222156</v>
      </c>
      <c r="P89" s="80">
        <v>15484</v>
      </c>
      <c r="Q89" s="82">
        <f t="shared" si="107"/>
        <v>17260.293936630274</v>
      </c>
      <c r="R89" s="84">
        <f t="shared" si="108"/>
        <v>1059888.587733553</v>
      </c>
      <c r="S89" s="80">
        <v>14086</v>
      </c>
      <c r="T89" s="82">
        <f t="shared" si="109"/>
        <v>15701.918134291787</v>
      </c>
      <c r="U89" s="84">
        <f t="shared" si="110"/>
        <v>1272744.2395130529</v>
      </c>
      <c r="V89" s="80">
        <v>1738</v>
      </c>
      <c r="W89" s="82">
        <f t="shared" si="111"/>
        <v>1937.3799316625818</v>
      </c>
      <c r="X89" s="84">
        <f t="shared" si="112"/>
        <v>214765.53969748958</v>
      </c>
      <c r="Y89" s="80">
        <v>794</v>
      </c>
      <c r="Z89" s="82">
        <f t="shared" si="113"/>
        <v>885.08611377450518</v>
      </c>
      <c r="AA89" s="84">
        <f t="shared" si="114"/>
        <v>104111.72648070182</v>
      </c>
      <c r="AB89" s="80">
        <v>476</v>
      </c>
      <c r="AC89" s="82">
        <f t="shared" si="115"/>
        <v>530.60578105373361</v>
      </c>
      <c r="AD89" s="84">
        <f t="shared" si="116"/>
        <v>69375.466375151955</v>
      </c>
      <c r="AE89" s="80">
        <v>0</v>
      </c>
      <c r="AF89" s="82">
        <f t="shared" si="117"/>
        <v>0</v>
      </c>
      <c r="AG89" s="84">
        <f t="shared" si="118"/>
        <v>0</v>
      </c>
      <c r="AH89" s="81">
        <f t="shared" si="119"/>
        <v>2720885.5597999492</v>
      </c>
      <c r="AI89" s="80">
        <v>402</v>
      </c>
      <c r="AJ89" s="82">
        <f t="shared" si="120"/>
        <v>448.11664702437162</v>
      </c>
      <c r="AK89" s="84">
        <f t="shared" si="121"/>
        <v>2459080.1848605797</v>
      </c>
      <c r="AL89" s="80">
        <v>2987</v>
      </c>
      <c r="AM89" s="82">
        <f t="shared" si="122"/>
        <v>3329.6627479149206</v>
      </c>
      <c r="AN89" s="84">
        <f t="shared" si="123"/>
        <v>2517777.334392176</v>
      </c>
      <c r="AO89" s="564">
        <v>480</v>
      </c>
      <c r="AP89" s="82">
        <f t="shared" si="124"/>
        <v>535.06465316342883</v>
      </c>
      <c r="AQ89" s="84">
        <f t="shared" si="125"/>
        <v>2084690.7335413189</v>
      </c>
      <c r="AR89" s="564">
        <v>705</v>
      </c>
      <c r="AS89" s="82">
        <f t="shared" si="126"/>
        <v>785.87620933378605</v>
      </c>
      <c r="AT89" s="84">
        <f t="shared" si="127"/>
        <v>2165374.4408771107</v>
      </c>
      <c r="AU89" s="81">
        <f t="shared" si="128"/>
        <v>47548490.649167389</v>
      </c>
      <c r="AV89" s="620">
        <f>INDEX('2021-22 Baseline'!$J$9:$J$158,MATCH(C89,'2021-22 Baseline'!$C$9:$C$158,0))</f>
        <v>43687660.351367064</v>
      </c>
      <c r="AW89" s="623">
        <v>70379.937999999995</v>
      </c>
      <c r="AX89" s="620">
        <f t="shared" si="129"/>
        <v>620.74025060049166</v>
      </c>
      <c r="AY89" s="620">
        <f t="shared" si="130"/>
        <v>670.39947064853106</v>
      </c>
      <c r="AZ89" s="620">
        <f t="shared" si="131"/>
        <v>671.37559439865788</v>
      </c>
      <c r="BA89" s="620">
        <f t="shared" si="132"/>
        <v>671.37559439865788</v>
      </c>
      <c r="BB89" s="624">
        <f t="shared" si="133"/>
        <v>0</v>
      </c>
      <c r="BC89" s="620">
        <f t="shared" si="142"/>
        <v>0</v>
      </c>
      <c r="BD89" s="81">
        <f t="shared" si="134"/>
        <v>0</v>
      </c>
      <c r="BE89" s="81">
        <f t="shared" si="139"/>
        <v>47548490.649167389</v>
      </c>
      <c r="BF89" s="588">
        <f>INDEX('AP Funding Factor'!$I$9:$I$158,MATCH(C89,'AP Funding Factor'!$C$9:$C$158,0))</f>
        <v>189324.33513317199</v>
      </c>
      <c r="BG89" s="290">
        <f>INDEX('Import|Export Adjustments Data'!$Q$9:$Q$159,MATCH($C89,'Import|Export Adjustments Data'!$C$9:$C$159,0))</f>
        <v>193</v>
      </c>
      <c r="BH89" s="289">
        <v>12000</v>
      </c>
      <c r="BI89" s="81">
        <f t="shared" si="141"/>
        <v>1170000</v>
      </c>
      <c r="BJ89" s="86">
        <f t="shared" si="98"/>
        <v>53938771.532849975</v>
      </c>
      <c r="BK89" s="620">
        <f t="shared" si="99"/>
        <v>620.74025060049166</v>
      </c>
      <c r="BL89" s="620">
        <f t="shared" si="100"/>
        <v>671.37559439865788</v>
      </c>
      <c r="BM89" s="620">
        <f t="shared" si="135"/>
        <v>671.37559439865788</v>
      </c>
      <c r="BN89" s="620">
        <f t="shared" si="136"/>
        <v>47548490.649167389</v>
      </c>
      <c r="BO89" s="281">
        <f t="shared" si="140"/>
        <v>8.1572515636262777E-2</v>
      </c>
      <c r="BP89" s="81">
        <f t="shared" si="137"/>
        <v>52768771.532849975</v>
      </c>
      <c r="BQ89" s="81">
        <f t="shared" si="138"/>
        <v>53938771.532849975</v>
      </c>
      <c r="BS89" s="599"/>
      <c r="BT89" s="601"/>
    </row>
    <row r="90" spans="1:72" ht="15.4" x14ac:dyDescent="0.45">
      <c r="A90" s="76"/>
      <c r="B90" s="77" t="s">
        <v>158</v>
      </c>
      <c r="C90" s="288">
        <v>313</v>
      </c>
      <c r="D90" s="78" t="s">
        <v>171</v>
      </c>
      <c r="E90" s="87">
        <v>1.11471802742381</v>
      </c>
      <c r="F90" s="327">
        <f t="shared" si="101"/>
        <v>5194.5860077949546</v>
      </c>
      <c r="G90" s="290">
        <v>985</v>
      </c>
      <c r="H90" s="81">
        <f t="shared" si="102"/>
        <v>5116667.21767803</v>
      </c>
      <c r="I90" s="597">
        <f>INDEX('Historic Spend Factor'!$U$9:$U$159, MATCH(C90, 'Historic Spend Factor'!$C$9:$C$159, 0))</f>
        <v>20835958.335529689</v>
      </c>
      <c r="J90" s="80">
        <v>61758.986999999994</v>
      </c>
      <c r="K90" s="82">
        <f t="shared" si="103"/>
        <v>68843.856164332712</v>
      </c>
      <c r="L90" s="81">
        <f t="shared" si="104"/>
        <v>14008319.689592471</v>
      </c>
      <c r="M90" s="80">
        <v>10170</v>
      </c>
      <c r="N90" s="82">
        <f t="shared" si="105"/>
        <v>11336.682338900147</v>
      </c>
      <c r="O90" s="81">
        <f t="shared" si="106"/>
        <v>2886112.9324898501</v>
      </c>
      <c r="P90" s="80">
        <v>13606</v>
      </c>
      <c r="Q90" s="82">
        <f t="shared" si="107"/>
        <v>15166.853481128359</v>
      </c>
      <c r="R90" s="84">
        <f t="shared" si="108"/>
        <v>931338.42190020159</v>
      </c>
      <c r="S90" s="80">
        <v>7676</v>
      </c>
      <c r="T90" s="82">
        <f t="shared" si="109"/>
        <v>8556.575578505166</v>
      </c>
      <c r="U90" s="84">
        <f t="shared" si="110"/>
        <v>693567.00145550154</v>
      </c>
      <c r="V90" s="80">
        <v>2707</v>
      </c>
      <c r="W90" s="82">
        <f t="shared" si="111"/>
        <v>3017.5417002362537</v>
      </c>
      <c r="X90" s="84">
        <f t="shared" si="112"/>
        <v>334505.3601617401</v>
      </c>
      <c r="Y90" s="80">
        <v>1520</v>
      </c>
      <c r="Z90" s="82">
        <f t="shared" si="113"/>
        <v>1694.3714016841911</v>
      </c>
      <c r="AA90" s="84">
        <f t="shared" si="114"/>
        <v>199307.0834391269</v>
      </c>
      <c r="AB90" s="80">
        <v>1744</v>
      </c>
      <c r="AC90" s="82">
        <f t="shared" si="115"/>
        <v>1944.0682398271247</v>
      </c>
      <c r="AD90" s="84">
        <f t="shared" si="116"/>
        <v>254182.38100475835</v>
      </c>
      <c r="AE90" s="80">
        <v>0</v>
      </c>
      <c r="AF90" s="82">
        <f t="shared" si="117"/>
        <v>0</v>
      </c>
      <c r="AG90" s="84">
        <f t="shared" si="118"/>
        <v>0</v>
      </c>
      <c r="AH90" s="81">
        <f t="shared" si="119"/>
        <v>2412900.2479613284</v>
      </c>
      <c r="AI90" s="80">
        <v>375</v>
      </c>
      <c r="AJ90" s="82">
        <f t="shared" si="120"/>
        <v>418.01926028392876</v>
      </c>
      <c r="AK90" s="84">
        <f t="shared" si="121"/>
        <v>2293918.0828923322</v>
      </c>
      <c r="AL90" s="80">
        <v>2195</v>
      </c>
      <c r="AM90" s="82">
        <f t="shared" si="122"/>
        <v>2446.8060701952631</v>
      </c>
      <c r="AN90" s="84">
        <f t="shared" si="123"/>
        <v>1850191.2450588637</v>
      </c>
      <c r="AO90" s="564">
        <v>494</v>
      </c>
      <c r="AP90" s="82">
        <f t="shared" si="124"/>
        <v>550.6707055473621</v>
      </c>
      <c r="AQ90" s="84">
        <f t="shared" si="125"/>
        <v>2145494.2132696072</v>
      </c>
      <c r="AR90" s="564">
        <v>533</v>
      </c>
      <c r="AS90" s="82">
        <f t="shared" si="126"/>
        <v>594.14470861689074</v>
      </c>
      <c r="AT90" s="84">
        <f t="shared" si="127"/>
        <v>1637084.5063652485</v>
      </c>
      <c r="AU90" s="81">
        <f t="shared" si="128"/>
        <v>48069979.253159381</v>
      </c>
      <c r="AV90" s="620">
        <f>INDEX('2021-22 Baseline'!$J$9:$J$158,MATCH(C90,'2021-22 Baseline'!$C$9:$C$158,0))</f>
        <v>53362966.515855655</v>
      </c>
      <c r="AW90" s="623">
        <v>61540.296999999977</v>
      </c>
      <c r="AX90" s="620">
        <f t="shared" si="129"/>
        <v>867.12234287487559</v>
      </c>
      <c r="AY90" s="620">
        <f t="shared" si="130"/>
        <v>936.49213030486567</v>
      </c>
      <c r="AZ90" s="620">
        <f t="shared" si="131"/>
        <v>778.34792292107034</v>
      </c>
      <c r="BA90" s="620">
        <f t="shared" si="132"/>
        <v>936.49213030486567</v>
      </c>
      <c r="BB90" s="624">
        <f t="shared" si="133"/>
        <v>9766826.0479411185</v>
      </c>
      <c r="BC90" s="620">
        <f t="shared" si="142"/>
        <v>0</v>
      </c>
      <c r="BD90" s="81">
        <f t="shared" si="134"/>
        <v>9766826.0479411185</v>
      </c>
      <c r="BE90" s="81">
        <f t="shared" si="139"/>
        <v>57836805.3011005</v>
      </c>
      <c r="BF90" s="588">
        <f>INDEX('AP Funding Factor'!$I$9:$I$158,MATCH(C90,'AP Funding Factor'!$C$9:$C$158,0))</f>
        <v>1655411.6437750908</v>
      </c>
      <c r="BG90" s="290">
        <f>INDEX('Import|Export Adjustments Data'!$Q$9:$Q$159,MATCH($C90,'Import|Export Adjustments Data'!$C$9:$C$159,0))</f>
        <v>-185</v>
      </c>
      <c r="BH90" s="289">
        <v>30000</v>
      </c>
      <c r="BI90" s="81">
        <f t="shared" si="141"/>
        <v>-1080000</v>
      </c>
      <c r="BJ90" s="86">
        <f t="shared" si="98"/>
        <v>63528884.162553623</v>
      </c>
      <c r="BK90" s="620">
        <f t="shared" si="99"/>
        <v>867.12234287487559</v>
      </c>
      <c r="BL90" s="620">
        <f t="shared" si="100"/>
        <v>936.49213030486567</v>
      </c>
      <c r="BM90" s="620">
        <f t="shared" si="135"/>
        <v>936.49213030486567</v>
      </c>
      <c r="BN90" s="620">
        <f t="shared" si="136"/>
        <v>57836805.3011005</v>
      </c>
      <c r="BO90" s="281">
        <f t="shared" si="140"/>
        <v>8.0000000000000071E-2</v>
      </c>
      <c r="BP90" s="81">
        <f t="shared" si="137"/>
        <v>64608884.162553623</v>
      </c>
      <c r="BQ90" s="81">
        <f t="shared" si="138"/>
        <v>63528884.162553623</v>
      </c>
      <c r="BS90" s="599"/>
      <c r="BT90" s="601"/>
    </row>
    <row r="91" spans="1:72" ht="15.4" x14ac:dyDescent="0.45">
      <c r="A91" s="76"/>
      <c r="B91" s="77" t="s">
        <v>158</v>
      </c>
      <c r="C91" s="288">
        <v>314</v>
      </c>
      <c r="D91" s="78" t="s">
        <v>172</v>
      </c>
      <c r="E91" s="87">
        <v>1.11471802742381</v>
      </c>
      <c r="F91" s="327">
        <f t="shared" si="101"/>
        <v>5194.5860077949546</v>
      </c>
      <c r="G91" s="290">
        <v>552</v>
      </c>
      <c r="H91" s="81">
        <f t="shared" si="102"/>
        <v>2867411.4763028151</v>
      </c>
      <c r="I91" s="597">
        <f>INDEX('Historic Spend Factor'!$U$9:$U$159, MATCH(C91, 'Historic Spend Factor'!$C$9:$C$159, 0))</f>
        <v>10561147.664230265</v>
      </c>
      <c r="J91" s="80">
        <v>38063.092999999993</v>
      </c>
      <c r="K91" s="82">
        <f t="shared" si="103"/>
        <v>42429.615946609025</v>
      </c>
      <c r="L91" s="81">
        <f t="shared" si="104"/>
        <v>8633560.8956586253</v>
      </c>
      <c r="M91" s="80">
        <v>3221</v>
      </c>
      <c r="N91" s="82">
        <f t="shared" si="105"/>
        <v>3590.506766332092</v>
      </c>
      <c r="O91" s="81">
        <f t="shared" si="106"/>
        <v>914077.65541296033</v>
      </c>
      <c r="P91" s="80">
        <v>4855</v>
      </c>
      <c r="Q91" s="82">
        <f t="shared" si="107"/>
        <v>5411.9560231425976</v>
      </c>
      <c r="R91" s="84">
        <f t="shared" si="108"/>
        <v>332327.50538920175</v>
      </c>
      <c r="S91" s="80">
        <v>651</v>
      </c>
      <c r="T91" s="82">
        <f t="shared" si="109"/>
        <v>725.68143585290034</v>
      </c>
      <c r="U91" s="84">
        <f t="shared" si="110"/>
        <v>58821.276439230256</v>
      </c>
      <c r="V91" s="80">
        <v>0</v>
      </c>
      <c r="W91" s="82">
        <f t="shared" si="111"/>
        <v>0</v>
      </c>
      <c r="X91" s="84">
        <f t="shared" si="112"/>
        <v>0</v>
      </c>
      <c r="Y91" s="80">
        <v>495</v>
      </c>
      <c r="Z91" s="82">
        <f t="shared" si="113"/>
        <v>551.78542357478591</v>
      </c>
      <c r="AA91" s="84">
        <f t="shared" si="114"/>
        <v>64905.92519892619</v>
      </c>
      <c r="AB91" s="80">
        <v>0</v>
      </c>
      <c r="AC91" s="82">
        <f t="shared" si="115"/>
        <v>0</v>
      </c>
      <c r="AD91" s="84">
        <f t="shared" si="116"/>
        <v>0</v>
      </c>
      <c r="AE91" s="80">
        <v>0</v>
      </c>
      <c r="AF91" s="82">
        <f t="shared" si="117"/>
        <v>0</v>
      </c>
      <c r="AG91" s="84">
        <f t="shared" si="118"/>
        <v>0</v>
      </c>
      <c r="AH91" s="81">
        <f t="shared" si="119"/>
        <v>456054.70702735818</v>
      </c>
      <c r="AI91" s="80">
        <v>148</v>
      </c>
      <c r="AJ91" s="82">
        <f t="shared" si="120"/>
        <v>164.97826805872387</v>
      </c>
      <c r="AK91" s="84">
        <f t="shared" si="121"/>
        <v>905333.00338150701</v>
      </c>
      <c r="AL91" s="80">
        <v>1209</v>
      </c>
      <c r="AM91" s="82">
        <f t="shared" si="122"/>
        <v>1347.6940951553863</v>
      </c>
      <c r="AN91" s="84">
        <f t="shared" si="123"/>
        <v>1019080.2803080484</v>
      </c>
      <c r="AO91" s="564">
        <v>248</v>
      </c>
      <c r="AP91" s="82">
        <f t="shared" si="124"/>
        <v>276.45007080110486</v>
      </c>
      <c r="AQ91" s="84">
        <f t="shared" si="125"/>
        <v>1077090.2123296813</v>
      </c>
      <c r="AR91" s="564">
        <v>269</v>
      </c>
      <c r="AS91" s="82">
        <f t="shared" si="126"/>
        <v>299.85914937700488</v>
      </c>
      <c r="AT91" s="84">
        <f t="shared" si="127"/>
        <v>826220.88595169189</v>
      </c>
      <c r="AU91" s="81">
        <f t="shared" si="128"/>
        <v>24392565.304300137</v>
      </c>
      <c r="AV91" s="620">
        <f>INDEX('2021-22 Baseline'!$J$9:$J$158,MATCH(C91,'2021-22 Baseline'!$C$9:$C$158,0))</f>
        <v>23107926.690175723</v>
      </c>
      <c r="AW91" s="623">
        <v>37801.419000000002</v>
      </c>
      <c r="AX91" s="620">
        <f t="shared" si="129"/>
        <v>611.29786398165959</v>
      </c>
      <c r="AY91" s="620">
        <f t="shared" si="130"/>
        <v>660.20169310019241</v>
      </c>
      <c r="AZ91" s="620">
        <f t="shared" si="131"/>
        <v>640.84559035441873</v>
      </c>
      <c r="BA91" s="620">
        <f t="shared" si="132"/>
        <v>660.20169310019241</v>
      </c>
      <c r="BB91" s="624">
        <f t="shared" si="133"/>
        <v>736753.1389299389</v>
      </c>
      <c r="BC91" s="620">
        <f t="shared" si="142"/>
        <v>0</v>
      </c>
      <c r="BD91" s="81">
        <f t="shared" si="134"/>
        <v>736753.1389299389</v>
      </c>
      <c r="BE91" s="81">
        <f t="shared" si="139"/>
        <v>25129318.443230078</v>
      </c>
      <c r="BF91" s="588">
        <f>INDEX('AP Funding Factor'!$I$9:$I$158,MATCH(C91,'AP Funding Factor'!$C$9:$C$158,0))</f>
        <v>103872.07965133173</v>
      </c>
      <c r="BG91" s="290">
        <f>INDEX('Import|Export Adjustments Data'!$Q$9:$Q$159,MATCH($C91,'Import|Export Adjustments Data'!$C$9:$C$159,0))</f>
        <v>-66</v>
      </c>
      <c r="BH91" s="289">
        <v>12000</v>
      </c>
      <c r="BI91" s="81">
        <f t="shared" si="141"/>
        <v>-384000</v>
      </c>
      <c r="BJ91" s="86">
        <f t="shared" si="98"/>
        <v>27716601.999184225</v>
      </c>
      <c r="BK91" s="620">
        <f t="shared" si="99"/>
        <v>611.29786398165959</v>
      </c>
      <c r="BL91" s="620">
        <f t="shared" si="100"/>
        <v>660.20169310019241</v>
      </c>
      <c r="BM91" s="620">
        <f t="shared" si="135"/>
        <v>660.20169310019241</v>
      </c>
      <c r="BN91" s="620">
        <f t="shared" si="136"/>
        <v>25129318.443230078</v>
      </c>
      <c r="BO91" s="281">
        <f t="shared" si="140"/>
        <v>8.0000000000000071E-2</v>
      </c>
      <c r="BP91" s="81">
        <f t="shared" si="137"/>
        <v>28100601.999184225</v>
      </c>
      <c r="BQ91" s="81">
        <f t="shared" si="138"/>
        <v>27716601.999184225</v>
      </c>
      <c r="BS91" s="599"/>
      <c r="BT91" s="601"/>
    </row>
    <row r="92" spans="1:72" ht="15.4" x14ac:dyDescent="0.45">
      <c r="A92" s="76"/>
      <c r="B92" s="77" t="s">
        <v>158</v>
      </c>
      <c r="C92" s="288">
        <v>315</v>
      </c>
      <c r="D92" s="78" t="s">
        <v>173</v>
      </c>
      <c r="E92" s="87">
        <v>1.15250411578745</v>
      </c>
      <c r="F92" s="327">
        <f t="shared" si="101"/>
        <v>5370.6691795695169</v>
      </c>
      <c r="G92" s="290">
        <v>679</v>
      </c>
      <c r="H92" s="81">
        <f t="shared" si="102"/>
        <v>3646684.372927702</v>
      </c>
      <c r="I92" s="597">
        <f>INDEX('Historic Spend Factor'!$U$9:$U$159, MATCH(C92, 'Historic Spend Factor'!$C$9:$C$159, 0))</f>
        <v>16238077.030211614</v>
      </c>
      <c r="J92" s="80">
        <v>43765.312999999966</v>
      </c>
      <c r="K92" s="82">
        <f t="shared" si="103"/>
        <v>50439.703361225955</v>
      </c>
      <c r="L92" s="81">
        <f t="shared" si="104"/>
        <v>10263450.206008863</v>
      </c>
      <c r="M92" s="80">
        <v>6681</v>
      </c>
      <c r="N92" s="82">
        <f t="shared" si="105"/>
        <v>7699.8799975759539</v>
      </c>
      <c r="O92" s="81">
        <f t="shared" si="106"/>
        <v>1960249.2665221721</v>
      </c>
      <c r="P92" s="80">
        <v>3621</v>
      </c>
      <c r="Q92" s="82">
        <f t="shared" si="107"/>
        <v>4173.217403266357</v>
      </c>
      <c r="R92" s="84">
        <f t="shared" si="108"/>
        <v>256261.30795293947</v>
      </c>
      <c r="S92" s="80">
        <v>6637</v>
      </c>
      <c r="T92" s="82">
        <f t="shared" si="109"/>
        <v>7649.169816481306</v>
      </c>
      <c r="U92" s="84">
        <f t="shared" si="110"/>
        <v>620015.76735534298</v>
      </c>
      <c r="V92" s="80">
        <v>1226</v>
      </c>
      <c r="W92" s="82">
        <f t="shared" si="111"/>
        <v>1412.9700459554138</v>
      </c>
      <c r="X92" s="84">
        <f t="shared" si="112"/>
        <v>156632.81607112871</v>
      </c>
      <c r="Y92" s="80">
        <v>1205</v>
      </c>
      <c r="Z92" s="82">
        <f t="shared" si="113"/>
        <v>1388.7674595238773</v>
      </c>
      <c r="AA92" s="84">
        <f t="shared" si="114"/>
        <v>163359.22080468398</v>
      </c>
      <c r="AB92" s="80">
        <v>1213</v>
      </c>
      <c r="AC92" s="82">
        <f t="shared" si="115"/>
        <v>1397.9874924501769</v>
      </c>
      <c r="AD92" s="84">
        <f t="shared" si="116"/>
        <v>182783.59893244097</v>
      </c>
      <c r="AE92" s="80">
        <v>0</v>
      </c>
      <c r="AF92" s="82">
        <f t="shared" si="117"/>
        <v>0</v>
      </c>
      <c r="AG92" s="84">
        <f t="shared" si="118"/>
        <v>0</v>
      </c>
      <c r="AH92" s="81">
        <f t="shared" si="119"/>
        <v>1379052.7111165361</v>
      </c>
      <c r="AI92" s="80">
        <v>222</v>
      </c>
      <c r="AJ92" s="82">
        <f t="shared" si="120"/>
        <v>255.8559137048139</v>
      </c>
      <c r="AK92" s="84">
        <f t="shared" si="121"/>
        <v>1404032.2129266665</v>
      </c>
      <c r="AL92" s="80">
        <v>1512</v>
      </c>
      <c r="AM92" s="82">
        <f t="shared" si="122"/>
        <v>1742.5862230706246</v>
      </c>
      <c r="AN92" s="84">
        <f t="shared" si="123"/>
        <v>1317684.2304581036</v>
      </c>
      <c r="AO92" s="564">
        <v>259</v>
      </c>
      <c r="AP92" s="82">
        <f t="shared" si="124"/>
        <v>298.49856598894957</v>
      </c>
      <c r="AQ92" s="84">
        <f t="shared" si="125"/>
        <v>1162994.3985525582</v>
      </c>
      <c r="AR92" s="564">
        <v>343</v>
      </c>
      <c r="AS92" s="82">
        <f t="shared" si="126"/>
        <v>395.30891171509535</v>
      </c>
      <c r="AT92" s="84">
        <f t="shared" si="127"/>
        <v>1089219.655096147</v>
      </c>
      <c r="AU92" s="81">
        <f t="shared" si="128"/>
        <v>34814759.710892662</v>
      </c>
      <c r="AV92" s="620">
        <f>INDEX('2021-22 Baseline'!$J$9:$J$158,MATCH(C92,'2021-22 Baseline'!$C$9:$C$158,0))</f>
        <v>37950019.100396812</v>
      </c>
      <c r="AW92" s="623">
        <v>43719.029999999955</v>
      </c>
      <c r="AX92" s="620">
        <f t="shared" si="129"/>
        <v>868.04348359048333</v>
      </c>
      <c r="AY92" s="620">
        <f t="shared" si="130"/>
        <v>937.48696227772211</v>
      </c>
      <c r="AZ92" s="620">
        <f t="shared" si="131"/>
        <v>795.48750653040429</v>
      </c>
      <c r="BA92" s="620">
        <f t="shared" si="132"/>
        <v>937.48696227772211</v>
      </c>
      <c r="BB92" s="624">
        <f t="shared" si="133"/>
        <v>6214650.6266110083</v>
      </c>
      <c r="BC92" s="620">
        <f t="shared" si="142"/>
        <v>0</v>
      </c>
      <c r="BD92" s="81">
        <f t="shared" si="134"/>
        <v>6214650.6266110083</v>
      </c>
      <c r="BE92" s="81">
        <f t="shared" si="139"/>
        <v>41029410.337503672</v>
      </c>
      <c r="BF92" s="588">
        <f>INDEX('AP Funding Factor'!$I$9:$I$158,MATCH(C92,'AP Funding Factor'!$C$9:$C$158,0))</f>
        <v>159309.9633849879</v>
      </c>
      <c r="BG92" s="290">
        <f>INDEX('Import|Export Adjustments Data'!$Q$9:$Q$159,MATCH($C92,'Import|Export Adjustments Data'!$C$9:$C$159,0))</f>
        <v>-360</v>
      </c>
      <c r="BH92" s="289">
        <v>12000</v>
      </c>
      <c r="BI92" s="81">
        <f t="shared" si="141"/>
        <v>-2148000</v>
      </c>
      <c r="BJ92" s="86">
        <f t="shared" si="98"/>
        <v>42687404.673816361</v>
      </c>
      <c r="BK92" s="620">
        <f t="shared" si="99"/>
        <v>868.04348359048333</v>
      </c>
      <c r="BL92" s="620">
        <f t="shared" si="100"/>
        <v>937.48696227772211</v>
      </c>
      <c r="BM92" s="620">
        <f t="shared" si="135"/>
        <v>937.48696227772211</v>
      </c>
      <c r="BN92" s="620">
        <f t="shared" si="136"/>
        <v>41029410.337503672</v>
      </c>
      <c r="BO92" s="281">
        <f t="shared" si="140"/>
        <v>8.0000000000000071E-2</v>
      </c>
      <c r="BP92" s="81">
        <f t="shared" si="137"/>
        <v>44835404.673816361</v>
      </c>
      <c r="BQ92" s="81">
        <f t="shared" si="138"/>
        <v>42687404.673816361</v>
      </c>
      <c r="BS92" s="599"/>
      <c r="BT92" s="601"/>
    </row>
    <row r="93" spans="1:72" ht="15.4" x14ac:dyDescent="0.45">
      <c r="A93" s="76"/>
      <c r="B93" s="77" t="s">
        <v>158</v>
      </c>
      <c r="C93" s="288">
        <v>317</v>
      </c>
      <c r="D93" s="78" t="s">
        <v>174</v>
      </c>
      <c r="E93" s="87">
        <v>1.0892729502421299</v>
      </c>
      <c r="F93" s="327">
        <f t="shared" si="101"/>
        <v>5076.0119481283255</v>
      </c>
      <c r="G93" s="290">
        <v>634</v>
      </c>
      <c r="H93" s="81">
        <f t="shared" si="102"/>
        <v>3218191.5751133584</v>
      </c>
      <c r="I93" s="597">
        <f>INDEX('Historic Spend Factor'!$U$9:$U$159, MATCH(C93, 'Historic Spend Factor'!$C$9:$C$159, 0))</f>
        <v>21217845.108987071</v>
      </c>
      <c r="J93" s="80">
        <v>70128.772999999986</v>
      </c>
      <c r="K93" s="82">
        <f t="shared" si="103"/>
        <v>76389.375462570606</v>
      </c>
      <c r="L93" s="81">
        <f t="shared" si="104"/>
        <v>15543678.869667975</v>
      </c>
      <c r="M93" s="80">
        <v>8815</v>
      </c>
      <c r="N93" s="82">
        <f t="shared" si="105"/>
        <v>9601.9410563843758</v>
      </c>
      <c r="O93" s="81">
        <f t="shared" si="106"/>
        <v>2444479.3839504165</v>
      </c>
      <c r="P93" s="80">
        <v>10705</v>
      </c>
      <c r="Q93" s="82">
        <f t="shared" si="107"/>
        <v>11660.666932342001</v>
      </c>
      <c r="R93" s="84">
        <f t="shared" si="108"/>
        <v>716036.92569352349</v>
      </c>
      <c r="S93" s="80">
        <v>7960</v>
      </c>
      <c r="T93" s="82">
        <f t="shared" si="109"/>
        <v>8670.6126839273547</v>
      </c>
      <c r="U93" s="84">
        <f t="shared" si="110"/>
        <v>702810.46252665936</v>
      </c>
      <c r="V93" s="80">
        <v>1706</v>
      </c>
      <c r="W93" s="82">
        <f t="shared" si="111"/>
        <v>1858.2996531130736</v>
      </c>
      <c r="X93" s="84">
        <f t="shared" si="112"/>
        <v>205999.20614331769</v>
      </c>
      <c r="Y93" s="80">
        <v>506</v>
      </c>
      <c r="Z93" s="82">
        <f t="shared" si="113"/>
        <v>551.17211282251776</v>
      </c>
      <c r="AA93" s="84">
        <f t="shared" si="114"/>
        <v>64833.78211556506</v>
      </c>
      <c r="AB93" s="80">
        <v>0</v>
      </c>
      <c r="AC93" s="82">
        <f t="shared" si="115"/>
        <v>0</v>
      </c>
      <c r="AD93" s="84">
        <f t="shared" si="116"/>
        <v>0</v>
      </c>
      <c r="AE93" s="80">
        <v>0</v>
      </c>
      <c r="AF93" s="82">
        <f t="shared" si="117"/>
        <v>0</v>
      </c>
      <c r="AG93" s="84">
        <f t="shared" si="118"/>
        <v>0</v>
      </c>
      <c r="AH93" s="81">
        <f t="shared" si="119"/>
        <v>1689680.3764790655</v>
      </c>
      <c r="AI93" s="80">
        <v>377</v>
      </c>
      <c r="AJ93" s="82">
        <f t="shared" si="120"/>
        <v>410.65590224128294</v>
      </c>
      <c r="AK93" s="84">
        <f t="shared" si="121"/>
        <v>2253510.9969763309</v>
      </c>
      <c r="AL93" s="80">
        <v>1722</v>
      </c>
      <c r="AM93" s="82">
        <f t="shared" si="122"/>
        <v>1875.7280203169478</v>
      </c>
      <c r="AN93" s="84">
        <f t="shared" si="123"/>
        <v>1418361.5136384952</v>
      </c>
      <c r="AO93" s="564">
        <v>471</v>
      </c>
      <c r="AP93" s="82">
        <f t="shared" si="124"/>
        <v>513.04755956404313</v>
      </c>
      <c r="AQ93" s="84">
        <f t="shared" si="125"/>
        <v>1998908.8925342807</v>
      </c>
      <c r="AR93" s="564">
        <v>563</v>
      </c>
      <c r="AS93" s="82">
        <f t="shared" si="126"/>
        <v>613.26067098631916</v>
      </c>
      <c r="AT93" s="84">
        <f t="shared" si="127"/>
        <v>1689755.9269222082</v>
      </c>
      <c r="AU93" s="81">
        <f t="shared" si="128"/>
        <v>48256221.06915585</v>
      </c>
      <c r="AV93" s="620">
        <f>INDEX('2021-22 Baseline'!$J$9:$J$158,MATCH(C93,'2021-22 Baseline'!$C$9:$C$158,0))</f>
        <v>49391043.565311335</v>
      </c>
      <c r="AW93" s="623">
        <v>70427.732999999964</v>
      </c>
      <c r="AX93" s="620">
        <f t="shared" si="129"/>
        <v>701.30105657825675</v>
      </c>
      <c r="AY93" s="620">
        <f t="shared" si="130"/>
        <v>757.40514110451738</v>
      </c>
      <c r="AZ93" s="620">
        <f t="shared" si="131"/>
        <v>688.10873204862514</v>
      </c>
      <c r="BA93" s="620">
        <f t="shared" si="132"/>
        <v>757.40514110451738</v>
      </c>
      <c r="BB93" s="624">
        <f t="shared" si="133"/>
        <v>4859672.1403958099</v>
      </c>
      <c r="BC93" s="620">
        <f t="shared" si="142"/>
        <v>0</v>
      </c>
      <c r="BD93" s="81">
        <f t="shared" si="134"/>
        <v>4859672.1403958099</v>
      </c>
      <c r="BE93" s="81">
        <f t="shared" si="139"/>
        <v>53115893.209551662</v>
      </c>
      <c r="BF93" s="588">
        <f>INDEX('AP Funding Factor'!$I$9:$I$158,MATCH(C93,'AP Funding Factor'!$C$9:$C$158,0))</f>
        <v>282322.29106743168</v>
      </c>
      <c r="BG93" s="290">
        <f>INDEX('Import|Export Adjustments Data'!$Q$9:$Q$159,MATCH($C93,'Import|Export Adjustments Data'!$C$9:$C$159,0))</f>
        <v>-310</v>
      </c>
      <c r="BH93" s="289">
        <v>12000</v>
      </c>
      <c r="BI93" s="81">
        <f t="shared" si="141"/>
        <v>-1848000</v>
      </c>
      <c r="BJ93" s="86">
        <f t="shared" si="98"/>
        <v>54768407.075732447</v>
      </c>
      <c r="BK93" s="620">
        <f t="shared" si="99"/>
        <v>701.30105657825675</v>
      </c>
      <c r="BL93" s="620">
        <f t="shared" si="100"/>
        <v>757.40514110451738</v>
      </c>
      <c r="BM93" s="620">
        <f t="shared" si="135"/>
        <v>757.40514110451738</v>
      </c>
      <c r="BN93" s="620">
        <f t="shared" si="136"/>
        <v>53115893.209551662</v>
      </c>
      <c r="BO93" s="281">
        <f t="shared" si="140"/>
        <v>8.0000000000000071E-2</v>
      </c>
      <c r="BP93" s="81">
        <f t="shared" si="137"/>
        <v>56616407.075732455</v>
      </c>
      <c r="BQ93" s="81">
        <f t="shared" si="138"/>
        <v>54768407.075732455</v>
      </c>
      <c r="BS93" s="599"/>
      <c r="BT93" s="601"/>
    </row>
    <row r="94" spans="1:72" ht="15.4" x14ac:dyDescent="0.45">
      <c r="A94" s="76"/>
      <c r="B94" s="77" t="s">
        <v>158</v>
      </c>
      <c r="C94" s="288">
        <v>318</v>
      </c>
      <c r="D94" s="78" t="s">
        <v>175</v>
      </c>
      <c r="E94" s="87">
        <v>1.11471802742381</v>
      </c>
      <c r="F94" s="327">
        <f t="shared" si="101"/>
        <v>5194.5860077949546</v>
      </c>
      <c r="G94" s="290">
        <v>429</v>
      </c>
      <c r="H94" s="81">
        <f t="shared" si="102"/>
        <v>2228477.3973440356</v>
      </c>
      <c r="I94" s="597">
        <f>INDEX('Historic Spend Factor'!$U$9:$U$159, MATCH(C94, 'Historic Spend Factor'!$C$9:$C$159, 0))</f>
        <v>12816588.13681623</v>
      </c>
      <c r="J94" s="80">
        <v>43477.834999999977</v>
      </c>
      <c r="K94" s="82">
        <f t="shared" si="103"/>
        <v>48465.526467857861</v>
      </c>
      <c r="L94" s="81">
        <f t="shared" si="104"/>
        <v>9861745.4993449375</v>
      </c>
      <c r="M94" s="80">
        <v>2774</v>
      </c>
      <c r="N94" s="82">
        <f t="shared" si="105"/>
        <v>3092.2278080736487</v>
      </c>
      <c r="O94" s="81">
        <f t="shared" si="106"/>
        <v>787224.90410293452</v>
      </c>
      <c r="P94" s="80">
        <v>1513</v>
      </c>
      <c r="Q94" s="82">
        <f t="shared" si="107"/>
        <v>1686.5683754922245</v>
      </c>
      <c r="R94" s="84">
        <f t="shared" si="108"/>
        <v>103565.70868256688</v>
      </c>
      <c r="S94" s="80">
        <v>955</v>
      </c>
      <c r="T94" s="82">
        <f t="shared" si="109"/>
        <v>1064.5557161897386</v>
      </c>
      <c r="U94" s="84">
        <f t="shared" si="110"/>
        <v>86289.276496873892</v>
      </c>
      <c r="V94" s="80">
        <v>696</v>
      </c>
      <c r="W94" s="82">
        <f t="shared" si="111"/>
        <v>775.8437470869718</v>
      </c>
      <c r="X94" s="84">
        <f t="shared" si="112"/>
        <v>86005.072283919886</v>
      </c>
      <c r="Y94" s="80">
        <v>0</v>
      </c>
      <c r="Z94" s="82">
        <f t="shared" si="113"/>
        <v>0</v>
      </c>
      <c r="AA94" s="84">
        <f t="shared" si="114"/>
        <v>0</v>
      </c>
      <c r="AB94" s="80">
        <v>0</v>
      </c>
      <c r="AC94" s="82">
        <f t="shared" si="115"/>
        <v>0</v>
      </c>
      <c r="AD94" s="84">
        <f t="shared" si="116"/>
        <v>0</v>
      </c>
      <c r="AE94" s="80">
        <v>0</v>
      </c>
      <c r="AF94" s="82">
        <f t="shared" si="117"/>
        <v>0</v>
      </c>
      <c r="AG94" s="84">
        <f t="shared" si="118"/>
        <v>0</v>
      </c>
      <c r="AH94" s="81">
        <f t="shared" si="119"/>
        <v>275860.05746336066</v>
      </c>
      <c r="AI94" s="80">
        <v>138</v>
      </c>
      <c r="AJ94" s="82">
        <f t="shared" si="120"/>
        <v>153.83108778448579</v>
      </c>
      <c r="AK94" s="84">
        <f t="shared" si="121"/>
        <v>844161.85450437816</v>
      </c>
      <c r="AL94" s="80">
        <v>1080</v>
      </c>
      <c r="AM94" s="82">
        <f t="shared" si="122"/>
        <v>1203.8954696177148</v>
      </c>
      <c r="AN94" s="84">
        <f t="shared" si="123"/>
        <v>910344.66727269825</v>
      </c>
      <c r="AO94" s="564">
        <v>151</v>
      </c>
      <c r="AP94" s="82">
        <f t="shared" si="124"/>
        <v>168.32242214099531</v>
      </c>
      <c r="AQ94" s="84">
        <f t="shared" si="125"/>
        <v>655808.95992653992</v>
      </c>
      <c r="AR94" s="564">
        <v>227</v>
      </c>
      <c r="AS94" s="82">
        <f t="shared" si="126"/>
        <v>253.04099222520486</v>
      </c>
      <c r="AT94" s="84">
        <f t="shared" si="127"/>
        <v>697219.85543135344</v>
      </c>
      <c r="AU94" s="81">
        <f t="shared" si="128"/>
        <v>26848953.934862424</v>
      </c>
      <c r="AV94" s="620">
        <f>INDEX('2021-22 Baseline'!$J$9:$J$158,MATCH(C94,'2021-22 Baseline'!$C$9:$C$158,0))</f>
        <v>28005897.551415574</v>
      </c>
      <c r="AW94" s="623">
        <v>43514.864999999962</v>
      </c>
      <c r="AX94" s="620">
        <f t="shared" si="129"/>
        <v>643.59380527586609</v>
      </c>
      <c r="AY94" s="620">
        <f t="shared" si="130"/>
        <v>695.08130969793547</v>
      </c>
      <c r="AZ94" s="620">
        <f t="shared" si="131"/>
        <v>617.53198922767058</v>
      </c>
      <c r="BA94" s="620">
        <f t="shared" si="132"/>
        <v>695.08130969793547</v>
      </c>
      <c r="BB94" s="624">
        <f t="shared" si="133"/>
        <v>3371676.5597682972</v>
      </c>
      <c r="BC94" s="620">
        <f t="shared" si="142"/>
        <v>0</v>
      </c>
      <c r="BD94" s="81">
        <f t="shared" si="134"/>
        <v>3371676.5597682972</v>
      </c>
      <c r="BE94" s="81">
        <f t="shared" si="139"/>
        <v>30220630.49463072</v>
      </c>
      <c r="BF94" s="588">
        <f>INDEX('AP Funding Factor'!$I$9:$I$158,MATCH(C94,'AP Funding Factor'!$C$9:$C$158,0))</f>
        <v>43421.31712832932</v>
      </c>
      <c r="BG94" s="290">
        <f>INDEX('Import|Export Adjustments Data'!$Q$9:$Q$159,MATCH($C94,'Import|Export Adjustments Data'!$C$9:$C$159,0))</f>
        <v>41</v>
      </c>
      <c r="BH94" s="289">
        <v>166988</v>
      </c>
      <c r="BI94" s="81">
        <f t="shared" si="141"/>
        <v>412988</v>
      </c>
      <c r="BJ94" s="86">
        <f t="shared" si="98"/>
        <v>32905517.209103085</v>
      </c>
      <c r="BK94" s="620">
        <f t="shared" si="99"/>
        <v>643.59380527586609</v>
      </c>
      <c r="BL94" s="620">
        <f t="shared" si="100"/>
        <v>695.08130969793547</v>
      </c>
      <c r="BM94" s="620">
        <f t="shared" si="135"/>
        <v>695.08130969793547</v>
      </c>
      <c r="BN94" s="620">
        <f t="shared" si="136"/>
        <v>30220630.49463072</v>
      </c>
      <c r="BO94" s="281">
        <f t="shared" si="140"/>
        <v>8.0000000000000071E-2</v>
      </c>
      <c r="BP94" s="81">
        <f t="shared" si="137"/>
        <v>32492529.209103085</v>
      </c>
      <c r="BQ94" s="81">
        <f t="shared" si="138"/>
        <v>32905517.209103085</v>
      </c>
      <c r="BS94" s="599"/>
      <c r="BT94" s="601"/>
    </row>
    <row r="95" spans="1:72" ht="15.4" x14ac:dyDescent="0.45">
      <c r="A95" s="76"/>
      <c r="B95" s="77" t="s">
        <v>158</v>
      </c>
      <c r="C95" s="288">
        <v>319</v>
      </c>
      <c r="D95" s="78" t="s">
        <v>176</v>
      </c>
      <c r="E95" s="87">
        <v>1.11471802742381</v>
      </c>
      <c r="F95" s="327">
        <f t="shared" si="101"/>
        <v>5194.5860077949546</v>
      </c>
      <c r="G95" s="290">
        <v>674.5</v>
      </c>
      <c r="H95" s="81">
        <f t="shared" si="102"/>
        <v>3503748.2622576971</v>
      </c>
      <c r="I95" s="597">
        <f>INDEX('Historic Spend Factor'!$U$9:$U$159, MATCH(C95, 'Historic Spend Factor'!$C$9:$C$159, 0))</f>
        <v>16568173.477053665</v>
      </c>
      <c r="J95" s="80">
        <v>46904.89699999999</v>
      </c>
      <c r="K95" s="82">
        <f t="shared" si="103"/>
        <v>52285.73426035697</v>
      </c>
      <c r="L95" s="81">
        <f t="shared" si="104"/>
        <v>10639079.818187542</v>
      </c>
      <c r="M95" s="80">
        <v>5940</v>
      </c>
      <c r="N95" s="82">
        <f t="shared" si="105"/>
        <v>6621.4250828974309</v>
      </c>
      <c r="O95" s="81">
        <f t="shared" si="106"/>
        <v>1685694.2791533638</v>
      </c>
      <c r="P95" s="80">
        <v>1255</v>
      </c>
      <c r="Q95" s="82">
        <f t="shared" si="107"/>
        <v>1398.9711244168816</v>
      </c>
      <c r="R95" s="84">
        <f t="shared" si="108"/>
        <v>85905.462258176776</v>
      </c>
      <c r="S95" s="80">
        <v>6351</v>
      </c>
      <c r="T95" s="82">
        <f t="shared" si="109"/>
        <v>7079.5741921686176</v>
      </c>
      <c r="U95" s="84">
        <f t="shared" si="110"/>
        <v>573846.2775200482</v>
      </c>
      <c r="V95" s="80">
        <v>428</v>
      </c>
      <c r="W95" s="82">
        <f t="shared" si="111"/>
        <v>477.09931573739067</v>
      </c>
      <c r="X95" s="84">
        <f t="shared" si="112"/>
        <v>52888.176634364521</v>
      </c>
      <c r="Y95" s="80">
        <v>1456</v>
      </c>
      <c r="Z95" s="82">
        <f t="shared" si="113"/>
        <v>1623.0294479290674</v>
      </c>
      <c r="AA95" s="84">
        <f t="shared" si="114"/>
        <v>190915.20624168997</v>
      </c>
      <c r="AB95" s="80">
        <v>1239</v>
      </c>
      <c r="AC95" s="82">
        <f t="shared" si="115"/>
        <v>1381.1356359781005</v>
      </c>
      <c r="AD95" s="84">
        <f t="shared" si="116"/>
        <v>180580.2580647337</v>
      </c>
      <c r="AE95" s="80">
        <v>0</v>
      </c>
      <c r="AF95" s="82">
        <f t="shared" si="117"/>
        <v>0</v>
      </c>
      <c r="AG95" s="84">
        <f t="shared" si="118"/>
        <v>0</v>
      </c>
      <c r="AH95" s="81">
        <f t="shared" si="119"/>
        <v>1084135.3807190133</v>
      </c>
      <c r="AI95" s="80">
        <v>182</v>
      </c>
      <c r="AJ95" s="82">
        <f t="shared" si="120"/>
        <v>202.87868099113342</v>
      </c>
      <c r="AK95" s="84">
        <f t="shared" si="121"/>
        <v>1113314.9095637451</v>
      </c>
      <c r="AL95" s="80">
        <v>1816</v>
      </c>
      <c r="AM95" s="82">
        <f t="shared" si="122"/>
        <v>2024.3279378016389</v>
      </c>
      <c r="AN95" s="84">
        <f t="shared" si="123"/>
        <v>1530727.699784463</v>
      </c>
      <c r="AO95" s="564">
        <v>203</v>
      </c>
      <c r="AP95" s="82">
        <f t="shared" si="124"/>
        <v>226.28775956703342</v>
      </c>
      <c r="AQ95" s="84">
        <f t="shared" si="125"/>
        <v>881650.45606018265</v>
      </c>
      <c r="AR95" s="564">
        <v>367</v>
      </c>
      <c r="AS95" s="82">
        <f t="shared" si="126"/>
        <v>409.10151606453826</v>
      </c>
      <c r="AT95" s="84">
        <f t="shared" si="127"/>
        <v>1127223.2904991484</v>
      </c>
      <c r="AU95" s="81">
        <f t="shared" si="128"/>
        <v>34629999.311021119</v>
      </c>
      <c r="AV95" s="620">
        <f>INDEX('2021-22 Baseline'!$J$9:$J$158,MATCH(C95,'2021-22 Baseline'!$C$9:$C$158,0))</f>
        <v>42842567.936104439</v>
      </c>
      <c r="AW95" s="623">
        <v>46540.038999999997</v>
      </c>
      <c r="AX95" s="620">
        <f t="shared" si="129"/>
        <v>920.55290147273922</v>
      </c>
      <c r="AY95" s="620">
        <f t="shared" si="130"/>
        <v>994.19713359055845</v>
      </c>
      <c r="AZ95" s="620">
        <f t="shared" si="131"/>
        <v>738.3024273781291</v>
      </c>
      <c r="BA95" s="620">
        <f t="shared" si="132"/>
        <v>994.19713359055845</v>
      </c>
      <c r="BB95" s="624">
        <f t="shared" si="133"/>
        <v>12002714.837739257</v>
      </c>
      <c r="BC95" s="620">
        <f t="shared" si="142"/>
        <v>0</v>
      </c>
      <c r="BD95" s="81">
        <f t="shared" si="134"/>
        <v>12002714.837739257</v>
      </c>
      <c r="BE95" s="81">
        <f t="shared" si="139"/>
        <v>46632714.148760378</v>
      </c>
      <c r="BF95" s="588">
        <f>INDEX('AP Funding Factor'!$I$9:$I$158,MATCH(C95,'AP Funding Factor'!$C$9:$C$158,0))</f>
        <v>547059.71905046026</v>
      </c>
      <c r="BG95" s="290">
        <f>INDEX('Import|Export Adjustments Data'!$Q$9:$Q$159,MATCH($C95,'Import|Export Adjustments Data'!$C$9:$C$159,0))</f>
        <v>-21</v>
      </c>
      <c r="BH95" s="289">
        <v>0</v>
      </c>
      <c r="BI95" s="81">
        <f t="shared" si="141"/>
        <v>-126000</v>
      </c>
      <c r="BJ95" s="86">
        <f t="shared" si="98"/>
        <v>50557522.130068533</v>
      </c>
      <c r="BK95" s="620">
        <f t="shared" si="99"/>
        <v>920.55290147273922</v>
      </c>
      <c r="BL95" s="620">
        <f t="shared" si="100"/>
        <v>994.19713359055845</v>
      </c>
      <c r="BM95" s="620">
        <f t="shared" si="135"/>
        <v>994.19713359055845</v>
      </c>
      <c r="BN95" s="620">
        <f t="shared" si="136"/>
        <v>46632714.148760371</v>
      </c>
      <c r="BO95" s="281">
        <f t="shared" si="140"/>
        <v>8.0000000000000071E-2</v>
      </c>
      <c r="BP95" s="81">
        <f t="shared" si="137"/>
        <v>50683522.130068526</v>
      </c>
      <c r="BQ95" s="81">
        <f t="shared" si="138"/>
        <v>50557522.130068526</v>
      </c>
      <c r="BS95" s="599"/>
      <c r="BT95" s="601"/>
    </row>
    <row r="96" spans="1:72" ht="15.4" x14ac:dyDescent="0.45">
      <c r="A96" s="76"/>
      <c r="B96" s="77" t="s">
        <v>158</v>
      </c>
      <c r="C96" s="288">
        <v>320</v>
      </c>
      <c r="D96" s="78" t="s">
        <v>177</v>
      </c>
      <c r="E96" s="87">
        <v>1.0892729502421299</v>
      </c>
      <c r="F96" s="327">
        <f t="shared" si="101"/>
        <v>5076.0119481283255</v>
      </c>
      <c r="G96" s="290">
        <v>789</v>
      </c>
      <c r="H96" s="81">
        <f t="shared" si="102"/>
        <v>4004973.4270732487</v>
      </c>
      <c r="I96" s="597">
        <f>INDEX('Historic Spend Factor'!$U$9:$U$159, MATCH(C96, 'Historic Spend Factor'!$C$9:$C$159, 0))</f>
        <v>16811392.77603389</v>
      </c>
      <c r="J96" s="80">
        <v>62022.070999999989</v>
      </c>
      <c r="K96" s="82">
        <f t="shared" si="103"/>
        <v>67558.964258296837</v>
      </c>
      <c r="L96" s="81">
        <f t="shared" si="104"/>
        <v>13746870.410177389</v>
      </c>
      <c r="M96" s="80">
        <v>9720</v>
      </c>
      <c r="N96" s="82">
        <f t="shared" si="105"/>
        <v>10587.733076353503</v>
      </c>
      <c r="O96" s="81">
        <f t="shared" si="106"/>
        <v>2695444.0853089108</v>
      </c>
      <c r="P96" s="80">
        <v>13507</v>
      </c>
      <c r="Q96" s="82">
        <f t="shared" si="107"/>
        <v>14712.809738920449</v>
      </c>
      <c r="R96" s="84">
        <f t="shared" si="108"/>
        <v>903457.33352101094</v>
      </c>
      <c r="S96" s="80">
        <v>12313</v>
      </c>
      <c r="T96" s="82">
        <f t="shared" si="109"/>
        <v>13412.217836331345</v>
      </c>
      <c r="U96" s="84">
        <f t="shared" si="110"/>
        <v>1087148.8976244668</v>
      </c>
      <c r="V96" s="80">
        <v>2837</v>
      </c>
      <c r="W96" s="82">
        <f t="shared" si="111"/>
        <v>3090.2673598369224</v>
      </c>
      <c r="X96" s="84">
        <f t="shared" si="112"/>
        <v>342567.26132977271</v>
      </c>
      <c r="Y96" s="80">
        <v>3312</v>
      </c>
      <c r="Z96" s="82">
        <f t="shared" si="113"/>
        <v>3607.6720112019343</v>
      </c>
      <c r="AA96" s="84">
        <f t="shared" si="114"/>
        <v>424366.57384733489</v>
      </c>
      <c r="AB96" s="80">
        <v>2004</v>
      </c>
      <c r="AC96" s="82">
        <f t="shared" si="115"/>
        <v>2182.9029922852283</v>
      </c>
      <c r="AD96" s="84">
        <f t="shared" si="116"/>
        <v>285409.46696953976</v>
      </c>
      <c r="AE96" s="80">
        <v>0</v>
      </c>
      <c r="AF96" s="82">
        <f t="shared" si="117"/>
        <v>0</v>
      </c>
      <c r="AG96" s="84">
        <f t="shared" si="118"/>
        <v>0</v>
      </c>
      <c r="AH96" s="81">
        <f t="shared" si="119"/>
        <v>3042949.533292125</v>
      </c>
      <c r="AI96" s="80">
        <v>518</v>
      </c>
      <c r="AJ96" s="82">
        <f t="shared" si="120"/>
        <v>564.24338822542325</v>
      </c>
      <c r="AK96" s="84">
        <f t="shared" si="121"/>
        <v>3096336.0648109801</v>
      </c>
      <c r="AL96" s="80">
        <v>1890</v>
      </c>
      <c r="AM96" s="82">
        <f t="shared" si="122"/>
        <v>2058.7258759576257</v>
      </c>
      <c r="AN96" s="84">
        <f t="shared" si="123"/>
        <v>1556738.2466763973</v>
      </c>
      <c r="AO96" s="564">
        <v>462</v>
      </c>
      <c r="AP96" s="82">
        <f t="shared" si="124"/>
        <v>503.24410301186401</v>
      </c>
      <c r="AQ96" s="84">
        <f t="shared" si="125"/>
        <v>1960713.1812119698</v>
      </c>
      <c r="AR96" s="564">
        <v>561</v>
      </c>
      <c r="AS96" s="82">
        <f t="shared" si="126"/>
        <v>611.08212508583483</v>
      </c>
      <c r="AT96" s="84">
        <f t="shared" si="127"/>
        <v>1683753.2415690206</v>
      </c>
      <c r="AU96" s="81">
        <f t="shared" si="128"/>
        <v>44594197.539080679</v>
      </c>
      <c r="AV96" s="620">
        <f>INDEX('2021-22 Baseline'!$J$9:$J$158,MATCH(C96,'2021-22 Baseline'!$C$9:$C$158,0))</f>
        <v>41180463.940273643</v>
      </c>
      <c r="AW96" s="623">
        <v>62039.132999999973</v>
      </c>
      <c r="AX96" s="620">
        <f t="shared" si="129"/>
        <v>663.78206704264642</v>
      </c>
      <c r="AY96" s="620">
        <f t="shared" si="130"/>
        <v>716.88463240605813</v>
      </c>
      <c r="AZ96" s="620">
        <f t="shared" si="131"/>
        <v>719.00529634169561</v>
      </c>
      <c r="BA96" s="620">
        <f t="shared" si="132"/>
        <v>719.00529634169561</v>
      </c>
      <c r="BB96" s="624">
        <f t="shared" si="133"/>
        <v>0</v>
      </c>
      <c r="BC96" s="620">
        <f t="shared" si="142"/>
        <v>0</v>
      </c>
      <c r="BD96" s="81">
        <f t="shared" si="134"/>
        <v>0</v>
      </c>
      <c r="BE96" s="81">
        <f t="shared" si="139"/>
        <v>44594197.539080679</v>
      </c>
      <c r="BF96" s="588">
        <f>INDEX('AP Funding Factor'!$I$9:$I$158,MATCH(C96,'AP Funding Factor'!$C$9:$C$158,0))</f>
        <v>739509.12160639232</v>
      </c>
      <c r="BG96" s="290">
        <f>INDEX('Import|Export Adjustments Data'!$Q$9:$Q$159,MATCH($C96,'Import|Export Adjustments Data'!$C$9:$C$159,0))</f>
        <v>120.5</v>
      </c>
      <c r="BH96" s="289">
        <v>0</v>
      </c>
      <c r="BI96" s="81">
        <f t="shared" si="141"/>
        <v>723000</v>
      </c>
      <c r="BJ96" s="86">
        <f t="shared" si="98"/>
        <v>50061680.087760322</v>
      </c>
      <c r="BK96" s="620">
        <f t="shared" si="99"/>
        <v>663.78206704264642</v>
      </c>
      <c r="BL96" s="620">
        <f t="shared" si="100"/>
        <v>719.00529634169561</v>
      </c>
      <c r="BM96" s="620">
        <f t="shared" si="135"/>
        <v>719.00529634169561</v>
      </c>
      <c r="BN96" s="620">
        <f t="shared" si="136"/>
        <v>44594197.539080679</v>
      </c>
      <c r="BO96" s="281">
        <f t="shared" si="140"/>
        <v>8.3194819566436484E-2</v>
      </c>
      <c r="BP96" s="81">
        <f t="shared" si="137"/>
        <v>49338680.087760322</v>
      </c>
      <c r="BQ96" s="81">
        <f t="shared" si="138"/>
        <v>50061680.087760322</v>
      </c>
      <c r="BS96" s="599"/>
      <c r="BT96" s="601"/>
    </row>
    <row r="97" spans="1:72" ht="15.4" x14ac:dyDescent="0.45">
      <c r="A97" s="76"/>
      <c r="B97" s="77" t="s">
        <v>178</v>
      </c>
      <c r="C97" s="288">
        <v>867</v>
      </c>
      <c r="D97" s="78" t="s">
        <v>179</v>
      </c>
      <c r="E97" s="87">
        <v>1.0769011397474699</v>
      </c>
      <c r="F97" s="327">
        <f t="shared" si="101"/>
        <v>5018.3593112232102</v>
      </c>
      <c r="G97" s="290">
        <v>259</v>
      </c>
      <c r="H97" s="81">
        <f t="shared" si="102"/>
        <v>1299755.0616068114</v>
      </c>
      <c r="I97" s="597">
        <f>INDEX('Historic Spend Factor'!$U$9:$U$159, MATCH(C97, 'Historic Spend Factor'!$C$9:$C$159, 0))</f>
        <v>7048561.9810521482</v>
      </c>
      <c r="J97" s="80">
        <v>27568.235999999968</v>
      </c>
      <c r="K97" s="82">
        <f t="shared" si="103"/>
        <v>29688.264769227197</v>
      </c>
      <c r="L97" s="81">
        <f t="shared" si="104"/>
        <v>6040955.970331951</v>
      </c>
      <c r="M97" s="80">
        <v>2229</v>
      </c>
      <c r="N97" s="82">
        <f t="shared" si="105"/>
        <v>2400.4126404971103</v>
      </c>
      <c r="O97" s="81">
        <f t="shared" si="106"/>
        <v>611101.35734145832</v>
      </c>
      <c r="P97" s="80">
        <v>2720</v>
      </c>
      <c r="Q97" s="82">
        <f t="shared" si="107"/>
        <v>2929.171100113118</v>
      </c>
      <c r="R97" s="84">
        <f t="shared" si="108"/>
        <v>179869.18600152995</v>
      </c>
      <c r="S97" s="80">
        <v>0</v>
      </c>
      <c r="T97" s="82">
        <f t="shared" si="109"/>
        <v>0</v>
      </c>
      <c r="U97" s="84">
        <f t="shared" si="110"/>
        <v>0</v>
      </c>
      <c r="V97" s="80">
        <v>0</v>
      </c>
      <c r="W97" s="82">
        <f t="shared" si="111"/>
        <v>0</v>
      </c>
      <c r="X97" s="84">
        <f t="shared" si="112"/>
        <v>0</v>
      </c>
      <c r="Y97" s="80">
        <v>0</v>
      </c>
      <c r="Z97" s="82">
        <f t="shared" si="113"/>
        <v>0</v>
      </c>
      <c r="AA97" s="84">
        <f t="shared" si="114"/>
        <v>0</v>
      </c>
      <c r="AB97" s="80">
        <v>0</v>
      </c>
      <c r="AC97" s="82">
        <f t="shared" si="115"/>
        <v>0</v>
      </c>
      <c r="AD97" s="84">
        <f t="shared" si="116"/>
        <v>0</v>
      </c>
      <c r="AE97" s="80">
        <v>0</v>
      </c>
      <c r="AF97" s="82">
        <f t="shared" si="117"/>
        <v>0</v>
      </c>
      <c r="AG97" s="84">
        <f t="shared" si="118"/>
        <v>0</v>
      </c>
      <c r="AH97" s="81">
        <f t="shared" si="119"/>
        <v>179869.18600152995</v>
      </c>
      <c r="AI97" s="80">
        <v>97</v>
      </c>
      <c r="AJ97" s="82">
        <f t="shared" si="120"/>
        <v>104.45941055550458</v>
      </c>
      <c r="AK97" s="84">
        <f t="shared" si="121"/>
        <v>573230.35938293731</v>
      </c>
      <c r="AL97" s="80">
        <v>1001</v>
      </c>
      <c r="AM97" s="82">
        <f t="shared" si="122"/>
        <v>1077.9780408872175</v>
      </c>
      <c r="AN97" s="84">
        <f t="shared" si="123"/>
        <v>815130.20500887954</v>
      </c>
      <c r="AO97" s="564">
        <v>187</v>
      </c>
      <c r="AP97" s="82">
        <f t="shared" si="124"/>
        <v>201.38051313277688</v>
      </c>
      <c r="AQ97" s="84">
        <f t="shared" si="125"/>
        <v>784608.15372804727</v>
      </c>
      <c r="AR97" s="564">
        <v>203</v>
      </c>
      <c r="AS97" s="82">
        <f t="shared" si="126"/>
        <v>218.6109313687364</v>
      </c>
      <c r="AT97" s="84">
        <f t="shared" si="127"/>
        <v>602352.53041124344</v>
      </c>
      <c r="AU97" s="81">
        <f t="shared" si="128"/>
        <v>16655809.743258195</v>
      </c>
      <c r="AV97" s="620">
        <f>INDEX('2021-22 Baseline'!$J$9:$J$158,MATCH(C97,'2021-22 Baseline'!$C$9:$C$158,0))</f>
        <v>18930079.29444192</v>
      </c>
      <c r="AW97" s="623">
        <v>27463.253999999994</v>
      </c>
      <c r="AX97" s="620">
        <f t="shared" si="129"/>
        <v>689.28755836587766</v>
      </c>
      <c r="AY97" s="620">
        <f t="shared" si="130"/>
        <v>744.43056303514788</v>
      </c>
      <c r="AZ97" s="620">
        <f t="shared" si="131"/>
        <v>604.16668455893273</v>
      </c>
      <c r="BA97" s="620">
        <f t="shared" si="132"/>
        <v>744.43056303514788</v>
      </c>
      <c r="BB97" s="624">
        <f t="shared" si="133"/>
        <v>3866827.7041076152</v>
      </c>
      <c r="BC97" s="620">
        <f t="shared" si="142"/>
        <v>0</v>
      </c>
      <c r="BD97" s="81">
        <f t="shared" si="134"/>
        <v>3866827.7041076152</v>
      </c>
      <c r="BE97" s="81">
        <f t="shared" si="139"/>
        <v>20522637.447365809</v>
      </c>
      <c r="BF97" s="588">
        <f>INDEX('AP Funding Factor'!$I$9:$I$158,MATCH(C97,'AP Funding Factor'!$C$9:$C$158,0))</f>
        <v>66044.114186924955</v>
      </c>
      <c r="BG97" s="290">
        <f>INDEX('Import|Export Adjustments Data'!$Q$9:$Q$159,MATCH($C97,'Import|Export Adjustments Data'!$C$9:$C$159,0))</f>
        <v>-168</v>
      </c>
      <c r="BH97" s="289">
        <v>36000</v>
      </c>
      <c r="BI97" s="81">
        <f t="shared" si="141"/>
        <v>-972000</v>
      </c>
      <c r="BJ97" s="86">
        <f t="shared" si="98"/>
        <v>20916436.623159546</v>
      </c>
      <c r="BK97" s="620">
        <f t="shared" si="99"/>
        <v>689.28755836587766</v>
      </c>
      <c r="BL97" s="620">
        <f t="shared" si="100"/>
        <v>744.43056303514788</v>
      </c>
      <c r="BM97" s="620">
        <f t="shared" si="135"/>
        <v>744.43056303514788</v>
      </c>
      <c r="BN97" s="620">
        <f t="shared" si="136"/>
        <v>20522637.447365809</v>
      </c>
      <c r="BO97" s="281">
        <f t="shared" si="140"/>
        <v>8.0000000000000071E-2</v>
      </c>
      <c r="BP97" s="81">
        <f t="shared" si="137"/>
        <v>21888436.623159546</v>
      </c>
      <c r="BQ97" s="81">
        <f t="shared" si="138"/>
        <v>20916436.623159546</v>
      </c>
      <c r="BS97" s="599"/>
      <c r="BT97" s="601"/>
    </row>
    <row r="98" spans="1:72" ht="15.4" x14ac:dyDescent="0.45">
      <c r="A98" s="76"/>
      <c r="B98" s="77" t="s">
        <v>178</v>
      </c>
      <c r="C98" s="288">
        <v>846</v>
      </c>
      <c r="D98" s="78" t="s">
        <v>180</v>
      </c>
      <c r="E98" s="87">
        <v>1.0026386076132501</v>
      </c>
      <c r="F98" s="327">
        <f t="shared" si="101"/>
        <v>4672.295911477745</v>
      </c>
      <c r="G98" s="290">
        <v>492</v>
      </c>
      <c r="H98" s="81">
        <f t="shared" si="102"/>
        <v>2298769.5884470507</v>
      </c>
      <c r="I98" s="597">
        <f>INDEX('Historic Spend Factor'!$U$9:$U$159, MATCH(C98, 'Historic Spend Factor'!$C$9:$C$159, 0))</f>
        <v>11525617.57126696</v>
      </c>
      <c r="J98" s="80">
        <v>48886.589999999975</v>
      </c>
      <c r="K98" s="82">
        <f t="shared" si="103"/>
        <v>49015.582528559811</v>
      </c>
      <c r="L98" s="81">
        <f t="shared" si="104"/>
        <v>9973670.6815589871</v>
      </c>
      <c r="M98" s="80">
        <v>7150</v>
      </c>
      <c r="N98" s="82">
        <f t="shared" si="105"/>
        <v>7168.8660444347379</v>
      </c>
      <c r="O98" s="81">
        <f t="shared" si="106"/>
        <v>1825062.7814748979</v>
      </c>
      <c r="P98" s="80">
        <v>3741</v>
      </c>
      <c r="Q98" s="82">
        <f t="shared" si="107"/>
        <v>3750.8710310811684</v>
      </c>
      <c r="R98" s="84">
        <f t="shared" si="108"/>
        <v>230326.63374673983</v>
      </c>
      <c r="S98" s="80">
        <v>4090</v>
      </c>
      <c r="T98" s="82">
        <f t="shared" si="109"/>
        <v>4100.7919051381932</v>
      </c>
      <c r="U98" s="84">
        <f t="shared" si="110"/>
        <v>332396.28624148347</v>
      </c>
      <c r="V98" s="80">
        <v>1104</v>
      </c>
      <c r="W98" s="82">
        <f t="shared" si="111"/>
        <v>1106.913022805028</v>
      </c>
      <c r="X98" s="84">
        <f t="shared" si="112"/>
        <v>122705.29329623737</v>
      </c>
      <c r="Y98" s="80">
        <v>3148</v>
      </c>
      <c r="Z98" s="82">
        <f t="shared" si="113"/>
        <v>3156.3063367665113</v>
      </c>
      <c r="AA98" s="84">
        <f t="shared" si="114"/>
        <v>371272.91560520523</v>
      </c>
      <c r="AB98" s="80">
        <v>1907</v>
      </c>
      <c r="AC98" s="82">
        <f t="shared" si="115"/>
        <v>1912.031824718468</v>
      </c>
      <c r="AD98" s="84">
        <f t="shared" si="116"/>
        <v>249993.69456651932</v>
      </c>
      <c r="AE98" s="80">
        <v>1632</v>
      </c>
      <c r="AF98" s="82">
        <f t="shared" si="117"/>
        <v>1636.3062076248241</v>
      </c>
      <c r="AG98" s="84">
        <f t="shared" si="118"/>
        <v>282352.86003163346</v>
      </c>
      <c r="AH98" s="81">
        <f t="shared" si="119"/>
        <v>1589047.6834878186</v>
      </c>
      <c r="AI98" s="80">
        <v>256</v>
      </c>
      <c r="AJ98" s="82">
        <f t="shared" si="120"/>
        <v>256.67548354899202</v>
      </c>
      <c r="AK98" s="84">
        <f t="shared" si="121"/>
        <v>1408529.6757576291</v>
      </c>
      <c r="AL98" s="80">
        <v>2055</v>
      </c>
      <c r="AM98" s="82">
        <f t="shared" si="122"/>
        <v>2060.422338645229</v>
      </c>
      <c r="AN98" s="84">
        <f t="shared" si="123"/>
        <v>1558021.0538634507</v>
      </c>
      <c r="AO98" s="564">
        <v>405</v>
      </c>
      <c r="AP98" s="82">
        <f t="shared" si="124"/>
        <v>406.0686360833663</v>
      </c>
      <c r="AQ98" s="84">
        <f t="shared" si="125"/>
        <v>1582103.242701391</v>
      </c>
      <c r="AR98" s="564">
        <v>617</v>
      </c>
      <c r="AS98" s="82">
        <f t="shared" si="126"/>
        <v>618.62802089737534</v>
      </c>
      <c r="AT98" s="84">
        <f t="shared" si="127"/>
        <v>1704544.9257169387</v>
      </c>
      <c r="AU98" s="81">
        <f t="shared" si="128"/>
        <v>31166597.615828075</v>
      </c>
      <c r="AV98" s="620">
        <f>INDEX('2021-22 Baseline'!$J$9:$J$158,MATCH(C98,'2021-22 Baseline'!$C$9:$C$158,0))</f>
        <v>28885642.774968252</v>
      </c>
      <c r="AW98" s="623">
        <v>48877.503999999986</v>
      </c>
      <c r="AX98" s="620">
        <f t="shared" si="129"/>
        <v>590.98031632237723</v>
      </c>
      <c r="AY98" s="620">
        <f t="shared" si="130"/>
        <v>638.2587416281674</v>
      </c>
      <c r="AZ98" s="620">
        <f t="shared" si="131"/>
        <v>637.52856592836793</v>
      </c>
      <c r="BA98" s="620">
        <f t="shared" si="132"/>
        <v>638.2587416281674</v>
      </c>
      <c r="BB98" s="624">
        <f t="shared" si="133"/>
        <v>35695.800064059971</v>
      </c>
      <c r="BC98" s="620">
        <f t="shared" si="142"/>
        <v>0</v>
      </c>
      <c r="BD98" s="81">
        <f t="shared" si="134"/>
        <v>35695.800064059971</v>
      </c>
      <c r="BE98" s="81">
        <f t="shared" si="139"/>
        <v>31202293.415892135</v>
      </c>
      <c r="BF98" s="588">
        <f>INDEX('AP Funding Factor'!$I$9:$I$158,MATCH(C98,'AP Funding Factor'!$C$9:$C$158,0))</f>
        <v>83897.367854721626</v>
      </c>
      <c r="BG98" s="290">
        <f>INDEX('Import|Export Adjustments Data'!$Q$9:$Q$159,MATCH($C98,'Import|Export Adjustments Data'!$C$9:$C$159,0))</f>
        <v>-73</v>
      </c>
      <c r="BH98" s="289">
        <v>0</v>
      </c>
      <c r="BI98" s="81">
        <f t="shared" si="141"/>
        <v>-438000</v>
      </c>
      <c r="BJ98" s="86">
        <f t="shared" si="98"/>
        <v>33146960.372193903</v>
      </c>
      <c r="BK98" s="620">
        <f t="shared" si="99"/>
        <v>590.98031632237723</v>
      </c>
      <c r="BL98" s="620">
        <f t="shared" si="100"/>
        <v>638.2587416281674</v>
      </c>
      <c r="BM98" s="620">
        <f t="shared" si="135"/>
        <v>638.2587416281674</v>
      </c>
      <c r="BN98" s="620">
        <f t="shared" si="136"/>
        <v>31202293.415892135</v>
      </c>
      <c r="BO98" s="281">
        <f t="shared" si="140"/>
        <v>8.0000000000000071E-2</v>
      </c>
      <c r="BP98" s="81">
        <f t="shared" si="137"/>
        <v>33584960.37219391</v>
      </c>
      <c r="BQ98" s="81">
        <f t="shared" si="138"/>
        <v>33146960.372193906</v>
      </c>
      <c r="BS98" s="599"/>
      <c r="BT98" s="601"/>
    </row>
    <row r="99" spans="1:72" ht="15.4" x14ac:dyDescent="0.45">
      <c r="A99" s="76"/>
      <c r="B99" s="77" t="s">
        <v>178</v>
      </c>
      <c r="C99" s="288">
        <v>825</v>
      </c>
      <c r="D99" s="78" t="s">
        <v>181</v>
      </c>
      <c r="E99" s="87">
        <v>1.04959759967947</v>
      </c>
      <c r="F99" s="327">
        <f t="shared" si="101"/>
        <v>4891.12481450633</v>
      </c>
      <c r="G99" s="290">
        <v>1675.5</v>
      </c>
      <c r="H99" s="81">
        <f t="shared" si="102"/>
        <v>8195079.6267053559</v>
      </c>
      <c r="I99" s="597">
        <f>INDEX('Historic Spend Factor'!$U$9:$U$159, MATCH(C99, 'Historic Spend Factor'!$C$9:$C$159, 0))</f>
        <v>37100130.725361839</v>
      </c>
      <c r="J99" s="80">
        <v>122767.10699999996</v>
      </c>
      <c r="K99" s="82">
        <f t="shared" si="103"/>
        <v>128856.06082679261</v>
      </c>
      <c r="L99" s="81">
        <f t="shared" si="104"/>
        <v>26219578.544446286</v>
      </c>
      <c r="M99" s="80">
        <v>10213</v>
      </c>
      <c r="N99" s="82">
        <f t="shared" si="105"/>
        <v>10719.540285526427</v>
      </c>
      <c r="O99" s="81">
        <f t="shared" si="106"/>
        <v>2728999.8011362874</v>
      </c>
      <c r="P99" s="80">
        <v>13372</v>
      </c>
      <c r="Q99" s="82">
        <f t="shared" si="107"/>
        <v>14035.219102913872</v>
      </c>
      <c r="R99" s="84">
        <f t="shared" si="108"/>
        <v>861849.08600824</v>
      </c>
      <c r="S99" s="80">
        <v>2243</v>
      </c>
      <c r="T99" s="82">
        <f t="shared" si="109"/>
        <v>2354.2474160810511</v>
      </c>
      <c r="U99" s="84">
        <f t="shared" si="110"/>
        <v>190827.31240725538</v>
      </c>
      <c r="V99" s="80">
        <v>0</v>
      </c>
      <c r="W99" s="82">
        <f t="shared" si="111"/>
        <v>0</v>
      </c>
      <c r="X99" s="84">
        <f t="shared" si="112"/>
        <v>0</v>
      </c>
      <c r="Y99" s="80">
        <v>523</v>
      </c>
      <c r="Z99" s="82">
        <f t="shared" si="113"/>
        <v>548.93954463236275</v>
      </c>
      <c r="AA99" s="84">
        <f t="shared" si="114"/>
        <v>64571.167523441713</v>
      </c>
      <c r="AB99" s="80">
        <v>0</v>
      </c>
      <c r="AC99" s="82">
        <f t="shared" si="115"/>
        <v>0</v>
      </c>
      <c r="AD99" s="84">
        <f t="shared" si="116"/>
        <v>0</v>
      </c>
      <c r="AE99" s="80">
        <v>0</v>
      </c>
      <c r="AF99" s="82">
        <f t="shared" si="117"/>
        <v>0</v>
      </c>
      <c r="AG99" s="84">
        <f t="shared" si="118"/>
        <v>0</v>
      </c>
      <c r="AH99" s="81">
        <f t="shared" si="119"/>
        <v>1117247.565938937</v>
      </c>
      <c r="AI99" s="80">
        <v>453</v>
      </c>
      <c r="AJ99" s="82">
        <f t="shared" si="120"/>
        <v>475.46771265479993</v>
      </c>
      <c r="AK99" s="84">
        <f t="shared" si="121"/>
        <v>2609171.6040774821</v>
      </c>
      <c r="AL99" s="80">
        <v>3781</v>
      </c>
      <c r="AM99" s="82">
        <f t="shared" si="122"/>
        <v>3968.5285243880758</v>
      </c>
      <c r="AN99" s="84">
        <f t="shared" si="123"/>
        <v>3000865.8311867071</v>
      </c>
      <c r="AO99" s="564">
        <v>853</v>
      </c>
      <c r="AP99" s="82">
        <f t="shared" si="124"/>
        <v>895.30675252658784</v>
      </c>
      <c r="AQ99" s="84">
        <f t="shared" si="125"/>
        <v>3488247.0363802342</v>
      </c>
      <c r="AR99" s="564">
        <v>1160</v>
      </c>
      <c r="AS99" s="82">
        <f t="shared" si="126"/>
        <v>1217.5332156281852</v>
      </c>
      <c r="AT99" s="84">
        <f t="shared" si="127"/>
        <v>3354746.3006612342</v>
      </c>
      <c r="AU99" s="81">
        <f t="shared" si="128"/>
        <v>79618987.409189016</v>
      </c>
      <c r="AV99" s="620">
        <f>INDEX('2021-22 Baseline'!$J$9:$J$158,MATCH(C99,'2021-22 Baseline'!$C$9:$C$158,0))</f>
        <v>92162446.728376567</v>
      </c>
      <c r="AW99" s="623">
        <v>121859.50899999999</v>
      </c>
      <c r="AX99" s="620">
        <f t="shared" si="129"/>
        <v>756.30082120531586</v>
      </c>
      <c r="AY99" s="620">
        <f t="shared" si="130"/>
        <v>816.80488690174116</v>
      </c>
      <c r="AZ99" s="620">
        <f t="shared" si="131"/>
        <v>648.53680562163152</v>
      </c>
      <c r="BA99" s="620">
        <f t="shared" si="132"/>
        <v>816.80488690174116</v>
      </c>
      <c r="BB99" s="624">
        <f t="shared" si="133"/>
        <v>20657785.539199911</v>
      </c>
      <c r="BC99" s="620">
        <f t="shared" si="142"/>
        <v>0</v>
      </c>
      <c r="BD99" s="81">
        <f t="shared" si="134"/>
        <v>20657785.539199911</v>
      </c>
      <c r="BE99" s="81">
        <f t="shared" si="139"/>
        <v>100276772.94838893</v>
      </c>
      <c r="BF99" s="588">
        <f>INDEX('AP Funding Factor'!$I$9:$I$158,MATCH(C99,'AP Funding Factor'!$C$9:$C$158,0))</f>
        <v>568427.53239457717</v>
      </c>
      <c r="BG99" s="290">
        <f>INDEX('Import|Export Adjustments Data'!$Q$9:$Q$159,MATCH($C99,'Import|Export Adjustments Data'!$C$9:$C$159,0))</f>
        <v>-313</v>
      </c>
      <c r="BH99" s="289">
        <v>96000</v>
      </c>
      <c r="BI99" s="81">
        <f t="shared" si="141"/>
        <v>-1782000</v>
      </c>
      <c r="BJ99" s="86">
        <f t="shared" si="98"/>
        <v>107258280.10748886</v>
      </c>
      <c r="BK99" s="620">
        <f t="shared" si="99"/>
        <v>756.30082120531586</v>
      </c>
      <c r="BL99" s="620">
        <f t="shared" si="100"/>
        <v>816.80488690174116</v>
      </c>
      <c r="BM99" s="620">
        <f t="shared" si="135"/>
        <v>816.80488690174116</v>
      </c>
      <c r="BN99" s="620">
        <f t="shared" si="136"/>
        <v>100276772.94838892</v>
      </c>
      <c r="BO99" s="281">
        <f t="shared" si="140"/>
        <v>8.0000000000000071E-2</v>
      </c>
      <c r="BP99" s="81">
        <f t="shared" si="137"/>
        <v>109040280.10748886</v>
      </c>
      <c r="BQ99" s="81">
        <f t="shared" si="138"/>
        <v>107258280.10748886</v>
      </c>
      <c r="BS99" s="599"/>
      <c r="BT99" s="601"/>
    </row>
    <row r="100" spans="1:72" ht="15.4" x14ac:dyDescent="0.45">
      <c r="A100" s="76"/>
      <c r="B100" s="77" t="s">
        <v>178</v>
      </c>
      <c r="C100" s="288">
        <v>845</v>
      </c>
      <c r="D100" s="78" t="s">
        <v>182</v>
      </c>
      <c r="E100" s="87">
        <v>1.0026386076132501</v>
      </c>
      <c r="F100" s="327">
        <f t="shared" si="101"/>
        <v>4672.295911477745</v>
      </c>
      <c r="G100" s="290">
        <v>1216</v>
      </c>
      <c r="H100" s="81">
        <f t="shared" si="102"/>
        <v>5681511.8283569375</v>
      </c>
      <c r="I100" s="597">
        <f>INDEX('Historic Spend Factor'!$U$9:$U$159, MATCH(C100, 'Historic Spend Factor'!$C$9:$C$159, 0))</f>
        <v>22623217.10099861</v>
      </c>
      <c r="J100" s="80">
        <v>103204.36099999995</v>
      </c>
      <c r="K100" s="82">
        <f t="shared" si="103"/>
        <v>103476.67681265516</v>
      </c>
      <c r="L100" s="81">
        <f t="shared" si="104"/>
        <v>21055391.867477968</v>
      </c>
      <c r="M100" s="80">
        <v>15026.9999999999</v>
      </c>
      <c r="N100" s="82">
        <f t="shared" si="105"/>
        <v>15066.650356604208</v>
      </c>
      <c r="O100" s="81">
        <f t="shared" si="106"/>
        <v>3835694.8835277073</v>
      </c>
      <c r="P100" s="80">
        <v>11910</v>
      </c>
      <c r="Q100" s="82">
        <f t="shared" si="107"/>
        <v>11941.425816673809</v>
      </c>
      <c r="R100" s="84">
        <f t="shared" si="108"/>
        <v>733277.25418970105</v>
      </c>
      <c r="S100" s="80">
        <v>11044</v>
      </c>
      <c r="T100" s="82">
        <f t="shared" si="109"/>
        <v>11073.140782480734</v>
      </c>
      <c r="U100" s="84">
        <f t="shared" si="110"/>
        <v>897551.24333763879</v>
      </c>
      <c r="V100" s="80">
        <v>7359</v>
      </c>
      <c r="W100" s="82">
        <f t="shared" si="111"/>
        <v>7378.4175134259076</v>
      </c>
      <c r="X100" s="84">
        <f t="shared" si="112"/>
        <v>817924.14254258247</v>
      </c>
      <c r="Y100" s="80">
        <v>3700</v>
      </c>
      <c r="Z100" s="82">
        <f t="shared" si="113"/>
        <v>3709.7628481690253</v>
      </c>
      <c r="AA100" s="84">
        <f t="shared" si="114"/>
        <v>436375.40906583844</v>
      </c>
      <c r="AB100" s="80">
        <v>2354</v>
      </c>
      <c r="AC100" s="82">
        <f t="shared" si="115"/>
        <v>2360.2112823215907</v>
      </c>
      <c r="AD100" s="84">
        <f t="shared" si="116"/>
        <v>308592.11169878679</v>
      </c>
      <c r="AE100" s="80">
        <v>3209</v>
      </c>
      <c r="AF100" s="82">
        <f t="shared" si="117"/>
        <v>3217.4672918309193</v>
      </c>
      <c r="AG100" s="84">
        <f t="shared" si="118"/>
        <v>555190.15186367137</v>
      </c>
      <c r="AH100" s="81">
        <f t="shared" si="119"/>
        <v>3748910.312698219</v>
      </c>
      <c r="AI100" s="80">
        <v>610</v>
      </c>
      <c r="AJ100" s="82">
        <f t="shared" si="120"/>
        <v>611.60955064408256</v>
      </c>
      <c r="AK100" s="84">
        <f t="shared" si="121"/>
        <v>3356262.1180162253</v>
      </c>
      <c r="AL100" s="80">
        <v>4787</v>
      </c>
      <c r="AM100" s="82">
        <f t="shared" si="122"/>
        <v>4799.6310146446285</v>
      </c>
      <c r="AN100" s="84">
        <f t="shared" si="123"/>
        <v>3629317.170240554</v>
      </c>
      <c r="AO100" s="564">
        <v>758</v>
      </c>
      <c r="AP100" s="82">
        <f t="shared" si="124"/>
        <v>760.00006457084351</v>
      </c>
      <c r="AQ100" s="84">
        <f t="shared" si="125"/>
        <v>2961072.2418954424</v>
      </c>
      <c r="AR100" s="564">
        <v>1447</v>
      </c>
      <c r="AS100" s="82">
        <f t="shared" si="126"/>
        <v>1450.8180652163728</v>
      </c>
      <c r="AT100" s="84">
        <f t="shared" si="127"/>
        <v>3997530.8063410213</v>
      </c>
      <c r="AU100" s="81">
        <f t="shared" si="128"/>
        <v>65207396.501195751</v>
      </c>
      <c r="AV100" s="620">
        <f>INDEX('2021-22 Baseline'!$J$9:$J$158,MATCH(C100,'2021-22 Baseline'!$C$9:$C$158,0))</f>
        <v>61037546.050338231</v>
      </c>
      <c r="AW100" s="623">
        <v>102983.67699999987</v>
      </c>
      <c r="AX100" s="620">
        <f t="shared" si="129"/>
        <v>592.69146168026521</v>
      </c>
      <c r="AY100" s="620">
        <f t="shared" si="130"/>
        <v>640.1067786146865</v>
      </c>
      <c r="AZ100" s="620">
        <f t="shared" si="131"/>
        <v>631.82791763223827</v>
      </c>
      <c r="BA100" s="620">
        <f t="shared" si="132"/>
        <v>640.1067786146865</v>
      </c>
      <c r="BB100" s="624">
        <f t="shared" si="133"/>
        <v>854414.55750140199</v>
      </c>
      <c r="BC100" s="620">
        <f t="shared" si="142"/>
        <v>0</v>
      </c>
      <c r="BD100" s="81">
        <f t="shared" si="134"/>
        <v>854414.55750140199</v>
      </c>
      <c r="BE100" s="81">
        <f t="shared" si="139"/>
        <v>66061811.058697157</v>
      </c>
      <c r="BF100" s="588">
        <f>INDEX('AP Funding Factor'!$I$9:$I$158,MATCH(C100,'AP Funding Factor'!$C$9:$C$158,0))</f>
        <v>226576.38357385003</v>
      </c>
      <c r="BG100" s="290">
        <f>INDEX('Import|Export Adjustments Data'!$Q$9:$Q$159,MATCH($C100,'Import|Export Adjustments Data'!$C$9:$C$159,0))</f>
        <v>-231</v>
      </c>
      <c r="BH100" s="289">
        <v>531041</v>
      </c>
      <c r="BI100" s="81">
        <f t="shared" si="141"/>
        <v>-854959</v>
      </c>
      <c r="BJ100" s="86">
        <f t="shared" si="98"/>
        <v>71114940.270627946</v>
      </c>
      <c r="BK100" s="620">
        <f t="shared" si="99"/>
        <v>592.69146168026521</v>
      </c>
      <c r="BL100" s="620">
        <f t="shared" si="100"/>
        <v>640.1067786146865</v>
      </c>
      <c r="BM100" s="620">
        <f t="shared" si="135"/>
        <v>640.1067786146865</v>
      </c>
      <c r="BN100" s="620">
        <f t="shared" si="136"/>
        <v>66061811.058697149</v>
      </c>
      <c r="BO100" s="281">
        <f t="shared" si="140"/>
        <v>8.0000000000000071E-2</v>
      </c>
      <c r="BP100" s="81">
        <f t="shared" si="137"/>
        <v>71969899.270627931</v>
      </c>
      <c r="BQ100" s="81">
        <f t="shared" si="138"/>
        <v>71114940.270627931</v>
      </c>
      <c r="BS100" s="599"/>
      <c r="BT100" s="601"/>
    </row>
    <row r="101" spans="1:72" ht="15.4" x14ac:dyDescent="0.45">
      <c r="A101" s="76"/>
      <c r="B101" s="77" t="s">
        <v>178</v>
      </c>
      <c r="C101" s="288">
        <v>850</v>
      </c>
      <c r="D101" s="78" t="s">
        <v>183</v>
      </c>
      <c r="E101" s="87">
        <v>1.02212075253367</v>
      </c>
      <c r="F101" s="327">
        <f t="shared" si="101"/>
        <v>4763.082706806902</v>
      </c>
      <c r="G101" s="290">
        <v>3356</v>
      </c>
      <c r="H101" s="81">
        <f t="shared" si="102"/>
        <v>15984905.564043963</v>
      </c>
      <c r="I101" s="597">
        <f>INDEX('Historic Spend Factor'!$U$9:$U$159, MATCH(C101, 'Historic Spend Factor'!$C$9:$C$159, 0))</f>
        <v>51206201.299959287</v>
      </c>
      <c r="J101" s="80">
        <v>275940.76399999973</v>
      </c>
      <c r="K101" s="82">
        <f t="shared" si="103"/>
        <v>282044.78135439556</v>
      </c>
      <c r="L101" s="81">
        <f t="shared" si="104"/>
        <v>57390356.730780303</v>
      </c>
      <c r="M101" s="80">
        <v>30835</v>
      </c>
      <c r="N101" s="82">
        <f t="shared" si="105"/>
        <v>31517.093404375712</v>
      </c>
      <c r="O101" s="81">
        <f t="shared" si="106"/>
        <v>8023678.1934637995</v>
      </c>
      <c r="P101" s="80">
        <v>14745</v>
      </c>
      <c r="Q101" s="82">
        <f t="shared" si="107"/>
        <v>15071.170496108964</v>
      </c>
      <c r="R101" s="84">
        <f t="shared" si="108"/>
        <v>925462.89601201762</v>
      </c>
      <c r="S101" s="80">
        <v>17118</v>
      </c>
      <c r="T101" s="82">
        <f t="shared" si="109"/>
        <v>17496.663041871361</v>
      </c>
      <c r="U101" s="84">
        <f t="shared" si="110"/>
        <v>1418220.1758273977</v>
      </c>
      <c r="V101" s="80">
        <v>6205</v>
      </c>
      <c r="W101" s="82">
        <f t="shared" si="111"/>
        <v>6342.2592694714222</v>
      </c>
      <c r="X101" s="84">
        <f t="shared" si="112"/>
        <v>703062.27118835563</v>
      </c>
      <c r="Y101" s="80">
        <v>5211</v>
      </c>
      <c r="Z101" s="82">
        <f t="shared" si="113"/>
        <v>5326.2712414529542</v>
      </c>
      <c r="AA101" s="84">
        <f t="shared" si="114"/>
        <v>626523.55067165347</v>
      </c>
      <c r="AB101" s="80">
        <v>911</v>
      </c>
      <c r="AC101" s="82">
        <f t="shared" si="115"/>
        <v>931.1520055581733</v>
      </c>
      <c r="AD101" s="84">
        <f t="shared" si="116"/>
        <v>121745.94955122531</v>
      </c>
      <c r="AE101" s="80">
        <v>0</v>
      </c>
      <c r="AF101" s="82">
        <f t="shared" si="117"/>
        <v>0</v>
      </c>
      <c r="AG101" s="84">
        <f t="shared" si="118"/>
        <v>0</v>
      </c>
      <c r="AH101" s="81">
        <f t="shared" si="119"/>
        <v>3795014.84325065</v>
      </c>
      <c r="AI101" s="80">
        <v>1151</v>
      </c>
      <c r="AJ101" s="82">
        <f t="shared" si="120"/>
        <v>1176.4609861662541</v>
      </c>
      <c r="AK101" s="84">
        <f t="shared" si="121"/>
        <v>6455934.8967583235</v>
      </c>
      <c r="AL101" s="80">
        <v>9764</v>
      </c>
      <c r="AM101" s="82">
        <f t="shared" si="122"/>
        <v>9979.9870277387527</v>
      </c>
      <c r="AN101" s="84">
        <f t="shared" si="123"/>
        <v>7546525.5908285826</v>
      </c>
      <c r="AO101" s="564">
        <v>1892</v>
      </c>
      <c r="AP101" s="82">
        <f t="shared" si="124"/>
        <v>1933.8524637937035</v>
      </c>
      <c r="AQ101" s="84">
        <f t="shared" si="125"/>
        <v>7534574.1630879436</v>
      </c>
      <c r="AR101" s="564">
        <v>2995</v>
      </c>
      <c r="AS101" s="82">
        <f t="shared" si="126"/>
        <v>3061.2516538383416</v>
      </c>
      <c r="AT101" s="84">
        <f t="shared" si="127"/>
        <v>8434860.3629746623</v>
      </c>
      <c r="AU101" s="81">
        <f t="shared" si="128"/>
        <v>150387146.08110356</v>
      </c>
      <c r="AV101" s="620">
        <f>INDEX('2021-22 Baseline'!$J$9:$J$158,MATCH(C101,'2021-22 Baseline'!$C$9:$C$158,0))</f>
        <v>133846450.48819554</v>
      </c>
      <c r="AW101" s="623">
        <v>274824.26499999972</v>
      </c>
      <c r="AX101" s="620">
        <f t="shared" si="129"/>
        <v>487.02559247523385</v>
      </c>
      <c r="AY101" s="620">
        <f t="shared" si="130"/>
        <v>525.98763987325265</v>
      </c>
      <c r="AZ101" s="620">
        <f t="shared" si="131"/>
        <v>544.99793325607993</v>
      </c>
      <c r="BA101" s="620">
        <f t="shared" si="132"/>
        <v>544.99793325607993</v>
      </c>
      <c r="BB101" s="624">
        <f t="shared" si="133"/>
        <v>0</v>
      </c>
      <c r="BC101" s="620">
        <f t="shared" si="142"/>
        <v>0</v>
      </c>
      <c r="BD101" s="81">
        <f t="shared" si="134"/>
        <v>0</v>
      </c>
      <c r="BE101" s="81">
        <f t="shared" si="139"/>
        <v>150387146.08110356</v>
      </c>
      <c r="BF101" s="588">
        <f>INDEX('AP Funding Factor'!$I$9:$I$158,MATCH(C101,'AP Funding Factor'!$C$9:$C$158,0))</f>
        <v>5089876.3985005729</v>
      </c>
      <c r="BG101" s="290">
        <f>INDEX('Import|Export Adjustments Data'!$Q$9:$Q$159,MATCH($C101,'Import|Export Adjustments Data'!$C$9:$C$159,0))</f>
        <v>-283</v>
      </c>
      <c r="BH101" s="289">
        <v>0</v>
      </c>
      <c r="BI101" s="81">
        <f t="shared" si="141"/>
        <v>-1698000</v>
      </c>
      <c r="BJ101" s="86">
        <f t="shared" si="98"/>
        <v>169763928.04364809</v>
      </c>
      <c r="BK101" s="620">
        <f t="shared" si="99"/>
        <v>487.02559247523385</v>
      </c>
      <c r="BL101" s="620">
        <f t="shared" si="100"/>
        <v>544.99793325607993</v>
      </c>
      <c r="BM101" s="620">
        <f t="shared" si="135"/>
        <v>540.59840764750959</v>
      </c>
      <c r="BN101" s="620">
        <f t="shared" si="136"/>
        <v>149173137.62343711</v>
      </c>
      <c r="BO101" s="281">
        <f t="shared" si="140"/>
        <v>0.1100000000000001</v>
      </c>
      <c r="BP101" s="81">
        <f t="shared" si="137"/>
        <v>170247919.58598164</v>
      </c>
      <c r="BQ101" s="81">
        <f t="shared" si="138"/>
        <v>168549919.58598164</v>
      </c>
      <c r="BS101" s="599"/>
      <c r="BT101" s="601"/>
    </row>
    <row r="102" spans="1:72" ht="15.4" x14ac:dyDescent="0.45">
      <c r="A102" s="76"/>
      <c r="B102" s="77" t="s">
        <v>178</v>
      </c>
      <c r="C102" s="288">
        <v>921</v>
      </c>
      <c r="D102" s="78" t="s">
        <v>184</v>
      </c>
      <c r="E102" s="87">
        <v>1.02212075253367</v>
      </c>
      <c r="F102" s="327">
        <f t="shared" si="101"/>
        <v>4763.082706806902</v>
      </c>
      <c r="G102" s="290">
        <v>293</v>
      </c>
      <c r="H102" s="81">
        <f t="shared" si="102"/>
        <v>1395583.2330944224</v>
      </c>
      <c r="I102" s="597">
        <f>INDEX('Historic Spend Factor'!$U$9:$U$159, MATCH(C102, 'Historic Spend Factor'!$C$9:$C$159, 0))</f>
        <v>7146597.7343047969</v>
      </c>
      <c r="J102" s="80">
        <v>23928.554</v>
      </c>
      <c r="K102" s="82">
        <f t="shared" si="103"/>
        <v>24457.871621522558</v>
      </c>
      <c r="L102" s="81">
        <f t="shared" si="104"/>
        <v>4976677.7122924151</v>
      </c>
      <c r="M102" s="80">
        <v>3940.5</v>
      </c>
      <c r="N102" s="82">
        <f t="shared" si="105"/>
        <v>4027.6668253589264</v>
      </c>
      <c r="O102" s="81">
        <f t="shared" si="106"/>
        <v>1025370.6476842583</v>
      </c>
      <c r="P102" s="80">
        <v>4922</v>
      </c>
      <c r="Q102" s="82">
        <f t="shared" si="107"/>
        <v>5030.8783439707231</v>
      </c>
      <c r="R102" s="84">
        <f t="shared" si="108"/>
        <v>308926.98366708372</v>
      </c>
      <c r="S102" s="80">
        <v>2919</v>
      </c>
      <c r="T102" s="82">
        <f t="shared" si="109"/>
        <v>2983.5704766457825</v>
      </c>
      <c r="U102" s="84">
        <f t="shared" si="110"/>
        <v>241838.10569226393</v>
      </c>
      <c r="V102" s="80">
        <v>809</v>
      </c>
      <c r="W102" s="82">
        <f t="shared" si="111"/>
        <v>826.89568879973899</v>
      </c>
      <c r="X102" s="84">
        <f t="shared" si="112"/>
        <v>91664.363801995103</v>
      </c>
      <c r="Y102" s="80">
        <v>1265</v>
      </c>
      <c r="Z102" s="82">
        <f t="shared" si="113"/>
        <v>1292.9827519550925</v>
      </c>
      <c r="AA102" s="84">
        <f t="shared" si="114"/>
        <v>152092.16879670729</v>
      </c>
      <c r="AB102" s="80">
        <v>1684</v>
      </c>
      <c r="AC102" s="82">
        <f t="shared" si="115"/>
        <v>1721.2513472667001</v>
      </c>
      <c r="AD102" s="84">
        <f t="shared" si="116"/>
        <v>225049.59280380176</v>
      </c>
      <c r="AE102" s="80">
        <v>0</v>
      </c>
      <c r="AF102" s="82">
        <f t="shared" si="117"/>
        <v>0</v>
      </c>
      <c r="AG102" s="84">
        <f t="shared" si="118"/>
        <v>0</v>
      </c>
      <c r="AH102" s="81">
        <f t="shared" si="119"/>
        <v>1019571.2147618518</v>
      </c>
      <c r="AI102" s="80">
        <v>137</v>
      </c>
      <c r="AJ102" s="82">
        <f t="shared" si="120"/>
        <v>140.0305430971128</v>
      </c>
      <c r="AK102" s="84">
        <f t="shared" si="121"/>
        <v>768430.13106506551</v>
      </c>
      <c r="AL102" s="80">
        <v>1456</v>
      </c>
      <c r="AM102" s="82">
        <f t="shared" si="122"/>
        <v>1488.2078156890234</v>
      </c>
      <c r="AN102" s="84">
        <f t="shared" si="123"/>
        <v>1125331.960287425</v>
      </c>
      <c r="AO102" s="564">
        <v>191</v>
      </c>
      <c r="AP102" s="82">
        <f t="shared" si="124"/>
        <v>195.22506373393097</v>
      </c>
      <c r="AQ102" s="84">
        <f t="shared" si="125"/>
        <v>760625.61582970258</v>
      </c>
      <c r="AR102" s="564">
        <v>438</v>
      </c>
      <c r="AS102" s="82">
        <f t="shared" si="126"/>
        <v>447.68888960974743</v>
      </c>
      <c r="AT102" s="84">
        <f t="shared" si="127"/>
        <v>1233545.5221979639</v>
      </c>
      <c r="AU102" s="81">
        <f t="shared" si="128"/>
        <v>18056150.538423479</v>
      </c>
      <c r="AV102" s="620">
        <f>INDEX('2021-22 Baseline'!$J$9:$J$158,MATCH(C102,'2021-22 Baseline'!$C$9:$C$158,0))</f>
        <v>16715778.325031009</v>
      </c>
      <c r="AW102" s="623">
        <v>23926.597999999947</v>
      </c>
      <c r="AX102" s="620">
        <f t="shared" si="129"/>
        <v>698.6274574024709</v>
      </c>
      <c r="AY102" s="620">
        <f t="shared" si="130"/>
        <v>754.51765399466865</v>
      </c>
      <c r="AZ102" s="620">
        <f t="shared" si="131"/>
        <v>754.58594524447562</v>
      </c>
      <c r="BA102" s="620">
        <f t="shared" si="132"/>
        <v>754.58594524447562</v>
      </c>
      <c r="BB102" s="624">
        <f t="shared" si="133"/>
        <v>0</v>
      </c>
      <c r="BC102" s="620">
        <f t="shared" si="142"/>
        <v>0</v>
      </c>
      <c r="BD102" s="81">
        <f t="shared" si="134"/>
        <v>0</v>
      </c>
      <c r="BE102" s="81">
        <f t="shared" si="139"/>
        <v>18056150.538423479</v>
      </c>
      <c r="BF102" s="588">
        <f>INDEX('AP Funding Factor'!$I$9:$I$158,MATCH(C102,'AP Funding Factor'!$C$9:$C$158,0))</f>
        <v>64267.531293005217</v>
      </c>
      <c r="BG102" s="290">
        <f>INDEX('Import|Export Adjustments Data'!$Q$9:$Q$159,MATCH($C102,'Import|Export Adjustments Data'!$C$9:$C$159,0))</f>
        <v>-60</v>
      </c>
      <c r="BH102" s="289">
        <v>0</v>
      </c>
      <c r="BI102" s="81">
        <f t="shared" si="141"/>
        <v>-360000</v>
      </c>
      <c r="BJ102" s="86">
        <f t="shared" si="98"/>
        <v>19156001.302810907</v>
      </c>
      <c r="BK102" s="620">
        <f t="shared" si="99"/>
        <v>698.6274574024709</v>
      </c>
      <c r="BL102" s="620">
        <f t="shared" si="100"/>
        <v>754.58594524447562</v>
      </c>
      <c r="BM102" s="620">
        <f t="shared" si="135"/>
        <v>754.58594524447562</v>
      </c>
      <c r="BN102" s="620">
        <f t="shared" si="136"/>
        <v>18056150.538423479</v>
      </c>
      <c r="BO102" s="281">
        <f t="shared" si="140"/>
        <v>8.009775059523272E-2</v>
      </c>
      <c r="BP102" s="81">
        <f t="shared" si="137"/>
        <v>19516001.302810907</v>
      </c>
      <c r="BQ102" s="81">
        <f t="shared" si="138"/>
        <v>19156001.302810907</v>
      </c>
      <c r="BS102" s="599"/>
      <c r="BT102" s="601"/>
    </row>
    <row r="103" spans="1:72" ht="15.4" x14ac:dyDescent="0.45">
      <c r="A103" s="76"/>
      <c r="B103" s="77" t="s">
        <v>178</v>
      </c>
      <c r="C103" s="288">
        <v>886</v>
      </c>
      <c r="D103" s="78" t="s">
        <v>185</v>
      </c>
      <c r="E103" s="87">
        <v>1.0082577269988899</v>
      </c>
      <c r="F103" s="327">
        <f t="shared" si="101"/>
        <v>4698.4810078148275</v>
      </c>
      <c r="G103" s="290">
        <v>6050.5</v>
      </c>
      <c r="H103" s="81">
        <f t="shared" si="102"/>
        <v>28428159.337783612</v>
      </c>
      <c r="I103" s="597">
        <f>INDEX('Historic Spend Factor'!$U$9:$U$159, MATCH(C103, 'Historic Spend Factor'!$C$9:$C$159, 0))</f>
        <v>91715873.760382131</v>
      </c>
      <c r="J103" s="80">
        <v>338242.8799999996</v>
      </c>
      <c r="K103" s="82">
        <f t="shared" si="103"/>
        <v>341035.99736235786</v>
      </c>
      <c r="L103" s="81">
        <f t="shared" si="104"/>
        <v>69393865.231884196</v>
      </c>
      <c r="M103" s="80">
        <v>50335.5</v>
      </c>
      <c r="N103" s="82">
        <f t="shared" si="105"/>
        <v>50751.156817352625</v>
      </c>
      <c r="O103" s="81">
        <f t="shared" si="106"/>
        <v>12920320.570929244</v>
      </c>
      <c r="P103" s="80">
        <v>39611</v>
      </c>
      <c r="Q103" s="82">
        <f t="shared" si="107"/>
        <v>39938.096824153028</v>
      </c>
      <c r="R103" s="84">
        <f t="shared" si="108"/>
        <v>2452445.664895874</v>
      </c>
      <c r="S103" s="80">
        <v>23986</v>
      </c>
      <c r="T103" s="82">
        <f t="shared" si="109"/>
        <v>24184.069839795375</v>
      </c>
      <c r="U103" s="84">
        <f t="shared" si="110"/>
        <v>1960278.6941908367</v>
      </c>
      <c r="V103" s="80">
        <v>14510</v>
      </c>
      <c r="W103" s="82">
        <f t="shared" si="111"/>
        <v>14629.819618753892</v>
      </c>
      <c r="X103" s="84">
        <f t="shared" si="112"/>
        <v>1621768.1698613851</v>
      </c>
      <c r="Y103" s="80">
        <v>15520</v>
      </c>
      <c r="Z103" s="82">
        <f t="shared" si="113"/>
        <v>15648.159923022771</v>
      </c>
      <c r="AA103" s="84">
        <f t="shared" si="114"/>
        <v>1840676.2014199782</v>
      </c>
      <c r="AB103" s="80">
        <v>19849</v>
      </c>
      <c r="AC103" s="82">
        <f t="shared" si="115"/>
        <v>20012.907623200965</v>
      </c>
      <c r="AD103" s="84">
        <f t="shared" si="116"/>
        <v>2616640.9214863023</v>
      </c>
      <c r="AE103" s="80">
        <v>5805</v>
      </c>
      <c r="AF103" s="82">
        <f t="shared" si="117"/>
        <v>5852.9361052285558</v>
      </c>
      <c r="AG103" s="84">
        <f t="shared" si="118"/>
        <v>1009953.5412094473</v>
      </c>
      <c r="AH103" s="81">
        <f t="shared" si="119"/>
        <v>11501763.193063824</v>
      </c>
      <c r="AI103" s="80">
        <v>1726</v>
      </c>
      <c r="AJ103" s="82">
        <f t="shared" si="120"/>
        <v>1740.252836800084</v>
      </c>
      <c r="AK103" s="84">
        <f t="shared" si="121"/>
        <v>9549793.108645115</v>
      </c>
      <c r="AL103" s="80">
        <v>17126</v>
      </c>
      <c r="AM103" s="82">
        <f t="shared" si="122"/>
        <v>17267.42183258299</v>
      </c>
      <c r="AN103" s="84">
        <f t="shared" si="123"/>
        <v>13057035.082814623</v>
      </c>
      <c r="AO103" s="564">
        <v>2658</v>
      </c>
      <c r="AP103" s="82">
        <f t="shared" si="124"/>
        <v>2679.9490383630496</v>
      </c>
      <c r="AQ103" s="84">
        <f t="shared" si="125"/>
        <v>10441476.359179309</v>
      </c>
      <c r="AR103" s="564">
        <v>4594</v>
      </c>
      <c r="AS103" s="82">
        <f t="shared" si="126"/>
        <v>4631.9359978329003</v>
      </c>
      <c r="AT103" s="84">
        <f t="shared" si="127"/>
        <v>12762666.311006725</v>
      </c>
      <c r="AU103" s="81">
        <f t="shared" si="128"/>
        <v>231342793.6179052</v>
      </c>
      <c r="AV103" s="620">
        <f>INDEX('2021-22 Baseline'!$J$9:$J$158,MATCH(C103,'2021-22 Baseline'!$C$9:$C$158,0))</f>
        <v>218985704.17947042</v>
      </c>
      <c r="AW103" s="623">
        <v>334809.43599999975</v>
      </c>
      <c r="AX103" s="620">
        <f t="shared" si="129"/>
        <v>654.06073017449421</v>
      </c>
      <c r="AY103" s="620">
        <f t="shared" si="130"/>
        <v>706.38558858845374</v>
      </c>
      <c r="AZ103" s="620">
        <f t="shared" si="131"/>
        <v>683.95465890636183</v>
      </c>
      <c r="BA103" s="620">
        <f t="shared" si="132"/>
        <v>706.38558858845374</v>
      </c>
      <c r="BB103" s="624">
        <f t="shared" si="133"/>
        <v>7587102.2567482442</v>
      </c>
      <c r="BC103" s="620">
        <f t="shared" si="142"/>
        <v>0</v>
      </c>
      <c r="BD103" s="81">
        <f t="shared" si="134"/>
        <v>7587102.2567482442</v>
      </c>
      <c r="BE103" s="81">
        <f t="shared" si="139"/>
        <v>238929895.87465346</v>
      </c>
      <c r="BF103" s="588">
        <f>INDEX('AP Funding Factor'!$I$9:$I$158,MATCH(C103,'AP Funding Factor'!$C$9:$C$158,0))</f>
        <v>4344538.2085736236</v>
      </c>
      <c r="BG103" s="290">
        <f>INDEX('Import|Export Adjustments Data'!$Q$9:$Q$159,MATCH($C103,'Import|Export Adjustments Data'!$C$9:$C$159,0))</f>
        <v>-601</v>
      </c>
      <c r="BH103" s="289">
        <v>1194501</v>
      </c>
      <c r="BI103" s="81">
        <f t="shared" si="141"/>
        <v>-2411499</v>
      </c>
      <c r="BJ103" s="86">
        <f t="shared" si="98"/>
        <v>269291094.42101067</v>
      </c>
      <c r="BK103" s="620">
        <f t="shared" si="99"/>
        <v>654.06073017449421</v>
      </c>
      <c r="BL103" s="620">
        <f t="shared" si="100"/>
        <v>706.38558858845374</v>
      </c>
      <c r="BM103" s="620">
        <f t="shared" si="135"/>
        <v>706.38558858845374</v>
      </c>
      <c r="BN103" s="620">
        <f t="shared" si="136"/>
        <v>238929895.87465346</v>
      </c>
      <c r="BO103" s="281">
        <f t="shared" si="140"/>
        <v>8.0000000000000071E-2</v>
      </c>
      <c r="BP103" s="81">
        <f t="shared" si="137"/>
        <v>271702593.42101067</v>
      </c>
      <c r="BQ103" s="81">
        <f t="shared" si="138"/>
        <v>269291094.42101067</v>
      </c>
      <c r="BS103" s="599"/>
      <c r="BT103" s="601"/>
    </row>
    <row r="104" spans="1:72" ht="15.4" x14ac:dyDescent="0.45">
      <c r="A104" s="76"/>
      <c r="B104" s="77" t="s">
        <v>178</v>
      </c>
      <c r="C104" s="288">
        <v>887</v>
      </c>
      <c r="D104" s="78" t="s">
        <v>186</v>
      </c>
      <c r="E104" s="87">
        <v>1.0011011349032699</v>
      </c>
      <c r="F104" s="327">
        <f t="shared" si="101"/>
        <v>4665.1312886492378</v>
      </c>
      <c r="G104" s="290">
        <v>1103.5</v>
      </c>
      <c r="H104" s="81">
        <f t="shared" si="102"/>
        <v>5147972.3770244336</v>
      </c>
      <c r="I104" s="597">
        <f>INDEX('Historic Spend Factor'!$U$9:$U$159, MATCH(C104, 'Historic Spend Factor'!$C$9:$C$159, 0))</f>
        <v>16367537.576869687</v>
      </c>
      <c r="J104" s="80">
        <v>62646.755999999972</v>
      </c>
      <c r="K104" s="82">
        <f t="shared" si="103"/>
        <v>62715.738529608207</v>
      </c>
      <c r="L104" s="81">
        <f t="shared" si="104"/>
        <v>12761372.820176324</v>
      </c>
      <c r="M104" s="80">
        <v>10430</v>
      </c>
      <c r="N104" s="82">
        <f t="shared" si="105"/>
        <v>10441.484837041105</v>
      </c>
      <c r="O104" s="81">
        <f t="shared" si="106"/>
        <v>2658211.9461155031</v>
      </c>
      <c r="P104" s="80">
        <v>7256</v>
      </c>
      <c r="Q104" s="82">
        <f t="shared" si="107"/>
        <v>7263.9898348581264</v>
      </c>
      <c r="R104" s="84">
        <f t="shared" si="108"/>
        <v>446053.81319953018</v>
      </c>
      <c r="S104" s="80">
        <v>10456</v>
      </c>
      <c r="T104" s="82">
        <f t="shared" si="109"/>
        <v>10467.513466548589</v>
      </c>
      <c r="U104" s="84">
        <f t="shared" si="110"/>
        <v>848461.14676141227</v>
      </c>
      <c r="V104" s="80">
        <v>5640</v>
      </c>
      <c r="W104" s="82">
        <f t="shared" si="111"/>
        <v>5646.210400854442</v>
      </c>
      <c r="X104" s="84">
        <f t="shared" si="112"/>
        <v>625902.74843224406</v>
      </c>
      <c r="Y104" s="80">
        <v>2938</v>
      </c>
      <c r="Z104" s="82">
        <f t="shared" si="113"/>
        <v>2941.2351343458072</v>
      </c>
      <c r="AA104" s="84">
        <f t="shared" si="114"/>
        <v>345974.32165844186</v>
      </c>
      <c r="AB104" s="80">
        <v>4882</v>
      </c>
      <c r="AC104" s="82">
        <f t="shared" si="115"/>
        <v>4887.375740597764</v>
      </c>
      <c r="AD104" s="84">
        <f t="shared" si="116"/>
        <v>639012.96115022351</v>
      </c>
      <c r="AE104" s="80">
        <v>737</v>
      </c>
      <c r="AF104" s="82">
        <f t="shared" si="117"/>
        <v>737.81153642370987</v>
      </c>
      <c r="AG104" s="84">
        <f t="shared" si="118"/>
        <v>127313.0887744777</v>
      </c>
      <c r="AH104" s="81">
        <f t="shared" si="119"/>
        <v>3032718.0799763296</v>
      </c>
      <c r="AI104" s="80">
        <v>342</v>
      </c>
      <c r="AJ104" s="82">
        <f t="shared" si="120"/>
        <v>342.37658813691831</v>
      </c>
      <c r="AK104" s="84">
        <f t="shared" si="121"/>
        <v>1878822.1532012799</v>
      </c>
      <c r="AL104" s="80">
        <v>3237</v>
      </c>
      <c r="AM104" s="82">
        <f t="shared" si="122"/>
        <v>3240.5643736818847</v>
      </c>
      <c r="AN104" s="84">
        <f t="shared" si="123"/>
        <v>2450404.1845692373</v>
      </c>
      <c r="AO104" s="564">
        <v>545</v>
      </c>
      <c r="AP104" s="82">
        <f t="shared" si="124"/>
        <v>545.60011852228206</v>
      </c>
      <c r="AQ104" s="84">
        <f t="shared" si="125"/>
        <v>2125738.4590400886</v>
      </c>
      <c r="AR104" s="564">
        <v>722</v>
      </c>
      <c r="AS104" s="82">
        <f t="shared" si="126"/>
        <v>722.79501940016087</v>
      </c>
      <c r="AT104" s="84">
        <f t="shared" si="127"/>
        <v>1991562.8471934416</v>
      </c>
      <c r="AU104" s="81">
        <f t="shared" si="128"/>
        <v>43266368.067141898</v>
      </c>
      <c r="AV104" s="620">
        <f>INDEX('2021-22 Baseline'!$J$9:$J$158,MATCH(C104,'2021-22 Baseline'!$C$9:$C$158,0))</f>
        <v>40494186.146931529</v>
      </c>
      <c r="AW104" s="623">
        <v>62236.983999999975</v>
      </c>
      <c r="AX104" s="620">
        <f t="shared" si="129"/>
        <v>650.64505932568238</v>
      </c>
      <c r="AY104" s="620">
        <f t="shared" si="130"/>
        <v>702.69666407173702</v>
      </c>
      <c r="AZ104" s="620">
        <f t="shared" si="131"/>
        <v>690.64019958418783</v>
      </c>
      <c r="BA104" s="620">
        <f t="shared" si="132"/>
        <v>702.69666407173702</v>
      </c>
      <c r="BB104" s="624">
        <f t="shared" si="133"/>
        <v>755298.38897415891</v>
      </c>
      <c r="BC104" s="620">
        <f t="shared" si="142"/>
        <v>0</v>
      </c>
      <c r="BD104" s="81">
        <f t="shared" si="134"/>
        <v>755298.38897415891</v>
      </c>
      <c r="BE104" s="81">
        <f t="shared" si="139"/>
        <v>44021666.456116058</v>
      </c>
      <c r="BF104" s="588">
        <f>INDEX('AP Funding Factor'!$I$9:$I$158,MATCH(C104,'AP Funding Factor'!$C$9:$C$158,0))</f>
        <v>178617.99524939485</v>
      </c>
      <c r="BG104" s="290">
        <f>INDEX('Import|Export Adjustments Data'!$Q$9:$Q$159,MATCH($C104,'Import|Export Adjustments Data'!$C$9:$C$159,0))</f>
        <v>-103</v>
      </c>
      <c r="BH104" s="289">
        <v>315809</v>
      </c>
      <c r="BI104" s="81">
        <f t="shared" si="141"/>
        <v>-302191</v>
      </c>
      <c r="BJ104" s="86">
        <f t="shared" si="98"/>
        <v>49046065.82838989</v>
      </c>
      <c r="BK104" s="620">
        <f t="shared" si="99"/>
        <v>650.64505932568238</v>
      </c>
      <c r="BL104" s="620">
        <f t="shared" si="100"/>
        <v>702.69666407173702</v>
      </c>
      <c r="BM104" s="620">
        <f t="shared" si="135"/>
        <v>702.69666407173702</v>
      </c>
      <c r="BN104" s="620">
        <f t="shared" si="136"/>
        <v>44021666.456116058</v>
      </c>
      <c r="BO104" s="281">
        <f t="shared" si="140"/>
        <v>8.0000000000000071E-2</v>
      </c>
      <c r="BP104" s="81">
        <f t="shared" si="137"/>
        <v>49348256.828389883</v>
      </c>
      <c r="BQ104" s="81">
        <f t="shared" si="138"/>
        <v>49046065.828389883</v>
      </c>
      <c r="BS104" s="599"/>
      <c r="BT104" s="601"/>
    </row>
    <row r="105" spans="1:72" ht="15.4" x14ac:dyDescent="0.45">
      <c r="A105" s="76"/>
      <c r="B105" s="77" t="s">
        <v>178</v>
      </c>
      <c r="C105" s="288">
        <v>826</v>
      </c>
      <c r="D105" s="78" t="s">
        <v>187</v>
      </c>
      <c r="E105" s="87">
        <v>1.0447275107063401</v>
      </c>
      <c r="F105" s="327">
        <f t="shared" si="101"/>
        <v>4868.4301998915444</v>
      </c>
      <c r="G105" s="290">
        <v>902</v>
      </c>
      <c r="H105" s="81">
        <f t="shared" si="102"/>
        <v>4391324.0403021732</v>
      </c>
      <c r="I105" s="597">
        <f>INDEX('Historic Spend Factor'!$U$9:$U$159, MATCH(C105, 'Historic Spend Factor'!$C$9:$C$159, 0))</f>
        <v>16511659.177717315</v>
      </c>
      <c r="J105" s="80">
        <v>65695.263999999981</v>
      </c>
      <c r="K105" s="82">
        <f t="shared" si="103"/>
        <v>68633.649623915815</v>
      </c>
      <c r="L105" s="81">
        <f t="shared" si="104"/>
        <v>13965546.948739979</v>
      </c>
      <c r="M105" s="80">
        <v>9706</v>
      </c>
      <c r="N105" s="82">
        <f t="shared" si="105"/>
        <v>10140.125218915737</v>
      </c>
      <c r="O105" s="81">
        <f t="shared" si="106"/>
        <v>2581491.273770527</v>
      </c>
      <c r="P105" s="80">
        <v>6797</v>
      </c>
      <c r="Q105" s="82">
        <f t="shared" si="107"/>
        <v>7101.012890270993</v>
      </c>
      <c r="R105" s="84">
        <f t="shared" si="108"/>
        <v>436046.02281856816</v>
      </c>
      <c r="S105" s="80">
        <v>6824</v>
      </c>
      <c r="T105" s="82">
        <f t="shared" si="109"/>
        <v>7129.2205330600646</v>
      </c>
      <c r="U105" s="84">
        <f t="shared" si="110"/>
        <v>577870.44156434375</v>
      </c>
      <c r="V105" s="80">
        <v>3135</v>
      </c>
      <c r="W105" s="82">
        <f t="shared" si="111"/>
        <v>3275.2207460643763</v>
      </c>
      <c r="X105" s="84">
        <f t="shared" si="112"/>
        <v>363070.00999710814</v>
      </c>
      <c r="Y105" s="80">
        <v>2297</v>
      </c>
      <c r="Z105" s="82">
        <f t="shared" si="113"/>
        <v>2399.7390920924631</v>
      </c>
      <c r="AA105" s="84">
        <f t="shared" si="114"/>
        <v>282278.72530449688</v>
      </c>
      <c r="AB105" s="80">
        <v>1701</v>
      </c>
      <c r="AC105" s="82">
        <f t="shared" si="115"/>
        <v>1777.0814957114844</v>
      </c>
      <c r="AD105" s="84">
        <f t="shared" si="116"/>
        <v>232349.25429346549</v>
      </c>
      <c r="AE105" s="80">
        <v>593</v>
      </c>
      <c r="AF105" s="82">
        <f t="shared" si="117"/>
        <v>619.5234138488596</v>
      </c>
      <c r="AG105" s="84">
        <f t="shared" si="118"/>
        <v>106901.87872030232</v>
      </c>
      <c r="AH105" s="81">
        <f t="shared" si="119"/>
        <v>1998516.3326982846</v>
      </c>
      <c r="AI105" s="80">
        <v>285</v>
      </c>
      <c r="AJ105" s="82">
        <f t="shared" si="120"/>
        <v>297.74734055130693</v>
      </c>
      <c r="AK105" s="84">
        <f t="shared" si="121"/>
        <v>1633915.1649611285</v>
      </c>
      <c r="AL105" s="80">
        <v>2334</v>
      </c>
      <c r="AM105" s="82">
        <f t="shared" si="122"/>
        <v>2438.3940099885976</v>
      </c>
      <c r="AN105" s="84">
        <f t="shared" si="123"/>
        <v>1843830.3322195234</v>
      </c>
      <c r="AO105" s="564">
        <v>475</v>
      </c>
      <c r="AP105" s="82">
        <f t="shared" si="124"/>
        <v>496.24556758551154</v>
      </c>
      <c r="AQ105" s="84">
        <f t="shared" si="125"/>
        <v>1933445.8559169434</v>
      </c>
      <c r="AR105" s="564">
        <v>692</v>
      </c>
      <c r="AS105" s="82">
        <f t="shared" si="126"/>
        <v>722.95143740878734</v>
      </c>
      <c r="AT105" s="84">
        <f t="shared" si="127"/>
        <v>1991993.835628961</v>
      </c>
      <c r="AU105" s="81">
        <f t="shared" si="128"/>
        <v>42460398.921652667</v>
      </c>
      <c r="AV105" s="620">
        <f>INDEX('2021-22 Baseline'!$J$9:$J$158,MATCH(C105,'2021-22 Baseline'!$C$9:$C$158,0))</f>
        <v>44194521.067568891</v>
      </c>
      <c r="AW105" s="623">
        <v>65494.832000000002</v>
      </c>
      <c r="AX105" s="620">
        <f t="shared" si="129"/>
        <v>674.77875304068095</v>
      </c>
      <c r="AY105" s="620">
        <f t="shared" si="130"/>
        <v>728.76105328393544</v>
      </c>
      <c r="AZ105" s="620">
        <f t="shared" si="131"/>
        <v>646.32359071808708</v>
      </c>
      <c r="BA105" s="620">
        <f t="shared" si="132"/>
        <v>728.76105328393544</v>
      </c>
      <c r="BB105" s="624">
        <f t="shared" si="133"/>
        <v>5415750.8667535242</v>
      </c>
      <c r="BC105" s="620">
        <f t="shared" si="142"/>
        <v>0</v>
      </c>
      <c r="BD105" s="81">
        <f t="shared" si="134"/>
        <v>5415750.8667535242</v>
      </c>
      <c r="BE105" s="81">
        <f t="shared" si="139"/>
        <v>47876149.788406193</v>
      </c>
      <c r="BF105" s="588">
        <f>INDEX('AP Funding Factor'!$I$9:$I$158,MATCH(C105,'AP Funding Factor'!$C$9:$C$158,0))</f>
        <v>211772.63083292995</v>
      </c>
      <c r="BG105" s="290">
        <f>INDEX('Import|Export Adjustments Data'!$Q$9:$Q$159,MATCH($C105,'Import|Export Adjustments Data'!$C$9:$C$159,0))</f>
        <v>12</v>
      </c>
      <c r="BH105" s="289">
        <v>0</v>
      </c>
      <c r="BI105" s="81">
        <f t="shared" si="141"/>
        <v>72000</v>
      </c>
      <c r="BJ105" s="86">
        <f t="shared" ref="BJ105:BJ136" si="143">H105 + BE105 + BF105 + BI105</f>
        <v>52551246.459541298</v>
      </c>
      <c r="BK105" s="620">
        <f t="shared" si="99"/>
        <v>674.77875304068095</v>
      </c>
      <c r="BL105" s="620">
        <f t="shared" si="100"/>
        <v>728.76105328393544</v>
      </c>
      <c r="BM105" s="620">
        <f t="shared" si="135"/>
        <v>728.76105328393544</v>
      </c>
      <c r="BN105" s="620">
        <f t="shared" si="136"/>
        <v>47876149.788406193</v>
      </c>
      <c r="BO105" s="281">
        <f t="shared" si="140"/>
        <v>8.0000000000000071E-2</v>
      </c>
      <c r="BP105" s="81">
        <f t="shared" si="137"/>
        <v>52479246.459541298</v>
      </c>
      <c r="BQ105" s="81">
        <f t="shared" si="138"/>
        <v>52551246.459541298</v>
      </c>
      <c r="BS105" s="599"/>
      <c r="BT105" s="601"/>
    </row>
    <row r="106" spans="1:72" ht="15.4" x14ac:dyDescent="0.45">
      <c r="A106" s="76"/>
      <c r="B106" s="77" t="s">
        <v>178</v>
      </c>
      <c r="C106" s="288">
        <v>931</v>
      </c>
      <c r="D106" s="78" t="s">
        <v>188</v>
      </c>
      <c r="E106" s="87">
        <v>1.0346123903642701</v>
      </c>
      <c r="F106" s="327">
        <f t="shared" si="101"/>
        <v>4821.2937390974985</v>
      </c>
      <c r="G106" s="290">
        <v>1526.833333</v>
      </c>
      <c r="H106" s="81">
        <f t="shared" ref="H106:H137" si="144">G106*F106</f>
        <v>7361311.9890382662</v>
      </c>
      <c r="I106" s="597">
        <f>INDEX('Historic Spend Factor'!$U$9:$U$159, MATCH(C106, 'Historic Spend Factor'!$C$9:$C$159, 0))</f>
        <v>26452628.289653618</v>
      </c>
      <c r="J106" s="80">
        <v>141906.48899999986</v>
      </c>
      <c r="K106" s="82">
        <f t="shared" ref="K106:K137" si="145">E106*J106</f>
        <v>146818.21179249085</v>
      </c>
      <c r="L106" s="81">
        <f t="shared" si="104"/>
        <v>29874509.674968645</v>
      </c>
      <c r="M106" s="80">
        <v>13348</v>
      </c>
      <c r="N106" s="82">
        <f t="shared" si="105"/>
        <v>13810.006186582277</v>
      </c>
      <c r="O106" s="81">
        <f t="shared" si="106"/>
        <v>3515776.1557890479</v>
      </c>
      <c r="P106" s="80">
        <v>9082</v>
      </c>
      <c r="Q106" s="82">
        <f t="shared" si="107"/>
        <v>9396.3497292883003</v>
      </c>
      <c r="R106" s="84">
        <f t="shared" si="108"/>
        <v>576993.87281525286</v>
      </c>
      <c r="S106" s="80">
        <v>7972</v>
      </c>
      <c r="T106" s="82">
        <f t="shared" si="109"/>
        <v>8247.9299759839614</v>
      </c>
      <c r="U106" s="84">
        <f t="shared" si="110"/>
        <v>668549.23551759392</v>
      </c>
      <c r="V106" s="80">
        <v>1772</v>
      </c>
      <c r="W106" s="82">
        <f t="shared" si="111"/>
        <v>1833.3331557254867</v>
      </c>
      <c r="X106" s="84">
        <f t="shared" si="112"/>
        <v>203231.58003231545</v>
      </c>
      <c r="Y106" s="80">
        <v>2071</v>
      </c>
      <c r="Z106" s="82">
        <f t="shared" si="113"/>
        <v>2142.6822604444033</v>
      </c>
      <c r="AA106" s="84">
        <f t="shared" si="114"/>
        <v>252041.40700288251</v>
      </c>
      <c r="AB106" s="80">
        <v>969</v>
      </c>
      <c r="AC106" s="82">
        <f t="shared" si="115"/>
        <v>1002.5394062629778</v>
      </c>
      <c r="AD106" s="84">
        <f t="shared" si="116"/>
        <v>131079.68543207151</v>
      </c>
      <c r="AE106" s="80">
        <v>0</v>
      </c>
      <c r="AF106" s="82">
        <f t="shared" si="117"/>
        <v>0</v>
      </c>
      <c r="AG106" s="84">
        <f t="shared" si="118"/>
        <v>0</v>
      </c>
      <c r="AH106" s="81">
        <f t="shared" si="119"/>
        <v>1831895.7808001162</v>
      </c>
      <c r="AI106" s="80">
        <v>505</v>
      </c>
      <c r="AJ106" s="82">
        <f t="shared" si="120"/>
        <v>522.47925713395637</v>
      </c>
      <c r="AK106" s="84">
        <f t="shared" si="121"/>
        <v>2867151.659618909</v>
      </c>
      <c r="AL106" s="80">
        <v>4941</v>
      </c>
      <c r="AM106" s="82">
        <f t="shared" si="122"/>
        <v>5112.0198207898584</v>
      </c>
      <c r="AN106" s="84">
        <f t="shared" si="123"/>
        <v>3865534.9241625764</v>
      </c>
      <c r="AO106" s="564">
        <v>989</v>
      </c>
      <c r="AP106" s="82">
        <f t="shared" si="124"/>
        <v>1023.2316540702632</v>
      </c>
      <c r="AQ106" s="84">
        <f t="shared" si="125"/>
        <v>3986661.3032554379</v>
      </c>
      <c r="AR106" s="564">
        <v>1545</v>
      </c>
      <c r="AS106" s="82">
        <f t="shared" si="126"/>
        <v>1598.4761431127972</v>
      </c>
      <c r="AT106" s="84">
        <f t="shared" si="127"/>
        <v>4404382.4504911974</v>
      </c>
      <c r="AU106" s="81">
        <f t="shared" si="128"/>
        <v>76798540.23873955</v>
      </c>
      <c r="AV106" s="620">
        <f>INDEX('2021-22 Baseline'!$J$9:$J$158,MATCH(C106,'2021-22 Baseline'!$C$9:$C$158,0))</f>
        <v>70162433.349606365</v>
      </c>
      <c r="AW106" s="623">
        <v>141217.63799999983</v>
      </c>
      <c r="AX106" s="620">
        <f t="shared" si="129"/>
        <v>496.8390233917271</v>
      </c>
      <c r="AY106" s="620">
        <f t="shared" si="130"/>
        <v>536.5861452630653</v>
      </c>
      <c r="AZ106" s="620">
        <f t="shared" si="131"/>
        <v>541.19118005054463</v>
      </c>
      <c r="BA106" s="620">
        <f t="shared" si="132"/>
        <v>541.19118005054463</v>
      </c>
      <c r="BB106" s="624">
        <f t="shared" si="133"/>
        <v>0</v>
      </c>
      <c r="BC106" s="620">
        <f t="shared" si="142"/>
        <v>0</v>
      </c>
      <c r="BD106" s="81">
        <f t="shared" si="134"/>
        <v>0</v>
      </c>
      <c r="BE106" s="81">
        <f t="shared" si="139"/>
        <v>76798540.23873955</v>
      </c>
      <c r="BF106" s="588">
        <f>INDEX('AP Funding Factor'!$I$9:$I$158,MATCH(C106,'AP Funding Factor'!$C$9:$C$158,0))</f>
        <v>2250939.3982031969</v>
      </c>
      <c r="BG106" s="290">
        <f>INDEX('Import|Export Adjustments Data'!$Q$9:$Q$159,MATCH($C106,'Import|Export Adjustments Data'!$C$9:$C$159,0))</f>
        <v>345</v>
      </c>
      <c r="BH106" s="289">
        <v>6000</v>
      </c>
      <c r="BI106" s="81">
        <f t="shared" si="141"/>
        <v>2076000</v>
      </c>
      <c r="BJ106" s="86">
        <f t="shared" si="143"/>
        <v>88486791.625981003</v>
      </c>
      <c r="BK106" s="620">
        <f t="shared" si="99"/>
        <v>496.8390233917271</v>
      </c>
      <c r="BL106" s="620">
        <f t="shared" si="100"/>
        <v>541.19118005054463</v>
      </c>
      <c r="BM106" s="620">
        <f t="shared" si="135"/>
        <v>541.19118005054463</v>
      </c>
      <c r="BN106" s="620">
        <f t="shared" ref="BN106:BN137" si="146">BM106*J106+BC106</f>
        <v>76798540.23873955</v>
      </c>
      <c r="BO106" s="281">
        <f t="shared" si="140"/>
        <v>8.9268665645549694E-2</v>
      </c>
      <c r="BP106" s="81">
        <f t="shared" ref="BP106:BP137" si="147">H106 + BF106 + BN106</f>
        <v>86410791.625981018</v>
      </c>
      <c r="BQ106" s="81">
        <f t="shared" ref="BQ106:BQ137" si="148">H106 + BF106 + BI106 + BN106</f>
        <v>88486791.625981018</v>
      </c>
      <c r="BS106" s="599"/>
      <c r="BT106" s="601"/>
    </row>
    <row r="107" spans="1:72" ht="15.4" x14ac:dyDescent="0.45">
      <c r="A107" s="76"/>
      <c r="B107" s="77" t="s">
        <v>178</v>
      </c>
      <c r="C107" s="288">
        <v>851</v>
      </c>
      <c r="D107" s="78" t="s">
        <v>189</v>
      </c>
      <c r="E107" s="87">
        <v>1.02212075253367</v>
      </c>
      <c r="F107" s="327">
        <f t="shared" si="101"/>
        <v>4763.082706806902</v>
      </c>
      <c r="G107" s="290">
        <v>627</v>
      </c>
      <c r="H107" s="81">
        <f t="shared" si="144"/>
        <v>2986452.8571679275</v>
      </c>
      <c r="I107" s="597">
        <f>INDEX('Historic Spend Factor'!$U$9:$U$159, MATCH(C107, 'Historic Spend Factor'!$C$9:$C$159, 0))</f>
        <v>7864414.3202048186</v>
      </c>
      <c r="J107" s="80">
        <v>42294.588999999993</v>
      </c>
      <c r="K107" s="82">
        <f t="shared" si="145"/>
        <v>43230.177136782273</v>
      </c>
      <c r="L107" s="81">
        <f t="shared" si="104"/>
        <v>8796458.7591405623</v>
      </c>
      <c r="M107" s="80">
        <v>8831</v>
      </c>
      <c r="N107" s="82">
        <f t="shared" si="105"/>
        <v>9026.3483656248391</v>
      </c>
      <c r="O107" s="81">
        <f t="shared" si="106"/>
        <v>2297943.9638877516</v>
      </c>
      <c r="P107" s="80">
        <v>4576</v>
      </c>
      <c r="Q107" s="82">
        <f t="shared" si="107"/>
        <v>4677.2245635940735</v>
      </c>
      <c r="R107" s="84">
        <f t="shared" si="108"/>
        <v>287210.45860637451</v>
      </c>
      <c r="S107" s="80">
        <v>6302</v>
      </c>
      <c r="T107" s="82">
        <f t="shared" si="109"/>
        <v>6441.4049824671883</v>
      </c>
      <c r="U107" s="84">
        <f t="shared" si="110"/>
        <v>522118.44538288709</v>
      </c>
      <c r="V107" s="80">
        <v>627</v>
      </c>
      <c r="W107" s="82">
        <f t="shared" si="111"/>
        <v>640.86971183861101</v>
      </c>
      <c r="X107" s="84">
        <f t="shared" si="112"/>
        <v>71042.714590668635</v>
      </c>
      <c r="Y107" s="80">
        <v>3951</v>
      </c>
      <c r="Z107" s="82">
        <f t="shared" si="113"/>
        <v>4038.3990932605302</v>
      </c>
      <c r="AA107" s="84">
        <f t="shared" si="114"/>
        <v>475032.53669232456</v>
      </c>
      <c r="AB107" s="80">
        <v>3197</v>
      </c>
      <c r="AC107" s="82">
        <f t="shared" si="115"/>
        <v>3267.7200458501429</v>
      </c>
      <c r="AD107" s="84">
        <f t="shared" si="116"/>
        <v>427246.76258536475</v>
      </c>
      <c r="AE107" s="80">
        <v>2434</v>
      </c>
      <c r="AF107" s="82">
        <f t="shared" si="117"/>
        <v>2487.8419116669529</v>
      </c>
      <c r="AG107" s="84">
        <f t="shared" si="118"/>
        <v>429289.62549458817</v>
      </c>
      <c r="AH107" s="81">
        <f t="shared" si="119"/>
        <v>2211940.5433522076</v>
      </c>
      <c r="AI107" s="80">
        <v>248</v>
      </c>
      <c r="AJ107" s="82">
        <f t="shared" si="120"/>
        <v>253.48594662835015</v>
      </c>
      <c r="AK107" s="84">
        <f t="shared" si="121"/>
        <v>1391026.8065995343</v>
      </c>
      <c r="AL107" s="80">
        <v>1867</v>
      </c>
      <c r="AM107" s="82">
        <f t="shared" si="122"/>
        <v>1908.2994449803618</v>
      </c>
      <c r="AN107" s="84">
        <f t="shared" si="123"/>
        <v>1442990.9133630651</v>
      </c>
      <c r="AO107" s="564">
        <v>386</v>
      </c>
      <c r="AP107" s="82">
        <f t="shared" si="124"/>
        <v>394.5386104779966</v>
      </c>
      <c r="AQ107" s="84">
        <f t="shared" si="125"/>
        <v>1537180.56392809</v>
      </c>
      <c r="AR107" s="564">
        <v>737</v>
      </c>
      <c r="AS107" s="82">
        <f t="shared" si="126"/>
        <v>753.30299461731477</v>
      </c>
      <c r="AT107" s="84">
        <f t="shared" si="127"/>
        <v>2075623.4015066195</v>
      </c>
      <c r="AU107" s="81">
        <f t="shared" si="128"/>
        <v>27617579.271982655</v>
      </c>
      <c r="AV107" s="620">
        <f>INDEX('2021-22 Baseline'!$J$9:$J$158,MATCH(C107,'2021-22 Baseline'!$C$9:$C$158,0))</f>
        <v>24054603.647210672</v>
      </c>
      <c r="AW107" s="623">
        <v>42172.691999999995</v>
      </c>
      <c r="AX107" s="620">
        <f t="shared" si="129"/>
        <v>570.38340467359012</v>
      </c>
      <c r="AY107" s="620">
        <f t="shared" si="130"/>
        <v>616.01407704747737</v>
      </c>
      <c r="AZ107" s="620">
        <f t="shared" si="131"/>
        <v>652.98138426129776</v>
      </c>
      <c r="BA107" s="620">
        <f t="shared" si="132"/>
        <v>652.98138426129776</v>
      </c>
      <c r="BB107" s="624">
        <f t="shared" si="133"/>
        <v>0</v>
      </c>
      <c r="BC107" s="620">
        <f t="shared" si="142"/>
        <v>0</v>
      </c>
      <c r="BD107" s="81">
        <f t="shared" si="134"/>
        <v>0</v>
      </c>
      <c r="BE107" s="81">
        <f t="shared" si="139"/>
        <v>27617579.271982655</v>
      </c>
      <c r="BF107" s="588">
        <f>INDEX('AP Funding Factor'!$I$9:$I$158,MATCH(C107,'AP Funding Factor'!$C$9:$C$158,0))</f>
        <v>891919.17414431018</v>
      </c>
      <c r="BG107" s="290">
        <f>INDEX('Import|Export Adjustments Data'!$Q$9:$Q$159,MATCH($C107,'Import|Export Adjustments Data'!$C$9:$C$159,0))</f>
        <v>30.5</v>
      </c>
      <c r="BH107" s="289">
        <v>0</v>
      </c>
      <c r="BI107" s="81">
        <f t="shared" si="141"/>
        <v>183000</v>
      </c>
      <c r="BJ107" s="86">
        <f t="shared" si="143"/>
        <v>31678951.303294893</v>
      </c>
      <c r="BK107" s="620">
        <f t="shared" si="99"/>
        <v>570.38340467359012</v>
      </c>
      <c r="BL107" s="620">
        <f t="shared" si="100"/>
        <v>652.98138426129776</v>
      </c>
      <c r="BM107" s="620">
        <f t="shared" si="135"/>
        <v>633.12557918768505</v>
      </c>
      <c r="BN107" s="620">
        <f t="shared" si="146"/>
        <v>26777786.157130089</v>
      </c>
      <c r="BO107" s="281">
        <f t="shared" si="140"/>
        <v>0.1100000000000001</v>
      </c>
      <c r="BP107" s="81">
        <f t="shared" si="147"/>
        <v>30656158.188442327</v>
      </c>
      <c r="BQ107" s="81">
        <f t="shared" si="148"/>
        <v>30839158.188442327</v>
      </c>
      <c r="BS107" s="599"/>
      <c r="BT107" s="601"/>
    </row>
    <row r="108" spans="1:72" ht="15.4" x14ac:dyDescent="0.45">
      <c r="A108" s="76"/>
      <c r="B108" s="77" t="s">
        <v>178</v>
      </c>
      <c r="C108" s="288">
        <v>870</v>
      </c>
      <c r="D108" s="78" t="s">
        <v>190</v>
      </c>
      <c r="E108" s="87">
        <v>1.0541821352195</v>
      </c>
      <c r="F108" s="327">
        <f t="shared" si="101"/>
        <v>4912.4887501228695</v>
      </c>
      <c r="G108" s="290">
        <v>332</v>
      </c>
      <c r="H108" s="81">
        <f t="shared" si="144"/>
        <v>1630946.2650407928</v>
      </c>
      <c r="I108" s="597">
        <f>INDEX('Historic Spend Factor'!$U$9:$U$159, MATCH(C108, 'Historic Spend Factor'!$C$9:$C$159, 0))</f>
        <v>10613989.04977778</v>
      </c>
      <c r="J108" s="80">
        <v>34756.782999999981</v>
      </c>
      <c r="K108" s="82">
        <f t="shared" si="145"/>
        <v>36639.979716300797</v>
      </c>
      <c r="L108" s="81">
        <f t="shared" si="104"/>
        <v>7455488.08394673</v>
      </c>
      <c r="M108" s="80">
        <v>5338</v>
      </c>
      <c r="N108" s="82">
        <f t="shared" si="105"/>
        <v>5627.2242378016908</v>
      </c>
      <c r="O108" s="81">
        <f t="shared" si="106"/>
        <v>1432588.844005259</v>
      </c>
      <c r="P108" s="80">
        <v>4069</v>
      </c>
      <c r="Q108" s="82">
        <f t="shared" si="107"/>
        <v>4289.4671082081459</v>
      </c>
      <c r="R108" s="84">
        <f t="shared" si="108"/>
        <v>263399.75739346212</v>
      </c>
      <c r="S108" s="80">
        <v>3355</v>
      </c>
      <c r="T108" s="82">
        <f t="shared" si="109"/>
        <v>3536.7810636614226</v>
      </c>
      <c r="U108" s="84">
        <f t="shared" si="110"/>
        <v>286679.47996513697</v>
      </c>
      <c r="V108" s="80">
        <v>2343</v>
      </c>
      <c r="W108" s="82">
        <f t="shared" si="111"/>
        <v>2469.9487428192883</v>
      </c>
      <c r="X108" s="84">
        <f t="shared" si="112"/>
        <v>273802.70958082081</v>
      </c>
      <c r="Y108" s="80">
        <v>3144</v>
      </c>
      <c r="Z108" s="82">
        <f t="shared" si="113"/>
        <v>3314.3486331301078</v>
      </c>
      <c r="AA108" s="84">
        <f t="shared" si="114"/>
        <v>389863.26074260595</v>
      </c>
      <c r="AB108" s="80">
        <v>795</v>
      </c>
      <c r="AC108" s="82">
        <f t="shared" si="115"/>
        <v>838.07479749950255</v>
      </c>
      <c r="AD108" s="84">
        <f t="shared" si="116"/>
        <v>109576.32202635403</v>
      </c>
      <c r="AE108" s="80">
        <v>0</v>
      </c>
      <c r="AF108" s="82">
        <f t="shared" si="117"/>
        <v>0</v>
      </c>
      <c r="AG108" s="84">
        <f t="shared" si="118"/>
        <v>0</v>
      </c>
      <c r="AH108" s="81">
        <f t="shared" si="119"/>
        <v>1323321.5297083799</v>
      </c>
      <c r="AI108" s="80">
        <v>167</v>
      </c>
      <c r="AJ108" s="82">
        <f t="shared" si="120"/>
        <v>176.04841658165651</v>
      </c>
      <c r="AK108" s="84">
        <f t="shared" si="121"/>
        <v>966081.43363280885</v>
      </c>
      <c r="AL108" s="80">
        <v>1424</v>
      </c>
      <c r="AM108" s="82">
        <f t="shared" si="122"/>
        <v>1501.155360552568</v>
      </c>
      <c r="AN108" s="84">
        <f t="shared" si="123"/>
        <v>1135122.4518361178</v>
      </c>
      <c r="AO108" s="564">
        <v>290</v>
      </c>
      <c r="AP108" s="82">
        <f t="shared" si="124"/>
        <v>305.712819213655</v>
      </c>
      <c r="AQ108" s="84">
        <f t="shared" si="125"/>
        <v>1191102.1921772107</v>
      </c>
      <c r="AR108" s="564">
        <v>479</v>
      </c>
      <c r="AS108" s="82">
        <f t="shared" si="126"/>
        <v>504.95324277014049</v>
      </c>
      <c r="AT108" s="84">
        <f t="shared" si="127"/>
        <v>1391329.6174971377</v>
      </c>
      <c r="AU108" s="81">
        <f t="shared" si="128"/>
        <v>25509023.202581428</v>
      </c>
      <c r="AV108" s="620">
        <f>INDEX('2021-22 Baseline'!$J$9:$J$158,MATCH(C108,'2021-22 Baseline'!$C$9:$C$158,0))</f>
        <v>24687712.897736367</v>
      </c>
      <c r="AW108" s="623">
        <v>34752.726000000002</v>
      </c>
      <c r="AX108" s="620">
        <f t="shared" si="129"/>
        <v>710.38205456850676</v>
      </c>
      <c r="AY108" s="620">
        <f t="shared" si="130"/>
        <v>767.2126189339873</v>
      </c>
      <c r="AZ108" s="620">
        <f t="shared" si="131"/>
        <v>733.9293513608967</v>
      </c>
      <c r="BA108" s="620">
        <f t="shared" si="132"/>
        <v>767.2126189339873</v>
      </c>
      <c r="BB108" s="624">
        <f t="shared" si="133"/>
        <v>1156819.308568846</v>
      </c>
      <c r="BC108" s="620">
        <f t="shared" si="142"/>
        <v>0</v>
      </c>
      <c r="BD108" s="81">
        <f t="shared" si="134"/>
        <v>1156819.308568846</v>
      </c>
      <c r="BE108" s="81">
        <f t="shared" si="139"/>
        <v>26665842.511150274</v>
      </c>
      <c r="BF108" s="588">
        <f>INDEX('AP Funding Factor'!$I$9:$I$158,MATCH(C108,'AP Funding Factor'!$C$9:$C$158,0))</f>
        <v>296282.80786285718</v>
      </c>
      <c r="BG108" s="290">
        <f>INDEX('Import|Export Adjustments Data'!$Q$9:$Q$159,MATCH($C108,'Import|Export Adjustments Data'!$C$9:$C$159,0))</f>
        <v>-326</v>
      </c>
      <c r="BH108" s="289">
        <v>0</v>
      </c>
      <c r="BI108" s="81">
        <f t="shared" si="141"/>
        <v>-1956000</v>
      </c>
      <c r="BJ108" s="86">
        <f t="shared" si="143"/>
        <v>26637071.584053922</v>
      </c>
      <c r="BK108" s="620">
        <f t="shared" si="99"/>
        <v>710.38205456850676</v>
      </c>
      <c r="BL108" s="620">
        <f t="shared" si="100"/>
        <v>767.2126189339873</v>
      </c>
      <c r="BM108" s="620">
        <f t="shared" si="135"/>
        <v>767.2126189339873</v>
      </c>
      <c r="BN108" s="620">
        <f t="shared" si="146"/>
        <v>26665842.511150274</v>
      </c>
      <c r="BO108" s="281">
        <f t="shared" si="140"/>
        <v>8.0000000000000071E-2</v>
      </c>
      <c r="BP108" s="81">
        <f t="shared" si="147"/>
        <v>28593071.584053926</v>
      </c>
      <c r="BQ108" s="81">
        <f t="shared" si="148"/>
        <v>26637071.584053926</v>
      </c>
      <c r="BS108" s="599"/>
      <c r="BT108" s="601"/>
    </row>
    <row r="109" spans="1:72" ht="15.4" x14ac:dyDescent="0.45">
      <c r="A109" s="76"/>
      <c r="B109" s="77" t="s">
        <v>178</v>
      </c>
      <c r="C109" s="288">
        <v>871</v>
      </c>
      <c r="D109" s="78" t="s">
        <v>191</v>
      </c>
      <c r="E109" s="87">
        <v>1.0769011397474699</v>
      </c>
      <c r="F109" s="327">
        <f t="shared" si="101"/>
        <v>5018.3593112232102</v>
      </c>
      <c r="G109" s="290">
        <v>384.5</v>
      </c>
      <c r="H109" s="81">
        <f t="shared" si="144"/>
        <v>1929559.1551653242</v>
      </c>
      <c r="I109" s="597">
        <f>INDEX('Historic Spend Factor'!$U$9:$U$159, MATCH(C109, 'Historic Spend Factor'!$C$9:$C$159, 0))</f>
        <v>12012185.860583218</v>
      </c>
      <c r="J109" s="80">
        <v>41037.321999999993</v>
      </c>
      <c r="K109" s="82">
        <f t="shared" si="145"/>
        <v>44193.138833983918</v>
      </c>
      <c r="L109" s="81">
        <f t="shared" si="104"/>
        <v>8992401.8113576435</v>
      </c>
      <c r="M109" s="80">
        <v>6061.5</v>
      </c>
      <c r="N109" s="82">
        <f t="shared" si="105"/>
        <v>6527.6362585792886</v>
      </c>
      <c r="O109" s="81">
        <f t="shared" si="106"/>
        <v>1661817.3519628758</v>
      </c>
      <c r="P109" s="80">
        <v>9176</v>
      </c>
      <c r="Q109" s="82">
        <f t="shared" si="107"/>
        <v>9881.6448583227848</v>
      </c>
      <c r="R109" s="84">
        <f t="shared" si="108"/>
        <v>606793.98924633779</v>
      </c>
      <c r="S109" s="80">
        <v>2139</v>
      </c>
      <c r="T109" s="82">
        <f t="shared" si="109"/>
        <v>2303.4915379198383</v>
      </c>
      <c r="U109" s="84">
        <f t="shared" si="110"/>
        <v>186713.21303426026</v>
      </c>
      <c r="V109" s="80">
        <v>391</v>
      </c>
      <c r="W109" s="82">
        <f t="shared" si="111"/>
        <v>421.06834564126075</v>
      </c>
      <c r="X109" s="84">
        <f t="shared" si="112"/>
        <v>46676.941896249649</v>
      </c>
      <c r="Y109" s="80">
        <v>0</v>
      </c>
      <c r="Z109" s="82">
        <f t="shared" si="113"/>
        <v>0</v>
      </c>
      <c r="AA109" s="84">
        <f t="shared" si="114"/>
        <v>0</v>
      </c>
      <c r="AB109" s="80">
        <v>0</v>
      </c>
      <c r="AC109" s="82">
        <f t="shared" si="115"/>
        <v>0</v>
      </c>
      <c r="AD109" s="84">
        <f t="shared" si="116"/>
        <v>0</v>
      </c>
      <c r="AE109" s="80">
        <v>0</v>
      </c>
      <c r="AF109" s="82">
        <f t="shared" si="117"/>
        <v>0</v>
      </c>
      <c r="AG109" s="84">
        <f t="shared" si="118"/>
        <v>0</v>
      </c>
      <c r="AH109" s="81">
        <f t="shared" si="119"/>
        <v>840184.14417684777</v>
      </c>
      <c r="AI109" s="80">
        <v>216</v>
      </c>
      <c r="AJ109" s="82">
        <f t="shared" si="120"/>
        <v>232.6106461854535</v>
      </c>
      <c r="AK109" s="84">
        <f t="shared" si="121"/>
        <v>1276471.7281104585</v>
      </c>
      <c r="AL109" s="80">
        <v>1287</v>
      </c>
      <c r="AM109" s="82">
        <f t="shared" si="122"/>
        <v>1385.9717668549938</v>
      </c>
      <c r="AN109" s="84">
        <f t="shared" si="123"/>
        <v>1048024.5492971308</v>
      </c>
      <c r="AO109" s="564">
        <v>366</v>
      </c>
      <c r="AP109" s="82">
        <f t="shared" si="124"/>
        <v>394.14581714757401</v>
      </c>
      <c r="AQ109" s="84">
        <f t="shared" si="125"/>
        <v>1535650.1832324346</v>
      </c>
      <c r="AR109" s="564">
        <v>337</v>
      </c>
      <c r="AS109" s="82">
        <f t="shared" si="126"/>
        <v>362.91568409489736</v>
      </c>
      <c r="AT109" s="84">
        <f t="shared" si="127"/>
        <v>999964.5455595518</v>
      </c>
      <c r="AU109" s="81">
        <f t="shared" si="128"/>
        <v>28366700.174280163</v>
      </c>
      <c r="AV109" s="620">
        <f>INDEX('2021-22 Baseline'!$J$9:$J$158,MATCH(C109,'2021-22 Baseline'!$C$9:$C$158,0))</f>
        <v>26514426.180786226</v>
      </c>
      <c r="AW109" s="623">
        <v>40871.292999999991</v>
      </c>
      <c r="AX109" s="620">
        <f t="shared" si="129"/>
        <v>648.72981094056001</v>
      </c>
      <c r="AY109" s="620">
        <f t="shared" si="130"/>
        <v>700.62819581580482</v>
      </c>
      <c r="AZ109" s="620">
        <f t="shared" si="131"/>
        <v>691.24150387494024</v>
      </c>
      <c r="BA109" s="620">
        <f t="shared" si="132"/>
        <v>700.62819581580482</v>
      </c>
      <c r="BB109" s="624">
        <f t="shared" si="133"/>
        <v>385204.69969206466</v>
      </c>
      <c r="BC109" s="620">
        <f t="shared" si="142"/>
        <v>0</v>
      </c>
      <c r="BD109" s="81">
        <f t="shared" si="134"/>
        <v>385204.69969206466</v>
      </c>
      <c r="BE109" s="81">
        <f t="shared" si="139"/>
        <v>28751904.873972226</v>
      </c>
      <c r="BF109" s="588">
        <f>INDEX('AP Funding Factor'!$I$9:$I$158,MATCH(C109,'AP Funding Factor'!$C$9:$C$158,0))</f>
        <v>314760.43499531015</v>
      </c>
      <c r="BG109" s="290">
        <f>INDEX('Import|Export Adjustments Data'!$Q$9:$Q$159,MATCH($C109,'Import|Export Adjustments Data'!$C$9:$C$159,0))</f>
        <v>-87</v>
      </c>
      <c r="BH109" s="289">
        <v>60000</v>
      </c>
      <c r="BI109" s="81">
        <f t="shared" si="141"/>
        <v>-462000</v>
      </c>
      <c r="BJ109" s="86">
        <f t="shared" si="143"/>
        <v>30534224.46413286</v>
      </c>
      <c r="BK109" s="620">
        <f t="shared" si="99"/>
        <v>648.72981094056001</v>
      </c>
      <c r="BL109" s="620">
        <f t="shared" si="100"/>
        <v>700.62819581580482</v>
      </c>
      <c r="BM109" s="620">
        <f t="shared" si="135"/>
        <v>700.62819581580482</v>
      </c>
      <c r="BN109" s="620">
        <f t="shared" si="146"/>
        <v>28751904.87397223</v>
      </c>
      <c r="BO109" s="281">
        <f t="shared" si="140"/>
        <v>8.0000000000000071E-2</v>
      </c>
      <c r="BP109" s="81">
        <f t="shared" si="147"/>
        <v>30996224.464132864</v>
      </c>
      <c r="BQ109" s="81">
        <f t="shared" si="148"/>
        <v>30534224.464132864</v>
      </c>
      <c r="BS109" s="599"/>
      <c r="BT109" s="601"/>
    </row>
    <row r="110" spans="1:72" ht="15.4" x14ac:dyDescent="0.45">
      <c r="A110" s="76"/>
      <c r="B110" s="77" t="s">
        <v>178</v>
      </c>
      <c r="C110" s="288">
        <v>852</v>
      </c>
      <c r="D110" s="78" t="s">
        <v>192</v>
      </c>
      <c r="E110" s="87">
        <v>1.02212075253367</v>
      </c>
      <c r="F110" s="327">
        <f t="shared" si="101"/>
        <v>4763.082706806902</v>
      </c>
      <c r="G110" s="290">
        <v>803.36666600000001</v>
      </c>
      <c r="H110" s="81">
        <f t="shared" si="144"/>
        <v>3826501.8740497166</v>
      </c>
      <c r="I110" s="597">
        <f>INDEX('Historic Spend Factor'!$U$9:$U$159, MATCH(C110, 'Historic Spend Factor'!$C$9:$C$159, 0))</f>
        <v>11556113.494385896</v>
      </c>
      <c r="J110" s="80">
        <v>50008.996999999988</v>
      </c>
      <c r="K110" s="82">
        <f t="shared" si="145"/>
        <v>51115.233647094035</v>
      </c>
      <c r="L110" s="81">
        <f t="shared" si="104"/>
        <v>10400906.832230572</v>
      </c>
      <c r="M110" s="80">
        <v>11020</v>
      </c>
      <c r="N110" s="82">
        <f t="shared" si="105"/>
        <v>11263.770692921044</v>
      </c>
      <c r="O110" s="81">
        <f t="shared" si="106"/>
        <v>2867550.9548231261</v>
      </c>
      <c r="P110" s="80">
        <v>8507</v>
      </c>
      <c r="Q110" s="82">
        <f t="shared" si="107"/>
        <v>8695.1812418039299</v>
      </c>
      <c r="R110" s="84">
        <f t="shared" si="108"/>
        <v>533937.79968628229</v>
      </c>
      <c r="S110" s="80">
        <v>5256</v>
      </c>
      <c r="T110" s="82">
        <f t="shared" si="109"/>
        <v>5372.2666753169697</v>
      </c>
      <c r="U110" s="84">
        <f t="shared" si="110"/>
        <v>435457.71960210323</v>
      </c>
      <c r="V110" s="80">
        <v>2754</v>
      </c>
      <c r="W110" s="82">
        <f t="shared" si="111"/>
        <v>2814.9205524777271</v>
      </c>
      <c r="X110" s="84">
        <f t="shared" si="112"/>
        <v>312044.07652743452</v>
      </c>
      <c r="Y110" s="80">
        <v>5453</v>
      </c>
      <c r="Z110" s="82">
        <f t="shared" si="113"/>
        <v>5573.6244635661023</v>
      </c>
      <c r="AA110" s="84">
        <f t="shared" si="114"/>
        <v>655619.44383276266</v>
      </c>
      <c r="AB110" s="80">
        <v>5041</v>
      </c>
      <c r="AC110" s="82">
        <f t="shared" si="115"/>
        <v>5152.5107135222306</v>
      </c>
      <c r="AD110" s="84">
        <f t="shared" si="116"/>
        <v>673678.73950354208</v>
      </c>
      <c r="AE110" s="80">
        <v>970</v>
      </c>
      <c r="AF110" s="82">
        <f t="shared" si="117"/>
        <v>991.45712995765984</v>
      </c>
      <c r="AG110" s="84">
        <f t="shared" si="118"/>
        <v>171080.91073531244</v>
      </c>
      <c r="AH110" s="81">
        <f t="shared" si="119"/>
        <v>2781818.6898874375</v>
      </c>
      <c r="AI110" s="80">
        <v>292</v>
      </c>
      <c r="AJ110" s="82">
        <f t="shared" si="120"/>
        <v>298.45925973983162</v>
      </c>
      <c r="AK110" s="84">
        <f t="shared" si="121"/>
        <v>1637821.8851897744</v>
      </c>
      <c r="AL110" s="80">
        <v>2662</v>
      </c>
      <c r="AM110" s="82">
        <f t="shared" si="122"/>
        <v>2720.8854432446296</v>
      </c>
      <c r="AN110" s="84">
        <f t="shared" si="123"/>
        <v>2057440.7131079161</v>
      </c>
      <c r="AO110" s="564">
        <v>421</v>
      </c>
      <c r="AP110" s="82">
        <f t="shared" si="124"/>
        <v>430.31283681667503</v>
      </c>
      <c r="AQ110" s="84">
        <f t="shared" si="125"/>
        <v>1676562.2212790826</v>
      </c>
      <c r="AR110" s="564">
        <v>532</v>
      </c>
      <c r="AS110" s="82">
        <f t="shared" si="126"/>
        <v>543.76824034791241</v>
      </c>
      <c r="AT110" s="84">
        <f t="shared" si="127"/>
        <v>1498279.0360943305</v>
      </c>
      <c r="AU110" s="81">
        <f t="shared" si="128"/>
        <v>34476493.826998137</v>
      </c>
      <c r="AV110" s="620">
        <f>INDEX('2021-22 Baseline'!$J$9:$J$158,MATCH(C110,'2021-22 Baseline'!$C$9:$C$158,0))</f>
        <v>30246311.389848173</v>
      </c>
      <c r="AW110" s="623">
        <v>49505.236999999986</v>
      </c>
      <c r="AX110" s="620">
        <f t="shared" si="129"/>
        <v>610.97195413584586</v>
      </c>
      <c r="AY110" s="620">
        <f t="shared" si="130"/>
        <v>659.84971046671353</v>
      </c>
      <c r="AZ110" s="620">
        <f t="shared" si="131"/>
        <v>689.40582485583832</v>
      </c>
      <c r="BA110" s="620">
        <f t="shared" si="132"/>
        <v>689.40582485583832</v>
      </c>
      <c r="BB110" s="624">
        <f t="shared" si="133"/>
        <v>0</v>
      </c>
      <c r="BC110" s="620">
        <f t="shared" si="142"/>
        <v>0</v>
      </c>
      <c r="BD110" s="81">
        <f t="shared" si="134"/>
        <v>0</v>
      </c>
      <c r="BE110" s="81">
        <f t="shared" si="139"/>
        <v>34476493.826998137</v>
      </c>
      <c r="BF110" s="588">
        <f>INDEX('AP Funding Factor'!$I$9:$I$158,MATCH(C110,'AP Funding Factor'!$C$9:$C$158,0))</f>
        <v>133766.80576271191</v>
      </c>
      <c r="BG110" s="290">
        <f>INDEX('Import|Export Adjustments Data'!$Q$9:$Q$159,MATCH($C110,'Import|Export Adjustments Data'!$C$9:$C$159,0))</f>
        <v>-38.5</v>
      </c>
      <c r="BH110" s="289">
        <v>0</v>
      </c>
      <c r="BI110" s="81">
        <f t="shared" si="141"/>
        <v>-231000</v>
      </c>
      <c r="BJ110" s="86">
        <f t="shared" si="143"/>
        <v>38205762.506810561</v>
      </c>
      <c r="BK110" s="620">
        <f t="shared" si="99"/>
        <v>610.97195413584586</v>
      </c>
      <c r="BL110" s="620">
        <f t="shared" si="100"/>
        <v>689.40582485583832</v>
      </c>
      <c r="BM110" s="620">
        <f t="shared" si="135"/>
        <v>678.17886909078902</v>
      </c>
      <c r="BN110" s="620">
        <f t="shared" si="146"/>
        <v>33915045.029824652</v>
      </c>
      <c r="BO110" s="281">
        <f t="shared" si="140"/>
        <v>0.1100000000000001</v>
      </c>
      <c r="BP110" s="81">
        <f t="shared" si="147"/>
        <v>37875313.709637083</v>
      </c>
      <c r="BQ110" s="81">
        <f t="shared" si="148"/>
        <v>37644313.709637083</v>
      </c>
      <c r="BS110" s="599"/>
      <c r="BT110" s="601"/>
    </row>
    <row r="111" spans="1:72" ht="15.4" x14ac:dyDescent="0.45">
      <c r="A111" s="76"/>
      <c r="B111" s="77" t="s">
        <v>178</v>
      </c>
      <c r="C111" s="288">
        <v>936</v>
      </c>
      <c r="D111" s="78" t="s">
        <v>193</v>
      </c>
      <c r="E111" s="87">
        <v>1.0769011397474699</v>
      </c>
      <c r="F111" s="327">
        <f t="shared" si="101"/>
        <v>5018.3593112232102</v>
      </c>
      <c r="G111" s="290">
        <v>3618.1666649999997</v>
      </c>
      <c r="H111" s="81">
        <f t="shared" si="144"/>
        <v>18157260.372860178</v>
      </c>
      <c r="I111" s="597">
        <f>INDEX('Historic Spend Factor'!$U$9:$U$159, MATCH(C111, 'Historic Spend Factor'!$C$9:$C$159, 0))</f>
        <v>68118741.470379919</v>
      </c>
      <c r="J111" s="80">
        <v>255164.96399999992</v>
      </c>
      <c r="K111" s="82">
        <f t="shared" si="145"/>
        <v>274787.44055522204</v>
      </c>
      <c r="L111" s="81">
        <f t="shared" si="104"/>
        <v>55913635.993806012</v>
      </c>
      <c r="M111" s="80">
        <v>19614</v>
      </c>
      <c r="N111" s="82">
        <f t="shared" si="105"/>
        <v>21122.338955006875</v>
      </c>
      <c r="O111" s="81">
        <f t="shared" si="106"/>
        <v>5377362.953295364</v>
      </c>
      <c r="P111" s="80">
        <v>16181</v>
      </c>
      <c r="Q111" s="82">
        <f t="shared" si="107"/>
        <v>17425.33734225381</v>
      </c>
      <c r="R111" s="84">
        <f t="shared" si="108"/>
        <v>1070023.2715774837</v>
      </c>
      <c r="S111" s="80">
        <v>7333</v>
      </c>
      <c r="T111" s="82">
        <f t="shared" si="109"/>
        <v>7896.9160577681969</v>
      </c>
      <c r="U111" s="84">
        <f t="shared" si="110"/>
        <v>640097.23757841531</v>
      </c>
      <c r="V111" s="80">
        <v>2549</v>
      </c>
      <c r="W111" s="82">
        <f t="shared" si="111"/>
        <v>2745.0210052163006</v>
      </c>
      <c r="X111" s="84">
        <f t="shared" si="112"/>
        <v>304295.46008578094</v>
      </c>
      <c r="Y111" s="80">
        <v>1716</v>
      </c>
      <c r="Z111" s="82">
        <f t="shared" si="113"/>
        <v>1847.9623558066585</v>
      </c>
      <c r="AA111" s="84">
        <f t="shared" si="114"/>
        <v>217373.82198201891</v>
      </c>
      <c r="AB111" s="80">
        <v>0</v>
      </c>
      <c r="AC111" s="82">
        <f t="shared" si="115"/>
        <v>0</v>
      </c>
      <c r="AD111" s="84">
        <f t="shared" si="116"/>
        <v>0</v>
      </c>
      <c r="AE111" s="80">
        <v>0</v>
      </c>
      <c r="AF111" s="82">
        <f t="shared" si="117"/>
        <v>0</v>
      </c>
      <c r="AG111" s="84">
        <f t="shared" si="118"/>
        <v>0</v>
      </c>
      <c r="AH111" s="81">
        <f t="shared" si="119"/>
        <v>2231789.7912236992</v>
      </c>
      <c r="AI111" s="80">
        <v>966</v>
      </c>
      <c r="AJ111" s="82">
        <f t="shared" si="120"/>
        <v>1040.286500996056</v>
      </c>
      <c r="AK111" s="84">
        <f t="shared" si="121"/>
        <v>5708665.228493995</v>
      </c>
      <c r="AL111" s="80">
        <v>8726</v>
      </c>
      <c r="AM111" s="82">
        <f t="shared" si="122"/>
        <v>9397.0393454364221</v>
      </c>
      <c r="AN111" s="84">
        <f t="shared" si="123"/>
        <v>7105720.4484590227</v>
      </c>
      <c r="AO111" s="564">
        <v>1559</v>
      </c>
      <c r="AP111" s="82">
        <f t="shared" si="124"/>
        <v>1678.8888768663055</v>
      </c>
      <c r="AQ111" s="84">
        <f t="shared" si="125"/>
        <v>6541198.4580856981</v>
      </c>
      <c r="AR111" s="564">
        <v>2162</v>
      </c>
      <c r="AS111" s="82">
        <f t="shared" si="126"/>
        <v>2328.26026413403</v>
      </c>
      <c r="AT111" s="84">
        <f t="shared" si="127"/>
        <v>6415202.8115719613</v>
      </c>
      <c r="AU111" s="81">
        <f t="shared" si="128"/>
        <v>157412317.15531567</v>
      </c>
      <c r="AV111" s="620">
        <f>INDEX('2021-22 Baseline'!$J$9:$J$158,MATCH(C111,'2021-22 Baseline'!$C$9:$C$158,0))</f>
        <v>160172992.21539348</v>
      </c>
      <c r="AW111" s="623">
        <v>254273.8029999999</v>
      </c>
      <c r="AX111" s="620">
        <f t="shared" si="129"/>
        <v>629.92329656308925</v>
      </c>
      <c r="AY111" s="620">
        <f t="shared" si="130"/>
        <v>680.31716028813639</v>
      </c>
      <c r="AZ111" s="620">
        <f t="shared" si="131"/>
        <v>616.90411836993314</v>
      </c>
      <c r="BA111" s="620">
        <f t="shared" si="132"/>
        <v>680.31716028813639</v>
      </c>
      <c r="BB111" s="624">
        <f t="shared" si="133"/>
        <v>16180786.558188818</v>
      </c>
      <c r="BC111" s="620">
        <f t="shared" si="142"/>
        <v>0</v>
      </c>
      <c r="BD111" s="81">
        <f t="shared" si="134"/>
        <v>16180786.558188818</v>
      </c>
      <c r="BE111" s="81">
        <f t="shared" si="139"/>
        <v>173593103.71350449</v>
      </c>
      <c r="BF111" s="588">
        <f>INDEX('AP Funding Factor'!$I$9:$I$158,MATCH(C111,'AP Funding Factor'!$C$9:$C$158,0))</f>
        <v>1062287.4563657145</v>
      </c>
      <c r="BG111" s="290">
        <f>INDEX('Import|Export Adjustments Data'!$Q$9:$Q$159,MATCH($C111,'Import|Export Adjustments Data'!$C$9:$C$159,0))</f>
        <v>-501</v>
      </c>
      <c r="BH111" s="289">
        <v>18000</v>
      </c>
      <c r="BI111" s="81">
        <f t="shared" si="141"/>
        <v>-2988000</v>
      </c>
      <c r="BJ111" s="86">
        <f t="shared" si="143"/>
        <v>189824651.54273039</v>
      </c>
      <c r="BK111" s="620">
        <f t="shared" si="99"/>
        <v>629.92329656308925</v>
      </c>
      <c r="BL111" s="620">
        <f t="shared" si="100"/>
        <v>680.31716028813639</v>
      </c>
      <c r="BM111" s="620">
        <f t="shared" si="135"/>
        <v>680.31716028813639</v>
      </c>
      <c r="BN111" s="620">
        <f t="shared" si="146"/>
        <v>173593103.71350449</v>
      </c>
      <c r="BO111" s="281">
        <f t="shared" si="140"/>
        <v>8.0000000000000071E-2</v>
      </c>
      <c r="BP111" s="81">
        <f t="shared" si="147"/>
        <v>192812651.54273039</v>
      </c>
      <c r="BQ111" s="81">
        <f t="shared" si="148"/>
        <v>189824651.54273039</v>
      </c>
      <c r="BS111" s="599"/>
      <c r="BT111" s="601"/>
    </row>
    <row r="112" spans="1:72" ht="15.4" x14ac:dyDescent="0.45">
      <c r="A112" s="76"/>
      <c r="B112" s="77" t="s">
        <v>178</v>
      </c>
      <c r="C112" s="288">
        <v>869</v>
      </c>
      <c r="D112" s="78" t="s">
        <v>194</v>
      </c>
      <c r="E112" s="87">
        <v>1.0541821352195</v>
      </c>
      <c r="F112" s="327">
        <f t="shared" si="101"/>
        <v>4912.4887501228695</v>
      </c>
      <c r="G112" s="290">
        <v>437.5</v>
      </c>
      <c r="H112" s="81">
        <f t="shared" si="144"/>
        <v>2149213.8281787555</v>
      </c>
      <c r="I112" s="597">
        <f>INDEX('Historic Spend Factor'!$U$9:$U$159, MATCH(C112, 'Historic Spend Factor'!$C$9:$C$159, 0))</f>
        <v>8397351.5417959951</v>
      </c>
      <c r="J112" s="80">
        <v>33914.85699999996</v>
      </c>
      <c r="K112" s="82">
        <f t="shared" si="145"/>
        <v>35752.436367923961</v>
      </c>
      <c r="L112" s="81">
        <f t="shared" si="104"/>
        <v>7274891.1264962927</v>
      </c>
      <c r="M112" s="80">
        <v>2989</v>
      </c>
      <c r="N112" s="82">
        <f t="shared" si="105"/>
        <v>3150.9504021710854</v>
      </c>
      <c r="O112" s="81">
        <f t="shared" si="106"/>
        <v>802174.60748065182</v>
      </c>
      <c r="P112" s="80">
        <v>960</v>
      </c>
      <c r="Q112" s="82">
        <f t="shared" si="107"/>
        <v>1012.01484981072</v>
      </c>
      <c r="R112" s="84">
        <f t="shared" si="108"/>
        <v>62143.958490470279</v>
      </c>
      <c r="S112" s="80">
        <v>999</v>
      </c>
      <c r="T112" s="82">
        <f t="shared" si="109"/>
        <v>1053.1279530842805</v>
      </c>
      <c r="U112" s="84">
        <f t="shared" si="110"/>
        <v>85362.980770543028</v>
      </c>
      <c r="V112" s="80">
        <v>732</v>
      </c>
      <c r="W112" s="82">
        <f t="shared" si="111"/>
        <v>771.66132298067396</v>
      </c>
      <c r="X112" s="84">
        <f t="shared" si="112"/>
        <v>85541.435515646968</v>
      </c>
      <c r="Y112" s="80">
        <v>0</v>
      </c>
      <c r="Z112" s="82">
        <f t="shared" si="113"/>
        <v>0</v>
      </c>
      <c r="AA112" s="84">
        <f t="shared" si="114"/>
        <v>0</v>
      </c>
      <c r="AB112" s="80">
        <v>0</v>
      </c>
      <c r="AC112" s="82">
        <f t="shared" si="115"/>
        <v>0</v>
      </c>
      <c r="AD112" s="84">
        <f t="shared" si="116"/>
        <v>0</v>
      </c>
      <c r="AE112" s="80">
        <v>0</v>
      </c>
      <c r="AF112" s="82">
        <f t="shared" si="117"/>
        <v>0</v>
      </c>
      <c r="AG112" s="84">
        <f t="shared" si="118"/>
        <v>0</v>
      </c>
      <c r="AH112" s="81">
        <f t="shared" si="119"/>
        <v>233048.37477666026</v>
      </c>
      <c r="AI112" s="80">
        <v>117</v>
      </c>
      <c r="AJ112" s="82">
        <f t="shared" si="120"/>
        <v>123.33930982068149</v>
      </c>
      <c r="AK112" s="84">
        <f t="shared" si="121"/>
        <v>676835.49541939294</v>
      </c>
      <c r="AL112" s="80">
        <v>1215</v>
      </c>
      <c r="AM112" s="82">
        <f t="shared" si="122"/>
        <v>1280.8312942916925</v>
      </c>
      <c r="AN112" s="84">
        <f t="shared" si="123"/>
        <v>968520.91220567643</v>
      </c>
      <c r="AO112" s="564">
        <v>264</v>
      </c>
      <c r="AP112" s="82">
        <f t="shared" si="124"/>
        <v>278.30408369794799</v>
      </c>
      <c r="AQ112" s="84">
        <f t="shared" si="125"/>
        <v>1084313.7197751158</v>
      </c>
      <c r="AR112" s="564">
        <v>263</v>
      </c>
      <c r="AS112" s="82">
        <f t="shared" si="126"/>
        <v>277.2499015627285</v>
      </c>
      <c r="AT112" s="84">
        <f t="shared" si="127"/>
        <v>763924.19499320909</v>
      </c>
      <c r="AU112" s="81">
        <f t="shared" si="128"/>
        <v>20201059.972942993</v>
      </c>
      <c r="AV112" s="620">
        <f>INDEX('2021-22 Baseline'!$J$9:$J$158,MATCH(C112,'2021-22 Baseline'!$C$9:$C$158,0))</f>
        <v>20530921.839074306</v>
      </c>
      <c r="AW112" s="623">
        <v>34070.402999999984</v>
      </c>
      <c r="AX112" s="620">
        <f t="shared" si="129"/>
        <v>602.60284678975813</v>
      </c>
      <c r="AY112" s="620">
        <f t="shared" si="130"/>
        <v>650.81107453293885</v>
      </c>
      <c r="AZ112" s="620">
        <f t="shared" si="131"/>
        <v>595.64042899968638</v>
      </c>
      <c r="BA112" s="620">
        <f t="shared" si="132"/>
        <v>650.81107453293885</v>
      </c>
      <c r="BB112" s="624">
        <f t="shared" si="133"/>
        <v>1871104.553857944</v>
      </c>
      <c r="BC112" s="620">
        <f t="shared" si="142"/>
        <v>0</v>
      </c>
      <c r="BD112" s="81">
        <f t="shared" si="134"/>
        <v>1871104.553857944</v>
      </c>
      <c r="BE112" s="81">
        <f t="shared" si="139"/>
        <v>22072164.526800938</v>
      </c>
      <c r="BF112" s="588">
        <f>INDEX('AP Funding Factor'!$I$9:$I$158,MATCH(C112,'AP Funding Factor'!$C$9:$C$158,0))</f>
        <v>207394.25797384995</v>
      </c>
      <c r="BG112" s="290">
        <f>INDEX('Import|Export Adjustments Data'!$Q$9:$Q$159,MATCH($C112,'Import|Export Adjustments Data'!$C$9:$C$159,0))</f>
        <v>124</v>
      </c>
      <c r="BH112" s="289">
        <v>6000</v>
      </c>
      <c r="BI112" s="81">
        <f t="shared" si="141"/>
        <v>750000</v>
      </c>
      <c r="BJ112" s="86">
        <f t="shared" si="143"/>
        <v>25178772.612953544</v>
      </c>
      <c r="BK112" s="620">
        <f t="shared" si="99"/>
        <v>602.60284678975813</v>
      </c>
      <c r="BL112" s="620">
        <f t="shared" si="100"/>
        <v>650.81107453293885</v>
      </c>
      <c r="BM112" s="620">
        <f t="shared" si="135"/>
        <v>650.81107453293885</v>
      </c>
      <c r="BN112" s="620">
        <f t="shared" si="146"/>
        <v>22072164.526800938</v>
      </c>
      <c r="BO112" s="281">
        <f t="shared" si="140"/>
        <v>8.0000000000000071E-2</v>
      </c>
      <c r="BP112" s="81">
        <f t="shared" si="147"/>
        <v>24428772.612953544</v>
      </c>
      <c r="BQ112" s="81">
        <f t="shared" si="148"/>
        <v>25178772.612953544</v>
      </c>
      <c r="BS112" s="599"/>
      <c r="BT112" s="601"/>
    </row>
    <row r="113" spans="1:72" ht="15.4" x14ac:dyDescent="0.45">
      <c r="A113" s="76"/>
      <c r="B113" s="77" t="s">
        <v>178</v>
      </c>
      <c r="C113" s="288">
        <v>938</v>
      </c>
      <c r="D113" s="78" t="s">
        <v>195</v>
      </c>
      <c r="E113" s="87">
        <v>1.0116433612843501</v>
      </c>
      <c r="F113" s="327">
        <f t="shared" si="101"/>
        <v>4714.2580635850709</v>
      </c>
      <c r="G113" s="290">
        <v>2292</v>
      </c>
      <c r="H113" s="81">
        <f t="shared" si="144"/>
        <v>10805079.481736982</v>
      </c>
      <c r="I113" s="597">
        <f>INDEX('Historic Spend Factor'!$U$9:$U$159, MATCH(C113, 'Historic Spend Factor'!$C$9:$C$159, 0))</f>
        <v>34775864.253726102</v>
      </c>
      <c r="J113" s="80">
        <v>171725.92499999987</v>
      </c>
      <c r="K113" s="82">
        <f t="shared" si="145"/>
        <v>173725.39198666406</v>
      </c>
      <c r="L113" s="81">
        <f t="shared" si="104"/>
        <v>35349571.693657964</v>
      </c>
      <c r="M113" s="80">
        <v>16565.5</v>
      </c>
      <c r="N113" s="82">
        <f t="shared" si="105"/>
        <v>16758.378101355902</v>
      </c>
      <c r="O113" s="81">
        <f t="shared" si="106"/>
        <v>4266377.968439253</v>
      </c>
      <c r="P113" s="80">
        <v>19570</v>
      </c>
      <c r="Q113" s="82">
        <f t="shared" si="107"/>
        <v>19797.860580334731</v>
      </c>
      <c r="R113" s="84">
        <f t="shared" si="108"/>
        <v>1215710.8429135692</v>
      </c>
      <c r="S113" s="80">
        <v>9508</v>
      </c>
      <c r="T113" s="82">
        <f t="shared" si="109"/>
        <v>9618.7050790916001</v>
      </c>
      <c r="U113" s="84">
        <f t="shared" si="110"/>
        <v>779659.6171427524</v>
      </c>
      <c r="V113" s="80">
        <v>2911</v>
      </c>
      <c r="W113" s="82">
        <f t="shared" si="111"/>
        <v>2944.8938246987432</v>
      </c>
      <c r="X113" s="84">
        <f t="shared" si="112"/>
        <v>326452.08163711935</v>
      </c>
      <c r="Y113" s="80">
        <v>2360</v>
      </c>
      <c r="Z113" s="82">
        <f t="shared" si="113"/>
        <v>2387.4783326310662</v>
      </c>
      <c r="AA113" s="84">
        <f t="shared" si="114"/>
        <v>280836.50537174148</v>
      </c>
      <c r="AB113" s="80">
        <v>711</v>
      </c>
      <c r="AC113" s="82">
        <f t="shared" si="115"/>
        <v>719.27842987317285</v>
      </c>
      <c r="AD113" s="84">
        <f t="shared" si="116"/>
        <v>94043.974468090222</v>
      </c>
      <c r="AE113" s="80">
        <v>0</v>
      </c>
      <c r="AF113" s="82">
        <f t="shared" si="117"/>
        <v>0</v>
      </c>
      <c r="AG113" s="84">
        <f t="shared" si="118"/>
        <v>0</v>
      </c>
      <c r="AH113" s="81">
        <f t="shared" si="119"/>
        <v>2696703.0215332722</v>
      </c>
      <c r="AI113" s="80">
        <v>744</v>
      </c>
      <c r="AJ113" s="82">
        <f t="shared" si="120"/>
        <v>752.66266079555646</v>
      </c>
      <c r="AK113" s="84">
        <f t="shared" si="121"/>
        <v>4130303.67726136</v>
      </c>
      <c r="AL113" s="80">
        <v>6085</v>
      </c>
      <c r="AM113" s="82">
        <f t="shared" si="122"/>
        <v>6155.8498534152704</v>
      </c>
      <c r="AN113" s="84">
        <f t="shared" si="123"/>
        <v>4654843.5707358308</v>
      </c>
      <c r="AO113" s="564">
        <v>1278</v>
      </c>
      <c r="AP113" s="82">
        <f t="shared" si="124"/>
        <v>1292.8802157213993</v>
      </c>
      <c r="AQ113" s="84">
        <f t="shared" si="125"/>
        <v>5037251.8336958252</v>
      </c>
      <c r="AR113" s="564">
        <v>1980</v>
      </c>
      <c r="AS113" s="82">
        <f t="shared" si="126"/>
        <v>2003.0538553430131</v>
      </c>
      <c r="AT113" s="84">
        <f t="shared" si="127"/>
        <v>5519141.0180708319</v>
      </c>
      <c r="AU113" s="81">
        <f t="shared" si="128"/>
        <v>96430057.037120432</v>
      </c>
      <c r="AV113" s="620">
        <f>INDEX('2021-22 Baseline'!$J$9:$J$158,MATCH(C113,'2021-22 Baseline'!$C$9:$C$158,0))</f>
        <v>89116518.151681617</v>
      </c>
      <c r="AW113" s="623">
        <v>170643.73599999992</v>
      </c>
      <c r="AX113" s="620">
        <f t="shared" si="129"/>
        <v>522.23726601767362</v>
      </c>
      <c r="AY113" s="620">
        <f t="shared" si="130"/>
        <v>564.01624729908758</v>
      </c>
      <c r="AZ113" s="620">
        <f t="shared" si="131"/>
        <v>561.53464910508126</v>
      </c>
      <c r="BA113" s="620">
        <f t="shared" si="132"/>
        <v>564.01624729908758</v>
      </c>
      <c r="BB113" s="624">
        <f t="shared" si="133"/>
        <v>426154.74534406513</v>
      </c>
      <c r="BC113" s="620">
        <f t="shared" si="142"/>
        <v>0</v>
      </c>
      <c r="BD113" s="81">
        <f t="shared" si="134"/>
        <v>426154.74534406513</v>
      </c>
      <c r="BE113" s="81">
        <f t="shared" si="139"/>
        <v>96856211.782464504</v>
      </c>
      <c r="BF113" s="588">
        <f>INDEX('AP Funding Factor'!$I$9:$I$158,MATCH(C113,'AP Funding Factor'!$C$9:$C$158,0))</f>
        <v>909734.74780846504</v>
      </c>
      <c r="BG113" s="290">
        <f>INDEX('Import|Export Adjustments Data'!$Q$9:$Q$159,MATCH($C113,'Import|Export Adjustments Data'!$C$9:$C$159,0))</f>
        <v>-176</v>
      </c>
      <c r="BH113" s="289">
        <v>6000</v>
      </c>
      <c r="BI113" s="81">
        <f t="shared" si="141"/>
        <v>-1050000</v>
      </c>
      <c r="BJ113" s="86">
        <f t="shared" si="143"/>
        <v>107521026.01200996</v>
      </c>
      <c r="BK113" s="620">
        <f t="shared" si="99"/>
        <v>522.23726601767362</v>
      </c>
      <c r="BL113" s="620">
        <f t="shared" si="100"/>
        <v>564.01624729908758</v>
      </c>
      <c r="BM113" s="620">
        <f t="shared" si="135"/>
        <v>564.01624729908758</v>
      </c>
      <c r="BN113" s="620">
        <f t="shared" si="146"/>
        <v>96856211.782464489</v>
      </c>
      <c r="BO113" s="281">
        <f t="shared" si="140"/>
        <v>8.0000000000000071E-2</v>
      </c>
      <c r="BP113" s="81">
        <f t="shared" si="147"/>
        <v>108571026.01200993</v>
      </c>
      <c r="BQ113" s="81">
        <f t="shared" si="148"/>
        <v>107521026.01200993</v>
      </c>
      <c r="BS113" s="599"/>
      <c r="BT113" s="601"/>
    </row>
    <row r="114" spans="1:72" ht="15.4" x14ac:dyDescent="0.45">
      <c r="A114" s="76"/>
      <c r="B114" s="77" t="s">
        <v>178</v>
      </c>
      <c r="C114" s="288">
        <v>868</v>
      </c>
      <c r="D114" s="78" t="s">
        <v>196</v>
      </c>
      <c r="E114" s="87">
        <v>1.0769011397474699</v>
      </c>
      <c r="F114" s="327">
        <f t="shared" si="101"/>
        <v>5018.3593112232102</v>
      </c>
      <c r="G114" s="290">
        <v>413</v>
      </c>
      <c r="H114" s="81">
        <f t="shared" si="144"/>
        <v>2072582.3955351857</v>
      </c>
      <c r="I114" s="597">
        <f>INDEX('Historic Spend Factor'!$U$9:$U$159, MATCH(C114, 'Historic Spend Factor'!$C$9:$C$159, 0))</f>
        <v>8573279.6068441235</v>
      </c>
      <c r="J114" s="80">
        <v>33761.24099999998</v>
      </c>
      <c r="K114" s="82">
        <f t="shared" si="145"/>
        <v>36357.518912188993</v>
      </c>
      <c r="L114" s="81">
        <f t="shared" si="104"/>
        <v>7398013.0750754597</v>
      </c>
      <c r="M114" s="80">
        <v>2233</v>
      </c>
      <c r="N114" s="82">
        <f t="shared" si="105"/>
        <v>2404.7202450561003</v>
      </c>
      <c r="O114" s="81">
        <f t="shared" si="106"/>
        <v>612197.99503969343</v>
      </c>
      <c r="P114" s="80">
        <v>1494</v>
      </c>
      <c r="Q114" s="82">
        <f t="shared" si="107"/>
        <v>1608.89030278272</v>
      </c>
      <c r="R114" s="84">
        <f t="shared" si="108"/>
        <v>98795.795546428577</v>
      </c>
      <c r="S114" s="80">
        <v>0</v>
      </c>
      <c r="T114" s="82">
        <f t="shared" si="109"/>
        <v>0</v>
      </c>
      <c r="U114" s="84">
        <f t="shared" si="110"/>
        <v>0</v>
      </c>
      <c r="V114" s="80">
        <v>0</v>
      </c>
      <c r="W114" s="82">
        <f t="shared" si="111"/>
        <v>0</v>
      </c>
      <c r="X114" s="84">
        <f t="shared" si="112"/>
        <v>0</v>
      </c>
      <c r="Y114" s="80">
        <v>0</v>
      </c>
      <c r="Z114" s="82">
        <f t="shared" si="113"/>
        <v>0</v>
      </c>
      <c r="AA114" s="84">
        <f t="shared" si="114"/>
        <v>0</v>
      </c>
      <c r="AB114" s="80">
        <v>0</v>
      </c>
      <c r="AC114" s="82">
        <f t="shared" si="115"/>
        <v>0</v>
      </c>
      <c r="AD114" s="84">
        <f t="shared" si="116"/>
        <v>0</v>
      </c>
      <c r="AE114" s="80">
        <v>0</v>
      </c>
      <c r="AF114" s="82">
        <f t="shared" si="117"/>
        <v>0</v>
      </c>
      <c r="AG114" s="84">
        <f t="shared" si="118"/>
        <v>0</v>
      </c>
      <c r="AH114" s="81">
        <f t="shared" si="119"/>
        <v>98795.795546428577</v>
      </c>
      <c r="AI114" s="80">
        <v>101</v>
      </c>
      <c r="AJ114" s="82">
        <f t="shared" si="120"/>
        <v>108.76701511449446</v>
      </c>
      <c r="AK114" s="84">
        <f t="shared" si="121"/>
        <v>596868.72471831611</v>
      </c>
      <c r="AL114" s="80">
        <v>796</v>
      </c>
      <c r="AM114" s="82">
        <f t="shared" si="122"/>
        <v>857.21330723898609</v>
      </c>
      <c r="AN114" s="84">
        <f t="shared" si="123"/>
        <v>648195.44773932872</v>
      </c>
      <c r="AO114" s="564">
        <v>177</v>
      </c>
      <c r="AP114" s="82">
        <f t="shared" si="124"/>
        <v>190.61150173530217</v>
      </c>
      <c r="AQ114" s="84">
        <f t="shared" si="125"/>
        <v>742650.49844847247</v>
      </c>
      <c r="AR114" s="564">
        <v>201</v>
      </c>
      <c r="AS114" s="82">
        <f t="shared" si="126"/>
        <v>216.45712908924145</v>
      </c>
      <c r="AT114" s="84">
        <f t="shared" si="127"/>
        <v>596418.02272246266</v>
      </c>
      <c r="AU114" s="81">
        <f t="shared" si="128"/>
        <v>19266419.166134287</v>
      </c>
      <c r="AV114" s="620">
        <f>INDEX('2021-22 Baseline'!$J$9:$J$158,MATCH(C114,'2021-22 Baseline'!$C$9:$C$158,0))</f>
        <v>20379028.728646986</v>
      </c>
      <c r="AW114" s="623">
        <v>33657.707999999991</v>
      </c>
      <c r="AX114" s="620">
        <f t="shared" si="129"/>
        <v>605.47880231912973</v>
      </c>
      <c r="AY114" s="620">
        <f t="shared" si="130"/>
        <v>653.91710650466018</v>
      </c>
      <c r="AZ114" s="620">
        <f t="shared" si="131"/>
        <v>570.6667940948704</v>
      </c>
      <c r="BA114" s="620">
        <f t="shared" si="132"/>
        <v>653.91710650466018</v>
      </c>
      <c r="BB114" s="624">
        <f t="shared" si="133"/>
        <v>2810633.8605922018</v>
      </c>
      <c r="BC114" s="620">
        <f t="shared" si="142"/>
        <v>0</v>
      </c>
      <c r="BD114" s="81">
        <f t="shared" si="134"/>
        <v>2810633.8605922018</v>
      </c>
      <c r="BE114" s="81">
        <f t="shared" si="139"/>
        <v>22077053.026726488</v>
      </c>
      <c r="BF114" s="588">
        <f>INDEX('AP Funding Factor'!$I$9:$I$158,MATCH(C114,'AP Funding Factor'!$C$9:$C$158,0))</f>
        <v>68800.622509714289</v>
      </c>
      <c r="BG114" s="290">
        <f>INDEX('Import|Export Adjustments Data'!$Q$9:$Q$159,MATCH($C114,'Import|Export Adjustments Data'!$C$9:$C$159,0))</f>
        <v>299</v>
      </c>
      <c r="BH114" s="289">
        <v>207225</v>
      </c>
      <c r="BI114" s="81">
        <f t="shared" si="141"/>
        <v>2001225</v>
      </c>
      <c r="BJ114" s="86">
        <f t="shared" si="143"/>
        <v>26219661.044771388</v>
      </c>
      <c r="BK114" s="620">
        <f t="shared" si="99"/>
        <v>605.47880231912973</v>
      </c>
      <c r="BL114" s="620">
        <f t="shared" si="100"/>
        <v>653.91710650466018</v>
      </c>
      <c r="BM114" s="620">
        <f t="shared" si="135"/>
        <v>653.91710650466018</v>
      </c>
      <c r="BN114" s="620">
        <f t="shared" si="146"/>
        <v>22077053.026726488</v>
      </c>
      <c r="BO114" s="281">
        <f t="shared" si="140"/>
        <v>8.0000000000000071E-2</v>
      </c>
      <c r="BP114" s="81">
        <f t="shared" si="147"/>
        <v>24218436.044771388</v>
      </c>
      <c r="BQ114" s="81">
        <f t="shared" si="148"/>
        <v>26219661.044771388</v>
      </c>
      <c r="BS114" s="599"/>
      <c r="BT114" s="601"/>
    </row>
    <row r="115" spans="1:72" ht="15.4" x14ac:dyDescent="0.45">
      <c r="A115" s="76"/>
      <c r="B115" s="77" t="s">
        <v>178</v>
      </c>
      <c r="C115" s="288">
        <v>872</v>
      </c>
      <c r="D115" s="78" t="s">
        <v>197</v>
      </c>
      <c r="E115" s="87">
        <v>1.0541821352195</v>
      </c>
      <c r="F115" s="327">
        <f t="shared" si="101"/>
        <v>4912.4887501228695</v>
      </c>
      <c r="G115" s="290">
        <v>331</v>
      </c>
      <c r="H115" s="81">
        <f t="shared" si="144"/>
        <v>1626033.7762906698</v>
      </c>
      <c r="I115" s="597">
        <f>INDEX('Historic Spend Factor'!$U$9:$U$159, MATCH(C115, 'Historic Spend Factor'!$C$9:$C$159, 0))</f>
        <v>9445779.0357413795</v>
      </c>
      <c r="J115" s="80">
        <v>40245.926000000007</v>
      </c>
      <c r="K115" s="82">
        <f t="shared" si="145"/>
        <v>42426.536204566</v>
      </c>
      <c r="L115" s="81">
        <f t="shared" si="104"/>
        <v>8632934.231007576</v>
      </c>
      <c r="M115" s="80">
        <v>2310</v>
      </c>
      <c r="N115" s="82">
        <f t="shared" si="105"/>
        <v>2435.1607323570452</v>
      </c>
      <c r="O115" s="81">
        <f t="shared" si="106"/>
        <v>619947.58891947346</v>
      </c>
      <c r="P115" s="80">
        <v>387</v>
      </c>
      <c r="Q115" s="82">
        <f t="shared" si="107"/>
        <v>407.96848632994647</v>
      </c>
      <c r="R115" s="84">
        <f t="shared" si="108"/>
        <v>25051.783266470833</v>
      </c>
      <c r="S115" s="80">
        <v>690</v>
      </c>
      <c r="T115" s="82">
        <f t="shared" si="109"/>
        <v>727.38567330145497</v>
      </c>
      <c r="U115" s="84">
        <f t="shared" si="110"/>
        <v>58959.416147822507</v>
      </c>
      <c r="V115" s="80">
        <v>0</v>
      </c>
      <c r="W115" s="82">
        <f t="shared" si="111"/>
        <v>0</v>
      </c>
      <c r="X115" s="84">
        <f t="shared" si="112"/>
        <v>0</v>
      </c>
      <c r="Y115" s="80">
        <v>0</v>
      </c>
      <c r="Z115" s="82">
        <f t="shared" si="113"/>
        <v>0</v>
      </c>
      <c r="AA115" s="84">
        <f t="shared" si="114"/>
        <v>0</v>
      </c>
      <c r="AB115" s="80">
        <v>0</v>
      </c>
      <c r="AC115" s="82">
        <f t="shared" si="115"/>
        <v>0</v>
      </c>
      <c r="AD115" s="84">
        <f t="shared" si="116"/>
        <v>0</v>
      </c>
      <c r="AE115" s="80">
        <v>0</v>
      </c>
      <c r="AF115" s="82">
        <f t="shared" si="117"/>
        <v>0</v>
      </c>
      <c r="AG115" s="84">
        <f t="shared" si="118"/>
        <v>0</v>
      </c>
      <c r="AH115" s="81">
        <f t="shared" si="119"/>
        <v>84011.19941429334</v>
      </c>
      <c r="AI115" s="80">
        <v>89</v>
      </c>
      <c r="AJ115" s="82">
        <f t="shared" si="120"/>
        <v>93.822210034535502</v>
      </c>
      <c r="AK115" s="84">
        <f t="shared" si="121"/>
        <v>514857.77001988015</v>
      </c>
      <c r="AL115" s="80">
        <v>1116</v>
      </c>
      <c r="AM115" s="82">
        <f t="shared" si="122"/>
        <v>1176.4672629049619</v>
      </c>
      <c r="AN115" s="84">
        <f t="shared" si="123"/>
        <v>889604.3934333619</v>
      </c>
      <c r="AO115" s="564">
        <v>211</v>
      </c>
      <c r="AP115" s="82">
        <f t="shared" si="124"/>
        <v>222.43243053131451</v>
      </c>
      <c r="AQ115" s="84">
        <f t="shared" si="125"/>
        <v>866629.52603238449</v>
      </c>
      <c r="AR115" s="564">
        <v>214</v>
      </c>
      <c r="AS115" s="82">
        <f t="shared" si="126"/>
        <v>225.59497693697301</v>
      </c>
      <c r="AT115" s="84">
        <f t="shared" si="127"/>
        <v>621596.11303629947</v>
      </c>
      <c r="AU115" s="81">
        <f t="shared" si="128"/>
        <v>21675359.857604653</v>
      </c>
      <c r="AV115" s="620">
        <f>INDEX('2021-22 Baseline'!$J$9:$J$158,MATCH(C115,'2021-22 Baseline'!$C$9:$C$158,0))</f>
        <v>21388581.352885488</v>
      </c>
      <c r="AW115" s="623">
        <v>39755.904999999992</v>
      </c>
      <c r="AX115" s="620">
        <f t="shared" si="129"/>
        <v>537.99759690756616</v>
      </c>
      <c r="AY115" s="620">
        <f t="shared" si="130"/>
        <v>581.03740466017155</v>
      </c>
      <c r="AZ115" s="620">
        <f t="shared" si="131"/>
        <v>538.57277026262602</v>
      </c>
      <c r="BA115" s="620">
        <f t="shared" si="132"/>
        <v>581.03740466017155</v>
      </c>
      <c r="BB115" s="624">
        <f t="shared" si="133"/>
        <v>1709028.533580672</v>
      </c>
      <c r="BC115" s="620">
        <f t="shared" si="142"/>
        <v>0</v>
      </c>
      <c r="BD115" s="81">
        <f t="shared" si="134"/>
        <v>1709028.533580672</v>
      </c>
      <c r="BE115" s="81">
        <f t="shared" si="139"/>
        <v>23384388.391185325</v>
      </c>
      <c r="BF115" s="588">
        <f>INDEX('AP Funding Factor'!$I$9:$I$158,MATCH(C115,'AP Funding Factor'!$C$9:$C$158,0))</f>
        <v>385341.96951864415</v>
      </c>
      <c r="BG115" s="290">
        <f>INDEX('Import|Export Adjustments Data'!$Q$9:$Q$159,MATCH($C115,'Import|Export Adjustments Data'!$C$9:$C$159,0))</f>
        <v>-105</v>
      </c>
      <c r="BH115" s="289">
        <v>48000</v>
      </c>
      <c r="BI115" s="81">
        <f t="shared" si="141"/>
        <v>-582000</v>
      </c>
      <c r="BJ115" s="86">
        <f t="shared" si="143"/>
        <v>24813764.136994638</v>
      </c>
      <c r="BK115" s="620">
        <f t="shared" si="99"/>
        <v>537.99759690756616</v>
      </c>
      <c r="BL115" s="620">
        <f t="shared" si="100"/>
        <v>581.03740466017155</v>
      </c>
      <c r="BM115" s="620">
        <f t="shared" si="135"/>
        <v>581.03740466017155</v>
      </c>
      <c r="BN115" s="620">
        <f t="shared" si="146"/>
        <v>23384388.391185325</v>
      </c>
      <c r="BO115" s="281">
        <f t="shared" si="140"/>
        <v>8.0000000000000071E-2</v>
      </c>
      <c r="BP115" s="81">
        <f t="shared" si="147"/>
        <v>25395764.136994638</v>
      </c>
      <c r="BQ115" s="81">
        <f t="shared" si="148"/>
        <v>24813764.136994638</v>
      </c>
      <c r="BS115" s="599"/>
      <c r="BT115" s="601"/>
    </row>
    <row r="116" spans="1:72" ht="15.4" x14ac:dyDescent="0.45">
      <c r="A116" s="76"/>
      <c r="B116" s="77" t="s">
        <v>198</v>
      </c>
      <c r="C116" s="288">
        <v>800</v>
      </c>
      <c r="D116" s="78" t="s">
        <v>199</v>
      </c>
      <c r="E116" s="87">
        <v>1.02279432857595</v>
      </c>
      <c r="F116" s="327">
        <f t="shared" si="101"/>
        <v>4766.2215711639274</v>
      </c>
      <c r="G116" s="290">
        <v>563</v>
      </c>
      <c r="H116" s="81">
        <f t="shared" si="144"/>
        <v>2683382.7445652913</v>
      </c>
      <c r="I116" s="597">
        <f>INDEX('Historic Spend Factor'!$U$9:$U$159, MATCH(C116, 'Historic Spend Factor'!$C$9:$C$159, 0))</f>
        <v>11117208.98842635</v>
      </c>
      <c r="J116" s="80">
        <v>36723.588999999993</v>
      </c>
      <c r="K116" s="82">
        <f t="shared" si="145"/>
        <v>37560.678554154132</v>
      </c>
      <c r="L116" s="81">
        <f t="shared" si="104"/>
        <v>7642831.5068325605</v>
      </c>
      <c r="M116" s="80">
        <v>4104.5</v>
      </c>
      <c r="N116" s="82">
        <f t="shared" si="105"/>
        <v>4198.0593216399866</v>
      </c>
      <c r="O116" s="81">
        <f t="shared" si="106"/>
        <v>1068749.475141437</v>
      </c>
      <c r="P116" s="80">
        <v>2099</v>
      </c>
      <c r="Q116" s="82">
        <f t="shared" si="107"/>
        <v>2146.8452956809192</v>
      </c>
      <c r="R116" s="84">
        <f t="shared" si="108"/>
        <v>131829.55266437953</v>
      </c>
      <c r="S116" s="80">
        <v>1245</v>
      </c>
      <c r="T116" s="82">
        <f t="shared" si="109"/>
        <v>1273.3789390770578</v>
      </c>
      <c r="U116" s="84">
        <f t="shared" si="110"/>
        <v>103215.7788345689</v>
      </c>
      <c r="V116" s="80">
        <v>620</v>
      </c>
      <c r="W116" s="82">
        <f t="shared" si="111"/>
        <v>634.13248371708903</v>
      </c>
      <c r="X116" s="84">
        <f t="shared" si="112"/>
        <v>70295.86860040277</v>
      </c>
      <c r="Y116" s="80">
        <v>395</v>
      </c>
      <c r="Z116" s="82">
        <f t="shared" si="113"/>
        <v>404.00375978750026</v>
      </c>
      <c r="AA116" s="84">
        <f t="shared" si="114"/>
        <v>47522.527222574266</v>
      </c>
      <c r="AB116" s="80">
        <v>389</v>
      </c>
      <c r="AC116" s="82">
        <f t="shared" si="115"/>
        <v>397.86699381604456</v>
      </c>
      <c r="AD116" s="84">
        <f t="shared" si="116"/>
        <v>52020.180022261302</v>
      </c>
      <c r="AE116" s="80">
        <v>369</v>
      </c>
      <c r="AF116" s="82">
        <f t="shared" si="117"/>
        <v>377.41110724452557</v>
      </c>
      <c r="AG116" s="84">
        <f t="shared" si="118"/>
        <v>65124.183384281547</v>
      </c>
      <c r="AH116" s="81">
        <f t="shared" si="119"/>
        <v>470008.09072846832</v>
      </c>
      <c r="AI116" s="80">
        <v>143</v>
      </c>
      <c r="AJ116" s="82">
        <f t="shared" si="120"/>
        <v>146.25958898636085</v>
      </c>
      <c r="AK116" s="84">
        <f t="shared" si="121"/>
        <v>802612.57757436484</v>
      </c>
      <c r="AL116" s="80">
        <v>1447</v>
      </c>
      <c r="AM116" s="82">
        <f t="shared" si="122"/>
        <v>1479.9833934493997</v>
      </c>
      <c r="AN116" s="84">
        <f t="shared" si="123"/>
        <v>1119112.9328750053</v>
      </c>
      <c r="AO116" s="564">
        <v>280</v>
      </c>
      <c r="AP116" s="82">
        <f t="shared" si="124"/>
        <v>286.382412001266</v>
      </c>
      <c r="AQ116" s="84">
        <f t="shared" si="125"/>
        <v>1115788.0772324153</v>
      </c>
      <c r="AR116" s="564">
        <v>375</v>
      </c>
      <c r="AS116" s="82">
        <f t="shared" si="126"/>
        <v>383.54787321598127</v>
      </c>
      <c r="AT116" s="84">
        <f t="shared" si="127"/>
        <v>1056813.7216149149</v>
      </c>
      <c r="AU116" s="81">
        <f t="shared" si="128"/>
        <v>24393125.370425519</v>
      </c>
      <c r="AV116" s="620">
        <f>INDEX('2021-22 Baseline'!$J$9:$J$158,MATCH(C116,'2021-22 Baseline'!$C$9:$C$158,0))</f>
        <v>25599317.258829728</v>
      </c>
      <c r="AW116" s="623">
        <v>36245.515999999996</v>
      </c>
      <c r="AX116" s="620">
        <f t="shared" si="129"/>
        <v>706.27542614732624</v>
      </c>
      <c r="AY116" s="620">
        <f t="shared" si="130"/>
        <v>762.77746023911243</v>
      </c>
      <c r="AZ116" s="620">
        <f t="shared" si="131"/>
        <v>664.23587766504852</v>
      </c>
      <c r="BA116" s="620">
        <f t="shared" si="132"/>
        <v>762.77746023911243</v>
      </c>
      <c r="BB116" s="624">
        <f t="shared" si="133"/>
        <v>3618800.5778594841</v>
      </c>
      <c r="BC116" s="620">
        <f t="shared" si="142"/>
        <v>0</v>
      </c>
      <c r="BD116" s="81">
        <f t="shared" si="134"/>
        <v>3618800.5778594841</v>
      </c>
      <c r="BE116" s="81">
        <f t="shared" si="139"/>
        <v>28011925.948285002</v>
      </c>
      <c r="BF116" s="588">
        <f>INDEX('AP Funding Factor'!$I$9:$I$158,MATCH(C116,'AP Funding Factor'!$C$9:$C$158,0))</f>
        <v>419635.78457259096</v>
      </c>
      <c r="BG116" s="290">
        <f>INDEX('Import|Export Adjustments Data'!$Q$9:$Q$159,MATCH($C116,'Import|Export Adjustments Data'!$C$9:$C$159,0))</f>
        <v>28</v>
      </c>
      <c r="BH116" s="289">
        <v>12000</v>
      </c>
      <c r="BI116" s="81">
        <f t="shared" si="141"/>
        <v>180000</v>
      </c>
      <c r="BJ116" s="86">
        <f t="shared" si="143"/>
        <v>31294944.477422882</v>
      </c>
      <c r="BK116" s="620">
        <f t="shared" si="99"/>
        <v>706.27542614732624</v>
      </c>
      <c r="BL116" s="620">
        <f t="shared" si="100"/>
        <v>762.77746023911243</v>
      </c>
      <c r="BM116" s="620">
        <f t="shared" si="135"/>
        <v>762.77746023911243</v>
      </c>
      <c r="BN116" s="620">
        <f t="shared" si="146"/>
        <v>28011925.948285002</v>
      </c>
      <c r="BO116" s="281">
        <f t="shared" si="140"/>
        <v>8.0000000000000071E-2</v>
      </c>
      <c r="BP116" s="81">
        <f t="shared" si="147"/>
        <v>31114944.477422886</v>
      </c>
      <c r="BQ116" s="81">
        <f t="shared" si="148"/>
        <v>31294944.477422886</v>
      </c>
      <c r="BS116" s="599"/>
      <c r="BT116" s="601"/>
    </row>
    <row r="117" spans="1:72" ht="15.4" x14ac:dyDescent="0.45">
      <c r="A117" s="76"/>
      <c r="B117" s="77" t="s">
        <v>198</v>
      </c>
      <c r="C117" s="288">
        <v>839</v>
      </c>
      <c r="D117" s="78" t="s">
        <v>317</v>
      </c>
      <c r="E117" s="87">
        <v>1</v>
      </c>
      <c r="F117" s="327">
        <f t="shared" si="101"/>
        <v>4660</v>
      </c>
      <c r="G117" s="290">
        <v>923</v>
      </c>
      <c r="H117" s="81">
        <f t="shared" si="144"/>
        <v>4301180</v>
      </c>
      <c r="I117" s="597">
        <f>INDEX('Historic Spend Factor'!$U$9:$U$159, MATCH(C117, 'Historic Spend Factor'!$C$9:$C$159, 0))</f>
        <v>18473339.220165133</v>
      </c>
      <c r="J117" s="80">
        <v>73602.785999999949</v>
      </c>
      <c r="K117" s="82">
        <f t="shared" si="145"/>
        <v>73602.785999999949</v>
      </c>
      <c r="L117" s="81">
        <f t="shared" si="104"/>
        <v>14976664.785765406</v>
      </c>
      <c r="M117" s="80">
        <v>9663</v>
      </c>
      <c r="N117" s="82">
        <f t="shared" si="105"/>
        <v>9663</v>
      </c>
      <c r="O117" s="81">
        <f t="shared" si="106"/>
        <v>2460023.8793808422</v>
      </c>
      <c r="P117" s="80">
        <v>8531</v>
      </c>
      <c r="Q117" s="82">
        <f t="shared" si="107"/>
        <v>8531</v>
      </c>
      <c r="R117" s="84">
        <f t="shared" si="108"/>
        <v>523856.05802262441</v>
      </c>
      <c r="S117" s="80">
        <v>8564</v>
      </c>
      <c r="T117" s="82">
        <f t="shared" si="109"/>
        <v>8564</v>
      </c>
      <c r="U117" s="84">
        <f t="shared" si="110"/>
        <v>694168.79988601489</v>
      </c>
      <c r="V117" s="80">
        <v>2675</v>
      </c>
      <c r="W117" s="82">
        <f t="shared" si="111"/>
        <v>2675</v>
      </c>
      <c r="X117" s="84">
        <f t="shared" si="112"/>
        <v>296533.37959259941</v>
      </c>
      <c r="Y117" s="80">
        <v>3608</v>
      </c>
      <c r="Z117" s="82">
        <f t="shared" si="113"/>
        <v>3608</v>
      </c>
      <c r="AA117" s="84">
        <f t="shared" si="114"/>
        <v>424405.15481646493</v>
      </c>
      <c r="AB117" s="80">
        <v>1565</v>
      </c>
      <c r="AC117" s="82">
        <f t="shared" si="115"/>
        <v>1565</v>
      </c>
      <c r="AD117" s="84">
        <f t="shared" si="116"/>
        <v>204620.09415256977</v>
      </c>
      <c r="AE117" s="80">
        <v>0</v>
      </c>
      <c r="AF117" s="82">
        <f t="shared" si="117"/>
        <v>0</v>
      </c>
      <c r="AG117" s="84">
        <f t="shared" si="118"/>
        <v>0</v>
      </c>
      <c r="AH117" s="81">
        <f t="shared" si="119"/>
        <v>2143583.4864702732</v>
      </c>
      <c r="AI117" s="80">
        <v>394</v>
      </c>
      <c r="AJ117" s="82">
        <f t="shared" si="120"/>
        <v>394</v>
      </c>
      <c r="AK117" s="84">
        <f t="shared" si="121"/>
        <v>2162110.2435464184</v>
      </c>
      <c r="AL117" s="80">
        <v>2568</v>
      </c>
      <c r="AM117" s="82">
        <f t="shared" si="122"/>
        <v>2568</v>
      </c>
      <c r="AN117" s="84">
        <f t="shared" si="123"/>
        <v>1941833.9586398008</v>
      </c>
      <c r="AO117" s="564">
        <v>496</v>
      </c>
      <c r="AP117" s="82">
        <f t="shared" si="124"/>
        <v>496</v>
      </c>
      <c r="AQ117" s="84">
        <f t="shared" si="125"/>
        <v>1932489.0884180118</v>
      </c>
      <c r="AR117" s="564">
        <v>733</v>
      </c>
      <c r="AS117" s="82">
        <f t="shared" si="126"/>
        <v>733</v>
      </c>
      <c r="AT117" s="84">
        <f t="shared" si="127"/>
        <v>2019681.275895172</v>
      </c>
      <c r="AU117" s="81">
        <f t="shared" si="128"/>
        <v>46109725.938281059</v>
      </c>
      <c r="AV117" s="620">
        <f>INDEX('2021-22 Baseline'!$J$9:$J$158,MATCH(C117,'2021-22 Baseline'!$C$9:$C$158,0))</f>
        <v>43489304.4932063</v>
      </c>
      <c r="AW117" s="623">
        <v>73223.259999999937</v>
      </c>
      <c r="AX117" s="620">
        <f t="shared" si="129"/>
        <v>593.92745547256891</v>
      </c>
      <c r="AY117" s="620">
        <f t="shared" si="130"/>
        <v>641.4416519103745</v>
      </c>
      <c r="AZ117" s="620">
        <f t="shared" si="131"/>
        <v>626.46712772912008</v>
      </c>
      <c r="BA117" s="620">
        <f t="shared" si="132"/>
        <v>641.4416519103745</v>
      </c>
      <c r="BB117" s="624">
        <f t="shared" si="133"/>
        <v>1102166.6987646937</v>
      </c>
      <c r="BC117" s="620">
        <f t="shared" si="142"/>
        <v>0</v>
      </c>
      <c r="BD117" s="81">
        <f t="shared" si="134"/>
        <v>1102166.6987646937</v>
      </c>
      <c r="BE117" s="81">
        <f t="shared" si="139"/>
        <v>47211892.637045756</v>
      </c>
      <c r="BF117" s="588">
        <f>INDEX('AP Funding Factor'!$I$9:$I$158,MATCH(C117,'AP Funding Factor'!$C$9:$C$158,0))</f>
        <v>1365140.2081727849</v>
      </c>
      <c r="BG117" s="290">
        <f>INDEX('Import|Export Adjustments Data'!$Q$9:$Q$159,MATCH($C117,'Import|Export Adjustments Data'!$C$9:$C$159,0))</f>
        <v>-212</v>
      </c>
      <c r="BH117" s="289">
        <v>24000</v>
      </c>
      <c r="BI117" s="81">
        <f t="shared" si="141"/>
        <v>-1248000</v>
      </c>
      <c r="BJ117" s="86">
        <f t="shared" si="143"/>
        <v>51630212.845218539</v>
      </c>
      <c r="BK117" s="620">
        <f t="shared" si="99"/>
        <v>593.92745547256891</v>
      </c>
      <c r="BL117" s="620">
        <f t="shared" si="100"/>
        <v>641.4416519103745</v>
      </c>
      <c r="BM117" s="620">
        <f t="shared" si="135"/>
        <v>641.4416519103745</v>
      </c>
      <c r="BN117" s="620">
        <f t="shared" si="146"/>
        <v>47211892.637045756</v>
      </c>
      <c r="BO117" s="281">
        <f t="shared" si="140"/>
        <v>8.0000000000000071E-2</v>
      </c>
      <c r="BP117" s="81">
        <f t="shared" si="147"/>
        <v>52878212.845218539</v>
      </c>
      <c r="BQ117" s="81">
        <f t="shared" si="148"/>
        <v>51630212.845218539</v>
      </c>
      <c r="BS117" s="599"/>
      <c r="BT117" s="601"/>
    </row>
    <row r="118" spans="1:72" ht="15.4" x14ac:dyDescent="0.45">
      <c r="A118" s="76"/>
      <c r="B118" s="77" t="s">
        <v>198</v>
      </c>
      <c r="C118" s="288">
        <v>801</v>
      </c>
      <c r="D118" s="78" t="s">
        <v>200</v>
      </c>
      <c r="E118" s="87">
        <v>1.02279432857595</v>
      </c>
      <c r="F118" s="327">
        <f t="shared" si="101"/>
        <v>4766.2215711639274</v>
      </c>
      <c r="G118" s="290">
        <v>1219.5</v>
      </c>
      <c r="H118" s="81">
        <f t="shared" si="144"/>
        <v>5812407.2060344098</v>
      </c>
      <c r="I118" s="597">
        <f>INDEX('Historic Spend Factor'!$U$9:$U$159, MATCH(C118, 'Historic Spend Factor'!$C$9:$C$159, 0))</f>
        <v>24059625.923395213</v>
      </c>
      <c r="J118" s="80">
        <v>89362.537999999986</v>
      </c>
      <c r="K118" s="82">
        <f t="shared" si="145"/>
        <v>91399.497053552797</v>
      </c>
      <c r="L118" s="81">
        <f t="shared" si="104"/>
        <v>18597932.270642772</v>
      </c>
      <c r="M118" s="80">
        <v>17342.5</v>
      </c>
      <c r="N118" s="82">
        <f t="shared" si="105"/>
        <v>17737.810643328412</v>
      </c>
      <c r="O118" s="81">
        <f t="shared" si="106"/>
        <v>4515723.6624778593</v>
      </c>
      <c r="P118" s="80">
        <v>9516</v>
      </c>
      <c r="Q118" s="82">
        <f t="shared" si="107"/>
        <v>9732.9108307287406</v>
      </c>
      <c r="R118" s="84">
        <f t="shared" si="108"/>
        <v>597660.80188386643</v>
      </c>
      <c r="S118" s="80">
        <v>8360</v>
      </c>
      <c r="T118" s="82">
        <f t="shared" si="109"/>
        <v>8550.5605868949424</v>
      </c>
      <c r="U118" s="84">
        <f t="shared" si="110"/>
        <v>693079.4466321253</v>
      </c>
      <c r="V118" s="80">
        <v>5564</v>
      </c>
      <c r="W118" s="82">
        <f t="shared" si="111"/>
        <v>5690.8276441965854</v>
      </c>
      <c r="X118" s="84">
        <f t="shared" si="112"/>
        <v>630848.7304720016</v>
      </c>
      <c r="Y118" s="80">
        <v>6562</v>
      </c>
      <c r="Z118" s="82">
        <f t="shared" si="113"/>
        <v>6711.5763841153839</v>
      </c>
      <c r="AA118" s="84">
        <f t="shared" si="114"/>
        <v>789475.50287223386</v>
      </c>
      <c r="AB118" s="80">
        <v>9826</v>
      </c>
      <c r="AC118" s="82">
        <f t="shared" si="115"/>
        <v>10049.977072587284</v>
      </c>
      <c r="AD118" s="84">
        <f t="shared" si="116"/>
        <v>1314011.025446631</v>
      </c>
      <c r="AE118" s="80">
        <v>6123</v>
      </c>
      <c r="AF118" s="82">
        <f t="shared" si="117"/>
        <v>6262.5696738705419</v>
      </c>
      <c r="AG118" s="84">
        <f t="shared" si="118"/>
        <v>1080637.8722546231</v>
      </c>
      <c r="AH118" s="81">
        <f t="shared" si="119"/>
        <v>5105713.3795614811</v>
      </c>
      <c r="AI118" s="80">
        <v>615</v>
      </c>
      <c r="AJ118" s="82">
        <f t="shared" si="120"/>
        <v>629.01851207420918</v>
      </c>
      <c r="AK118" s="84">
        <f t="shared" si="121"/>
        <v>3451795.3511065333</v>
      </c>
      <c r="AL118" s="80">
        <v>3649</v>
      </c>
      <c r="AM118" s="82">
        <f t="shared" si="122"/>
        <v>3732.1765049736414</v>
      </c>
      <c r="AN118" s="84">
        <f t="shared" si="123"/>
        <v>2822144.5003876253</v>
      </c>
      <c r="AO118" s="564">
        <v>858</v>
      </c>
      <c r="AP118" s="82">
        <f t="shared" si="124"/>
        <v>877.55753391816506</v>
      </c>
      <c r="AQ118" s="84">
        <f t="shared" si="125"/>
        <v>3419093.4652336151</v>
      </c>
      <c r="AR118" s="564">
        <v>1157</v>
      </c>
      <c r="AS118" s="82">
        <f t="shared" si="126"/>
        <v>1183.3730381623741</v>
      </c>
      <c r="AT118" s="84">
        <f t="shared" si="127"/>
        <v>3260622.6024225508</v>
      </c>
      <c r="AU118" s="81">
        <f t="shared" si="128"/>
        <v>65232651.155227654</v>
      </c>
      <c r="AV118" s="620">
        <f>INDEX('2021-22 Baseline'!$J$9:$J$158,MATCH(C118,'2021-22 Baseline'!$C$9:$C$158,0))</f>
        <v>58753176.969165877</v>
      </c>
      <c r="AW118" s="623">
        <v>88816.335999999996</v>
      </c>
      <c r="AX118" s="620">
        <f t="shared" si="129"/>
        <v>661.51318119186863</v>
      </c>
      <c r="AY118" s="620">
        <f t="shared" si="130"/>
        <v>714.43423568721812</v>
      </c>
      <c r="AZ118" s="620">
        <f t="shared" si="131"/>
        <v>729.97760152277306</v>
      </c>
      <c r="BA118" s="620">
        <f t="shared" si="132"/>
        <v>729.97760152277306</v>
      </c>
      <c r="BB118" s="624">
        <f t="shared" si="133"/>
        <v>0</v>
      </c>
      <c r="BC118" s="620">
        <f t="shared" si="142"/>
        <v>0</v>
      </c>
      <c r="BD118" s="81">
        <f t="shared" si="134"/>
        <v>0</v>
      </c>
      <c r="BE118" s="81">
        <f t="shared" si="139"/>
        <v>65232651.155227654</v>
      </c>
      <c r="BF118" s="588">
        <f>INDEX('AP Funding Factor'!$I$9:$I$158,MATCH(C118,'AP Funding Factor'!$C$9:$C$158,0))</f>
        <v>2897894.1946538938</v>
      </c>
      <c r="BG118" s="290">
        <f>INDEX('Import|Export Adjustments Data'!$Q$9:$Q$159,MATCH($C118,'Import|Export Adjustments Data'!$C$9:$C$159,0))</f>
        <v>117</v>
      </c>
      <c r="BH118" s="289">
        <v>524249</v>
      </c>
      <c r="BI118" s="81">
        <f t="shared" si="141"/>
        <v>1226249</v>
      </c>
      <c r="BJ118" s="86">
        <f t="shared" si="143"/>
        <v>75169201.555915967</v>
      </c>
      <c r="BK118" s="620">
        <f t="shared" si="99"/>
        <v>661.51318119186863</v>
      </c>
      <c r="BL118" s="620">
        <f t="shared" si="100"/>
        <v>729.97760152277306</v>
      </c>
      <c r="BM118" s="620">
        <f t="shared" si="135"/>
        <v>729.97760152277306</v>
      </c>
      <c r="BN118" s="620">
        <f t="shared" si="146"/>
        <v>65232651.155227654</v>
      </c>
      <c r="BO118" s="281">
        <f t="shared" si="140"/>
        <v>0.10349668347885377</v>
      </c>
      <c r="BP118" s="81">
        <f t="shared" si="147"/>
        <v>73942952.555915952</v>
      </c>
      <c r="BQ118" s="81">
        <f t="shared" si="148"/>
        <v>75169201.555915952</v>
      </c>
      <c r="BS118" s="599"/>
      <c r="BT118" s="601"/>
    </row>
    <row r="119" spans="1:72" ht="15.4" x14ac:dyDescent="0.45">
      <c r="A119" s="76"/>
      <c r="B119" s="77" t="s">
        <v>198</v>
      </c>
      <c r="C119" s="288">
        <v>908</v>
      </c>
      <c r="D119" s="78" t="s">
        <v>201</v>
      </c>
      <c r="E119" s="87">
        <v>1</v>
      </c>
      <c r="F119" s="327">
        <f t="shared" si="101"/>
        <v>4660</v>
      </c>
      <c r="G119" s="290">
        <v>532.16666599999996</v>
      </c>
      <c r="H119" s="81">
        <f t="shared" si="144"/>
        <v>2479896.6635599998</v>
      </c>
      <c r="I119" s="597">
        <f>INDEX('Historic Spend Factor'!$U$9:$U$159, MATCH(C119, 'Historic Spend Factor'!$C$9:$C$159, 0))</f>
        <v>19456055.235939804</v>
      </c>
      <c r="J119" s="80">
        <v>107801.36899999995</v>
      </c>
      <c r="K119" s="82">
        <f t="shared" si="145"/>
        <v>107801.36899999995</v>
      </c>
      <c r="L119" s="81">
        <f t="shared" si="104"/>
        <v>21935378.464608699</v>
      </c>
      <c r="M119" s="80">
        <v>15199</v>
      </c>
      <c r="N119" s="82">
        <f t="shared" si="105"/>
        <v>15199</v>
      </c>
      <c r="O119" s="81">
        <f t="shared" si="106"/>
        <v>3869388.6932328907</v>
      </c>
      <c r="P119" s="80">
        <v>13669</v>
      </c>
      <c r="Q119" s="82">
        <f t="shared" si="107"/>
        <v>13669</v>
      </c>
      <c r="R119" s="84">
        <f t="shared" si="108"/>
        <v>839360.97258366575</v>
      </c>
      <c r="S119" s="80">
        <v>8731</v>
      </c>
      <c r="T119" s="82">
        <f t="shared" si="109"/>
        <v>8731</v>
      </c>
      <c r="U119" s="84">
        <f t="shared" si="110"/>
        <v>707705.25359701028</v>
      </c>
      <c r="V119" s="80">
        <v>6090</v>
      </c>
      <c r="W119" s="82">
        <f t="shared" si="111"/>
        <v>6090</v>
      </c>
      <c r="X119" s="84">
        <f t="shared" si="112"/>
        <v>675098.42307249724</v>
      </c>
      <c r="Y119" s="80">
        <v>1678</v>
      </c>
      <c r="Z119" s="82">
        <f t="shared" si="113"/>
        <v>1678</v>
      </c>
      <c r="AA119" s="84">
        <f t="shared" si="114"/>
        <v>197381.33308814527</v>
      </c>
      <c r="AB119" s="80">
        <v>3974</v>
      </c>
      <c r="AC119" s="82">
        <f t="shared" si="115"/>
        <v>3974</v>
      </c>
      <c r="AD119" s="84">
        <f t="shared" si="116"/>
        <v>519591.21671713243</v>
      </c>
      <c r="AE119" s="80">
        <v>1386</v>
      </c>
      <c r="AF119" s="82">
        <f t="shared" si="117"/>
        <v>1386</v>
      </c>
      <c r="AG119" s="84">
        <f t="shared" si="118"/>
        <v>239161.26589282701</v>
      </c>
      <c r="AH119" s="81">
        <f t="shared" si="119"/>
        <v>3178298.4649512777</v>
      </c>
      <c r="AI119" s="80">
        <v>574</v>
      </c>
      <c r="AJ119" s="82">
        <f t="shared" si="120"/>
        <v>574</v>
      </c>
      <c r="AK119" s="84">
        <f t="shared" si="121"/>
        <v>3149876.3446589955</v>
      </c>
      <c r="AL119" s="80">
        <v>4193</v>
      </c>
      <c r="AM119" s="82">
        <f t="shared" si="122"/>
        <v>4193</v>
      </c>
      <c r="AN119" s="84">
        <f t="shared" si="123"/>
        <v>3170603.5002245661</v>
      </c>
      <c r="AO119" s="564">
        <v>792</v>
      </c>
      <c r="AP119" s="82">
        <f t="shared" si="124"/>
        <v>792</v>
      </c>
      <c r="AQ119" s="84">
        <f t="shared" si="125"/>
        <v>3085748.7056997279</v>
      </c>
      <c r="AR119" s="564">
        <v>1057</v>
      </c>
      <c r="AS119" s="82">
        <f t="shared" si="126"/>
        <v>1057</v>
      </c>
      <c r="AT119" s="84">
        <f t="shared" si="127"/>
        <v>2912418.9749265988</v>
      </c>
      <c r="AU119" s="81">
        <f t="shared" si="128"/>
        <v>60757768.384242557</v>
      </c>
      <c r="AV119" s="620">
        <f>INDEX('2021-22 Baseline'!$J$9:$J$158,MATCH(C119,'2021-22 Baseline'!$C$9:$C$158,0))</f>
        <v>53806946.051268905</v>
      </c>
      <c r="AW119" s="623">
        <v>106677.22400000003</v>
      </c>
      <c r="AX119" s="620">
        <f t="shared" si="129"/>
        <v>504.39019721087692</v>
      </c>
      <c r="AY119" s="620">
        <f t="shared" si="130"/>
        <v>544.74141298774714</v>
      </c>
      <c r="AZ119" s="620">
        <f t="shared" si="131"/>
        <v>563.60850467717705</v>
      </c>
      <c r="BA119" s="620">
        <f t="shared" si="132"/>
        <v>563.60850467717705</v>
      </c>
      <c r="BB119" s="624">
        <f t="shared" si="133"/>
        <v>0</v>
      </c>
      <c r="BC119" s="620">
        <f t="shared" si="142"/>
        <v>0</v>
      </c>
      <c r="BD119" s="81">
        <f t="shared" si="134"/>
        <v>0</v>
      </c>
      <c r="BE119" s="81">
        <f t="shared" si="139"/>
        <v>60757768.384242557</v>
      </c>
      <c r="BF119" s="588">
        <f>INDEX('AP Funding Factor'!$I$9:$I$158,MATCH(C119,'AP Funding Factor'!$C$9:$C$158,0))</f>
        <v>1756430.4743610406</v>
      </c>
      <c r="BG119" s="290">
        <f>INDEX('Import|Export Adjustments Data'!$Q$9:$Q$159,MATCH($C119,'Import|Export Adjustments Data'!$C$9:$C$159,0))</f>
        <v>-1</v>
      </c>
      <c r="BH119" s="289">
        <v>0</v>
      </c>
      <c r="BI119" s="81">
        <f t="shared" si="141"/>
        <v>-6000</v>
      </c>
      <c r="BJ119" s="86">
        <f t="shared" si="143"/>
        <v>64988095.5221636</v>
      </c>
      <c r="BK119" s="620">
        <f t="shared" si="99"/>
        <v>504.39019721087692</v>
      </c>
      <c r="BL119" s="620">
        <f t="shared" si="100"/>
        <v>563.60850467717705</v>
      </c>
      <c r="BM119" s="620">
        <f t="shared" si="135"/>
        <v>559.87311890407341</v>
      </c>
      <c r="BN119" s="620">
        <f t="shared" si="146"/>
        <v>60355088.684158862</v>
      </c>
      <c r="BO119" s="281">
        <f t="shared" si="140"/>
        <v>0.1100000000000001</v>
      </c>
      <c r="BP119" s="81">
        <f t="shared" si="147"/>
        <v>64591415.822079904</v>
      </c>
      <c r="BQ119" s="81">
        <f t="shared" si="148"/>
        <v>64585415.822079904</v>
      </c>
      <c r="BS119" s="599"/>
      <c r="BT119" s="601"/>
    </row>
    <row r="120" spans="1:72" ht="15.4" x14ac:dyDescent="0.45">
      <c r="A120" s="76"/>
      <c r="B120" s="77" t="s">
        <v>198</v>
      </c>
      <c r="C120" s="288">
        <v>878</v>
      </c>
      <c r="D120" s="78" t="s">
        <v>202</v>
      </c>
      <c r="E120" s="87">
        <v>1</v>
      </c>
      <c r="F120" s="327">
        <f t="shared" si="101"/>
        <v>4660</v>
      </c>
      <c r="G120" s="290">
        <v>1847.5</v>
      </c>
      <c r="H120" s="81">
        <f t="shared" si="144"/>
        <v>8609350</v>
      </c>
      <c r="I120" s="597">
        <f>INDEX('Historic Spend Factor'!$U$9:$U$159, MATCH(C120, 'Historic Spend Factor'!$C$9:$C$159, 0))</f>
        <v>32370022.657769896</v>
      </c>
      <c r="J120" s="80">
        <v>145955.00099999987</v>
      </c>
      <c r="K120" s="82">
        <f t="shared" si="145"/>
        <v>145955.00099999987</v>
      </c>
      <c r="L120" s="81">
        <f t="shared" si="104"/>
        <v>29698863.896035865</v>
      </c>
      <c r="M120" s="80">
        <v>17424.5</v>
      </c>
      <c r="N120" s="82">
        <f t="shared" si="105"/>
        <v>17424.5</v>
      </c>
      <c r="O120" s="81">
        <f t="shared" si="106"/>
        <v>4435960.4766916577</v>
      </c>
      <c r="P120" s="80">
        <v>14231</v>
      </c>
      <c r="Q120" s="82">
        <f t="shared" si="107"/>
        <v>14231</v>
      </c>
      <c r="R120" s="84">
        <f t="shared" si="108"/>
        <v>873871.2415566718</v>
      </c>
      <c r="S120" s="80">
        <v>9736</v>
      </c>
      <c r="T120" s="82">
        <f t="shared" si="109"/>
        <v>9736</v>
      </c>
      <c r="U120" s="84">
        <f t="shared" si="110"/>
        <v>789167.14569012623</v>
      </c>
      <c r="V120" s="80">
        <v>3487</v>
      </c>
      <c r="W120" s="82">
        <f t="shared" si="111"/>
        <v>3487</v>
      </c>
      <c r="X120" s="84">
        <f t="shared" si="112"/>
        <v>386546.50266893231</v>
      </c>
      <c r="Y120" s="80">
        <v>1118</v>
      </c>
      <c r="Z120" s="82">
        <f t="shared" si="113"/>
        <v>1118</v>
      </c>
      <c r="AA120" s="84">
        <f t="shared" si="114"/>
        <v>131509.13610998</v>
      </c>
      <c r="AB120" s="80">
        <v>664</v>
      </c>
      <c r="AC120" s="82">
        <f t="shared" si="115"/>
        <v>664</v>
      </c>
      <c r="AD120" s="84">
        <f t="shared" si="116"/>
        <v>86816.448892847489</v>
      </c>
      <c r="AE120" s="80">
        <v>0</v>
      </c>
      <c r="AF120" s="82">
        <f t="shared" si="117"/>
        <v>0</v>
      </c>
      <c r="AG120" s="84">
        <f t="shared" si="118"/>
        <v>0</v>
      </c>
      <c r="AH120" s="81">
        <f t="shared" si="119"/>
        <v>2267910.4749185578</v>
      </c>
      <c r="AI120" s="80">
        <v>696</v>
      </c>
      <c r="AJ120" s="82">
        <f t="shared" si="120"/>
        <v>696</v>
      </c>
      <c r="AK120" s="84">
        <f t="shared" si="121"/>
        <v>3819362.2576352973</v>
      </c>
      <c r="AL120" s="80">
        <v>6697</v>
      </c>
      <c r="AM120" s="82">
        <f t="shared" si="122"/>
        <v>6697</v>
      </c>
      <c r="AN120" s="84">
        <f t="shared" si="123"/>
        <v>5064042.8430727208</v>
      </c>
      <c r="AO120" s="564">
        <v>1067</v>
      </c>
      <c r="AP120" s="82">
        <f t="shared" si="124"/>
        <v>1067</v>
      </c>
      <c r="AQ120" s="84">
        <f t="shared" si="125"/>
        <v>4157189.2285121339</v>
      </c>
      <c r="AR120" s="564">
        <v>1585</v>
      </c>
      <c r="AS120" s="82">
        <f t="shared" si="126"/>
        <v>1585</v>
      </c>
      <c r="AT120" s="84">
        <f t="shared" si="127"/>
        <v>4367250.7807555906</v>
      </c>
      <c r="AU120" s="81">
        <f t="shared" si="128"/>
        <v>86180602.615391731</v>
      </c>
      <c r="AV120" s="620">
        <f>INDEX('2021-22 Baseline'!$J$9:$J$158,MATCH(C120,'2021-22 Baseline'!$C$9:$C$158,0))</f>
        <v>77912843.66831699</v>
      </c>
      <c r="AW120" s="623">
        <v>144651.06799999997</v>
      </c>
      <c r="AX120" s="620">
        <f t="shared" si="129"/>
        <v>538.62612108966255</v>
      </c>
      <c r="AY120" s="620">
        <f t="shared" si="130"/>
        <v>581.71621077683562</v>
      </c>
      <c r="AZ120" s="620">
        <f t="shared" si="131"/>
        <v>590.4600871839383</v>
      </c>
      <c r="BA120" s="620">
        <f t="shared" si="132"/>
        <v>590.4600871839383</v>
      </c>
      <c r="BB120" s="624">
        <f t="shared" si="133"/>
        <v>0</v>
      </c>
      <c r="BC120" s="620">
        <f t="shared" si="142"/>
        <v>0</v>
      </c>
      <c r="BD120" s="81">
        <f t="shared" si="134"/>
        <v>0</v>
      </c>
      <c r="BE120" s="81">
        <f t="shared" si="139"/>
        <v>86180602.615391731</v>
      </c>
      <c r="BF120" s="588">
        <f>INDEX('AP Funding Factor'!$I$9:$I$158,MATCH(C120,'AP Funding Factor'!$C$9:$C$158,0))</f>
        <v>2719222.4542293474</v>
      </c>
      <c r="BG120" s="290">
        <f>INDEX('Import|Export Adjustments Data'!$Q$9:$Q$159,MATCH($C120,'Import|Export Adjustments Data'!$C$9:$C$159,0))</f>
        <v>-509</v>
      </c>
      <c r="BH120" s="289">
        <v>910333</v>
      </c>
      <c r="BI120" s="81">
        <f t="shared" si="141"/>
        <v>-2143667</v>
      </c>
      <c r="BJ120" s="86">
        <f t="shared" si="143"/>
        <v>95365508.069621086</v>
      </c>
      <c r="BK120" s="620">
        <f t="shared" si="99"/>
        <v>538.62612108966255</v>
      </c>
      <c r="BL120" s="620">
        <f t="shared" si="100"/>
        <v>590.4600871839383</v>
      </c>
      <c r="BM120" s="620">
        <f t="shared" si="135"/>
        <v>590.4600871839383</v>
      </c>
      <c r="BN120" s="620">
        <f t="shared" si="146"/>
        <v>86180602.615391731</v>
      </c>
      <c r="BO120" s="281">
        <f t="shared" si="140"/>
        <v>9.6233665737215812E-2</v>
      </c>
      <c r="BP120" s="81">
        <f t="shared" si="147"/>
        <v>97509175.069621086</v>
      </c>
      <c r="BQ120" s="81">
        <f t="shared" si="148"/>
        <v>95365508.069621086</v>
      </c>
      <c r="BS120" s="599"/>
      <c r="BT120" s="601"/>
    </row>
    <row r="121" spans="1:72" ht="15.4" x14ac:dyDescent="0.45">
      <c r="A121" s="76"/>
      <c r="B121" s="77" t="s">
        <v>198</v>
      </c>
      <c r="C121" s="288">
        <v>838</v>
      </c>
      <c r="D121" s="78" t="s">
        <v>203</v>
      </c>
      <c r="E121" s="87">
        <v>1</v>
      </c>
      <c r="F121" s="327">
        <f t="shared" si="101"/>
        <v>4660</v>
      </c>
      <c r="G121" s="290">
        <v>848</v>
      </c>
      <c r="H121" s="81">
        <f t="shared" si="144"/>
        <v>3951680</v>
      </c>
      <c r="I121" s="597">
        <f>INDEX('Historic Spend Factor'!$U$9:$U$159, MATCH(C121, 'Historic Spend Factor'!$C$9:$C$159, 0))</f>
        <v>18681428.651263434</v>
      </c>
      <c r="J121" s="80">
        <v>66407.635999999969</v>
      </c>
      <c r="K121" s="82">
        <f t="shared" si="145"/>
        <v>66407.635999999969</v>
      </c>
      <c r="L121" s="81">
        <f t="shared" si="104"/>
        <v>13512598.607165864</v>
      </c>
      <c r="M121" s="80">
        <v>9036.5</v>
      </c>
      <c r="N121" s="82">
        <f t="shared" si="105"/>
        <v>9036.5</v>
      </c>
      <c r="O121" s="81">
        <f t="shared" si="106"/>
        <v>2300528.3851831709</v>
      </c>
      <c r="P121" s="80">
        <v>4029</v>
      </c>
      <c r="Q121" s="82">
        <f t="shared" si="107"/>
        <v>4029</v>
      </c>
      <c r="R121" s="84">
        <f t="shared" si="108"/>
        <v>247405.46920327671</v>
      </c>
      <c r="S121" s="80">
        <v>4209</v>
      </c>
      <c r="T121" s="82">
        <f t="shared" si="109"/>
        <v>4209</v>
      </c>
      <c r="U121" s="84">
        <f t="shared" si="110"/>
        <v>341167.26748251246</v>
      </c>
      <c r="V121" s="80">
        <v>1932</v>
      </c>
      <c r="W121" s="82">
        <f t="shared" si="111"/>
        <v>1932</v>
      </c>
      <c r="X121" s="84">
        <f t="shared" si="112"/>
        <v>214169.15490575775</v>
      </c>
      <c r="Y121" s="80">
        <v>698</v>
      </c>
      <c r="Z121" s="82">
        <f t="shared" si="113"/>
        <v>698</v>
      </c>
      <c r="AA121" s="84">
        <f t="shared" si="114"/>
        <v>82104.988376356021</v>
      </c>
      <c r="AB121" s="80">
        <v>867</v>
      </c>
      <c r="AC121" s="82">
        <f t="shared" si="115"/>
        <v>867</v>
      </c>
      <c r="AD121" s="84">
        <f t="shared" si="116"/>
        <v>113358.2246838837</v>
      </c>
      <c r="AE121" s="80">
        <v>0</v>
      </c>
      <c r="AF121" s="82">
        <f t="shared" si="117"/>
        <v>0</v>
      </c>
      <c r="AG121" s="84">
        <f t="shared" si="118"/>
        <v>0</v>
      </c>
      <c r="AH121" s="81">
        <f t="shared" si="119"/>
        <v>998205.10465178662</v>
      </c>
      <c r="AI121" s="80">
        <v>308</v>
      </c>
      <c r="AJ121" s="82">
        <f t="shared" si="120"/>
        <v>308</v>
      </c>
      <c r="AK121" s="84">
        <f t="shared" si="121"/>
        <v>1690177.5507926317</v>
      </c>
      <c r="AL121" s="80">
        <v>2868</v>
      </c>
      <c r="AM121" s="82">
        <f t="shared" si="122"/>
        <v>2868</v>
      </c>
      <c r="AN121" s="84">
        <f t="shared" si="123"/>
        <v>2168683.7201631418</v>
      </c>
      <c r="AO121" s="564">
        <v>540</v>
      </c>
      <c r="AP121" s="82">
        <f t="shared" si="124"/>
        <v>540</v>
      </c>
      <c r="AQ121" s="84">
        <f t="shared" si="125"/>
        <v>2103919.5720679965</v>
      </c>
      <c r="AR121" s="564">
        <v>721</v>
      </c>
      <c r="AS121" s="82">
        <f t="shared" si="126"/>
        <v>721</v>
      </c>
      <c r="AT121" s="84">
        <f t="shared" si="127"/>
        <v>1986616.916671786</v>
      </c>
      <c r="AU121" s="81">
        <f t="shared" si="128"/>
        <v>43442158.507959813</v>
      </c>
      <c r="AV121" s="620">
        <f>INDEX('2021-22 Baseline'!$J$9:$J$158,MATCH(C121,'2021-22 Baseline'!$C$9:$C$158,0))</f>
        <v>38579849.764082603</v>
      </c>
      <c r="AW121" s="623">
        <v>66393.246999999988</v>
      </c>
      <c r="AX121" s="620">
        <f t="shared" si="129"/>
        <v>581.08093077723117</v>
      </c>
      <c r="AY121" s="620">
        <f t="shared" si="130"/>
        <v>627.56740523940971</v>
      </c>
      <c r="AZ121" s="620">
        <f t="shared" si="131"/>
        <v>654.17414509319133</v>
      </c>
      <c r="BA121" s="620">
        <f t="shared" si="132"/>
        <v>654.17414509319133</v>
      </c>
      <c r="BB121" s="624">
        <f t="shared" si="133"/>
        <v>0</v>
      </c>
      <c r="BC121" s="620">
        <f t="shared" si="142"/>
        <v>0</v>
      </c>
      <c r="BD121" s="81">
        <f t="shared" si="134"/>
        <v>0</v>
      </c>
      <c r="BE121" s="81">
        <f t="shared" si="139"/>
        <v>43442158.507959813</v>
      </c>
      <c r="BF121" s="588">
        <f>INDEX('AP Funding Factor'!$I$9:$I$158,MATCH(C121,'AP Funding Factor'!$C$9:$C$158,0))</f>
        <v>182674.72620823249</v>
      </c>
      <c r="BG121" s="290">
        <f>INDEX('Import|Export Adjustments Data'!$Q$9:$Q$159,MATCH($C121,'Import|Export Adjustments Data'!$C$9:$C$159,0))</f>
        <v>-107</v>
      </c>
      <c r="BH121" s="289">
        <v>268000</v>
      </c>
      <c r="BI121" s="81">
        <f t="shared" si="141"/>
        <v>-374000</v>
      </c>
      <c r="BJ121" s="86">
        <f t="shared" si="143"/>
        <v>47202513.234168045</v>
      </c>
      <c r="BK121" s="620">
        <f t="shared" si="99"/>
        <v>581.08093077723117</v>
      </c>
      <c r="BL121" s="620">
        <f t="shared" si="100"/>
        <v>654.17414509319133</v>
      </c>
      <c r="BM121" s="620">
        <f t="shared" si="135"/>
        <v>644.99983316272665</v>
      </c>
      <c r="BN121" s="620">
        <f t="shared" si="146"/>
        <v>42832914.140731059</v>
      </c>
      <c r="BO121" s="281">
        <f t="shared" si="140"/>
        <v>0.1100000000000001</v>
      </c>
      <c r="BP121" s="81">
        <f t="shared" si="147"/>
        <v>46967268.866939291</v>
      </c>
      <c r="BQ121" s="81">
        <f t="shared" si="148"/>
        <v>46593268.866939291</v>
      </c>
      <c r="BS121" s="599"/>
      <c r="BT121" s="601"/>
    </row>
    <row r="122" spans="1:72" ht="15.4" x14ac:dyDescent="0.45">
      <c r="A122" s="76"/>
      <c r="B122" s="77" t="s">
        <v>198</v>
      </c>
      <c r="C122" s="288">
        <v>916</v>
      </c>
      <c r="D122" s="78" t="s">
        <v>204</v>
      </c>
      <c r="E122" s="87">
        <v>1.00982248765101</v>
      </c>
      <c r="F122" s="327">
        <f t="shared" si="101"/>
        <v>4705.7727924537066</v>
      </c>
      <c r="G122" s="290">
        <v>1490.9999990000001</v>
      </c>
      <c r="H122" s="81">
        <f t="shared" si="144"/>
        <v>7016307.2288427046</v>
      </c>
      <c r="I122" s="597">
        <f>INDEX('Historic Spend Factor'!$U$9:$U$159, MATCH(C122, 'Historic Spend Factor'!$C$9:$C$159, 0))</f>
        <v>26672342.995238677</v>
      </c>
      <c r="J122" s="80">
        <v>126935.38999999984</v>
      </c>
      <c r="K122" s="82">
        <f t="shared" si="145"/>
        <v>128182.21130075098</v>
      </c>
      <c r="L122" s="81">
        <f t="shared" si="104"/>
        <v>26082463.91854649</v>
      </c>
      <c r="M122" s="80">
        <v>14891</v>
      </c>
      <c r="N122" s="82">
        <f t="shared" si="105"/>
        <v>15037.26666361119</v>
      </c>
      <c r="O122" s="81">
        <f t="shared" si="106"/>
        <v>3828214.3302391609</v>
      </c>
      <c r="P122" s="80">
        <v>11079</v>
      </c>
      <c r="Q122" s="82">
        <f t="shared" si="107"/>
        <v>11187.82334068554</v>
      </c>
      <c r="R122" s="84">
        <f t="shared" si="108"/>
        <v>687001.41051518405</v>
      </c>
      <c r="S122" s="80">
        <v>8810</v>
      </c>
      <c r="T122" s="82">
        <f t="shared" si="109"/>
        <v>8896.5361162053978</v>
      </c>
      <c r="U122" s="84">
        <f t="shared" si="110"/>
        <v>721123.04985157517</v>
      </c>
      <c r="V122" s="80">
        <v>3076</v>
      </c>
      <c r="W122" s="82">
        <f t="shared" si="111"/>
        <v>3106.2139720145069</v>
      </c>
      <c r="X122" s="84">
        <f t="shared" si="112"/>
        <v>344335.00069503312</v>
      </c>
      <c r="Y122" s="80">
        <v>4028</v>
      </c>
      <c r="Z122" s="82">
        <f t="shared" si="113"/>
        <v>4067.5649802582684</v>
      </c>
      <c r="AA122" s="84">
        <f t="shared" si="114"/>
        <v>478463.28857332084</v>
      </c>
      <c r="AB122" s="80">
        <v>3876</v>
      </c>
      <c r="AC122" s="82">
        <f t="shared" si="115"/>
        <v>3914.0719621353146</v>
      </c>
      <c r="AD122" s="84">
        <f t="shared" si="116"/>
        <v>511755.76575850585</v>
      </c>
      <c r="AE122" s="80">
        <v>326</v>
      </c>
      <c r="AF122" s="82">
        <f t="shared" si="117"/>
        <v>329.20213097422925</v>
      </c>
      <c r="AG122" s="84">
        <f t="shared" si="118"/>
        <v>56805.482235507145</v>
      </c>
      <c r="AH122" s="81">
        <f t="shared" si="119"/>
        <v>2799483.9976291261</v>
      </c>
      <c r="AI122" s="80">
        <v>547</v>
      </c>
      <c r="AJ122" s="82">
        <f t="shared" si="120"/>
        <v>552.37290074510247</v>
      </c>
      <c r="AK122" s="84">
        <f t="shared" si="121"/>
        <v>3031195.7029401902</v>
      </c>
      <c r="AL122" s="80">
        <v>3693</v>
      </c>
      <c r="AM122" s="82">
        <f t="shared" si="122"/>
        <v>3729.2744468951801</v>
      </c>
      <c r="AN122" s="84">
        <f t="shared" si="123"/>
        <v>2819950.0631108731</v>
      </c>
      <c r="AO122" s="564">
        <v>935</v>
      </c>
      <c r="AP122" s="82">
        <f t="shared" si="124"/>
        <v>944.18402595369434</v>
      </c>
      <c r="AQ122" s="84">
        <f t="shared" si="125"/>
        <v>3678680.0959961754</v>
      </c>
      <c r="AR122" s="564">
        <v>1275</v>
      </c>
      <c r="AS122" s="82">
        <f t="shared" si="126"/>
        <v>1287.5236717550379</v>
      </c>
      <c r="AT122" s="84">
        <f t="shared" si="127"/>
        <v>3547595.4326268095</v>
      </c>
      <c r="AU122" s="81">
        <f t="shared" si="128"/>
        <v>72459926.536327511</v>
      </c>
      <c r="AV122" s="620">
        <f>INDEX('2021-22 Baseline'!$J$9:$J$158,MATCH(C122,'2021-22 Baseline'!$C$9:$C$158,0))</f>
        <v>66210316.9801801</v>
      </c>
      <c r="AW122" s="623">
        <v>125867.15599999993</v>
      </c>
      <c r="AX122" s="620">
        <f t="shared" si="129"/>
        <v>526.03331229777007</v>
      </c>
      <c r="AY122" s="620">
        <f t="shared" si="130"/>
        <v>568.11597728159165</v>
      </c>
      <c r="AZ122" s="620">
        <f t="shared" si="131"/>
        <v>570.84101239479082</v>
      </c>
      <c r="BA122" s="620">
        <f t="shared" si="132"/>
        <v>570.84101239479082</v>
      </c>
      <c r="BB122" s="624">
        <f t="shared" si="133"/>
        <v>0</v>
      </c>
      <c r="BC122" s="620">
        <f t="shared" si="142"/>
        <v>0</v>
      </c>
      <c r="BD122" s="81">
        <f t="shared" si="134"/>
        <v>0</v>
      </c>
      <c r="BE122" s="81">
        <f t="shared" si="139"/>
        <v>72459926.536327511</v>
      </c>
      <c r="BF122" s="588">
        <f>INDEX('AP Funding Factor'!$I$9:$I$158,MATCH(C122,'AP Funding Factor'!$C$9:$C$158,0))</f>
        <v>2413039.3999024956</v>
      </c>
      <c r="BG122" s="290">
        <f>INDEX('Import|Export Adjustments Data'!$Q$9:$Q$159,MATCH($C122,'Import|Export Adjustments Data'!$C$9:$C$159,0))</f>
        <v>-190</v>
      </c>
      <c r="BH122" s="289">
        <v>12000</v>
      </c>
      <c r="BI122" s="81">
        <f t="shared" si="141"/>
        <v>-1128000</v>
      </c>
      <c r="BJ122" s="86">
        <f t="shared" si="143"/>
        <v>80761273.165072709</v>
      </c>
      <c r="BK122" s="620">
        <f t="shared" si="99"/>
        <v>526.03331229777007</v>
      </c>
      <c r="BL122" s="620">
        <f t="shared" si="100"/>
        <v>570.84101239479082</v>
      </c>
      <c r="BM122" s="620">
        <f t="shared" si="135"/>
        <v>570.84101239479082</v>
      </c>
      <c r="BN122" s="620">
        <f t="shared" si="146"/>
        <v>72459926.536327511</v>
      </c>
      <c r="BO122" s="281">
        <f t="shared" si="140"/>
        <v>8.5180347041703408E-2</v>
      </c>
      <c r="BP122" s="81">
        <f t="shared" si="147"/>
        <v>81889273.165072709</v>
      </c>
      <c r="BQ122" s="81">
        <f t="shared" si="148"/>
        <v>80761273.165072709</v>
      </c>
      <c r="BS122" s="599"/>
      <c r="BT122" s="601"/>
    </row>
    <row r="123" spans="1:72" ht="15.4" x14ac:dyDescent="0.45">
      <c r="A123" s="76"/>
      <c r="B123" s="77" t="s">
        <v>198</v>
      </c>
      <c r="C123" s="288">
        <v>802</v>
      </c>
      <c r="D123" s="78" t="s">
        <v>205</v>
      </c>
      <c r="E123" s="87">
        <v>1.02279432857595</v>
      </c>
      <c r="F123" s="327">
        <f t="shared" si="101"/>
        <v>4766.2215711639274</v>
      </c>
      <c r="G123" s="290">
        <v>450.999999</v>
      </c>
      <c r="H123" s="81">
        <f t="shared" si="144"/>
        <v>2149565.9238287099</v>
      </c>
      <c r="I123" s="597">
        <f>INDEX('Historic Spend Factor'!$U$9:$U$159, MATCH(C123, 'Historic Spend Factor'!$C$9:$C$159, 0))</f>
        <v>11176194.066073505</v>
      </c>
      <c r="J123" s="80">
        <v>42556.37999999999</v>
      </c>
      <c r="K123" s="82">
        <f t="shared" si="145"/>
        <v>43526.424108722975</v>
      </c>
      <c r="L123" s="81">
        <f t="shared" si="104"/>
        <v>8856738.9718019944</v>
      </c>
      <c r="M123" s="80">
        <v>4681</v>
      </c>
      <c r="N123" s="82">
        <f t="shared" si="105"/>
        <v>4787.7002520640217</v>
      </c>
      <c r="O123" s="81">
        <f t="shared" si="106"/>
        <v>1218861.3212661876</v>
      </c>
      <c r="P123" s="80">
        <v>2304</v>
      </c>
      <c r="Q123" s="82">
        <f t="shared" si="107"/>
        <v>2356.5181330389887</v>
      </c>
      <c r="R123" s="84">
        <f t="shared" si="108"/>
        <v>144704.75909420219</v>
      </c>
      <c r="S123" s="80">
        <v>1969</v>
      </c>
      <c r="T123" s="82">
        <f t="shared" si="109"/>
        <v>2013.8820329660455</v>
      </c>
      <c r="U123" s="84">
        <f t="shared" si="110"/>
        <v>163238.44861467162</v>
      </c>
      <c r="V123" s="80">
        <v>1089</v>
      </c>
      <c r="W123" s="82">
        <f t="shared" si="111"/>
        <v>1113.8230238192095</v>
      </c>
      <c r="X123" s="84">
        <f t="shared" si="112"/>
        <v>123471.29178361068</v>
      </c>
      <c r="Y123" s="80">
        <v>1620</v>
      </c>
      <c r="Z123" s="82">
        <f t="shared" si="113"/>
        <v>1656.9268122930389</v>
      </c>
      <c r="AA123" s="84">
        <f t="shared" si="114"/>
        <v>194902.51671030457</v>
      </c>
      <c r="AB123" s="80">
        <v>1066</v>
      </c>
      <c r="AC123" s="82">
        <f t="shared" si="115"/>
        <v>1090.2987542619626</v>
      </c>
      <c r="AD123" s="84">
        <f t="shared" si="116"/>
        <v>142554.01517668518</v>
      </c>
      <c r="AE123" s="80">
        <v>1172</v>
      </c>
      <c r="AF123" s="82">
        <f t="shared" si="117"/>
        <v>1198.7149530910133</v>
      </c>
      <c r="AG123" s="84">
        <f t="shared" si="118"/>
        <v>206844.28977338201</v>
      </c>
      <c r="AH123" s="81">
        <f t="shared" si="119"/>
        <v>975715.32115285622</v>
      </c>
      <c r="AI123" s="80">
        <v>201</v>
      </c>
      <c r="AJ123" s="82">
        <f t="shared" si="120"/>
        <v>205.58166004376594</v>
      </c>
      <c r="AK123" s="84">
        <f t="shared" si="121"/>
        <v>1128147.7488982328</v>
      </c>
      <c r="AL123" s="80">
        <v>1438</v>
      </c>
      <c r="AM123" s="82">
        <f t="shared" si="122"/>
        <v>1470.7782444922161</v>
      </c>
      <c r="AN123" s="84">
        <f t="shared" si="123"/>
        <v>1112152.3133892589</v>
      </c>
      <c r="AO123" s="564">
        <v>294</v>
      </c>
      <c r="AP123" s="82">
        <f t="shared" si="124"/>
        <v>300.70153260132929</v>
      </c>
      <c r="AQ123" s="84">
        <f t="shared" si="125"/>
        <v>1171577.481094036</v>
      </c>
      <c r="AR123" s="564">
        <v>493</v>
      </c>
      <c r="AS123" s="82">
        <f t="shared" si="126"/>
        <v>504.23760398794332</v>
      </c>
      <c r="AT123" s="84">
        <f t="shared" si="127"/>
        <v>1389357.7726830747</v>
      </c>
      <c r="AU123" s="81">
        <f t="shared" si="128"/>
        <v>27028744.996359147</v>
      </c>
      <c r="AV123" s="620">
        <f>INDEX('2021-22 Baseline'!$J$9:$J$158,MATCH(C123,'2021-22 Baseline'!$C$9:$C$158,0))</f>
        <v>26599405.493519489</v>
      </c>
      <c r="AW123" s="623">
        <v>42289.203999999991</v>
      </c>
      <c r="AX123" s="620">
        <f t="shared" si="129"/>
        <v>628.98808626238258</v>
      </c>
      <c r="AY123" s="620">
        <f t="shared" si="130"/>
        <v>679.30713316337324</v>
      </c>
      <c r="AZ123" s="620">
        <f t="shared" si="131"/>
        <v>635.12791727959836</v>
      </c>
      <c r="BA123" s="620">
        <f t="shared" si="132"/>
        <v>679.30713316337324</v>
      </c>
      <c r="BB123" s="624">
        <f t="shared" si="133"/>
        <v>1880107.4992519589</v>
      </c>
      <c r="BC123" s="620">
        <f t="shared" si="142"/>
        <v>0</v>
      </c>
      <c r="BD123" s="81">
        <f t="shared" si="134"/>
        <v>1880107.4992519589</v>
      </c>
      <c r="BE123" s="81">
        <f t="shared" si="139"/>
        <v>28908852.495611105</v>
      </c>
      <c r="BF123" s="588">
        <f>INDEX('AP Funding Factor'!$I$9:$I$158,MATCH(C123,'AP Funding Factor'!$C$9:$C$158,0))</f>
        <v>92212.66559806306</v>
      </c>
      <c r="BG123" s="290">
        <f>INDEX('Import|Export Adjustments Data'!$Q$9:$Q$159,MATCH($C123,'Import|Export Adjustments Data'!$C$9:$C$159,0))</f>
        <v>-48</v>
      </c>
      <c r="BH123" s="289">
        <v>0</v>
      </c>
      <c r="BI123" s="81">
        <f t="shared" si="141"/>
        <v>-288000</v>
      </c>
      <c r="BJ123" s="86">
        <f t="shared" si="143"/>
        <v>30862631.08503788</v>
      </c>
      <c r="BK123" s="620">
        <f t="shared" si="99"/>
        <v>628.98808626238258</v>
      </c>
      <c r="BL123" s="620">
        <f t="shared" si="100"/>
        <v>679.30713316337324</v>
      </c>
      <c r="BM123" s="620">
        <f t="shared" si="135"/>
        <v>679.30713316337324</v>
      </c>
      <c r="BN123" s="620">
        <f t="shared" si="146"/>
        <v>28908852.495611105</v>
      </c>
      <c r="BO123" s="281">
        <f t="shared" si="140"/>
        <v>8.0000000000000071E-2</v>
      </c>
      <c r="BP123" s="81">
        <f t="shared" si="147"/>
        <v>31150631.08503788</v>
      </c>
      <c r="BQ123" s="81">
        <f t="shared" si="148"/>
        <v>30862631.08503788</v>
      </c>
      <c r="BS123" s="599"/>
      <c r="BT123" s="601"/>
    </row>
    <row r="124" spans="1:72" ht="15.4" x14ac:dyDescent="0.45">
      <c r="A124" s="76"/>
      <c r="B124" s="77" t="s">
        <v>198</v>
      </c>
      <c r="C124" s="288">
        <v>879</v>
      </c>
      <c r="D124" s="78" t="s">
        <v>206</v>
      </c>
      <c r="E124" s="87">
        <v>1</v>
      </c>
      <c r="F124" s="327">
        <f t="shared" si="101"/>
        <v>4660</v>
      </c>
      <c r="G124" s="290">
        <v>710</v>
      </c>
      <c r="H124" s="81">
        <f t="shared" si="144"/>
        <v>3308600</v>
      </c>
      <c r="I124" s="597">
        <f>INDEX('Historic Spend Factor'!$U$9:$U$159, MATCH(C124, 'Historic Spend Factor'!$C$9:$C$159, 0))</f>
        <v>13042199.628975254</v>
      </c>
      <c r="J124" s="80">
        <v>51101.477999999966</v>
      </c>
      <c r="K124" s="82">
        <f t="shared" si="145"/>
        <v>51101.477999999966</v>
      </c>
      <c r="L124" s="81">
        <f t="shared" si="104"/>
        <v>10398107.838787047</v>
      </c>
      <c r="M124" s="80">
        <v>9812</v>
      </c>
      <c r="N124" s="82">
        <f t="shared" si="105"/>
        <v>9812</v>
      </c>
      <c r="O124" s="81">
        <f t="shared" si="106"/>
        <v>2497956.5667478861</v>
      </c>
      <c r="P124" s="80">
        <v>4110</v>
      </c>
      <c r="Q124" s="82">
        <f t="shared" si="107"/>
        <v>4110</v>
      </c>
      <c r="R124" s="84">
        <f t="shared" si="108"/>
        <v>252379.36917981319</v>
      </c>
      <c r="S124" s="80">
        <v>6732</v>
      </c>
      <c r="T124" s="82">
        <f t="shared" si="109"/>
        <v>6732</v>
      </c>
      <c r="U124" s="84">
        <f t="shared" si="110"/>
        <v>545673.09211030509</v>
      </c>
      <c r="V124" s="80">
        <v>4446</v>
      </c>
      <c r="W124" s="82">
        <f t="shared" si="111"/>
        <v>4446</v>
      </c>
      <c r="X124" s="84">
        <f t="shared" si="112"/>
        <v>492855.10492287733</v>
      </c>
      <c r="Y124" s="80">
        <v>4671</v>
      </c>
      <c r="Z124" s="82">
        <f t="shared" si="113"/>
        <v>4671</v>
      </c>
      <c r="AA124" s="84">
        <f t="shared" si="114"/>
        <v>549444.70015180367</v>
      </c>
      <c r="AB124" s="80">
        <v>3597</v>
      </c>
      <c r="AC124" s="82">
        <f t="shared" si="115"/>
        <v>3597</v>
      </c>
      <c r="AD124" s="84">
        <f t="shared" si="116"/>
        <v>470299.34739092237</v>
      </c>
      <c r="AE124" s="80">
        <v>2791</v>
      </c>
      <c r="AF124" s="82">
        <f t="shared" si="117"/>
        <v>2791</v>
      </c>
      <c r="AG124" s="84">
        <f t="shared" si="118"/>
        <v>481601.07727769134</v>
      </c>
      <c r="AH124" s="81">
        <f t="shared" si="119"/>
        <v>2792252.6910334127</v>
      </c>
      <c r="AI124" s="80">
        <v>338</v>
      </c>
      <c r="AJ124" s="82">
        <f t="shared" si="120"/>
        <v>338</v>
      </c>
      <c r="AK124" s="84">
        <f t="shared" si="121"/>
        <v>1854805.2343113944</v>
      </c>
      <c r="AL124" s="80">
        <v>2921</v>
      </c>
      <c r="AM124" s="82">
        <f t="shared" si="122"/>
        <v>2921</v>
      </c>
      <c r="AN124" s="84">
        <f t="shared" si="123"/>
        <v>2208760.511365599</v>
      </c>
      <c r="AO124" s="564">
        <v>397</v>
      </c>
      <c r="AP124" s="82">
        <f t="shared" si="124"/>
        <v>397</v>
      </c>
      <c r="AQ124" s="84">
        <f t="shared" si="125"/>
        <v>1546770.5002055457</v>
      </c>
      <c r="AR124" s="564">
        <v>660</v>
      </c>
      <c r="AS124" s="82">
        <f t="shared" si="126"/>
        <v>660</v>
      </c>
      <c r="AT124" s="84">
        <f t="shared" si="127"/>
        <v>1818539.7572862394</v>
      </c>
      <c r="AU124" s="81">
        <f t="shared" si="128"/>
        <v>36159392.72871238</v>
      </c>
      <c r="AV124" s="620">
        <f>INDEX('2021-22 Baseline'!$J$9:$J$158,MATCH(C124,'2021-22 Baseline'!$C$9:$C$158,0))</f>
        <v>33389104.754324138</v>
      </c>
      <c r="AW124" s="623">
        <v>50883.935999999965</v>
      </c>
      <c r="AX124" s="620">
        <f t="shared" si="129"/>
        <v>656.18164354117891</v>
      </c>
      <c r="AY124" s="620">
        <f t="shared" si="130"/>
        <v>708.67617502447331</v>
      </c>
      <c r="AZ124" s="620">
        <f t="shared" si="131"/>
        <v>707.59974356734665</v>
      </c>
      <c r="BA124" s="620">
        <f t="shared" si="132"/>
        <v>708.67617502447331</v>
      </c>
      <c r="BB124" s="624">
        <f t="shared" si="133"/>
        <v>55007.2384248659</v>
      </c>
      <c r="BC124" s="620">
        <f t="shared" si="142"/>
        <v>0</v>
      </c>
      <c r="BD124" s="81">
        <f t="shared" si="134"/>
        <v>55007.2384248659</v>
      </c>
      <c r="BE124" s="81">
        <f t="shared" si="139"/>
        <v>36214399.967137247</v>
      </c>
      <c r="BF124" s="588">
        <f>INDEX('AP Funding Factor'!$I$9:$I$158,MATCH(C124,'AP Funding Factor'!$C$9:$C$158,0))</f>
        <v>984802.30191573873</v>
      </c>
      <c r="BG124" s="290">
        <f>INDEX('Import|Export Adjustments Data'!$Q$9:$Q$159,MATCH($C124,'Import|Export Adjustments Data'!$C$9:$C$159,0))</f>
        <v>70</v>
      </c>
      <c r="BH124" s="289">
        <v>6000</v>
      </c>
      <c r="BI124" s="81">
        <f t="shared" si="141"/>
        <v>426000</v>
      </c>
      <c r="BJ124" s="86">
        <f t="shared" si="143"/>
        <v>40933802.269052982</v>
      </c>
      <c r="BK124" s="620">
        <f t="shared" si="99"/>
        <v>656.18164354117891</v>
      </c>
      <c r="BL124" s="620">
        <f t="shared" si="100"/>
        <v>708.67617502447331</v>
      </c>
      <c r="BM124" s="620">
        <f t="shared" si="135"/>
        <v>708.67617502447331</v>
      </c>
      <c r="BN124" s="620">
        <f t="shared" si="146"/>
        <v>36214399.967137247</v>
      </c>
      <c r="BO124" s="281">
        <f t="shared" si="140"/>
        <v>8.0000000000000071E-2</v>
      </c>
      <c r="BP124" s="81">
        <f t="shared" si="147"/>
        <v>40507802.269052982</v>
      </c>
      <c r="BQ124" s="81">
        <f t="shared" si="148"/>
        <v>40933802.269052982</v>
      </c>
      <c r="BS124" s="599"/>
      <c r="BT124" s="601"/>
    </row>
    <row r="125" spans="1:72" ht="15.4" x14ac:dyDescent="0.45">
      <c r="A125" s="76"/>
      <c r="B125" s="77" t="s">
        <v>198</v>
      </c>
      <c r="C125" s="288">
        <v>933</v>
      </c>
      <c r="D125" s="78" t="s">
        <v>207</v>
      </c>
      <c r="E125" s="87">
        <v>1</v>
      </c>
      <c r="F125" s="327">
        <f t="shared" si="101"/>
        <v>4660</v>
      </c>
      <c r="G125" s="290">
        <v>1038</v>
      </c>
      <c r="H125" s="81">
        <f t="shared" si="144"/>
        <v>4837080</v>
      </c>
      <c r="I125" s="597">
        <f>INDEX('Historic Spend Factor'!$U$9:$U$159, MATCH(C125, 'Historic Spend Factor'!$C$9:$C$159, 0))</f>
        <v>24137917.211636487</v>
      </c>
      <c r="J125" s="80">
        <v>108925.25399999993</v>
      </c>
      <c r="K125" s="82">
        <f t="shared" si="145"/>
        <v>108925.25399999993</v>
      </c>
      <c r="L125" s="81">
        <f t="shared" si="104"/>
        <v>22164066.124648493</v>
      </c>
      <c r="M125" s="80">
        <v>13836</v>
      </c>
      <c r="N125" s="82">
        <f t="shared" si="105"/>
        <v>13836</v>
      </c>
      <c r="O125" s="81">
        <f t="shared" si="106"/>
        <v>3522393.7074524825</v>
      </c>
      <c r="P125" s="80">
        <v>10440</v>
      </c>
      <c r="Q125" s="82">
        <f t="shared" si="107"/>
        <v>10440</v>
      </c>
      <c r="R125" s="84">
        <f t="shared" si="108"/>
        <v>641080.44142025535</v>
      </c>
      <c r="S125" s="80">
        <v>12388</v>
      </c>
      <c r="T125" s="82">
        <f t="shared" si="109"/>
        <v>12388</v>
      </c>
      <c r="U125" s="84">
        <f t="shared" si="110"/>
        <v>1004129.272885095</v>
      </c>
      <c r="V125" s="80">
        <v>1081</v>
      </c>
      <c r="W125" s="82">
        <f t="shared" si="111"/>
        <v>1081</v>
      </c>
      <c r="X125" s="84">
        <f t="shared" si="112"/>
        <v>119832.74143536446</v>
      </c>
      <c r="Y125" s="80">
        <v>3052</v>
      </c>
      <c r="Z125" s="82">
        <f t="shared" si="113"/>
        <v>3052</v>
      </c>
      <c r="AA125" s="84">
        <f t="shared" si="114"/>
        <v>359003.47353100084</v>
      </c>
      <c r="AB125" s="80">
        <v>3918</v>
      </c>
      <c r="AC125" s="82">
        <f t="shared" si="115"/>
        <v>3918</v>
      </c>
      <c r="AD125" s="84">
        <f t="shared" si="116"/>
        <v>512269.34753339831</v>
      </c>
      <c r="AE125" s="80">
        <v>0</v>
      </c>
      <c r="AF125" s="82">
        <f t="shared" si="117"/>
        <v>0</v>
      </c>
      <c r="AG125" s="84">
        <f t="shared" si="118"/>
        <v>0</v>
      </c>
      <c r="AH125" s="81">
        <f t="shared" si="119"/>
        <v>2636315.276805114</v>
      </c>
      <c r="AI125" s="80">
        <v>502</v>
      </c>
      <c r="AJ125" s="82">
        <f t="shared" si="120"/>
        <v>502</v>
      </c>
      <c r="AK125" s="84">
        <f t="shared" si="121"/>
        <v>2754769.9042139645</v>
      </c>
      <c r="AL125" s="80">
        <v>3911</v>
      </c>
      <c r="AM125" s="82">
        <f t="shared" si="122"/>
        <v>3911</v>
      </c>
      <c r="AN125" s="84">
        <f t="shared" si="123"/>
        <v>2957364.724392625</v>
      </c>
      <c r="AO125" s="564">
        <v>919</v>
      </c>
      <c r="AP125" s="82">
        <f t="shared" si="124"/>
        <v>919</v>
      </c>
      <c r="AQ125" s="84">
        <f t="shared" si="125"/>
        <v>3580559.4198712758</v>
      </c>
      <c r="AR125" s="564">
        <v>1108</v>
      </c>
      <c r="AS125" s="82">
        <f t="shared" si="126"/>
        <v>1108</v>
      </c>
      <c r="AT125" s="84">
        <f t="shared" si="127"/>
        <v>3052942.50162599</v>
      </c>
      <c r="AU125" s="81">
        <f t="shared" si="128"/>
        <v>64806328.870646432</v>
      </c>
      <c r="AV125" s="620">
        <f>INDEX('2021-22 Baseline'!$J$9:$J$158,MATCH(C125,'2021-22 Baseline'!$C$9:$C$158,0))</f>
        <v>58817564.211556002</v>
      </c>
      <c r="AW125" s="623">
        <v>108433.14399999985</v>
      </c>
      <c r="AX125" s="620">
        <f t="shared" si="129"/>
        <v>542.43160386049567</v>
      </c>
      <c r="AY125" s="620">
        <f t="shared" si="130"/>
        <v>585.82613216933532</v>
      </c>
      <c r="AZ125" s="620">
        <f t="shared" si="131"/>
        <v>594.96146660944646</v>
      </c>
      <c r="BA125" s="620">
        <f t="shared" si="132"/>
        <v>594.96146660944646</v>
      </c>
      <c r="BB125" s="624">
        <f t="shared" si="133"/>
        <v>0</v>
      </c>
      <c r="BC125" s="620">
        <f t="shared" si="142"/>
        <v>0</v>
      </c>
      <c r="BD125" s="81">
        <f t="shared" si="134"/>
        <v>0</v>
      </c>
      <c r="BE125" s="81">
        <f t="shared" si="139"/>
        <v>64806328.870646432</v>
      </c>
      <c r="BF125" s="588">
        <f>INDEX('AP Funding Factor'!$I$9:$I$158,MATCH(C125,'AP Funding Factor'!$C$9:$C$158,0))</f>
        <v>2938656.5069831684</v>
      </c>
      <c r="BG125" s="290">
        <f>INDEX('Import|Export Adjustments Data'!$Q$9:$Q$159,MATCH($C125,'Import|Export Adjustments Data'!$C$9:$C$159,0))</f>
        <v>-113</v>
      </c>
      <c r="BH125" s="289">
        <v>6000</v>
      </c>
      <c r="BI125" s="81">
        <f t="shared" si="141"/>
        <v>-672000</v>
      </c>
      <c r="BJ125" s="86">
        <f t="shared" si="143"/>
        <v>71910065.377629608</v>
      </c>
      <c r="BK125" s="620">
        <f t="shared" si="99"/>
        <v>542.43160386049567</v>
      </c>
      <c r="BL125" s="620">
        <f t="shared" si="100"/>
        <v>594.96146660944646</v>
      </c>
      <c r="BM125" s="620">
        <f t="shared" si="135"/>
        <v>594.96146660944646</v>
      </c>
      <c r="BN125" s="620">
        <f t="shared" si="146"/>
        <v>64806328.870646432</v>
      </c>
      <c r="BO125" s="281">
        <f t="shared" si="140"/>
        <v>9.6841449456659179E-2</v>
      </c>
      <c r="BP125" s="81">
        <f t="shared" si="147"/>
        <v>72582065.377629608</v>
      </c>
      <c r="BQ125" s="81">
        <f t="shared" si="148"/>
        <v>71910065.377629608</v>
      </c>
      <c r="BS125" s="599"/>
      <c r="BT125" s="601"/>
    </row>
    <row r="126" spans="1:72" ht="15.4" x14ac:dyDescent="0.45">
      <c r="A126" s="76"/>
      <c r="B126" s="77" t="s">
        <v>198</v>
      </c>
      <c r="C126" s="288">
        <v>803</v>
      </c>
      <c r="D126" s="78" t="s">
        <v>208</v>
      </c>
      <c r="E126" s="87">
        <v>1.02279432857595</v>
      </c>
      <c r="F126" s="327">
        <f t="shared" si="101"/>
        <v>4766.2215711639274</v>
      </c>
      <c r="G126" s="290">
        <v>639</v>
      </c>
      <c r="H126" s="81">
        <f t="shared" si="144"/>
        <v>3045615.5839737495</v>
      </c>
      <c r="I126" s="597">
        <f>INDEX('Historic Spend Factor'!$U$9:$U$159, MATCH(C126, 'Historic Spend Factor'!$C$9:$C$159, 0))</f>
        <v>17024032.802810721</v>
      </c>
      <c r="J126" s="80">
        <v>58471.901999999958</v>
      </c>
      <c r="K126" s="82">
        <f t="shared" si="145"/>
        <v>59804.729746648707</v>
      </c>
      <c r="L126" s="81">
        <f t="shared" si="104"/>
        <v>12169041.943858635</v>
      </c>
      <c r="M126" s="80">
        <v>5566.5</v>
      </c>
      <c r="N126" s="82">
        <f t="shared" si="105"/>
        <v>5693.3846300180257</v>
      </c>
      <c r="O126" s="81">
        <f t="shared" si="106"/>
        <v>1449432.0753745427</v>
      </c>
      <c r="P126" s="80">
        <v>6419</v>
      </c>
      <c r="Q126" s="82">
        <f t="shared" si="107"/>
        <v>6565.3167951290234</v>
      </c>
      <c r="R126" s="84">
        <f t="shared" si="108"/>
        <v>403150.97596600867</v>
      </c>
      <c r="S126" s="80">
        <v>2813</v>
      </c>
      <c r="T126" s="82">
        <f t="shared" si="109"/>
        <v>2877.1204462841474</v>
      </c>
      <c r="U126" s="84">
        <f t="shared" si="110"/>
        <v>233209.62719810629</v>
      </c>
      <c r="V126" s="80">
        <v>561</v>
      </c>
      <c r="W126" s="82">
        <f t="shared" si="111"/>
        <v>573.78761833110798</v>
      </c>
      <c r="X126" s="84">
        <f t="shared" si="112"/>
        <v>63606.42304004186</v>
      </c>
      <c r="Y126" s="80">
        <v>252</v>
      </c>
      <c r="Z126" s="82">
        <f t="shared" si="113"/>
        <v>257.74417080113938</v>
      </c>
      <c r="AA126" s="84">
        <f t="shared" si="114"/>
        <v>30318.169266047378</v>
      </c>
      <c r="AB126" s="80">
        <v>0</v>
      </c>
      <c r="AC126" s="82">
        <f t="shared" si="115"/>
        <v>0</v>
      </c>
      <c r="AD126" s="84">
        <f t="shared" si="116"/>
        <v>0</v>
      </c>
      <c r="AE126" s="80">
        <v>0</v>
      </c>
      <c r="AF126" s="82">
        <f t="shared" si="117"/>
        <v>0</v>
      </c>
      <c r="AG126" s="84">
        <f t="shared" si="118"/>
        <v>0</v>
      </c>
      <c r="AH126" s="81">
        <f t="shared" si="119"/>
        <v>730285.19547020411</v>
      </c>
      <c r="AI126" s="80">
        <v>270</v>
      </c>
      <c r="AJ126" s="82">
        <f t="shared" si="120"/>
        <v>276.15446871550648</v>
      </c>
      <c r="AK126" s="84">
        <f t="shared" si="121"/>
        <v>1515422.349266283</v>
      </c>
      <c r="AL126" s="80">
        <v>2310</v>
      </c>
      <c r="AM126" s="82">
        <f t="shared" si="122"/>
        <v>2362.6548990104443</v>
      </c>
      <c r="AN126" s="84">
        <f t="shared" si="123"/>
        <v>1786559.0013415772</v>
      </c>
      <c r="AO126" s="564">
        <v>409</v>
      </c>
      <c r="AP126" s="82">
        <f t="shared" si="124"/>
        <v>418.32288038756354</v>
      </c>
      <c r="AQ126" s="84">
        <f t="shared" si="125"/>
        <v>1629847.5842430636</v>
      </c>
      <c r="AR126" s="564">
        <v>674</v>
      </c>
      <c r="AS126" s="82">
        <f t="shared" si="126"/>
        <v>689.36337746019024</v>
      </c>
      <c r="AT126" s="84">
        <f t="shared" si="127"/>
        <v>1899446.5289825404</v>
      </c>
      <c r="AU126" s="81">
        <f t="shared" si="128"/>
        <v>38204067.481347568</v>
      </c>
      <c r="AV126" s="620">
        <f>INDEX('2021-22 Baseline'!$J$9:$J$158,MATCH(C126,'2021-22 Baseline'!$C$9:$C$158,0))</f>
        <v>35929260.268543154</v>
      </c>
      <c r="AW126" s="623">
        <v>57717.647999999994</v>
      </c>
      <c r="AX126" s="620">
        <f t="shared" si="129"/>
        <v>622.50042254915093</v>
      </c>
      <c r="AY126" s="620">
        <f t="shared" si="130"/>
        <v>672.30045635308306</v>
      </c>
      <c r="AZ126" s="620">
        <f t="shared" si="131"/>
        <v>653.37480353123442</v>
      </c>
      <c r="BA126" s="620">
        <f t="shared" si="132"/>
        <v>672.30045635308306</v>
      </c>
      <c r="BB126" s="624">
        <f t="shared" si="133"/>
        <v>1106618.9170851565</v>
      </c>
      <c r="BC126" s="620">
        <f t="shared" si="142"/>
        <v>0</v>
      </c>
      <c r="BD126" s="81">
        <f t="shared" si="134"/>
        <v>1106618.9170851565</v>
      </c>
      <c r="BE126" s="81">
        <f t="shared" si="139"/>
        <v>39310686.398432724</v>
      </c>
      <c r="BF126" s="588">
        <f>INDEX('AP Funding Factor'!$I$9:$I$158,MATCH(C126,'AP Funding Factor'!$C$9:$C$158,0))</f>
        <v>128858.22181501219</v>
      </c>
      <c r="BG126" s="290">
        <f>INDEX('Import|Export Adjustments Data'!$Q$9:$Q$159,MATCH($C126,'Import|Export Adjustments Data'!$C$9:$C$159,0))</f>
        <v>-21.5</v>
      </c>
      <c r="BH126" s="289">
        <v>493885</v>
      </c>
      <c r="BI126" s="81">
        <f t="shared" si="141"/>
        <v>364885</v>
      </c>
      <c r="BJ126" s="86">
        <f t="shared" si="143"/>
        <v>42850045.204221487</v>
      </c>
      <c r="BK126" s="620">
        <f t="shared" si="99"/>
        <v>622.50042254915093</v>
      </c>
      <c r="BL126" s="620">
        <f t="shared" si="100"/>
        <v>672.30045635308306</v>
      </c>
      <c r="BM126" s="620">
        <f t="shared" si="135"/>
        <v>672.30045635308306</v>
      </c>
      <c r="BN126" s="620">
        <f t="shared" si="146"/>
        <v>39310686.398432724</v>
      </c>
      <c r="BO126" s="281">
        <f t="shared" si="140"/>
        <v>8.0000000000000071E-2</v>
      </c>
      <c r="BP126" s="81">
        <f t="shared" si="147"/>
        <v>42485160.204221487</v>
      </c>
      <c r="BQ126" s="81">
        <f t="shared" si="148"/>
        <v>42850045.204221487</v>
      </c>
      <c r="BS126" s="599"/>
      <c r="BT126" s="601"/>
    </row>
    <row r="127" spans="1:72" ht="15.4" x14ac:dyDescent="0.45">
      <c r="A127" s="76"/>
      <c r="B127" s="77" t="s">
        <v>198</v>
      </c>
      <c r="C127" s="288">
        <v>866</v>
      </c>
      <c r="D127" s="78" t="s">
        <v>209</v>
      </c>
      <c r="E127" s="87">
        <v>1.0111845552654199</v>
      </c>
      <c r="F127" s="327">
        <f t="shared" si="101"/>
        <v>4712.1200275368574</v>
      </c>
      <c r="G127" s="290">
        <v>731.5</v>
      </c>
      <c r="H127" s="81">
        <f t="shared" si="144"/>
        <v>3446915.8001432111</v>
      </c>
      <c r="I127" s="597">
        <f>INDEX('Historic Spend Factor'!$U$9:$U$159, MATCH(C127, 'Historic Spend Factor'!$C$9:$C$159, 0))</f>
        <v>13688664.197612692</v>
      </c>
      <c r="J127" s="80">
        <v>48640.078999999976</v>
      </c>
      <c r="K127" s="82">
        <f t="shared" si="145"/>
        <v>49184.09665168987</v>
      </c>
      <c r="L127" s="81">
        <f t="shared" si="104"/>
        <v>10007959.866397535</v>
      </c>
      <c r="M127" s="80">
        <v>7150.5</v>
      </c>
      <c r="N127" s="82">
        <f t="shared" si="105"/>
        <v>7230.475162425385</v>
      </c>
      <c r="O127" s="81">
        <f t="shared" si="106"/>
        <v>1840747.3412849552</v>
      </c>
      <c r="P127" s="80">
        <v>2440</v>
      </c>
      <c r="Q127" s="82">
        <f t="shared" si="107"/>
        <v>2467.2903148476248</v>
      </c>
      <c r="R127" s="84">
        <f t="shared" si="108"/>
        <v>151506.85480406476</v>
      </c>
      <c r="S127" s="80">
        <v>4603</v>
      </c>
      <c r="T127" s="82">
        <f t="shared" si="109"/>
        <v>4654.4825078867279</v>
      </c>
      <c r="U127" s="84">
        <f t="shared" si="110"/>
        <v>377276.56896195456</v>
      </c>
      <c r="V127" s="80">
        <v>1449</v>
      </c>
      <c r="W127" s="82">
        <f t="shared" si="111"/>
        <v>1465.2064205795934</v>
      </c>
      <c r="X127" s="84">
        <f t="shared" si="112"/>
        <v>162423.4062412121</v>
      </c>
      <c r="Y127" s="80">
        <v>1371</v>
      </c>
      <c r="Z127" s="82">
        <f t="shared" si="113"/>
        <v>1386.3340252688909</v>
      </c>
      <c r="AA127" s="84">
        <f t="shared" si="114"/>
        <v>163072.97855365206</v>
      </c>
      <c r="AB127" s="80">
        <v>1897</v>
      </c>
      <c r="AC127" s="82">
        <f t="shared" si="115"/>
        <v>1918.2171013385016</v>
      </c>
      <c r="AD127" s="84">
        <f t="shared" si="116"/>
        <v>250802.40503575315</v>
      </c>
      <c r="AE127" s="80">
        <v>1883</v>
      </c>
      <c r="AF127" s="82">
        <f t="shared" si="117"/>
        <v>1904.0605175647859</v>
      </c>
      <c r="AG127" s="84">
        <f t="shared" si="118"/>
        <v>328555.21191727679</v>
      </c>
      <c r="AH127" s="81">
        <f t="shared" si="119"/>
        <v>1433637.4255139136</v>
      </c>
      <c r="AI127" s="80">
        <v>197</v>
      </c>
      <c r="AJ127" s="82">
        <f t="shared" si="120"/>
        <v>199.20335738728772</v>
      </c>
      <c r="AK127" s="84">
        <f t="shared" si="121"/>
        <v>1093146.2425276469</v>
      </c>
      <c r="AL127" s="80">
        <v>2113</v>
      </c>
      <c r="AM127" s="82">
        <f t="shared" si="122"/>
        <v>2136.6329652758322</v>
      </c>
      <c r="AN127" s="84">
        <f t="shared" si="123"/>
        <v>1615648.9287857732</v>
      </c>
      <c r="AO127" s="564">
        <v>409</v>
      </c>
      <c r="AP127" s="82">
        <f t="shared" si="124"/>
        <v>413.57448310355676</v>
      </c>
      <c r="AQ127" s="84">
        <f t="shared" si="125"/>
        <v>1611347.1287212558</v>
      </c>
      <c r="AR127" s="564">
        <v>578</v>
      </c>
      <c r="AS127" s="82">
        <f t="shared" si="126"/>
        <v>584.46467294341278</v>
      </c>
      <c r="AT127" s="84">
        <f t="shared" si="127"/>
        <v>1610412.4916316594</v>
      </c>
      <c r="AU127" s="81">
        <f t="shared" si="128"/>
        <v>32901563.622475434</v>
      </c>
      <c r="AV127" s="620">
        <f>INDEX('2021-22 Baseline'!$J$9:$J$158,MATCH(C127,'2021-22 Baseline'!$C$9:$C$158,0))</f>
        <v>33559596.867018394</v>
      </c>
      <c r="AW127" s="623">
        <v>48399.597000000009</v>
      </c>
      <c r="AX127" s="620">
        <f t="shared" si="129"/>
        <v>693.38587399846301</v>
      </c>
      <c r="AY127" s="620">
        <f t="shared" si="130"/>
        <v>748.85674391834016</v>
      </c>
      <c r="AZ127" s="620">
        <f t="shared" si="131"/>
        <v>676.42907451847373</v>
      </c>
      <c r="BA127" s="620">
        <f t="shared" si="132"/>
        <v>748.85674391834016</v>
      </c>
      <c r="BB127" s="624">
        <f t="shared" si="133"/>
        <v>3522887.5613953839</v>
      </c>
      <c r="BC127" s="620">
        <f t="shared" si="142"/>
        <v>0</v>
      </c>
      <c r="BD127" s="81">
        <f t="shared" si="134"/>
        <v>3522887.5613953839</v>
      </c>
      <c r="BE127" s="81">
        <f t="shared" si="139"/>
        <v>36424451.183870815</v>
      </c>
      <c r="BF127" s="588">
        <f>INDEX('AP Funding Factor'!$I$9:$I$158,MATCH(C127,'AP Funding Factor'!$C$9:$C$158,0))</f>
        <v>737340.47438760311</v>
      </c>
      <c r="BG127" s="290">
        <f>INDEX('Import|Export Adjustments Data'!$Q$9:$Q$159,MATCH($C127,'Import|Export Adjustments Data'!$C$9:$C$159,0))</f>
        <v>-68</v>
      </c>
      <c r="BH127" s="289">
        <v>366000</v>
      </c>
      <c r="BI127" s="81">
        <f t="shared" si="141"/>
        <v>-42000</v>
      </c>
      <c r="BJ127" s="86">
        <f t="shared" si="143"/>
        <v>40566707.458401628</v>
      </c>
      <c r="BK127" s="620">
        <f t="shared" si="99"/>
        <v>693.38587399846301</v>
      </c>
      <c r="BL127" s="620">
        <f t="shared" si="100"/>
        <v>748.85674391834016</v>
      </c>
      <c r="BM127" s="620">
        <f t="shared" si="135"/>
        <v>748.85674391834016</v>
      </c>
      <c r="BN127" s="620">
        <f t="shared" si="146"/>
        <v>36424451.183870815</v>
      </c>
      <c r="BO127" s="281">
        <f t="shared" si="140"/>
        <v>8.0000000000000071E-2</v>
      </c>
      <c r="BP127" s="81">
        <f t="shared" si="147"/>
        <v>40608707.458401628</v>
      </c>
      <c r="BQ127" s="81">
        <f t="shared" si="148"/>
        <v>40566707.458401628</v>
      </c>
      <c r="BS127" s="599"/>
      <c r="BT127" s="601"/>
    </row>
    <row r="128" spans="1:72" ht="15.4" x14ac:dyDescent="0.45">
      <c r="A128" s="76"/>
      <c r="B128" s="77" t="s">
        <v>198</v>
      </c>
      <c r="C128" s="288">
        <v>880</v>
      </c>
      <c r="D128" s="78" t="s">
        <v>210</v>
      </c>
      <c r="E128" s="87">
        <v>1</v>
      </c>
      <c r="F128" s="327">
        <f t="shared" si="101"/>
        <v>4660</v>
      </c>
      <c r="G128" s="290">
        <v>606.5</v>
      </c>
      <c r="H128" s="81">
        <f t="shared" si="144"/>
        <v>2826290</v>
      </c>
      <c r="I128" s="597">
        <f>INDEX('Historic Spend Factor'!$U$9:$U$159, MATCH(C128, 'Historic Spend Factor'!$C$9:$C$159, 0))</f>
        <v>8001153.0448755752</v>
      </c>
      <c r="J128" s="80">
        <v>24822.741999999995</v>
      </c>
      <c r="K128" s="82">
        <f t="shared" si="145"/>
        <v>24822.741999999995</v>
      </c>
      <c r="L128" s="81">
        <f t="shared" si="104"/>
        <v>5050921.3876433987</v>
      </c>
      <c r="M128" s="80">
        <v>5241</v>
      </c>
      <c r="N128" s="82">
        <f t="shared" si="105"/>
        <v>5241</v>
      </c>
      <c r="O128" s="81">
        <f t="shared" si="106"/>
        <v>1334263.1845011895</v>
      </c>
      <c r="P128" s="80">
        <v>6732</v>
      </c>
      <c r="Q128" s="82">
        <f t="shared" si="107"/>
        <v>6732</v>
      </c>
      <c r="R128" s="84">
        <f t="shared" si="108"/>
        <v>413386.35360547499</v>
      </c>
      <c r="S128" s="80">
        <v>2764</v>
      </c>
      <c r="T128" s="82">
        <f t="shared" si="109"/>
        <v>2764</v>
      </c>
      <c r="U128" s="84">
        <f t="shared" si="110"/>
        <v>224040.46740833085</v>
      </c>
      <c r="V128" s="80">
        <v>1150</v>
      </c>
      <c r="W128" s="82">
        <f t="shared" si="111"/>
        <v>1150</v>
      </c>
      <c r="X128" s="84">
        <f t="shared" si="112"/>
        <v>127481.63982485581</v>
      </c>
      <c r="Y128" s="80">
        <v>1940</v>
      </c>
      <c r="Z128" s="82">
        <f t="shared" si="113"/>
        <v>1940</v>
      </c>
      <c r="AA128" s="84">
        <f t="shared" si="114"/>
        <v>228200.1109600726</v>
      </c>
      <c r="AB128" s="80">
        <v>2202</v>
      </c>
      <c r="AC128" s="82">
        <f t="shared" si="115"/>
        <v>2202</v>
      </c>
      <c r="AD128" s="84">
        <f t="shared" si="116"/>
        <v>287906.35611754545</v>
      </c>
      <c r="AE128" s="80">
        <v>1059</v>
      </c>
      <c r="AF128" s="82">
        <f t="shared" si="117"/>
        <v>1059</v>
      </c>
      <c r="AG128" s="84">
        <f t="shared" si="118"/>
        <v>182735.77242460591</v>
      </c>
      <c r="AH128" s="81">
        <f t="shared" si="119"/>
        <v>1463750.7003408857</v>
      </c>
      <c r="AI128" s="80">
        <v>154</v>
      </c>
      <c r="AJ128" s="82">
        <f t="shared" si="120"/>
        <v>154</v>
      </c>
      <c r="AK128" s="84">
        <f t="shared" si="121"/>
        <v>845088.77539631585</v>
      </c>
      <c r="AL128" s="80">
        <v>1517</v>
      </c>
      <c r="AM128" s="82">
        <f t="shared" si="122"/>
        <v>1517</v>
      </c>
      <c r="AN128" s="84">
        <f t="shared" si="123"/>
        <v>1147103.627436362</v>
      </c>
      <c r="AO128" s="564">
        <v>271</v>
      </c>
      <c r="AP128" s="82">
        <f t="shared" si="124"/>
        <v>271</v>
      </c>
      <c r="AQ128" s="84">
        <f t="shared" si="125"/>
        <v>1055855.9333896798</v>
      </c>
      <c r="AR128" s="564">
        <v>449</v>
      </c>
      <c r="AS128" s="82">
        <f t="shared" si="126"/>
        <v>449</v>
      </c>
      <c r="AT128" s="84">
        <f t="shared" si="127"/>
        <v>1237158.1076083658</v>
      </c>
      <c r="AU128" s="81">
        <f t="shared" si="128"/>
        <v>20135294.76119177</v>
      </c>
      <c r="AV128" s="620">
        <f>INDEX('2021-22 Baseline'!$J$9:$J$158,MATCH(C128,'2021-22 Baseline'!$C$9:$C$158,0))</f>
        <v>17988083.269794472</v>
      </c>
      <c r="AW128" s="623">
        <v>24722.006999999961</v>
      </c>
      <c r="AX128" s="620">
        <f t="shared" si="129"/>
        <v>727.61419692966274</v>
      </c>
      <c r="AY128" s="620">
        <f t="shared" si="130"/>
        <v>785.82333268403579</v>
      </c>
      <c r="AZ128" s="620">
        <f t="shared" si="131"/>
        <v>811.16319708724257</v>
      </c>
      <c r="BA128" s="620">
        <f t="shared" si="132"/>
        <v>811.16319708724257</v>
      </c>
      <c r="BB128" s="624">
        <f t="shared" si="133"/>
        <v>0</v>
      </c>
      <c r="BC128" s="620">
        <f t="shared" si="142"/>
        <v>0</v>
      </c>
      <c r="BD128" s="81">
        <f t="shared" si="134"/>
        <v>0</v>
      </c>
      <c r="BE128" s="81">
        <f t="shared" si="139"/>
        <v>20135294.76119177</v>
      </c>
      <c r="BF128" s="588">
        <f>INDEX('AP Funding Factor'!$I$9:$I$158,MATCH(C128,'AP Funding Factor'!$C$9:$C$158,0))</f>
        <v>120207.9503752896</v>
      </c>
      <c r="BG128" s="290">
        <f>INDEX('Import|Export Adjustments Data'!$Q$9:$Q$159,MATCH($C128,'Import|Export Adjustments Data'!$C$9:$C$159,0))</f>
        <v>86</v>
      </c>
      <c r="BH128" s="289">
        <v>36000</v>
      </c>
      <c r="BI128" s="81">
        <f t="shared" si="141"/>
        <v>552000</v>
      </c>
      <c r="BJ128" s="86">
        <f t="shared" si="143"/>
        <v>23633792.711567059</v>
      </c>
      <c r="BK128" s="620">
        <f t="shared" si="99"/>
        <v>727.61419692966274</v>
      </c>
      <c r="BL128" s="620">
        <f t="shared" si="100"/>
        <v>811.16319708724257</v>
      </c>
      <c r="BM128" s="620">
        <f t="shared" si="135"/>
        <v>807.65175859192573</v>
      </c>
      <c r="BN128" s="620">
        <f t="shared" si="146"/>
        <v>20048131.229373652</v>
      </c>
      <c r="BO128" s="281">
        <f t="shared" si="140"/>
        <v>0.1100000000000001</v>
      </c>
      <c r="BP128" s="81">
        <f t="shared" si="147"/>
        <v>22994629.179748941</v>
      </c>
      <c r="BQ128" s="81">
        <f t="shared" si="148"/>
        <v>23546629.179748941</v>
      </c>
      <c r="BS128" s="599"/>
      <c r="BT128" s="601"/>
    </row>
    <row r="129" spans="1:72" ht="15.4" x14ac:dyDescent="0.45">
      <c r="A129" s="76"/>
      <c r="B129" s="77" t="s">
        <v>198</v>
      </c>
      <c r="C129" s="288">
        <v>865</v>
      </c>
      <c r="D129" s="78" t="s">
        <v>211</v>
      </c>
      <c r="E129" s="87">
        <v>1.0111845552654199</v>
      </c>
      <c r="F129" s="327">
        <f t="shared" si="101"/>
        <v>4712.1200275368574</v>
      </c>
      <c r="G129" s="290">
        <v>993.66666600000008</v>
      </c>
      <c r="H129" s="81">
        <f t="shared" si="144"/>
        <v>4682276.5975543773</v>
      </c>
      <c r="I129" s="597">
        <f>INDEX('Historic Spend Factor'!$U$9:$U$159, MATCH(C129, 'Historic Spend Factor'!$C$9:$C$159, 0))</f>
        <v>21139115.156804655</v>
      </c>
      <c r="J129" s="80">
        <v>104837.26399999997</v>
      </c>
      <c r="K129" s="82">
        <f t="shared" si="145"/>
        <v>106009.82217308339</v>
      </c>
      <c r="L129" s="81">
        <f t="shared" si="104"/>
        <v>21570835.249155812</v>
      </c>
      <c r="M129" s="80">
        <v>10079.5</v>
      </c>
      <c r="N129" s="82">
        <f t="shared" si="105"/>
        <v>10192.2347247978</v>
      </c>
      <c r="O129" s="81">
        <f t="shared" si="106"/>
        <v>2594757.405283785</v>
      </c>
      <c r="P129" s="80">
        <v>3165</v>
      </c>
      <c r="Q129" s="82">
        <f t="shared" si="107"/>
        <v>3200.3991174150542</v>
      </c>
      <c r="R129" s="84">
        <f t="shared" si="108"/>
        <v>196524.26043232169</v>
      </c>
      <c r="S129" s="80">
        <v>4899</v>
      </c>
      <c r="T129" s="82">
        <f t="shared" si="109"/>
        <v>4953.7931362452928</v>
      </c>
      <c r="U129" s="84">
        <f t="shared" si="110"/>
        <v>401537.67354868905</v>
      </c>
      <c r="V129" s="80">
        <v>1242</v>
      </c>
      <c r="W129" s="82">
        <f t="shared" si="111"/>
        <v>1255.8912176396516</v>
      </c>
      <c r="X129" s="84">
        <f t="shared" si="112"/>
        <v>139220.06249246755</v>
      </c>
      <c r="Y129" s="80">
        <v>2017</v>
      </c>
      <c r="Z129" s="82">
        <f t="shared" si="113"/>
        <v>2039.5592479703521</v>
      </c>
      <c r="AA129" s="84">
        <f t="shared" si="114"/>
        <v>239911.15809096734</v>
      </c>
      <c r="AB129" s="80">
        <v>0</v>
      </c>
      <c r="AC129" s="82">
        <f t="shared" si="115"/>
        <v>0</v>
      </c>
      <c r="AD129" s="84">
        <f t="shared" si="116"/>
        <v>0</v>
      </c>
      <c r="AE129" s="80">
        <v>0</v>
      </c>
      <c r="AF129" s="82">
        <f t="shared" si="117"/>
        <v>0</v>
      </c>
      <c r="AG129" s="84">
        <f t="shared" si="118"/>
        <v>0</v>
      </c>
      <c r="AH129" s="81">
        <f t="shared" si="119"/>
        <v>977193.15456444572</v>
      </c>
      <c r="AI129" s="80">
        <v>381</v>
      </c>
      <c r="AJ129" s="82">
        <f t="shared" si="120"/>
        <v>385.261315556125</v>
      </c>
      <c r="AK129" s="84">
        <f t="shared" si="121"/>
        <v>2114155.9309798656</v>
      </c>
      <c r="AL129" s="80">
        <v>4487</v>
      </c>
      <c r="AM129" s="82">
        <f t="shared" si="122"/>
        <v>4537.1850994759398</v>
      </c>
      <c r="AN129" s="84">
        <f t="shared" si="123"/>
        <v>3430864.5260112472</v>
      </c>
      <c r="AO129" s="564">
        <v>720</v>
      </c>
      <c r="AP129" s="82">
        <f t="shared" si="124"/>
        <v>728.05287979110233</v>
      </c>
      <c r="AQ129" s="84">
        <f t="shared" si="125"/>
        <v>2836601.3023943859</v>
      </c>
      <c r="AR129" s="564">
        <v>1091</v>
      </c>
      <c r="AS129" s="82">
        <f t="shared" si="126"/>
        <v>1103.2023497945731</v>
      </c>
      <c r="AT129" s="84">
        <f t="shared" si="127"/>
        <v>3039723.2324742912</v>
      </c>
      <c r="AU129" s="81">
        <f t="shared" si="128"/>
        <v>57703245.957668483</v>
      </c>
      <c r="AV129" s="620">
        <f>INDEX('2021-22 Baseline'!$J$9:$J$158,MATCH(C129,'2021-22 Baseline'!$C$9:$C$158,0))</f>
        <v>54064320.483664565</v>
      </c>
      <c r="AW129" s="623">
        <v>104559.98999999993</v>
      </c>
      <c r="AX129" s="620">
        <f t="shared" si="129"/>
        <v>517.06508850722537</v>
      </c>
      <c r="AY129" s="620">
        <f t="shared" si="130"/>
        <v>558.43029558780347</v>
      </c>
      <c r="AZ129" s="620">
        <f t="shared" si="131"/>
        <v>550.40778208088773</v>
      </c>
      <c r="BA129" s="620">
        <f t="shared" si="132"/>
        <v>558.43029558780347</v>
      </c>
      <c r="BB129" s="624">
        <f t="shared" si="133"/>
        <v>841058.36646809138</v>
      </c>
      <c r="BC129" s="620">
        <f t="shared" si="142"/>
        <v>0</v>
      </c>
      <c r="BD129" s="81">
        <f t="shared" si="134"/>
        <v>841058.36646809138</v>
      </c>
      <c r="BE129" s="81">
        <f t="shared" si="139"/>
        <v>58544304.324136578</v>
      </c>
      <c r="BF129" s="588">
        <f>INDEX('AP Funding Factor'!$I$9:$I$158,MATCH(C129,'AP Funding Factor'!$C$9:$C$158,0))</f>
        <v>866971.10327283316</v>
      </c>
      <c r="BG129" s="290">
        <f>INDEX('Import|Export Adjustments Data'!$Q$9:$Q$159,MATCH($C129,'Import|Export Adjustments Data'!$C$9:$C$159,0))</f>
        <v>-292</v>
      </c>
      <c r="BH129" s="289">
        <v>12000</v>
      </c>
      <c r="BI129" s="81">
        <f t="shared" si="141"/>
        <v>-1740000</v>
      </c>
      <c r="BJ129" s="86">
        <f t="shared" si="143"/>
        <v>62353552.024963789</v>
      </c>
      <c r="BK129" s="620">
        <f t="shared" si="99"/>
        <v>517.06508850722537</v>
      </c>
      <c r="BL129" s="620">
        <f t="shared" si="100"/>
        <v>558.43029558780347</v>
      </c>
      <c r="BM129" s="620">
        <f t="shared" si="135"/>
        <v>558.43029558780347</v>
      </c>
      <c r="BN129" s="620">
        <f t="shared" si="146"/>
        <v>58544304.32413657</v>
      </c>
      <c r="BO129" s="281">
        <f t="shared" si="140"/>
        <v>8.0000000000000071E-2</v>
      </c>
      <c r="BP129" s="81">
        <f t="shared" si="147"/>
        <v>64093552.024963781</v>
      </c>
      <c r="BQ129" s="81">
        <f t="shared" si="148"/>
        <v>62353552.024963781</v>
      </c>
      <c r="BS129" s="599"/>
      <c r="BT129" s="601"/>
    </row>
    <row r="130" spans="1:72" ht="15.4" x14ac:dyDescent="0.45">
      <c r="A130" s="76"/>
      <c r="B130" s="77" t="s">
        <v>212</v>
      </c>
      <c r="C130" s="288">
        <v>330</v>
      </c>
      <c r="D130" s="78" t="s">
        <v>213</v>
      </c>
      <c r="E130" s="87">
        <v>1.0052687845689201</v>
      </c>
      <c r="F130" s="327">
        <f t="shared" si="101"/>
        <v>4684.5525360911679</v>
      </c>
      <c r="G130" s="290">
        <v>4780.5</v>
      </c>
      <c r="H130" s="81">
        <f t="shared" si="144"/>
        <v>22394503.398783829</v>
      </c>
      <c r="I130" s="597">
        <f>INDEX('Historic Spend Factor'!$U$9:$U$159, MATCH(C130, 'Historic Spend Factor'!$C$9:$C$159, 0))</f>
        <v>67538628.156125024</v>
      </c>
      <c r="J130" s="80">
        <v>275651.22199999978</v>
      </c>
      <c r="K130" s="82">
        <f t="shared" si="145"/>
        <v>277103.56890487735</v>
      </c>
      <c r="L130" s="81">
        <f t="shared" si="104"/>
        <v>56384920.842909358</v>
      </c>
      <c r="M130" s="80">
        <v>76020.5</v>
      </c>
      <c r="N130" s="82">
        <f t="shared" si="105"/>
        <v>76421.035637321591</v>
      </c>
      <c r="O130" s="81">
        <f t="shared" si="106"/>
        <v>19455404.383196261</v>
      </c>
      <c r="P130" s="80">
        <v>22378</v>
      </c>
      <c r="Q130" s="82">
        <f t="shared" si="107"/>
        <v>22495.904861083294</v>
      </c>
      <c r="R130" s="84">
        <f t="shared" si="108"/>
        <v>1381387.4155643051</v>
      </c>
      <c r="S130" s="80">
        <v>32772</v>
      </c>
      <c r="T130" s="82">
        <f t="shared" si="109"/>
        <v>32944.66860789265</v>
      </c>
      <c r="U130" s="84">
        <f t="shared" si="110"/>
        <v>2670383.1235618065</v>
      </c>
      <c r="V130" s="80">
        <v>30880</v>
      </c>
      <c r="W130" s="82">
        <f t="shared" si="111"/>
        <v>31042.700067488251</v>
      </c>
      <c r="X130" s="84">
        <f t="shared" si="112"/>
        <v>3441195.0514735347</v>
      </c>
      <c r="Y130" s="80">
        <v>44975</v>
      </c>
      <c r="Z130" s="82">
        <f t="shared" si="113"/>
        <v>45211.963585987185</v>
      </c>
      <c r="AA130" s="84">
        <f t="shared" si="114"/>
        <v>5318234.5912603289</v>
      </c>
      <c r="AB130" s="80">
        <v>54371</v>
      </c>
      <c r="AC130" s="82">
        <f t="shared" si="115"/>
        <v>54657.469085796758</v>
      </c>
      <c r="AD130" s="84">
        <f t="shared" si="116"/>
        <v>7146336.4028606424</v>
      </c>
      <c r="AE130" s="80">
        <v>22252</v>
      </c>
      <c r="AF130" s="82">
        <f t="shared" si="117"/>
        <v>22369.24099422761</v>
      </c>
      <c r="AG130" s="84">
        <f t="shared" si="118"/>
        <v>3859924.9590484812</v>
      </c>
      <c r="AH130" s="81">
        <f t="shared" si="119"/>
        <v>23817461.543769099</v>
      </c>
      <c r="AI130" s="80">
        <v>2453</v>
      </c>
      <c r="AJ130" s="82">
        <f t="shared" si="120"/>
        <v>2465.9243285475609</v>
      </c>
      <c r="AK130" s="84">
        <f t="shared" si="121"/>
        <v>13531980.331378186</v>
      </c>
      <c r="AL130" s="80">
        <v>13478</v>
      </c>
      <c r="AM130" s="82">
        <f t="shared" si="122"/>
        <v>13549.012678419906</v>
      </c>
      <c r="AN130" s="84">
        <f t="shared" si="123"/>
        <v>10245300.983254274</v>
      </c>
      <c r="AO130" s="564">
        <v>2841</v>
      </c>
      <c r="AP130" s="82">
        <f t="shared" si="124"/>
        <v>2855.9686169603019</v>
      </c>
      <c r="AQ130" s="84">
        <f t="shared" si="125"/>
        <v>11127274.57487916</v>
      </c>
      <c r="AR130" s="564">
        <v>3454</v>
      </c>
      <c r="AS130" s="82">
        <f t="shared" si="126"/>
        <v>3472.1983819010502</v>
      </c>
      <c r="AT130" s="84">
        <f t="shared" si="127"/>
        <v>9567167.8828363772</v>
      </c>
      <c r="AU130" s="81">
        <f t="shared" si="128"/>
        <v>211668138.69834775</v>
      </c>
      <c r="AV130" s="620">
        <f>INDEX('2021-22 Baseline'!$J$9:$J$158,MATCH(C130,'2021-22 Baseline'!$C$9:$C$158,0))</f>
        <v>187444865.75265604</v>
      </c>
      <c r="AW130" s="623">
        <v>274865.63699999987</v>
      </c>
      <c r="AX130" s="620">
        <f t="shared" si="129"/>
        <v>681.95088989118028</v>
      </c>
      <c r="AY130" s="620">
        <f t="shared" si="130"/>
        <v>736.50696108247473</v>
      </c>
      <c r="AZ130" s="620">
        <f t="shared" si="131"/>
        <v>767.88391200510591</v>
      </c>
      <c r="BA130" s="620">
        <f t="shared" si="132"/>
        <v>767.88391200510591</v>
      </c>
      <c r="BB130" s="624">
        <f t="shared" si="133"/>
        <v>0</v>
      </c>
      <c r="BC130" s="620">
        <f t="shared" si="142"/>
        <v>0</v>
      </c>
      <c r="BD130" s="81">
        <f t="shared" si="134"/>
        <v>0</v>
      </c>
      <c r="BE130" s="81">
        <f t="shared" si="139"/>
        <v>211668138.69834775</v>
      </c>
      <c r="BF130" s="588">
        <f>INDEX('AP Funding Factor'!$I$9:$I$158,MATCH(C130,'AP Funding Factor'!$C$9:$C$158,0))</f>
        <v>7090132.8436724469</v>
      </c>
      <c r="BG130" s="290">
        <f>INDEX('Import|Export Adjustments Data'!$Q$9:$Q$159,MATCH($C130,'Import|Export Adjustments Data'!$C$9:$C$159,0))</f>
        <v>-666.5</v>
      </c>
      <c r="BH130" s="289">
        <v>0</v>
      </c>
      <c r="BI130" s="81">
        <f t="shared" si="141"/>
        <v>-3999000</v>
      </c>
      <c r="BJ130" s="86">
        <f t="shared" si="143"/>
        <v>237153774.94080403</v>
      </c>
      <c r="BK130" s="620">
        <f t="shared" si="99"/>
        <v>681.95088989118028</v>
      </c>
      <c r="BL130" s="620">
        <f t="shared" si="100"/>
        <v>767.88391200510591</v>
      </c>
      <c r="BM130" s="620">
        <f t="shared" si="135"/>
        <v>756.96548777921021</v>
      </c>
      <c r="BN130" s="620">
        <f t="shared" si="146"/>
        <v>208658461.71816519</v>
      </c>
      <c r="BO130" s="281">
        <f t="shared" si="140"/>
        <v>0.1100000000000001</v>
      </c>
      <c r="BP130" s="81">
        <f t="shared" si="147"/>
        <v>238143097.96062148</v>
      </c>
      <c r="BQ130" s="81">
        <f t="shared" si="148"/>
        <v>234144097.96062148</v>
      </c>
      <c r="BS130" s="599"/>
      <c r="BT130" s="601"/>
    </row>
    <row r="131" spans="1:72" ht="15.4" x14ac:dyDescent="0.45">
      <c r="A131" s="76"/>
      <c r="B131" s="77" t="s">
        <v>212</v>
      </c>
      <c r="C131" s="288">
        <v>331</v>
      </c>
      <c r="D131" s="78" t="s">
        <v>214</v>
      </c>
      <c r="E131" s="87">
        <v>1.0052687845689201</v>
      </c>
      <c r="F131" s="327">
        <f t="shared" si="101"/>
        <v>4684.5525360911679</v>
      </c>
      <c r="G131" s="290">
        <v>1147</v>
      </c>
      <c r="H131" s="81">
        <f t="shared" si="144"/>
        <v>5373181.7588965697</v>
      </c>
      <c r="I131" s="597">
        <f>INDEX('Historic Spend Factor'!$U$9:$U$159, MATCH(C131, 'Historic Spend Factor'!$C$9:$C$159, 0))</f>
        <v>15058162.28203655</v>
      </c>
      <c r="J131" s="80">
        <v>79070.256999999954</v>
      </c>
      <c r="K131" s="82">
        <f t="shared" si="145"/>
        <v>79486.861149942095</v>
      </c>
      <c r="L131" s="81">
        <f t="shared" si="104"/>
        <v>16173953.990211224</v>
      </c>
      <c r="M131" s="80">
        <v>14250</v>
      </c>
      <c r="N131" s="82">
        <f t="shared" si="105"/>
        <v>14325.080180107112</v>
      </c>
      <c r="O131" s="81">
        <f t="shared" si="106"/>
        <v>3646904.6173143657</v>
      </c>
      <c r="P131" s="80">
        <v>6567</v>
      </c>
      <c r="Q131" s="82">
        <f t="shared" si="107"/>
        <v>6601.6001082640987</v>
      </c>
      <c r="R131" s="84">
        <f t="shared" si="108"/>
        <v>405378.99535306066</v>
      </c>
      <c r="S131" s="80">
        <v>9305</v>
      </c>
      <c r="T131" s="82">
        <f t="shared" si="109"/>
        <v>9354.0260404138007</v>
      </c>
      <c r="U131" s="84">
        <f t="shared" si="110"/>
        <v>758205.6317814783</v>
      </c>
      <c r="V131" s="80">
        <v>8493</v>
      </c>
      <c r="W131" s="82">
        <f t="shared" si="111"/>
        <v>8537.7477873438384</v>
      </c>
      <c r="X131" s="84">
        <f t="shared" si="112"/>
        <v>946440.076818806</v>
      </c>
      <c r="Y131" s="80">
        <v>4539</v>
      </c>
      <c r="Z131" s="82">
        <f t="shared" si="113"/>
        <v>4562.9150131583283</v>
      </c>
      <c r="AA131" s="84">
        <f t="shared" si="114"/>
        <v>536730.77953820187</v>
      </c>
      <c r="AB131" s="80">
        <v>11270</v>
      </c>
      <c r="AC131" s="82">
        <f t="shared" si="115"/>
        <v>11329.37920209173</v>
      </c>
      <c r="AD131" s="84">
        <f t="shared" si="116"/>
        <v>1481289.8651898885</v>
      </c>
      <c r="AE131" s="80">
        <v>3118</v>
      </c>
      <c r="AF131" s="82">
        <f t="shared" si="117"/>
        <v>3134.4280702858928</v>
      </c>
      <c r="AG131" s="84">
        <f t="shared" si="118"/>
        <v>540861.31683952746</v>
      </c>
      <c r="AH131" s="81">
        <f t="shared" si="119"/>
        <v>4668906.6655209633</v>
      </c>
      <c r="AI131" s="80">
        <v>497</v>
      </c>
      <c r="AJ131" s="82">
        <f t="shared" si="120"/>
        <v>499.61858593075328</v>
      </c>
      <c r="AK131" s="84">
        <f t="shared" si="121"/>
        <v>2741701.6814899952</v>
      </c>
      <c r="AL131" s="80">
        <v>3353</v>
      </c>
      <c r="AM131" s="82">
        <f t="shared" si="122"/>
        <v>3370.666234659589</v>
      </c>
      <c r="AN131" s="84">
        <f t="shared" si="123"/>
        <v>2548782.771691021</v>
      </c>
      <c r="AO131" s="564">
        <v>714</v>
      </c>
      <c r="AP131" s="82">
        <f t="shared" si="124"/>
        <v>717.7619121822089</v>
      </c>
      <c r="AQ131" s="84">
        <f t="shared" si="125"/>
        <v>2796506.1761575923</v>
      </c>
      <c r="AR131" s="564">
        <v>1047</v>
      </c>
      <c r="AS131" s="82">
        <f t="shared" si="126"/>
        <v>1052.5164174436593</v>
      </c>
      <c r="AT131" s="84">
        <f t="shared" si="127"/>
        <v>2900065.0762390522</v>
      </c>
      <c r="AU131" s="81">
        <f t="shared" si="128"/>
        <v>50534983.260660775</v>
      </c>
      <c r="AV131" s="620">
        <f>INDEX('2021-22 Baseline'!$J$9:$J$158,MATCH(C131,'2021-22 Baseline'!$C$9:$C$158,0))</f>
        <v>46318718.319085725</v>
      </c>
      <c r="AW131" s="623">
        <v>78025.008999999976</v>
      </c>
      <c r="AX131" s="620">
        <f t="shared" si="129"/>
        <v>593.63938450921216</v>
      </c>
      <c r="AY131" s="620">
        <f t="shared" si="130"/>
        <v>641.13053526994918</v>
      </c>
      <c r="AZ131" s="620">
        <f t="shared" si="131"/>
        <v>639.11494888224286</v>
      </c>
      <c r="BA131" s="620">
        <f t="shared" si="132"/>
        <v>641.13053526994918</v>
      </c>
      <c r="BB131" s="624">
        <f t="shared" si="133"/>
        <v>159372.93368164037</v>
      </c>
      <c r="BC131" s="620">
        <f t="shared" si="142"/>
        <v>0</v>
      </c>
      <c r="BD131" s="81">
        <f t="shared" si="134"/>
        <v>159372.93368164037</v>
      </c>
      <c r="BE131" s="81">
        <f t="shared" si="139"/>
        <v>50694356.194342412</v>
      </c>
      <c r="BF131" s="588">
        <f>INDEX('AP Funding Factor'!$I$9:$I$158,MATCH(C131,'AP Funding Factor'!$C$9:$C$158,0))</f>
        <v>743189.37351108971</v>
      </c>
      <c r="BG131" s="290">
        <f>INDEX('Import|Export Adjustments Data'!$Q$9:$Q$159,MATCH($C131,'Import|Export Adjustments Data'!$C$9:$C$159,0))</f>
        <v>108.5</v>
      </c>
      <c r="BH131" s="289">
        <v>0</v>
      </c>
      <c r="BI131" s="81">
        <f t="shared" si="141"/>
        <v>651000</v>
      </c>
      <c r="BJ131" s="86">
        <f t="shared" si="143"/>
        <v>57461727.32675007</v>
      </c>
      <c r="BK131" s="620">
        <f t="shared" si="99"/>
        <v>593.63938450921216</v>
      </c>
      <c r="BL131" s="620">
        <f t="shared" si="100"/>
        <v>641.13053526994918</v>
      </c>
      <c r="BM131" s="620">
        <f t="shared" si="135"/>
        <v>641.13053526994918</v>
      </c>
      <c r="BN131" s="620">
        <f t="shared" si="146"/>
        <v>50694356.19434242</v>
      </c>
      <c r="BO131" s="281">
        <f t="shared" si="140"/>
        <v>8.0000000000000071E-2</v>
      </c>
      <c r="BP131" s="81">
        <f t="shared" si="147"/>
        <v>56810727.326750077</v>
      </c>
      <c r="BQ131" s="81">
        <f t="shared" si="148"/>
        <v>57461727.326750077</v>
      </c>
      <c r="BS131" s="599"/>
      <c r="BT131" s="601"/>
    </row>
    <row r="132" spans="1:72" ht="15.4" x14ac:dyDescent="0.45">
      <c r="A132" s="76"/>
      <c r="B132" s="77" t="s">
        <v>212</v>
      </c>
      <c r="C132" s="288">
        <v>332</v>
      </c>
      <c r="D132" s="78" t="s">
        <v>215</v>
      </c>
      <c r="E132" s="87">
        <v>1.0052687845689201</v>
      </c>
      <c r="F132" s="327">
        <f t="shared" si="101"/>
        <v>4684.5525360911679</v>
      </c>
      <c r="G132" s="290">
        <v>1013</v>
      </c>
      <c r="H132" s="81">
        <f t="shared" si="144"/>
        <v>4745451.719060353</v>
      </c>
      <c r="I132" s="597">
        <f>INDEX('Historic Spend Factor'!$U$9:$U$159, MATCH(C132, 'Historic Spend Factor'!$C$9:$C$159, 0))</f>
        <v>12942118.951480115</v>
      </c>
      <c r="J132" s="80">
        <v>67464.609999999986</v>
      </c>
      <c r="K132" s="82">
        <f t="shared" si="145"/>
        <v>67820.066496116197</v>
      </c>
      <c r="L132" s="81">
        <f t="shared" si="104"/>
        <v>13799999.386716861</v>
      </c>
      <c r="M132" s="80">
        <v>11895</v>
      </c>
      <c r="N132" s="82">
        <f t="shared" si="105"/>
        <v>11957.672192447304</v>
      </c>
      <c r="O132" s="81">
        <f t="shared" si="106"/>
        <v>3044205.6437160964</v>
      </c>
      <c r="P132" s="80">
        <v>4833</v>
      </c>
      <c r="Q132" s="82">
        <f t="shared" si="107"/>
        <v>4858.4640358215911</v>
      </c>
      <c r="R132" s="84">
        <f t="shared" si="108"/>
        <v>298339.68091081805</v>
      </c>
      <c r="S132" s="80">
        <v>11914</v>
      </c>
      <c r="T132" s="82">
        <f t="shared" si="109"/>
        <v>11976.772299354114</v>
      </c>
      <c r="U132" s="84">
        <f t="shared" si="110"/>
        <v>970796.5499241841</v>
      </c>
      <c r="V132" s="80">
        <v>5072</v>
      </c>
      <c r="W132" s="82">
        <f t="shared" si="111"/>
        <v>5098.7232753335629</v>
      </c>
      <c r="X132" s="84">
        <f t="shared" si="112"/>
        <v>565211.82969798462</v>
      </c>
      <c r="Y132" s="80">
        <v>8665</v>
      </c>
      <c r="Z132" s="82">
        <f t="shared" si="113"/>
        <v>8710.6540182896933</v>
      </c>
      <c r="AA132" s="84">
        <f t="shared" si="114"/>
        <v>1024624.8523239744</v>
      </c>
      <c r="AB132" s="80">
        <v>4777</v>
      </c>
      <c r="AC132" s="82">
        <f t="shared" si="115"/>
        <v>4802.168983885731</v>
      </c>
      <c r="AD132" s="84">
        <f t="shared" si="116"/>
        <v>627872.37675351347</v>
      </c>
      <c r="AE132" s="80">
        <v>2494</v>
      </c>
      <c r="AF132" s="82">
        <f t="shared" si="117"/>
        <v>2507.1403487148868</v>
      </c>
      <c r="AG132" s="84">
        <f t="shared" si="118"/>
        <v>432619.66779916023</v>
      </c>
      <c r="AH132" s="81">
        <f t="shared" si="119"/>
        <v>3919464.9574096352</v>
      </c>
      <c r="AI132" s="80">
        <v>392</v>
      </c>
      <c r="AJ132" s="82">
        <f t="shared" si="120"/>
        <v>394.06536355101667</v>
      </c>
      <c r="AK132" s="84">
        <f t="shared" si="121"/>
        <v>2162468.9318794329</v>
      </c>
      <c r="AL132" s="80">
        <v>2903</v>
      </c>
      <c r="AM132" s="82">
        <f t="shared" si="122"/>
        <v>2918.2952816035749</v>
      </c>
      <c r="AN132" s="84">
        <f t="shared" si="123"/>
        <v>2206715.2956215432</v>
      </c>
      <c r="AO132" s="564">
        <v>634</v>
      </c>
      <c r="AP132" s="82">
        <f t="shared" si="124"/>
        <v>637.34040941669537</v>
      </c>
      <c r="AQ132" s="84">
        <f t="shared" si="125"/>
        <v>2483172.1508178064</v>
      </c>
      <c r="AR132" s="564">
        <v>754</v>
      </c>
      <c r="AS132" s="82">
        <f t="shared" si="126"/>
        <v>757.97266356496573</v>
      </c>
      <c r="AT132" s="84">
        <f t="shared" si="127"/>
        <v>2088490.0358015716</v>
      </c>
      <c r="AU132" s="81">
        <f t="shared" si="128"/>
        <v>42646635.353443064</v>
      </c>
      <c r="AV132" s="620">
        <f>INDEX('2021-22 Baseline'!$J$9:$J$158,MATCH(C132,'2021-22 Baseline'!$C$9:$C$158,0))</f>
        <v>36211629.839502789</v>
      </c>
      <c r="AW132" s="623">
        <v>66993.966999999946</v>
      </c>
      <c r="AX132" s="620">
        <f t="shared" si="129"/>
        <v>540.52075822742097</v>
      </c>
      <c r="AY132" s="620">
        <f t="shared" si="130"/>
        <v>583.76241888561469</v>
      </c>
      <c r="AZ132" s="620">
        <f t="shared" si="131"/>
        <v>632.13343045254499</v>
      </c>
      <c r="BA132" s="620">
        <f t="shared" si="132"/>
        <v>632.13343045254499</v>
      </c>
      <c r="BB132" s="624">
        <f t="shared" si="133"/>
        <v>0</v>
      </c>
      <c r="BC132" s="620">
        <f t="shared" si="142"/>
        <v>0</v>
      </c>
      <c r="BD132" s="81">
        <f t="shared" si="134"/>
        <v>0</v>
      </c>
      <c r="BE132" s="81">
        <f t="shared" si="139"/>
        <v>42646635.353443064</v>
      </c>
      <c r="BF132" s="588">
        <f>INDEX('AP Funding Factor'!$I$9:$I$158,MATCH(C132,'AP Funding Factor'!$C$9:$C$158,0))</f>
        <v>1706095.0775190319</v>
      </c>
      <c r="BG132" s="290">
        <f>INDEX('Import|Export Adjustments Data'!$Q$9:$Q$159,MATCH($C132,'Import|Export Adjustments Data'!$C$9:$C$159,0))</f>
        <v>19</v>
      </c>
      <c r="BH132" s="289">
        <v>12000</v>
      </c>
      <c r="BI132" s="81">
        <f t="shared" si="141"/>
        <v>126000</v>
      </c>
      <c r="BJ132" s="86">
        <f t="shared" si="143"/>
        <v>49224182.150022447</v>
      </c>
      <c r="BK132" s="620">
        <f t="shared" si="99"/>
        <v>540.52075822742097</v>
      </c>
      <c r="BL132" s="620">
        <f t="shared" si="100"/>
        <v>632.13343045254499</v>
      </c>
      <c r="BM132" s="620">
        <f t="shared" si="135"/>
        <v>599.97804163243734</v>
      </c>
      <c r="BN132" s="620">
        <f t="shared" si="146"/>
        <v>40477284.587296143</v>
      </c>
      <c r="BO132" s="281">
        <f t="shared" si="140"/>
        <v>0.1100000000000001</v>
      </c>
      <c r="BP132" s="81">
        <f t="shared" si="147"/>
        <v>46928831.383875526</v>
      </c>
      <c r="BQ132" s="81">
        <f t="shared" si="148"/>
        <v>47054831.383875526</v>
      </c>
      <c r="BS132" s="599"/>
      <c r="BT132" s="601"/>
    </row>
    <row r="133" spans="1:72" ht="15.4" x14ac:dyDescent="0.45">
      <c r="A133" s="76"/>
      <c r="B133" s="77" t="s">
        <v>212</v>
      </c>
      <c r="C133" s="288">
        <v>884</v>
      </c>
      <c r="D133" s="78" t="s">
        <v>523</v>
      </c>
      <c r="E133" s="87">
        <v>1</v>
      </c>
      <c r="F133" s="327">
        <f t="shared" si="101"/>
        <v>4660</v>
      </c>
      <c r="G133" s="290">
        <v>386.25</v>
      </c>
      <c r="H133" s="81">
        <f t="shared" si="144"/>
        <v>1799925</v>
      </c>
      <c r="I133" s="597">
        <f>INDEX('Historic Spend Factor'!$U$9:$U$159, MATCH(C133, 'Historic Spend Factor'!$C$9:$C$159, 0))</f>
        <v>7031847.0780010112</v>
      </c>
      <c r="J133" s="80">
        <v>35473.727999999981</v>
      </c>
      <c r="K133" s="82">
        <f t="shared" si="145"/>
        <v>35473.727999999981</v>
      </c>
      <c r="L133" s="81">
        <f t="shared" si="104"/>
        <v>7218179.6618054695</v>
      </c>
      <c r="M133" s="80">
        <v>3693</v>
      </c>
      <c r="N133" s="82">
        <f t="shared" si="105"/>
        <v>3693</v>
      </c>
      <c r="O133" s="81">
        <f t="shared" si="106"/>
        <v>940170.56675498816</v>
      </c>
      <c r="P133" s="80">
        <v>1978</v>
      </c>
      <c r="Q133" s="82">
        <f t="shared" si="107"/>
        <v>1978</v>
      </c>
      <c r="R133" s="84">
        <f t="shared" si="108"/>
        <v>121461.40930356945</v>
      </c>
      <c r="S133" s="80">
        <v>3785</v>
      </c>
      <c r="T133" s="82">
        <f t="shared" si="109"/>
        <v>3785</v>
      </c>
      <c r="U133" s="84">
        <f t="shared" si="110"/>
        <v>306799.26524621277</v>
      </c>
      <c r="V133" s="80">
        <v>1728</v>
      </c>
      <c r="W133" s="82">
        <f t="shared" si="111"/>
        <v>1728</v>
      </c>
      <c r="X133" s="84">
        <f t="shared" si="112"/>
        <v>191555.02053682681</v>
      </c>
      <c r="Y133" s="80">
        <v>0</v>
      </c>
      <c r="Z133" s="82">
        <f t="shared" si="113"/>
        <v>0</v>
      </c>
      <c r="AA133" s="84">
        <f t="shared" si="114"/>
        <v>0</v>
      </c>
      <c r="AB133" s="80">
        <v>0</v>
      </c>
      <c r="AC133" s="82">
        <f t="shared" si="115"/>
        <v>0</v>
      </c>
      <c r="AD133" s="84">
        <f t="shared" si="116"/>
        <v>0</v>
      </c>
      <c r="AE133" s="80">
        <v>0</v>
      </c>
      <c r="AF133" s="82">
        <f t="shared" si="117"/>
        <v>0</v>
      </c>
      <c r="AG133" s="84">
        <f t="shared" si="118"/>
        <v>0</v>
      </c>
      <c r="AH133" s="81">
        <f t="shared" si="119"/>
        <v>619815.69508660899</v>
      </c>
      <c r="AI133" s="80">
        <v>165</v>
      </c>
      <c r="AJ133" s="82">
        <f t="shared" si="120"/>
        <v>165</v>
      </c>
      <c r="AK133" s="84">
        <f t="shared" si="121"/>
        <v>905452.25935319543</v>
      </c>
      <c r="AL133" s="80">
        <v>1128</v>
      </c>
      <c r="AM133" s="82">
        <f t="shared" si="122"/>
        <v>1128</v>
      </c>
      <c r="AN133" s="84">
        <f t="shared" si="123"/>
        <v>852955.10332776303</v>
      </c>
      <c r="AO133" s="564">
        <v>237</v>
      </c>
      <c r="AP133" s="82">
        <f t="shared" si="124"/>
        <v>237</v>
      </c>
      <c r="AQ133" s="84">
        <f t="shared" si="125"/>
        <v>923386.92329650966</v>
      </c>
      <c r="AR133" s="564">
        <v>381</v>
      </c>
      <c r="AS133" s="82">
        <f t="shared" si="126"/>
        <v>381</v>
      </c>
      <c r="AT133" s="84">
        <f t="shared" si="127"/>
        <v>1049793.4053425109</v>
      </c>
      <c r="AU133" s="81">
        <f t="shared" si="128"/>
        <v>19541600.692968059</v>
      </c>
      <c r="AV133" s="620">
        <f>INDEX('2021-22 Baseline'!$J$9:$J$158,MATCH(C133,'2021-22 Baseline'!$C$9:$C$158,0))</f>
        <v>17520367.526977867</v>
      </c>
      <c r="AW133" s="623">
        <v>35215.791999999979</v>
      </c>
      <c r="AX133" s="620">
        <f t="shared" si="129"/>
        <v>497.51451073364689</v>
      </c>
      <c r="AY133" s="620">
        <f t="shared" si="130"/>
        <v>537.31567159233862</v>
      </c>
      <c r="AZ133" s="620">
        <f t="shared" si="131"/>
        <v>550.87530391415498</v>
      </c>
      <c r="BA133" s="620">
        <f t="shared" si="132"/>
        <v>550.87530391415498</v>
      </c>
      <c r="BB133" s="624">
        <f t="shared" si="133"/>
        <v>0</v>
      </c>
      <c r="BC133" s="620">
        <f t="shared" si="142"/>
        <v>0</v>
      </c>
      <c r="BD133" s="81">
        <f t="shared" si="134"/>
        <v>0</v>
      </c>
      <c r="BE133" s="81">
        <f t="shared" si="139"/>
        <v>19541600.692968059</v>
      </c>
      <c r="BF133" s="588">
        <f>INDEX('AP Funding Factor'!$I$9:$I$158,MATCH(C133,'AP Funding Factor'!$C$9:$C$158,0))</f>
        <v>405341.806657821</v>
      </c>
      <c r="BG133" s="290">
        <f>INDEX('Import|Export Adjustments Data'!$Q$9:$Q$159,MATCH($C133,'Import|Export Adjustments Data'!$C$9:$C$159,0))</f>
        <v>55.5</v>
      </c>
      <c r="BH133" s="289">
        <v>0</v>
      </c>
      <c r="BI133" s="81">
        <f t="shared" si="141"/>
        <v>333000</v>
      </c>
      <c r="BJ133" s="86">
        <f t="shared" si="143"/>
        <v>22079867.49962588</v>
      </c>
      <c r="BK133" s="620">
        <f t="shared" si="99"/>
        <v>497.51451073364689</v>
      </c>
      <c r="BL133" s="620">
        <f t="shared" si="100"/>
        <v>550.87530391415498</v>
      </c>
      <c r="BM133" s="620">
        <f t="shared" si="135"/>
        <v>550.87530391415498</v>
      </c>
      <c r="BN133" s="620">
        <f t="shared" si="146"/>
        <v>19541600.692968059</v>
      </c>
      <c r="BO133" s="281">
        <f t="shared" si="140"/>
        <v>0.10725474740791174</v>
      </c>
      <c r="BP133" s="81">
        <f t="shared" si="147"/>
        <v>21746867.49962588</v>
      </c>
      <c r="BQ133" s="81">
        <f t="shared" si="148"/>
        <v>22079867.49962588</v>
      </c>
      <c r="BS133" s="599"/>
      <c r="BT133" s="601"/>
    </row>
    <row r="134" spans="1:72" ht="15.4" x14ac:dyDescent="0.45">
      <c r="A134" s="76"/>
      <c r="B134" s="77" t="s">
        <v>212</v>
      </c>
      <c r="C134" s="288">
        <v>333</v>
      </c>
      <c r="D134" s="78" t="s">
        <v>216</v>
      </c>
      <c r="E134" s="87">
        <v>1.0052687845689201</v>
      </c>
      <c r="F134" s="327">
        <f t="shared" si="101"/>
        <v>4684.5525360911679</v>
      </c>
      <c r="G134" s="290">
        <v>720.83333200000004</v>
      </c>
      <c r="H134" s="81">
        <f t="shared" si="144"/>
        <v>3376781.6135196472</v>
      </c>
      <c r="I134" s="597">
        <f>INDEX('Historic Spend Factor'!$U$9:$U$159, MATCH(C134, 'Historic Spend Factor'!$C$9:$C$159, 0))</f>
        <v>17970994.268633485</v>
      </c>
      <c r="J134" s="80">
        <v>79191.417999999991</v>
      </c>
      <c r="K134" s="82">
        <f t="shared" si="145"/>
        <v>79608.660521149286</v>
      </c>
      <c r="L134" s="81">
        <f t="shared" si="104"/>
        <v>16198737.676438633</v>
      </c>
      <c r="M134" s="80">
        <v>18244.5</v>
      </c>
      <c r="N134" s="82">
        <f t="shared" si="105"/>
        <v>18340.626340067662</v>
      </c>
      <c r="O134" s="81">
        <f t="shared" si="106"/>
        <v>4669189.5642520655</v>
      </c>
      <c r="P134" s="80">
        <v>9165</v>
      </c>
      <c r="Q134" s="82">
        <f t="shared" si="107"/>
        <v>9213.2884105741523</v>
      </c>
      <c r="R134" s="84">
        <f t="shared" si="108"/>
        <v>565752.777891092</v>
      </c>
      <c r="S134" s="80">
        <v>19254</v>
      </c>
      <c r="T134" s="82">
        <f t="shared" si="109"/>
        <v>19355.445178089987</v>
      </c>
      <c r="U134" s="84">
        <f t="shared" si="110"/>
        <v>1568886.7527480477</v>
      </c>
      <c r="V134" s="80">
        <v>11498</v>
      </c>
      <c r="W134" s="82">
        <f t="shared" si="111"/>
        <v>11558.580484973443</v>
      </c>
      <c r="X134" s="84">
        <f t="shared" si="112"/>
        <v>1281310.2558886886</v>
      </c>
      <c r="Y134" s="80">
        <v>14021</v>
      </c>
      <c r="Z134" s="82">
        <f t="shared" si="113"/>
        <v>14094.87362844083</v>
      </c>
      <c r="AA134" s="84">
        <f t="shared" si="114"/>
        <v>1657964.8072053601</v>
      </c>
      <c r="AB134" s="80">
        <v>8495</v>
      </c>
      <c r="AC134" s="82">
        <f t="shared" si="115"/>
        <v>8539.7583249129766</v>
      </c>
      <c r="AD134" s="84">
        <f t="shared" si="116"/>
        <v>1116553.4520663801</v>
      </c>
      <c r="AE134" s="80">
        <v>2345</v>
      </c>
      <c r="AF134" s="82">
        <f t="shared" si="117"/>
        <v>2357.3552998141176</v>
      </c>
      <c r="AG134" s="84">
        <f t="shared" si="118"/>
        <v>406773.50480714947</v>
      </c>
      <c r="AH134" s="81">
        <f t="shared" si="119"/>
        <v>6597241.5506067183</v>
      </c>
      <c r="AI134" s="80">
        <v>543</v>
      </c>
      <c r="AJ134" s="82">
        <f t="shared" si="120"/>
        <v>545.86095002092361</v>
      </c>
      <c r="AK134" s="84">
        <f t="shared" si="121"/>
        <v>2995460.7908431944</v>
      </c>
      <c r="AL134" s="80">
        <v>2832</v>
      </c>
      <c r="AM134" s="82">
        <f t="shared" si="122"/>
        <v>2846.9211978991816</v>
      </c>
      <c r="AN134" s="84">
        <f t="shared" si="123"/>
        <v>2152744.6493972475</v>
      </c>
      <c r="AO134" s="564">
        <v>692</v>
      </c>
      <c r="AP134" s="82">
        <f t="shared" si="124"/>
        <v>695.64599892169269</v>
      </c>
      <c r="AQ134" s="84">
        <f t="shared" si="125"/>
        <v>2710339.3191891513</v>
      </c>
      <c r="AR134" s="564">
        <v>896</v>
      </c>
      <c r="AS134" s="82">
        <f t="shared" si="126"/>
        <v>900.72083097375241</v>
      </c>
      <c r="AT134" s="84">
        <f t="shared" si="127"/>
        <v>2481813.0929419207</v>
      </c>
      <c r="AU134" s="81">
        <f t="shared" si="128"/>
        <v>55776520.912302412</v>
      </c>
      <c r="AV134" s="620">
        <f>INDEX('2021-22 Baseline'!$J$9:$J$158,MATCH(C134,'2021-22 Baseline'!$C$9:$C$158,0))</f>
        <v>51199801.201268449</v>
      </c>
      <c r="AW134" s="623">
        <v>78686.921000000002</v>
      </c>
      <c r="AX134" s="620">
        <f t="shared" si="129"/>
        <v>650.67740039375087</v>
      </c>
      <c r="AY134" s="620">
        <f t="shared" si="130"/>
        <v>702.73159242525094</v>
      </c>
      <c r="AZ134" s="620">
        <f t="shared" si="131"/>
        <v>704.32532111374007</v>
      </c>
      <c r="BA134" s="620">
        <f t="shared" si="132"/>
        <v>704.32532111374007</v>
      </c>
      <c r="BB134" s="624">
        <f t="shared" si="133"/>
        <v>0</v>
      </c>
      <c r="BC134" s="620">
        <f t="shared" si="142"/>
        <v>0</v>
      </c>
      <c r="BD134" s="81">
        <f t="shared" si="134"/>
        <v>0</v>
      </c>
      <c r="BE134" s="81">
        <f t="shared" si="139"/>
        <v>55776520.912302412</v>
      </c>
      <c r="BF134" s="588">
        <f>INDEX('AP Funding Factor'!$I$9:$I$158,MATCH(C134,'AP Funding Factor'!$C$9:$C$158,0))</f>
        <v>1452417.6341323005</v>
      </c>
      <c r="BG134" s="290">
        <f>INDEX('Import|Export Adjustments Data'!$Q$9:$Q$159,MATCH($C134,'Import|Export Adjustments Data'!$C$9:$C$159,0))</f>
        <v>5.5</v>
      </c>
      <c r="BH134" s="289">
        <v>0</v>
      </c>
      <c r="BI134" s="81">
        <f t="shared" si="141"/>
        <v>33000</v>
      </c>
      <c r="BJ134" s="86">
        <f t="shared" si="143"/>
        <v>60638720.159954362</v>
      </c>
      <c r="BK134" s="620">
        <f t="shared" si="99"/>
        <v>650.67740039375087</v>
      </c>
      <c r="BL134" s="620">
        <f t="shared" si="100"/>
        <v>704.32532111374007</v>
      </c>
      <c r="BM134" s="620">
        <f t="shared" si="135"/>
        <v>704.32532111374007</v>
      </c>
      <c r="BN134" s="620">
        <f t="shared" si="146"/>
        <v>55776520.912302412</v>
      </c>
      <c r="BO134" s="281">
        <f t="shared" si="140"/>
        <v>8.2449337701793191E-2</v>
      </c>
      <c r="BP134" s="81">
        <f t="shared" si="147"/>
        <v>60605720.159954362</v>
      </c>
      <c r="BQ134" s="81">
        <f t="shared" si="148"/>
        <v>60638720.159954362</v>
      </c>
      <c r="BS134" s="599"/>
      <c r="BT134" s="601"/>
    </row>
    <row r="135" spans="1:72" ht="15.4" x14ac:dyDescent="0.45">
      <c r="A135" s="76"/>
      <c r="B135" s="77" t="s">
        <v>212</v>
      </c>
      <c r="C135" s="288">
        <v>893</v>
      </c>
      <c r="D135" s="78" t="s">
        <v>217</v>
      </c>
      <c r="E135" s="87">
        <v>1</v>
      </c>
      <c r="F135" s="327">
        <f t="shared" si="101"/>
        <v>4660</v>
      </c>
      <c r="G135" s="290">
        <v>532.5</v>
      </c>
      <c r="H135" s="81">
        <f t="shared" si="144"/>
        <v>2481450</v>
      </c>
      <c r="I135" s="597">
        <f>INDEX('Historic Spend Factor'!$U$9:$U$159, MATCH(C135, 'Historic Spend Factor'!$C$9:$C$159, 0))</f>
        <v>12243751.237546183</v>
      </c>
      <c r="J135" s="80">
        <v>59129.291000000005</v>
      </c>
      <c r="K135" s="82">
        <f t="shared" si="145"/>
        <v>59129.291000000005</v>
      </c>
      <c r="L135" s="81">
        <f t="shared" si="104"/>
        <v>12031603.943999836</v>
      </c>
      <c r="M135" s="80">
        <v>6285.5</v>
      </c>
      <c r="N135" s="82">
        <f t="shared" si="105"/>
        <v>6285.5</v>
      </c>
      <c r="O135" s="81">
        <f t="shared" si="106"/>
        <v>1600173.8687621118</v>
      </c>
      <c r="P135" s="80">
        <v>6141</v>
      </c>
      <c r="Q135" s="82">
        <f t="shared" si="107"/>
        <v>6141</v>
      </c>
      <c r="R135" s="84">
        <f t="shared" si="108"/>
        <v>377095.30562852375</v>
      </c>
      <c r="S135" s="80">
        <v>3046</v>
      </c>
      <c r="T135" s="82">
        <f t="shared" si="109"/>
        <v>3046</v>
      </c>
      <c r="U135" s="84">
        <f t="shared" si="110"/>
        <v>246898.43115983202</v>
      </c>
      <c r="V135" s="80">
        <v>1210</v>
      </c>
      <c r="W135" s="82">
        <f t="shared" si="111"/>
        <v>1210</v>
      </c>
      <c r="X135" s="84">
        <f t="shared" si="112"/>
        <v>134132.85581571786</v>
      </c>
      <c r="Y135" s="80">
        <v>1429</v>
      </c>
      <c r="Z135" s="82">
        <f t="shared" si="113"/>
        <v>1429</v>
      </c>
      <c r="AA135" s="84">
        <f t="shared" si="114"/>
        <v>168091.73121749677</v>
      </c>
      <c r="AB135" s="80">
        <v>746</v>
      </c>
      <c r="AC135" s="82">
        <f t="shared" si="115"/>
        <v>746</v>
      </c>
      <c r="AD135" s="84">
        <f t="shared" si="116"/>
        <v>97537.757340458178</v>
      </c>
      <c r="AE135" s="80">
        <v>0</v>
      </c>
      <c r="AF135" s="82">
        <f t="shared" si="117"/>
        <v>0</v>
      </c>
      <c r="AG135" s="84">
        <f t="shared" si="118"/>
        <v>0</v>
      </c>
      <c r="AH135" s="81">
        <f t="shared" si="119"/>
        <v>1023756.0811620287</v>
      </c>
      <c r="AI135" s="80">
        <v>266</v>
      </c>
      <c r="AJ135" s="82">
        <f t="shared" si="120"/>
        <v>266</v>
      </c>
      <c r="AK135" s="84">
        <f t="shared" si="121"/>
        <v>1459698.7938663638</v>
      </c>
      <c r="AL135" s="80">
        <v>1840</v>
      </c>
      <c r="AM135" s="82">
        <f t="shared" si="122"/>
        <v>1840</v>
      </c>
      <c r="AN135" s="84">
        <f t="shared" si="123"/>
        <v>1391345.2040098261</v>
      </c>
      <c r="AO135" s="564">
        <v>381</v>
      </c>
      <c r="AP135" s="82">
        <f t="shared" si="124"/>
        <v>381</v>
      </c>
      <c r="AQ135" s="84">
        <f t="shared" si="125"/>
        <v>1484432.1425146421</v>
      </c>
      <c r="AR135" s="564">
        <v>448</v>
      </c>
      <c r="AS135" s="82">
        <f t="shared" si="126"/>
        <v>448</v>
      </c>
      <c r="AT135" s="84">
        <f t="shared" si="127"/>
        <v>1234402.7443397504</v>
      </c>
      <c r="AU135" s="81">
        <f t="shared" si="128"/>
        <v>32469164.01620074</v>
      </c>
      <c r="AV135" s="620">
        <f>INDEX('2021-22 Baseline'!$J$9:$J$158,MATCH(C135,'2021-22 Baseline'!$C$9:$C$158,0))</f>
        <v>29977064.381440699</v>
      </c>
      <c r="AW135" s="623">
        <v>58842.401999999958</v>
      </c>
      <c r="AX135" s="620">
        <f t="shared" si="129"/>
        <v>509.44664667905164</v>
      </c>
      <c r="AY135" s="620">
        <f t="shared" si="130"/>
        <v>550.20237841337575</v>
      </c>
      <c r="AZ135" s="620">
        <f t="shared" si="131"/>
        <v>549.12148390551033</v>
      </c>
      <c r="BA135" s="620">
        <f t="shared" si="132"/>
        <v>550.20237841337575</v>
      </c>
      <c r="BB135" s="624">
        <f t="shared" si="133"/>
        <v>63912.52589587641</v>
      </c>
      <c r="BC135" s="620">
        <f t="shared" si="142"/>
        <v>0</v>
      </c>
      <c r="BD135" s="81">
        <f t="shared" si="134"/>
        <v>63912.52589587641</v>
      </c>
      <c r="BE135" s="81">
        <f t="shared" si="139"/>
        <v>32533076.542096615</v>
      </c>
      <c r="BF135" s="588">
        <f>INDEX('AP Funding Factor'!$I$9:$I$158,MATCH(C135,'AP Funding Factor'!$C$9:$C$158,0))</f>
        <v>284801.15589539963</v>
      </c>
      <c r="BG135" s="290">
        <f>INDEX('Import|Export Adjustments Data'!$Q$9:$Q$159,MATCH($C135,'Import|Export Adjustments Data'!$C$9:$C$159,0))</f>
        <v>-161</v>
      </c>
      <c r="BH135" s="289">
        <v>0</v>
      </c>
      <c r="BI135" s="81">
        <f t="shared" si="141"/>
        <v>-966000</v>
      </c>
      <c r="BJ135" s="86">
        <f t="shared" si="143"/>
        <v>34333327.697992012</v>
      </c>
      <c r="BK135" s="620">
        <f t="shared" si="99"/>
        <v>509.44664667905164</v>
      </c>
      <c r="BL135" s="620">
        <f t="shared" si="100"/>
        <v>550.20237841337575</v>
      </c>
      <c r="BM135" s="620">
        <f t="shared" si="135"/>
        <v>550.20237841337575</v>
      </c>
      <c r="BN135" s="620">
        <f t="shared" si="146"/>
        <v>32533076.542096615</v>
      </c>
      <c r="BO135" s="281">
        <f t="shared" si="140"/>
        <v>8.0000000000000071E-2</v>
      </c>
      <c r="BP135" s="81">
        <f t="shared" si="147"/>
        <v>35299327.697992012</v>
      </c>
      <c r="BQ135" s="81">
        <f t="shared" si="148"/>
        <v>34333327.697992012</v>
      </c>
      <c r="BS135" s="599"/>
      <c r="BT135" s="601"/>
    </row>
    <row r="136" spans="1:72" ht="15.4" x14ac:dyDescent="0.45">
      <c r="A136" s="76"/>
      <c r="B136" s="77" t="s">
        <v>212</v>
      </c>
      <c r="C136" s="288">
        <v>334</v>
      </c>
      <c r="D136" s="78" t="s">
        <v>218</v>
      </c>
      <c r="E136" s="87">
        <v>1.0052687845689201</v>
      </c>
      <c r="F136" s="327">
        <f t="shared" si="101"/>
        <v>4684.5525360911679</v>
      </c>
      <c r="G136" s="290">
        <v>820</v>
      </c>
      <c r="H136" s="81">
        <f t="shared" si="144"/>
        <v>3841333.0795947579</v>
      </c>
      <c r="I136" s="597">
        <f>INDEX('Historic Spend Factor'!$U$9:$U$159, MATCH(C136, 'Historic Spend Factor'!$C$9:$C$159, 0))</f>
        <v>12257001.277475268</v>
      </c>
      <c r="J136" s="80">
        <v>47091.446999999993</v>
      </c>
      <c r="K136" s="82">
        <f t="shared" si="145"/>
        <v>47339.561689281712</v>
      </c>
      <c r="L136" s="81">
        <f t="shared" si="104"/>
        <v>9632634.6468112636</v>
      </c>
      <c r="M136" s="80">
        <v>7357</v>
      </c>
      <c r="N136" s="82">
        <f t="shared" si="105"/>
        <v>7395.7624480735449</v>
      </c>
      <c r="O136" s="81">
        <f t="shared" si="106"/>
        <v>1882826.475058371</v>
      </c>
      <c r="P136" s="80">
        <v>2329</v>
      </c>
      <c r="Q136" s="82">
        <f t="shared" si="107"/>
        <v>2341.2709992610148</v>
      </c>
      <c r="R136" s="84">
        <f t="shared" si="108"/>
        <v>143768.49096654155</v>
      </c>
      <c r="S136" s="80">
        <v>1442</v>
      </c>
      <c r="T136" s="82">
        <f t="shared" si="109"/>
        <v>1449.5975873483828</v>
      </c>
      <c r="U136" s="84">
        <f t="shared" si="110"/>
        <v>117499.46491444297</v>
      </c>
      <c r="V136" s="80">
        <v>802</v>
      </c>
      <c r="W136" s="82">
        <f t="shared" si="111"/>
        <v>806.22556522427396</v>
      </c>
      <c r="X136" s="84">
        <f t="shared" si="112"/>
        <v>89373.006194357993</v>
      </c>
      <c r="Y136" s="80">
        <v>1512</v>
      </c>
      <c r="Z136" s="82">
        <f t="shared" si="113"/>
        <v>1519.9664022682073</v>
      </c>
      <c r="AA136" s="84">
        <f t="shared" si="114"/>
        <v>178792.01116143673</v>
      </c>
      <c r="AB136" s="80">
        <v>5334</v>
      </c>
      <c r="AC136" s="82">
        <f t="shared" si="115"/>
        <v>5362.1036968906201</v>
      </c>
      <c r="AD136" s="84">
        <f t="shared" si="116"/>
        <v>701082.53246875468</v>
      </c>
      <c r="AE136" s="80">
        <v>1591</v>
      </c>
      <c r="AF136" s="82">
        <f t="shared" si="117"/>
        <v>1599.3826362491518</v>
      </c>
      <c r="AG136" s="84">
        <f t="shared" si="118"/>
        <v>275981.51221670565</v>
      </c>
      <c r="AH136" s="81">
        <f t="shared" si="119"/>
        <v>1506497.0179222396</v>
      </c>
      <c r="AI136" s="80">
        <v>219</v>
      </c>
      <c r="AJ136" s="82">
        <f t="shared" si="120"/>
        <v>220.1538638205935</v>
      </c>
      <c r="AK136" s="84">
        <f t="shared" si="121"/>
        <v>1208114.0206163158</v>
      </c>
      <c r="AL136" s="80">
        <v>2589</v>
      </c>
      <c r="AM136" s="82">
        <f t="shared" si="122"/>
        <v>2602.6408832489342</v>
      </c>
      <c r="AN136" s="84">
        <f t="shared" si="123"/>
        <v>1968028.2123197294</v>
      </c>
      <c r="AO136" s="564">
        <v>354</v>
      </c>
      <c r="AP136" s="82">
        <f t="shared" si="124"/>
        <v>355.8651497373977</v>
      </c>
      <c r="AQ136" s="84">
        <f t="shared" si="125"/>
        <v>1386503.0621285543</v>
      </c>
      <c r="AR136" s="564">
        <v>421</v>
      </c>
      <c r="AS136" s="82">
        <f t="shared" si="126"/>
        <v>423.21815830351534</v>
      </c>
      <c r="AT136" s="84">
        <f t="shared" si="127"/>
        <v>1166119.7680006123</v>
      </c>
      <c r="AU136" s="81">
        <f t="shared" si="128"/>
        <v>31007724.480332352</v>
      </c>
      <c r="AV136" s="620">
        <f>INDEX('2021-22 Baseline'!$J$9:$J$158,MATCH(C136,'2021-22 Baseline'!$C$9:$C$158,0))</f>
        <v>29249895.591971055</v>
      </c>
      <c r="AW136" s="623">
        <v>46531.309999999983</v>
      </c>
      <c r="AX136" s="620">
        <f t="shared" si="129"/>
        <v>628.60675085165371</v>
      </c>
      <c r="AY136" s="620">
        <f t="shared" si="130"/>
        <v>678.89529091978602</v>
      </c>
      <c r="AZ136" s="620">
        <f t="shared" si="131"/>
        <v>658.45767025023372</v>
      </c>
      <c r="BA136" s="620">
        <f t="shared" si="132"/>
        <v>678.89529091978602</v>
      </c>
      <c r="BB136" s="624">
        <f t="shared" si="133"/>
        <v>962437.13056632667</v>
      </c>
      <c r="BC136" s="620">
        <f t="shared" si="142"/>
        <v>0</v>
      </c>
      <c r="BD136" s="81">
        <f t="shared" si="134"/>
        <v>962437.13056632667</v>
      </c>
      <c r="BE136" s="81">
        <f t="shared" si="139"/>
        <v>31970161.610898677</v>
      </c>
      <c r="BF136" s="588">
        <f>INDEX('AP Funding Factor'!$I$9:$I$158,MATCH(C136,'AP Funding Factor'!$C$9:$C$158,0))</f>
        <v>175552.91580629547</v>
      </c>
      <c r="BG136" s="290">
        <f>INDEX('Import|Export Adjustments Data'!$Q$9:$Q$159,MATCH($C136,'Import|Export Adjustments Data'!$C$9:$C$159,0))</f>
        <v>38.5</v>
      </c>
      <c r="BH136" s="289">
        <v>0</v>
      </c>
      <c r="BI136" s="81">
        <f t="shared" si="141"/>
        <v>231000</v>
      </c>
      <c r="BJ136" s="86">
        <f t="shared" si="143"/>
        <v>36218047.606299728</v>
      </c>
      <c r="BK136" s="620">
        <f t="shared" si="99"/>
        <v>628.60675085165371</v>
      </c>
      <c r="BL136" s="620">
        <f t="shared" si="100"/>
        <v>678.89529091978602</v>
      </c>
      <c r="BM136" s="620">
        <f t="shared" si="135"/>
        <v>678.89529091978602</v>
      </c>
      <c r="BN136" s="620">
        <f t="shared" si="146"/>
        <v>31970161.610898681</v>
      </c>
      <c r="BO136" s="281">
        <f t="shared" si="140"/>
        <v>8.0000000000000071E-2</v>
      </c>
      <c r="BP136" s="81">
        <f t="shared" si="147"/>
        <v>35987047.606299736</v>
      </c>
      <c r="BQ136" s="81">
        <f t="shared" si="148"/>
        <v>36218047.606299736</v>
      </c>
      <c r="BS136" s="599"/>
      <c r="BT136" s="601"/>
    </row>
    <row r="137" spans="1:72" ht="15.4" x14ac:dyDescent="0.45">
      <c r="A137" s="76"/>
      <c r="B137" s="77" t="s">
        <v>212</v>
      </c>
      <c r="C137" s="288">
        <v>860</v>
      </c>
      <c r="D137" s="78" t="s">
        <v>219</v>
      </c>
      <c r="E137" s="87">
        <v>1</v>
      </c>
      <c r="F137" s="327">
        <f t="shared" si="101"/>
        <v>4660</v>
      </c>
      <c r="G137" s="290">
        <v>3009.4166639999999</v>
      </c>
      <c r="H137" s="81">
        <f t="shared" si="144"/>
        <v>14023881.654239999</v>
      </c>
      <c r="I137" s="597">
        <f>INDEX('Historic Spend Factor'!$U$9:$U$159, MATCH(C137, 'Historic Spend Factor'!$C$9:$C$159, 0))</f>
        <v>32005955.528018259</v>
      </c>
      <c r="J137" s="80">
        <v>165065.19699999993</v>
      </c>
      <c r="K137" s="82">
        <f t="shared" si="145"/>
        <v>165065.19699999993</v>
      </c>
      <c r="L137" s="81">
        <f t="shared" si="104"/>
        <v>33587398.760494336</v>
      </c>
      <c r="M137" s="80">
        <v>21259</v>
      </c>
      <c r="N137" s="82">
        <f t="shared" si="105"/>
        <v>21259</v>
      </c>
      <c r="O137" s="81">
        <f t="shared" si="106"/>
        <v>5412154.3673556168</v>
      </c>
      <c r="P137" s="80">
        <v>10978</v>
      </c>
      <c r="Q137" s="82">
        <f t="shared" si="107"/>
        <v>10978</v>
      </c>
      <c r="R137" s="84">
        <f t="shared" si="108"/>
        <v>674116.96225206542</v>
      </c>
      <c r="S137" s="80">
        <v>18337</v>
      </c>
      <c r="T137" s="82">
        <f t="shared" si="109"/>
        <v>18337</v>
      </c>
      <c r="U137" s="84">
        <f t="shared" si="110"/>
        <v>1486335.0401109126</v>
      </c>
      <c r="V137" s="80">
        <v>7721</v>
      </c>
      <c r="W137" s="82">
        <f t="shared" si="111"/>
        <v>7721</v>
      </c>
      <c r="X137" s="84">
        <f t="shared" si="112"/>
        <v>855900.64442409715</v>
      </c>
      <c r="Y137" s="80">
        <v>5065</v>
      </c>
      <c r="Z137" s="82">
        <f t="shared" si="113"/>
        <v>5065</v>
      </c>
      <c r="AA137" s="84">
        <f t="shared" si="114"/>
        <v>595790.49588286993</v>
      </c>
      <c r="AB137" s="80">
        <v>2645</v>
      </c>
      <c r="AC137" s="82">
        <f t="shared" si="115"/>
        <v>2645</v>
      </c>
      <c r="AD137" s="84">
        <f t="shared" si="116"/>
        <v>345827.5712674422</v>
      </c>
      <c r="AE137" s="80">
        <v>356</v>
      </c>
      <c r="AF137" s="82">
        <f t="shared" si="117"/>
        <v>356</v>
      </c>
      <c r="AG137" s="84">
        <f t="shared" si="118"/>
        <v>61429.58921922541</v>
      </c>
      <c r="AH137" s="81">
        <f t="shared" si="119"/>
        <v>4019400.3031566129</v>
      </c>
      <c r="AI137" s="80">
        <v>823</v>
      </c>
      <c r="AJ137" s="82">
        <f t="shared" si="120"/>
        <v>823</v>
      </c>
      <c r="AK137" s="84">
        <f t="shared" si="121"/>
        <v>4516286.117864727</v>
      </c>
      <c r="AL137" s="80">
        <v>6113</v>
      </c>
      <c r="AM137" s="82">
        <f t="shared" si="122"/>
        <v>6113</v>
      </c>
      <c r="AN137" s="84">
        <f t="shared" si="123"/>
        <v>4622441.9739739494</v>
      </c>
      <c r="AO137" s="564">
        <v>1272</v>
      </c>
      <c r="AP137" s="82">
        <f t="shared" si="124"/>
        <v>1272</v>
      </c>
      <c r="AQ137" s="84">
        <f t="shared" si="125"/>
        <v>4955899.436426837</v>
      </c>
      <c r="AR137" s="564">
        <v>1835</v>
      </c>
      <c r="AS137" s="82">
        <f t="shared" si="126"/>
        <v>1835</v>
      </c>
      <c r="AT137" s="84">
        <f t="shared" si="127"/>
        <v>5056091.5979094692</v>
      </c>
      <c r="AU137" s="81">
        <f t="shared" si="128"/>
        <v>94175628.085199803</v>
      </c>
      <c r="AV137" s="620">
        <f>INDEX('2021-22 Baseline'!$J$9:$J$158,MATCH(C137,'2021-22 Baseline'!$C$9:$C$158,0))</f>
        <v>85269976.619947419</v>
      </c>
      <c r="AW137" s="623">
        <v>164338.38999999998</v>
      </c>
      <c r="AX137" s="620">
        <f t="shared" si="129"/>
        <v>518.86827307939075</v>
      </c>
      <c r="AY137" s="620">
        <f t="shared" si="130"/>
        <v>560.37773492574206</v>
      </c>
      <c r="AZ137" s="620">
        <f t="shared" si="131"/>
        <v>570.53594456498206</v>
      </c>
      <c r="BA137" s="620">
        <f t="shared" si="132"/>
        <v>570.53594456498206</v>
      </c>
      <c r="BB137" s="624">
        <f t="shared" si="133"/>
        <v>0</v>
      </c>
      <c r="BC137" s="620">
        <f t="shared" si="142"/>
        <v>0</v>
      </c>
      <c r="BD137" s="81">
        <f t="shared" si="134"/>
        <v>0</v>
      </c>
      <c r="BE137" s="81">
        <f t="shared" si="139"/>
        <v>94175628.085199803</v>
      </c>
      <c r="BF137" s="588">
        <f>INDEX('AP Funding Factor'!$I$9:$I$158,MATCH(C137,'AP Funding Factor'!$C$9:$C$158,0))</f>
        <v>664179.75740900729</v>
      </c>
      <c r="BG137" s="290">
        <f>INDEX('Import|Export Adjustments Data'!$Q$9:$Q$159,MATCH($C137,'Import|Export Adjustments Data'!$C$9:$C$159,0))</f>
        <v>152</v>
      </c>
      <c r="BH137" s="289">
        <v>6000</v>
      </c>
      <c r="BI137" s="81">
        <f t="shared" si="141"/>
        <v>918000</v>
      </c>
      <c r="BJ137" s="86">
        <f t="shared" ref="BJ137:BJ159" si="149">H137 + BE137 + BF137 + BI137</f>
        <v>109781689.49684881</v>
      </c>
      <c r="BK137" s="620">
        <f t="shared" ref="BK137:BK158" si="150">AX137</f>
        <v>518.86827307939075</v>
      </c>
      <c r="BL137" s="620">
        <f t="shared" ref="BL137:BL158" si="151">BA137</f>
        <v>570.53594456498206</v>
      </c>
      <c r="BM137" s="620">
        <f t="shared" si="135"/>
        <v>570.53594456498206</v>
      </c>
      <c r="BN137" s="620">
        <f t="shared" si="146"/>
        <v>94175628.085199803</v>
      </c>
      <c r="BO137" s="281">
        <f t="shared" si="140"/>
        <v>9.9577627244296307E-2</v>
      </c>
      <c r="BP137" s="81">
        <f t="shared" si="147"/>
        <v>108863689.49684881</v>
      </c>
      <c r="BQ137" s="81">
        <f t="shared" si="148"/>
        <v>109781689.49684881</v>
      </c>
      <c r="BS137" s="599"/>
      <c r="BT137" s="601"/>
    </row>
    <row r="138" spans="1:72" ht="15.4" x14ac:dyDescent="0.45">
      <c r="A138" s="76"/>
      <c r="B138" s="77" t="s">
        <v>212</v>
      </c>
      <c r="C138" s="288">
        <v>861</v>
      </c>
      <c r="D138" s="78" t="s">
        <v>220</v>
      </c>
      <c r="E138" s="87">
        <v>1</v>
      </c>
      <c r="F138" s="327">
        <f t="shared" ref="F138:F159" si="152">4660 * $E138</f>
        <v>4660</v>
      </c>
      <c r="G138" s="290">
        <v>1115</v>
      </c>
      <c r="H138" s="81">
        <f t="shared" ref="H138:H159" si="153">G138*F138</f>
        <v>5195900</v>
      </c>
      <c r="I138" s="597">
        <f>INDEX('Historic Spend Factor'!$U$9:$U$159, MATCH(C138, 'Historic Spend Factor'!$C$9:$C$159, 0))</f>
        <v>17002267.125</v>
      </c>
      <c r="J138" s="80">
        <v>55324.548999999977</v>
      </c>
      <c r="K138" s="82">
        <f t="shared" ref="K138:K158" si="154">E138*J138</f>
        <v>55324.548999999977</v>
      </c>
      <c r="L138" s="81">
        <f t="shared" ref="L138:L158" si="155">K138/K$8*L$8</f>
        <v>11257416.59828818</v>
      </c>
      <c r="M138" s="80">
        <v>14335.5</v>
      </c>
      <c r="N138" s="82">
        <f t="shared" ref="N138:N158" si="156">M138*$E138</f>
        <v>14335.5</v>
      </c>
      <c r="O138" s="81">
        <f t="shared" ref="O138:O158" si="157">N138/N$8*O$8</f>
        <v>3649557.3137601227</v>
      </c>
      <c r="P138" s="80">
        <v>4281</v>
      </c>
      <c r="Q138" s="82">
        <f t="shared" ref="Q138:Q158" si="158">P138*$E138</f>
        <v>4281</v>
      </c>
      <c r="R138" s="84">
        <f t="shared" ref="R138:R158" si="159">Q138/Q$8*R$8</f>
        <v>262879.82468583458</v>
      </c>
      <c r="S138" s="80">
        <v>8436</v>
      </c>
      <c r="T138" s="82">
        <f t="shared" ref="T138:T158" si="160">S138*$E138</f>
        <v>8436</v>
      </c>
      <c r="U138" s="84">
        <f t="shared" ref="U138:U158" si="161">T138/T$8*U$8</f>
        <v>683793.55392788665</v>
      </c>
      <c r="V138" s="80">
        <v>4213</v>
      </c>
      <c r="W138" s="82">
        <f t="shared" ref="W138:W158" si="162">V138*$E138</f>
        <v>4213</v>
      </c>
      <c r="X138" s="84">
        <f t="shared" ref="X138:X158" si="163">W138/W$8*X$8</f>
        <v>467026.21615836304</v>
      </c>
      <c r="Y138" s="80">
        <v>7837</v>
      </c>
      <c r="Z138" s="82">
        <f t="shared" ref="Z138:Z158" si="164">Y138*$E138</f>
        <v>7837</v>
      </c>
      <c r="AA138" s="84">
        <f t="shared" ref="AA138:AA158" si="165">Z138/Z$8*AA$8</f>
        <v>921857.87092478818</v>
      </c>
      <c r="AB138" s="80">
        <v>11280</v>
      </c>
      <c r="AC138" s="82">
        <f t="shared" ref="AC138:AC158" si="166">AB138*$E138</f>
        <v>11280</v>
      </c>
      <c r="AD138" s="84">
        <f t="shared" ref="AD138:AD158" si="167">AC138/AC$8*AD$8</f>
        <v>1474833.6498664455</v>
      </c>
      <c r="AE138" s="80">
        <v>2808</v>
      </c>
      <c r="AF138" s="82">
        <f t="shared" ref="AF138:AF158" si="168">AE138*$E138</f>
        <v>2808</v>
      </c>
      <c r="AG138" s="84">
        <f t="shared" ref="AG138:AG158" si="169">AF138/AF$8*AG$8</f>
        <v>484534.51271793531</v>
      </c>
      <c r="AH138" s="81">
        <f t="shared" ref="AH138:AH158" si="170">AG138+AD138+AA138+X138+U138+R138</f>
        <v>4294925.6282812534</v>
      </c>
      <c r="AI138" s="80">
        <v>361</v>
      </c>
      <c r="AJ138" s="82">
        <f t="shared" ref="AJ138:AJ158" si="171">AI138*$E138</f>
        <v>361</v>
      </c>
      <c r="AK138" s="84">
        <f t="shared" ref="AK138:AK158" si="172">AJ138/AJ$8*AK$8</f>
        <v>1981019.7916757793</v>
      </c>
      <c r="AL138" s="80">
        <v>2346</v>
      </c>
      <c r="AM138" s="82">
        <f t="shared" ref="AM138:AM158" si="173">AL138*$E138</f>
        <v>2346</v>
      </c>
      <c r="AN138" s="84">
        <f t="shared" ref="AN138:AN158" si="174">AM138/AM$8*AN$8</f>
        <v>1773965.1351125285</v>
      </c>
      <c r="AO138" s="564">
        <v>715</v>
      </c>
      <c r="AP138" s="82">
        <f t="shared" ref="AP138:AP158" si="175">AO138*$E138</f>
        <v>715</v>
      </c>
      <c r="AQ138" s="84">
        <f t="shared" ref="AQ138:AQ158" si="176">(AP138/AP$8)*AQ$8</f>
        <v>2785745.3593122549</v>
      </c>
      <c r="AR138" s="564">
        <v>660</v>
      </c>
      <c r="AS138" s="82">
        <f t="shared" ref="AS138:AS158" si="177">AR138*$E138</f>
        <v>660</v>
      </c>
      <c r="AT138" s="84">
        <f t="shared" ref="AT138:AT158" si="178">(AS138/AS$8)*AT$8</f>
        <v>1818539.7572862394</v>
      </c>
      <c r="AU138" s="81">
        <f t="shared" ref="AU138:AU158" si="179">I138+L138+O138+AH138+AK138+AN138+AQ138+AT138</f>
        <v>44563436.708716348</v>
      </c>
      <c r="AV138" s="620">
        <f>INDEX('2021-22 Baseline'!$J$9:$J$158,MATCH(C138,'2021-22 Baseline'!$C$9:$C$158,0))</f>
        <v>38238017.180821903</v>
      </c>
      <c r="AW138" s="623">
        <v>55087.067999999977</v>
      </c>
      <c r="AX138" s="620">
        <f t="shared" ref="AX138:AX158" si="180">AV138/AW138</f>
        <v>694.13781798700779</v>
      </c>
      <c r="AY138" s="620">
        <f t="shared" ref="AY138:AY158" si="181">AX138*(100%+8%)</f>
        <v>749.66884342596848</v>
      </c>
      <c r="AZ138" s="620">
        <f t="shared" ref="AZ138:AZ158" si="182">AU138/J138</f>
        <v>805.49118816524583</v>
      </c>
      <c r="BA138" s="620">
        <f t="shared" ref="BA138:BA158" si="183">MAX(AY138,AZ138)</f>
        <v>805.49118816524583</v>
      </c>
      <c r="BB138" s="624">
        <f t="shared" ref="BB138:BB158" si="184">(BA138-AZ138)*J138</f>
        <v>0</v>
      </c>
      <c r="BC138" s="620">
        <f t="shared" si="142"/>
        <v>0</v>
      </c>
      <c r="BD138" s="81">
        <f t="shared" ref="BD138:BD158" si="185">BB138+BC138</f>
        <v>0</v>
      </c>
      <c r="BE138" s="81">
        <f t="shared" si="139"/>
        <v>44563436.708716348</v>
      </c>
      <c r="BF138" s="588">
        <f>INDEX('AP Funding Factor'!$I$9:$I$158,MATCH(C138,'AP Funding Factor'!$C$9:$C$158,0))</f>
        <v>338284.80425600003</v>
      </c>
      <c r="BG138" s="290">
        <f>INDEX('Import|Export Adjustments Data'!$Q$9:$Q$159,MATCH($C138,'Import|Export Adjustments Data'!$C$9:$C$159,0))</f>
        <v>-243</v>
      </c>
      <c r="BH138" s="289">
        <v>0</v>
      </c>
      <c r="BI138" s="81">
        <f t="shared" si="141"/>
        <v>-1458000</v>
      </c>
      <c r="BJ138" s="86">
        <f t="shared" si="149"/>
        <v>48639621.512972347</v>
      </c>
      <c r="BK138" s="620">
        <f t="shared" si="150"/>
        <v>694.13781798700779</v>
      </c>
      <c r="BL138" s="620">
        <f t="shared" si="151"/>
        <v>805.49118816524583</v>
      </c>
      <c r="BM138" s="620">
        <f t="shared" ref="BM138:BM158" si="186">MIN(BK138*(100% + 11%), BL138)</f>
        <v>770.49297796557869</v>
      </c>
      <c r="BN138" s="620">
        <f t="shared" ref="BN138:BN158" si="187">BM138*J138+BC138</f>
        <v>42627176.513612561</v>
      </c>
      <c r="BO138" s="281">
        <f t="shared" si="140"/>
        <v>0.1100000000000001</v>
      </c>
      <c r="BP138" s="81">
        <f t="shared" ref="BP138:BP159" si="188">H138 + BF138 + BN138</f>
        <v>48161361.317868561</v>
      </c>
      <c r="BQ138" s="81">
        <f t="shared" ref="BQ138:BQ159" si="189">H138 + BF138 + BI138 + BN138</f>
        <v>46703361.317868561</v>
      </c>
      <c r="BS138" s="599"/>
      <c r="BT138" s="601"/>
    </row>
    <row r="139" spans="1:72" ht="15.4" x14ac:dyDescent="0.45">
      <c r="A139" s="76"/>
      <c r="B139" s="77" t="s">
        <v>212</v>
      </c>
      <c r="C139" s="288">
        <v>894</v>
      </c>
      <c r="D139" s="78" t="s">
        <v>221</v>
      </c>
      <c r="E139" s="87">
        <v>1</v>
      </c>
      <c r="F139" s="327">
        <f t="shared" si="152"/>
        <v>4660</v>
      </c>
      <c r="G139" s="290">
        <v>702</v>
      </c>
      <c r="H139" s="81">
        <f t="shared" si="153"/>
        <v>3271320</v>
      </c>
      <c r="I139" s="597">
        <f>INDEX('Historic Spend Factor'!$U$9:$U$159, MATCH(C139, 'Historic Spend Factor'!$C$9:$C$159, 0))</f>
        <v>9666274.4364382401</v>
      </c>
      <c r="J139" s="80">
        <v>40676.284999999989</v>
      </c>
      <c r="K139" s="82">
        <f t="shared" si="154"/>
        <v>40676.284999999989</v>
      </c>
      <c r="L139" s="81">
        <f t="shared" si="155"/>
        <v>8276793.8318973118</v>
      </c>
      <c r="M139" s="80">
        <v>7618.5</v>
      </c>
      <c r="N139" s="82">
        <f t="shared" si="156"/>
        <v>7618.5</v>
      </c>
      <c r="O139" s="81">
        <f t="shared" si="157"/>
        <v>1939531.4007102298</v>
      </c>
      <c r="P139" s="80">
        <v>7407</v>
      </c>
      <c r="Q139" s="82">
        <f t="shared" si="158"/>
        <v>7407</v>
      </c>
      <c r="R139" s="84">
        <f t="shared" si="159"/>
        <v>454835.52007661219</v>
      </c>
      <c r="S139" s="80">
        <v>5221</v>
      </c>
      <c r="T139" s="82">
        <f t="shared" si="160"/>
        <v>5221</v>
      </c>
      <c r="U139" s="84">
        <f t="shared" si="161"/>
        <v>423196.55583896354</v>
      </c>
      <c r="V139" s="80">
        <v>2245</v>
      </c>
      <c r="W139" s="82">
        <f t="shared" si="162"/>
        <v>2245</v>
      </c>
      <c r="X139" s="84">
        <f t="shared" si="163"/>
        <v>248866.33165808811</v>
      </c>
      <c r="Y139" s="80">
        <v>2216</v>
      </c>
      <c r="Z139" s="82">
        <f t="shared" si="164"/>
        <v>2216</v>
      </c>
      <c r="AA139" s="84">
        <f t="shared" si="165"/>
        <v>260665.69375645407</v>
      </c>
      <c r="AB139" s="80">
        <v>1776</v>
      </c>
      <c r="AC139" s="82">
        <f t="shared" si="166"/>
        <v>1776</v>
      </c>
      <c r="AD139" s="84">
        <f t="shared" si="167"/>
        <v>232207.85125556798</v>
      </c>
      <c r="AE139" s="80">
        <v>4131</v>
      </c>
      <c r="AF139" s="82">
        <f t="shared" si="168"/>
        <v>4131</v>
      </c>
      <c r="AG139" s="84">
        <f t="shared" si="169"/>
        <v>712824.81197927007</v>
      </c>
      <c r="AH139" s="81">
        <f t="shared" si="170"/>
        <v>2332596.7645649561</v>
      </c>
      <c r="AI139" s="80">
        <v>248</v>
      </c>
      <c r="AJ139" s="82">
        <f t="shared" si="171"/>
        <v>248</v>
      </c>
      <c r="AK139" s="84">
        <f t="shared" si="172"/>
        <v>1360922.1837551061</v>
      </c>
      <c r="AL139" s="80">
        <v>1859</v>
      </c>
      <c r="AM139" s="82">
        <f t="shared" si="173"/>
        <v>1859</v>
      </c>
      <c r="AN139" s="84">
        <f t="shared" si="174"/>
        <v>1405712.355572971</v>
      </c>
      <c r="AO139" s="564">
        <v>355</v>
      </c>
      <c r="AP139" s="82">
        <f t="shared" si="175"/>
        <v>355</v>
      </c>
      <c r="AQ139" s="84">
        <f t="shared" si="176"/>
        <v>1383132.3112669236</v>
      </c>
      <c r="AR139" s="564">
        <v>506</v>
      </c>
      <c r="AS139" s="82">
        <f t="shared" si="177"/>
        <v>506</v>
      </c>
      <c r="AT139" s="84">
        <f t="shared" si="178"/>
        <v>1394213.8139194502</v>
      </c>
      <c r="AU139" s="81">
        <f t="shared" si="179"/>
        <v>27759177.098125193</v>
      </c>
      <c r="AV139" s="620">
        <f>INDEX('2021-22 Baseline'!$J$9:$J$158,MATCH(C139,'2021-22 Baseline'!$C$9:$C$158,0))</f>
        <v>25116638.617670625</v>
      </c>
      <c r="AW139" s="623">
        <v>40161.152999999984</v>
      </c>
      <c r="AX139" s="620">
        <f t="shared" si="180"/>
        <v>625.39635297997131</v>
      </c>
      <c r="AY139" s="620">
        <f t="shared" si="181"/>
        <v>675.42806121836907</v>
      </c>
      <c r="AZ139" s="620">
        <f t="shared" si="182"/>
        <v>682.44130697100786</v>
      </c>
      <c r="BA139" s="620">
        <f t="shared" si="183"/>
        <v>682.44130697100786</v>
      </c>
      <c r="BB139" s="624">
        <f t="shared" si="184"/>
        <v>0</v>
      </c>
      <c r="BC139" s="620">
        <f t="shared" si="142"/>
        <v>0</v>
      </c>
      <c r="BD139" s="81">
        <f t="shared" si="185"/>
        <v>0</v>
      </c>
      <c r="BE139" s="81">
        <f t="shared" ref="BE139:BE158" si="190">AU139+BD139</f>
        <v>27759177.098125193</v>
      </c>
      <c r="BF139" s="588">
        <f>INDEX('AP Funding Factor'!$I$9:$I$158,MATCH(C139,'AP Funding Factor'!$C$9:$C$158,0))</f>
        <v>88885.217659062851</v>
      </c>
      <c r="BG139" s="290">
        <f>INDEX('Import|Export Adjustments Data'!$Q$9:$Q$159,MATCH($C139,'Import|Export Adjustments Data'!$C$9:$C$159,0))</f>
        <v>-109</v>
      </c>
      <c r="BH139" s="289">
        <v>0</v>
      </c>
      <c r="BI139" s="81">
        <f t="shared" si="141"/>
        <v>-654000</v>
      </c>
      <c r="BJ139" s="86">
        <f t="shared" si="149"/>
        <v>30465382.315784257</v>
      </c>
      <c r="BK139" s="620">
        <f t="shared" si="150"/>
        <v>625.39635297997131</v>
      </c>
      <c r="BL139" s="620">
        <f t="shared" si="151"/>
        <v>682.44130697100786</v>
      </c>
      <c r="BM139" s="620">
        <f t="shared" si="186"/>
        <v>682.44130697100786</v>
      </c>
      <c r="BN139" s="620">
        <f t="shared" si="187"/>
        <v>27759177.098125193</v>
      </c>
      <c r="BO139" s="281">
        <f t="shared" ref="BO139:BO158" si="191">BM139/BK139-1</f>
        <v>9.1214081628748334E-2</v>
      </c>
      <c r="BP139" s="81">
        <f t="shared" si="188"/>
        <v>31119382.315784257</v>
      </c>
      <c r="BQ139" s="81">
        <f t="shared" si="189"/>
        <v>30465382.315784257</v>
      </c>
      <c r="BS139" s="599"/>
      <c r="BT139" s="601"/>
    </row>
    <row r="140" spans="1:72" ht="15.4" x14ac:dyDescent="0.45">
      <c r="A140" s="76"/>
      <c r="B140" s="77" t="s">
        <v>212</v>
      </c>
      <c r="C140" s="288">
        <v>335</v>
      </c>
      <c r="D140" s="78" t="s">
        <v>222</v>
      </c>
      <c r="E140" s="87">
        <v>1.0052687845689201</v>
      </c>
      <c r="F140" s="327">
        <f t="shared" si="152"/>
        <v>4684.5525360911679</v>
      </c>
      <c r="G140" s="290">
        <v>811</v>
      </c>
      <c r="H140" s="81">
        <f t="shared" si="153"/>
        <v>3799172.1067699371</v>
      </c>
      <c r="I140" s="597">
        <f>INDEX('Historic Spend Factor'!$U$9:$U$159, MATCH(C140, 'Historic Spend Factor'!$C$9:$C$159, 0))</f>
        <v>13418925.762640707</v>
      </c>
      <c r="J140" s="80">
        <v>67176.135999999969</v>
      </c>
      <c r="K140" s="82">
        <f t="shared" si="154"/>
        <v>67530.072588756448</v>
      </c>
      <c r="L140" s="81">
        <f t="shared" si="155"/>
        <v>13740991.54507835</v>
      </c>
      <c r="M140" s="80">
        <v>16277</v>
      </c>
      <c r="N140" s="82">
        <f t="shared" si="156"/>
        <v>16362.760006428312</v>
      </c>
      <c r="O140" s="81">
        <f t="shared" si="157"/>
        <v>4165660.8039316437</v>
      </c>
      <c r="P140" s="80">
        <v>5953</v>
      </c>
      <c r="Q140" s="82">
        <f t="shared" si="158"/>
        <v>5984.3650745387813</v>
      </c>
      <c r="R140" s="84">
        <f t="shared" si="159"/>
        <v>367476.95436832192</v>
      </c>
      <c r="S140" s="80">
        <v>7995</v>
      </c>
      <c r="T140" s="82">
        <f t="shared" si="160"/>
        <v>8037.1239326285158</v>
      </c>
      <c r="U140" s="84">
        <f t="shared" si="161"/>
        <v>651462.01247640187</v>
      </c>
      <c r="V140" s="80">
        <v>4846</v>
      </c>
      <c r="W140" s="82">
        <f t="shared" si="162"/>
        <v>4871.532530020987</v>
      </c>
      <c r="X140" s="84">
        <f t="shared" si="163"/>
        <v>540026.91772800346</v>
      </c>
      <c r="Y140" s="80">
        <v>13612</v>
      </c>
      <c r="Z140" s="82">
        <f t="shared" si="164"/>
        <v>13683.718695552141</v>
      </c>
      <c r="AA140" s="84">
        <f t="shared" si="165"/>
        <v>1609601.0951914531</v>
      </c>
      <c r="AB140" s="80">
        <v>10012</v>
      </c>
      <c r="AC140" s="82">
        <f t="shared" si="166"/>
        <v>10064.751071104029</v>
      </c>
      <c r="AD140" s="84">
        <f t="shared" si="167"/>
        <v>1315942.6912405647</v>
      </c>
      <c r="AE140" s="80">
        <v>5712</v>
      </c>
      <c r="AF140" s="82">
        <f t="shared" si="168"/>
        <v>5742.0952974576712</v>
      </c>
      <c r="AG140" s="84">
        <f t="shared" si="169"/>
        <v>990827.40275413112</v>
      </c>
      <c r="AH140" s="81">
        <f t="shared" si="170"/>
        <v>5475337.0737588769</v>
      </c>
      <c r="AI140" s="80">
        <v>439</v>
      </c>
      <c r="AJ140" s="82">
        <f t="shared" si="171"/>
        <v>441.3129964257559</v>
      </c>
      <c r="AK140" s="84">
        <f t="shared" si="172"/>
        <v>2421744.5436098748</v>
      </c>
      <c r="AL140" s="80">
        <v>2918</v>
      </c>
      <c r="AM140" s="82">
        <f t="shared" si="173"/>
        <v>2933.3743133721086</v>
      </c>
      <c r="AN140" s="84">
        <f t="shared" si="174"/>
        <v>2218117.5448238589</v>
      </c>
      <c r="AO140" s="564">
        <v>593</v>
      </c>
      <c r="AP140" s="82">
        <f t="shared" si="175"/>
        <v>596.12438924936964</v>
      </c>
      <c r="AQ140" s="84">
        <f t="shared" si="176"/>
        <v>2322588.4628311656</v>
      </c>
      <c r="AR140" s="564">
        <v>925</v>
      </c>
      <c r="AS140" s="82">
        <f t="shared" si="177"/>
        <v>929.87362572625113</v>
      </c>
      <c r="AT140" s="84">
        <f t="shared" si="178"/>
        <v>2562139.6327804429</v>
      </c>
      <c r="AU140" s="81">
        <f t="shared" si="179"/>
        <v>46325505.369454913</v>
      </c>
      <c r="AV140" s="620">
        <f>INDEX('2021-22 Baseline'!$J$9:$J$158,MATCH(C140,'2021-22 Baseline'!$C$9:$C$158,0))</f>
        <v>40216214.682240859</v>
      </c>
      <c r="AW140" s="623">
        <v>66455.354999999996</v>
      </c>
      <c r="AX140" s="620">
        <f t="shared" si="180"/>
        <v>605.16138514707893</v>
      </c>
      <c r="AY140" s="620">
        <f t="shared" si="181"/>
        <v>653.57429595884525</v>
      </c>
      <c r="AZ140" s="620">
        <f t="shared" si="182"/>
        <v>689.6125339727032</v>
      </c>
      <c r="BA140" s="620">
        <f t="shared" si="183"/>
        <v>689.6125339727032</v>
      </c>
      <c r="BB140" s="624">
        <f t="shared" si="184"/>
        <v>0</v>
      </c>
      <c r="BC140" s="620">
        <f t="shared" si="142"/>
        <v>0</v>
      </c>
      <c r="BD140" s="81">
        <f t="shared" si="185"/>
        <v>0</v>
      </c>
      <c r="BE140" s="81">
        <f t="shared" si="190"/>
        <v>46325505.369454913</v>
      </c>
      <c r="BF140" s="588">
        <f>INDEX('AP Funding Factor'!$I$9:$I$158,MATCH(C140,'AP Funding Factor'!$C$9:$C$158,0))</f>
        <v>144861.21892978213</v>
      </c>
      <c r="BG140" s="290">
        <f>INDEX('Import|Export Adjustments Data'!$Q$9:$Q$159,MATCH($C140,'Import|Export Adjustments Data'!$C$9:$C$159,0))</f>
        <v>-61</v>
      </c>
      <c r="BH140" s="289">
        <v>30000</v>
      </c>
      <c r="BI140" s="81">
        <f t="shared" si="141"/>
        <v>-336000</v>
      </c>
      <c r="BJ140" s="86">
        <f t="shared" si="149"/>
        <v>49933538.69515463</v>
      </c>
      <c r="BK140" s="620">
        <f t="shared" si="150"/>
        <v>605.16138514707893</v>
      </c>
      <c r="BL140" s="620">
        <f t="shared" si="151"/>
        <v>689.6125339727032</v>
      </c>
      <c r="BM140" s="620">
        <f t="shared" si="186"/>
        <v>671.72913751325768</v>
      </c>
      <c r="BN140" s="620">
        <f t="shared" si="187"/>
        <v>45124167.896753281</v>
      </c>
      <c r="BO140" s="281">
        <f t="shared" si="191"/>
        <v>0.1100000000000001</v>
      </c>
      <c r="BP140" s="81">
        <f t="shared" si="188"/>
        <v>49068201.222452998</v>
      </c>
      <c r="BQ140" s="81">
        <f t="shared" si="189"/>
        <v>48732201.222452998</v>
      </c>
      <c r="BS140" s="599"/>
      <c r="BT140" s="601"/>
    </row>
    <row r="141" spans="1:72" ht="15.4" x14ac:dyDescent="0.45">
      <c r="A141" s="76"/>
      <c r="B141" s="77" t="s">
        <v>212</v>
      </c>
      <c r="C141" s="288">
        <v>937</v>
      </c>
      <c r="D141" s="78" t="s">
        <v>223</v>
      </c>
      <c r="E141" s="87">
        <v>1.0109277570512201</v>
      </c>
      <c r="F141" s="327">
        <f t="shared" si="152"/>
        <v>4710.9233478586857</v>
      </c>
      <c r="G141" s="290">
        <v>1884.5</v>
      </c>
      <c r="H141" s="81">
        <f t="shared" si="153"/>
        <v>8877735.0490396935</v>
      </c>
      <c r="I141" s="597">
        <f>INDEX('Historic Spend Factor'!$U$9:$U$159, MATCH(C141, 'Historic Spend Factor'!$C$9:$C$159, 0))</f>
        <v>27245497.309728689</v>
      </c>
      <c r="J141" s="80">
        <v>115257.99899999985</v>
      </c>
      <c r="K141" s="82">
        <f t="shared" si="154"/>
        <v>116517.51041128162</v>
      </c>
      <c r="L141" s="81">
        <f t="shared" si="155"/>
        <v>23708935.353366878</v>
      </c>
      <c r="M141" s="80">
        <v>15011.5</v>
      </c>
      <c r="N141" s="82">
        <f t="shared" si="156"/>
        <v>15175.542024974389</v>
      </c>
      <c r="O141" s="81">
        <f t="shared" si="157"/>
        <v>3863416.7198576531</v>
      </c>
      <c r="P141" s="80">
        <v>11801</v>
      </c>
      <c r="Q141" s="82">
        <f t="shared" si="158"/>
        <v>11929.958460961449</v>
      </c>
      <c r="R141" s="84">
        <f t="shared" si="159"/>
        <v>732573.08776613756</v>
      </c>
      <c r="S141" s="80">
        <v>9012</v>
      </c>
      <c r="T141" s="82">
        <f t="shared" si="160"/>
        <v>9110.4809465455946</v>
      </c>
      <c r="U141" s="84">
        <f t="shared" si="161"/>
        <v>738464.69232227479</v>
      </c>
      <c r="V141" s="80">
        <v>1505</v>
      </c>
      <c r="W141" s="82">
        <f t="shared" si="162"/>
        <v>1521.4462743620861</v>
      </c>
      <c r="X141" s="84">
        <f t="shared" si="163"/>
        <v>168657.79648790974</v>
      </c>
      <c r="Y141" s="80">
        <v>1322</v>
      </c>
      <c r="Z141" s="82">
        <f t="shared" si="164"/>
        <v>1336.446494821713</v>
      </c>
      <c r="AA141" s="84">
        <f t="shared" si="165"/>
        <v>157204.76206727579</v>
      </c>
      <c r="AB141" s="80">
        <v>2737</v>
      </c>
      <c r="AC141" s="82">
        <f t="shared" si="166"/>
        <v>2766.9092710491891</v>
      </c>
      <c r="AD141" s="84">
        <f t="shared" si="167"/>
        <v>361766.9236764877</v>
      </c>
      <c r="AE141" s="80">
        <v>720</v>
      </c>
      <c r="AF141" s="82">
        <f t="shared" si="168"/>
        <v>727.86798507687843</v>
      </c>
      <c r="AG141" s="84">
        <f t="shared" si="169"/>
        <v>125597.27901432004</v>
      </c>
      <c r="AH141" s="81">
        <f t="shared" si="170"/>
        <v>2284264.5413344055</v>
      </c>
      <c r="AI141" s="80">
        <v>456</v>
      </c>
      <c r="AJ141" s="82">
        <f t="shared" si="171"/>
        <v>460.98305721535633</v>
      </c>
      <c r="AK141" s="84">
        <f t="shared" si="172"/>
        <v>2529685.7616920471</v>
      </c>
      <c r="AL141" s="80">
        <v>4514</v>
      </c>
      <c r="AM141" s="82">
        <f t="shared" si="173"/>
        <v>4563.3278953292074</v>
      </c>
      <c r="AN141" s="84">
        <f t="shared" si="174"/>
        <v>3450632.8160274713</v>
      </c>
      <c r="AO141" s="564">
        <v>899</v>
      </c>
      <c r="AP141" s="82">
        <f t="shared" si="175"/>
        <v>908.8240535890468</v>
      </c>
      <c r="AQ141" s="84">
        <f t="shared" si="176"/>
        <v>3540912.4331706841</v>
      </c>
      <c r="AR141" s="564">
        <v>1056</v>
      </c>
      <c r="AS141" s="82">
        <f t="shared" si="177"/>
        <v>1067.5397114460884</v>
      </c>
      <c r="AT141" s="84">
        <f t="shared" si="178"/>
        <v>2941459.7087069568</v>
      </c>
      <c r="AU141" s="81">
        <f t="shared" si="179"/>
        <v>69564804.643884778</v>
      </c>
      <c r="AV141" s="620">
        <f>INDEX('2021-22 Baseline'!$J$9:$J$158,MATCH(C141,'2021-22 Baseline'!$C$9:$C$158,0))</f>
        <v>66451867.622596487</v>
      </c>
      <c r="AW141" s="623">
        <v>113911.42599999988</v>
      </c>
      <c r="AX141" s="620">
        <f t="shared" si="180"/>
        <v>583.3643731454697</v>
      </c>
      <c r="AY141" s="620">
        <f t="shared" si="181"/>
        <v>630.0335229971073</v>
      </c>
      <c r="AZ141" s="620">
        <f t="shared" si="182"/>
        <v>603.55728233564832</v>
      </c>
      <c r="BA141" s="620">
        <f t="shared" si="183"/>
        <v>630.0335229971073</v>
      </c>
      <c r="BB141" s="624">
        <f t="shared" si="184"/>
        <v>3051598.5196821936</v>
      </c>
      <c r="BC141" s="620">
        <f t="shared" si="142"/>
        <v>0</v>
      </c>
      <c r="BD141" s="81">
        <f t="shared" si="185"/>
        <v>3051598.5196821936</v>
      </c>
      <c r="BE141" s="81">
        <f t="shared" si="190"/>
        <v>72616403.163566977</v>
      </c>
      <c r="BF141" s="588">
        <f>INDEX('AP Funding Factor'!$I$9:$I$158,MATCH(C141,'AP Funding Factor'!$C$9:$C$158,0))</f>
        <v>191347.13506416237</v>
      </c>
      <c r="BG141" s="290">
        <f>INDEX('Import|Export Adjustments Data'!$Q$9:$Q$159,MATCH($C141,'Import|Export Adjustments Data'!$C$9:$C$159,0))</f>
        <v>105.5</v>
      </c>
      <c r="BH141" s="289">
        <v>51792</v>
      </c>
      <c r="BI141" s="81">
        <f t="shared" si="141"/>
        <v>684792</v>
      </c>
      <c r="BJ141" s="86">
        <f t="shared" si="149"/>
        <v>82370277.347670838</v>
      </c>
      <c r="BK141" s="620">
        <f t="shared" si="150"/>
        <v>583.3643731454697</v>
      </c>
      <c r="BL141" s="620">
        <f t="shared" si="151"/>
        <v>630.0335229971073</v>
      </c>
      <c r="BM141" s="620">
        <f t="shared" si="186"/>
        <v>630.0335229971073</v>
      </c>
      <c r="BN141" s="620">
        <f t="shared" si="187"/>
        <v>72616403.163566977</v>
      </c>
      <c r="BO141" s="281">
        <f t="shared" si="191"/>
        <v>8.0000000000000071E-2</v>
      </c>
      <c r="BP141" s="81">
        <f t="shared" si="188"/>
        <v>81685485.347670838</v>
      </c>
      <c r="BQ141" s="81">
        <f t="shared" si="189"/>
        <v>82370277.347670838</v>
      </c>
      <c r="BS141" s="599"/>
      <c r="BT141" s="601"/>
    </row>
    <row r="142" spans="1:72" ht="15.4" x14ac:dyDescent="0.45">
      <c r="A142" s="76"/>
      <c r="B142" s="77" t="s">
        <v>212</v>
      </c>
      <c r="C142" s="288">
        <v>336</v>
      </c>
      <c r="D142" s="78" t="s">
        <v>224</v>
      </c>
      <c r="E142" s="87">
        <v>1.0052687845689201</v>
      </c>
      <c r="F142" s="327">
        <f t="shared" si="152"/>
        <v>4684.5525360911679</v>
      </c>
      <c r="G142" s="290">
        <v>1022.999999</v>
      </c>
      <c r="H142" s="81">
        <f t="shared" si="153"/>
        <v>4792297.2397367125</v>
      </c>
      <c r="I142" s="597">
        <f>INDEX('Historic Spend Factor'!$U$9:$U$159, MATCH(C142, 'Historic Spend Factor'!$C$9:$C$159, 0))</f>
        <v>13571320.654235151</v>
      </c>
      <c r="J142" s="80">
        <v>60896.176999999967</v>
      </c>
      <c r="K142" s="82">
        <f t="shared" si="154"/>
        <v>61217.025837683796</v>
      </c>
      <c r="L142" s="81">
        <f t="shared" si="155"/>
        <v>12456415.374718703</v>
      </c>
      <c r="M142" s="80">
        <v>16755</v>
      </c>
      <c r="N142" s="82">
        <f t="shared" si="156"/>
        <v>16843.278485452258</v>
      </c>
      <c r="O142" s="81">
        <f t="shared" si="157"/>
        <v>4287992.0605685757</v>
      </c>
      <c r="P142" s="80">
        <v>5484</v>
      </c>
      <c r="Q142" s="82">
        <f t="shared" si="158"/>
        <v>5512.894014575958</v>
      </c>
      <c r="R142" s="84">
        <f t="shared" si="159"/>
        <v>338525.72110799223</v>
      </c>
      <c r="S142" s="80">
        <v>8016</v>
      </c>
      <c r="T142" s="82">
        <f t="shared" si="160"/>
        <v>8058.2345771044638</v>
      </c>
      <c r="U142" s="84">
        <f t="shared" si="161"/>
        <v>653173.16973243747</v>
      </c>
      <c r="V142" s="80">
        <v>7333</v>
      </c>
      <c r="W142" s="82">
        <f t="shared" si="162"/>
        <v>7371.6359972438913</v>
      </c>
      <c r="X142" s="84">
        <f t="shared" si="163"/>
        <v>817172.38706138055</v>
      </c>
      <c r="Y142" s="80">
        <v>11630</v>
      </c>
      <c r="Z142" s="82">
        <f t="shared" si="164"/>
        <v>11691.27596453654</v>
      </c>
      <c r="AA142" s="84">
        <f t="shared" si="165"/>
        <v>1375232.2022536437</v>
      </c>
      <c r="AB142" s="80">
        <v>8914</v>
      </c>
      <c r="AC142" s="82">
        <f t="shared" si="166"/>
        <v>8960.9659456473546</v>
      </c>
      <c r="AD142" s="84">
        <f t="shared" si="167"/>
        <v>1171625.3645343983</v>
      </c>
      <c r="AE142" s="80">
        <v>4458</v>
      </c>
      <c r="AF142" s="82">
        <f t="shared" si="168"/>
        <v>4481.4882416082455</v>
      </c>
      <c r="AG142" s="84">
        <f t="shared" si="169"/>
        <v>773303.31958646991</v>
      </c>
      <c r="AH142" s="81">
        <f t="shared" si="170"/>
        <v>5129032.1642763223</v>
      </c>
      <c r="AI142" s="80">
        <v>392</v>
      </c>
      <c r="AJ142" s="82">
        <f t="shared" si="171"/>
        <v>394.06536355101667</v>
      </c>
      <c r="AK142" s="84">
        <f t="shared" si="172"/>
        <v>2162468.9318794329</v>
      </c>
      <c r="AL142" s="80">
        <v>2416</v>
      </c>
      <c r="AM142" s="82">
        <f t="shared" si="173"/>
        <v>2428.729383518511</v>
      </c>
      <c r="AN142" s="84">
        <f t="shared" si="174"/>
        <v>1836522.2715196859</v>
      </c>
      <c r="AO142" s="564">
        <v>608</v>
      </c>
      <c r="AP142" s="82">
        <f t="shared" si="175"/>
        <v>611.20342101790345</v>
      </c>
      <c r="AQ142" s="84">
        <f t="shared" si="176"/>
        <v>2381338.5925823757</v>
      </c>
      <c r="AR142" s="564">
        <v>820</v>
      </c>
      <c r="AS142" s="82">
        <f t="shared" si="177"/>
        <v>824.32040334651447</v>
      </c>
      <c r="AT142" s="84">
        <f t="shared" si="178"/>
        <v>2271302.1609513112</v>
      </c>
      <c r="AU142" s="81">
        <f t="shared" si="179"/>
        <v>44096392.210731551</v>
      </c>
      <c r="AV142" s="620">
        <f>INDEX('2021-22 Baseline'!$J$9:$J$158,MATCH(C142,'2021-22 Baseline'!$C$9:$C$158,0))</f>
        <v>41261626.891342297</v>
      </c>
      <c r="AW142" s="623">
        <v>60135.715999999993</v>
      </c>
      <c r="AX142" s="620">
        <f t="shared" si="180"/>
        <v>686.14177457107689</v>
      </c>
      <c r="AY142" s="620">
        <f t="shared" si="181"/>
        <v>741.03311653676315</v>
      </c>
      <c r="AZ142" s="620">
        <f t="shared" si="182"/>
        <v>724.12414675442722</v>
      </c>
      <c r="BA142" s="620">
        <f t="shared" si="183"/>
        <v>741.03311653676315</v>
      </c>
      <c r="BB142" s="624">
        <f t="shared" si="184"/>
        <v>1029691.6167527797</v>
      </c>
      <c r="BC142" s="620">
        <f t="shared" si="142"/>
        <v>0</v>
      </c>
      <c r="BD142" s="81">
        <f t="shared" si="185"/>
        <v>1029691.6167527797</v>
      </c>
      <c r="BE142" s="81">
        <f t="shared" si="190"/>
        <v>45126083.827484332</v>
      </c>
      <c r="BF142" s="588">
        <f>INDEX('AP Funding Factor'!$I$9:$I$158,MATCH(C142,'AP Funding Factor'!$C$9:$C$158,0))</f>
        <v>730034.65907196142</v>
      </c>
      <c r="BG142" s="290">
        <f>INDEX('Import|Export Adjustments Data'!$Q$9:$Q$159,MATCH($C142,'Import|Export Adjustments Data'!$C$9:$C$159,0))</f>
        <v>-73</v>
      </c>
      <c r="BH142" s="289">
        <v>216000</v>
      </c>
      <c r="BI142" s="81">
        <f t="shared" si="141"/>
        <v>-222000</v>
      </c>
      <c r="BJ142" s="86">
        <f t="shared" si="149"/>
        <v>50426415.726293005</v>
      </c>
      <c r="BK142" s="620">
        <f t="shared" si="150"/>
        <v>686.14177457107689</v>
      </c>
      <c r="BL142" s="620">
        <f t="shared" si="151"/>
        <v>741.03311653676315</v>
      </c>
      <c r="BM142" s="620">
        <f t="shared" si="186"/>
        <v>741.03311653676315</v>
      </c>
      <c r="BN142" s="620">
        <f t="shared" si="187"/>
        <v>45126083.827484332</v>
      </c>
      <c r="BO142" s="281">
        <f t="shared" si="191"/>
        <v>8.0000000000000071E-2</v>
      </c>
      <c r="BP142" s="81">
        <f t="shared" si="188"/>
        <v>50648415.726293005</v>
      </c>
      <c r="BQ142" s="81">
        <f t="shared" si="189"/>
        <v>50426415.726293005</v>
      </c>
      <c r="BS142" s="599"/>
      <c r="BT142" s="601"/>
    </row>
    <row r="143" spans="1:72" ht="15.4" x14ac:dyDescent="0.45">
      <c r="A143" s="76"/>
      <c r="B143" s="77" t="s">
        <v>212</v>
      </c>
      <c r="C143" s="288">
        <v>885</v>
      </c>
      <c r="D143" s="78" t="s">
        <v>225</v>
      </c>
      <c r="E143" s="87">
        <v>1</v>
      </c>
      <c r="F143" s="327">
        <f t="shared" si="152"/>
        <v>4660</v>
      </c>
      <c r="G143" s="290">
        <v>1784.5</v>
      </c>
      <c r="H143" s="81">
        <f t="shared" si="153"/>
        <v>8315770</v>
      </c>
      <c r="I143" s="597">
        <f>INDEX('Historic Spend Factor'!$U$9:$U$159, MATCH(C143, 'Historic Spend Factor'!$C$9:$C$159, 0))</f>
        <v>22767562.12350031</v>
      </c>
      <c r="J143" s="80">
        <v>116496.46699999987</v>
      </c>
      <c r="K143" s="82">
        <f t="shared" si="154"/>
        <v>116496.46699999987</v>
      </c>
      <c r="L143" s="81">
        <f t="shared" si="155"/>
        <v>23704653.44864773</v>
      </c>
      <c r="M143" s="80">
        <v>14823.5</v>
      </c>
      <c r="N143" s="82">
        <f t="shared" si="156"/>
        <v>14823.5</v>
      </c>
      <c r="O143" s="81">
        <f t="shared" si="157"/>
        <v>3773793.229432052</v>
      </c>
      <c r="P143" s="80">
        <v>10445</v>
      </c>
      <c r="Q143" s="82">
        <f t="shared" si="158"/>
        <v>10445</v>
      </c>
      <c r="R143" s="84">
        <f t="shared" si="159"/>
        <v>641387.47228300455</v>
      </c>
      <c r="S143" s="80">
        <v>7879</v>
      </c>
      <c r="T143" s="82">
        <f t="shared" si="160"/>
        <v>7879</v>
      </c>
      <c r="U143" s="84">
        <f t="shared" si="161"/>
        <v>638645.02268821944</v>
      </c>
      <c r="V143" s="80">
        <v>5050</v>
      </c>
      <c r="W143" s="82">
        <f t="shared" si="162"/>
        <v>5050</v>
      </c>
      <c r="X143" s="84">
        <f t="shared" si="163"/>
        <v>559810.67923088849</v>
      </c>
      <c r="Y143" s="80">
        <v>4026</v>
      </c>
      <c r="Z143" s="82">
        <f t="shared" si="164"/>
        <v>4026</v>
      </c>
      <c r="AA143" s="84">
        <f t="shared" si="165"/>
        <v>473574.04470373836</v>
      </c>
      <c r="AB143" s="80">
        <v>5535</v>
      </c>
      <c r="AC143" s="82">
        <f t="shared" si="166"/>
        <v>5535</v>
      </c>
      <c r="AD143" s="84">
        <f t="shared" si="167"/>
        <v>723688.32021372113</v>
      </c>
      <c r="AE143" s="80">
        <v>1565</v>
      </c>
      <c r="AF143" s="82">
        <f t="shared" si="168"/>
        <v>1565</v>
      </c>
      <c r="AG143" s="84">
        <f t="shared" si="169"/>
        <v>270048.61552833644</v>
      </c>
      <c r="AH143" s="81">
        <f t="shared" si="170"/>
        <v>3307154.1546479082</v>
      </c>
      <c r="AI143" s="80">
        <v>537</v>
      </c>
      <c r="AJ143" s="82">
        <f t="shared" si="171"/>
        <v>537</v>
      </c>
      <c r="AK143" s="84">
        <f t="shared" si="172"/>
        <v>2946835.5349858548</v>
      </c>
      <c r="AL143" s="80">
        <v>5043</v>
      </c>
      <c r="AM143" s="82">
        <f t="shared" si="173"/>
        <v>5043</v>
      </c>
      <c r="AN143" s="84">
        <f t="shared" si="174"/>
        <v>3813344.4912073659</v>
      </c>
      <c r="AO143" s="564">
        <v>977</v>
      </c>
      <c r="AP143" s="82">
        <f t="shared" si="175"/>
        <v>977</v>
      </c>
      <c r="AQ143" s="84">
        <f t="shared" si="176"/>
        <v>3806535.966500801</v>
      </c>
      <c r="AR143" s="564">
        <v>1160</v>
      </c>
      <c r="AS143" s="82">
        <f t="shared" si="177"/>
        <v>1160</v>
      </c>
      <c r="AT143" s="84">
        <f t="shared" si="178"/>
        <v>3196221.3915939964</v>
      </c>
      <c r="AU143" s="81">
        <f t="shared" si="179"/>
        <v>67316100.340516031</v>
      </c>
      <c r="AV143" s="620">
        <f>INDEX('2021-22 Baseline'!$J$9:$J$158,MATCH(C143,'2021-22 Baseline'!$C$9:$C$158,0))</f>
        <v>60660889.184748508</v>
      </c>
      <c r="AW143" s="623">
        <v>115463.41599999995</v>
      </c>
      <c r="AX143" s="620">
        <f t="shared" si="180"/>
        <v>525.36891152387636</v>
      </c>
      <c r="AY143" s="620">
        <f t="shared" si="181"/>
        <v>567.39842444578653</v>
      </c>
      <c r="AZ143" s="620">
        <f t="shared" si="182"/>
        <v>577.83812740446547</v>
      </c>
      <c r="BA143" s="620">
        <f t="shared" si="183"/>
        <v>577.83812740446547</v>
      </c>
      <c r="BB143" s="624">
        <f t="shared" si="184"/>
        <v>0</v>
      </c>
      <c r="BC143" s="620">
        <f t="shared" si="142"/>
        <v>0</v>
      </c>
      <c r="BD143" s="81">
        <f t="shared" si="185"/>
        <v>0</v>
      </c>
      <c r="BE143" s="81">
        <f t="shared" si="190"/>
        <v>67316100.340516031</v>
      </c>
      <c r="BF143" s="588">
        <f>INDEX('AP Funding Factor'!$I$9:$I$158,MATCH(C143,'AP Funding Factor'!$C$9:$C$158,0))</f>
        <v>1040142.4896441649</v>
      </c>
      <c r="BG143" s="290">
        <f>INDEX('Import|Export Adjustments Data'!$Q$9:$Q$159,MATCH($C143,'Import|Export Adjustments Data'!$C$9:$C$159,0))</f>
        <v>-321</v>
      </c>
      <c r="BH143" s="289">
        <v>0</v>
      </c>
      <c r="BI143" s="81">
        <f t="shared" ref="BI143:BI159" si="192">BG143*6000+BH143</f>
        <v>-1926000</v>
      </c>
      <c r="BJ143" s="86">
        <f t="shared" si="149"/>
        <v>74746012.830160201</v>
      </c>
      <c r="BK143" s="620">
        <f t="shared" si="150"/>
        <v>525.36891152387636</v>
      </c>
      <c r="BL143" s="620">
        <f t="shared" si="151"/>
        <v>577.83812740446547</v>
      </c>
      <c r="BM143" s="620">
        <f t="shared" si="186"/>
        <v>577.83812740446547</v>
      </c>
      <c r="BN143" s="620">
        <f t="shared" si="187"/>
        <v>67316100.340516031</v>
      </c>
      <c r="BO143" s="281">
        <f t="shared" si="191"/>
        <v>9.9871185237051296E-2</v>
      </c>
      <c r="BP143" s="81">
        <f t="shared" si="188"/>
        <v>76672012.830160201</v>
      </c>
      <c r="BQ143" s="81">
        <f t="shared" si="189"/>
        <v>74746012.830160201</v>
      </c>
      <c r="BS143" s="599"/>
      <c r="BT143" s="601"/>
    </row>
    <row r="144" spans="1:72" ht="15.4" x14ac:dyDescent="0.45">
      <c r="A144" s="76"/>
      <c r="B144" s="77" t="s">
        <v>226</v>
      </c>
      <c r="C144" s="288">
        <v>370</v>
      </c>
      <c r="D144" s="78" t="s">
        <v>227</v>
      </c>
      <c r="E144" s="87">
        <v>1</v>
      </c>
      <c r="F144" s="327">
        <f t="shared" si="152"/>
        <v>4660</v>
      </c>
      <c r="G144" s="290">
        <v>605</v>
      </c>
      <c r="H144" s="81">
        <f t="shared" si="153"/>
        <v>2819300</v>
      </c>
      <c r="I144" s="597">
        <f>INDEX('Historic Spend Factor'!$U$9:$U$159, MATCH(C144, 'Historic Spend Factor'!$C$9:$C$159, 0))</f>
        <v>12163032.154268121</v>
      </c>
      <c r="J144" s="80">
        <v>49447.414999999972</v>
      </c>
      <c r="K144" s="82">
        <f t="shared" si="154"/>
        <v>49447.414999999972</v>
      </c>
      <c r="L144" s="81">
        <f t="shared" si="155"/>
        <v>10061539.776193094</v>
      </c>
      <c r="M144" s="80">
        <v>10187</v>
      </c>
      <c r="N144" s="82">
        <f t="shared" si="156"/>
        <v>10187</v>
      </c>
      <c r="O144" s="81">
        <f t="shared" si="157"/>
        <v>2593424.7396515203</v>
      </c>
      <c r="P144" s="80">
        <v>6167</v>
      </c>
      <c r="Q144" s="82">
        <f t="shared" si="158"/>
        <v>6167</v>
      </c>
      <c r="R144" s="84">
        <f t="shared" si="159"/>
        <v>378691.86611481942</v>
      </c>
      <c r="S144" s="80">
        <v>9278</v>
      </c>
      <c r="T144" s="82">
        <f t="shared" si="160"/>
        <v>9278</v>
      </c>
      <c r="U144" s="84">
        <f t="shared" si="161"/>
        <v>752043.21874619881</v>
      </c>
      <c r="V144" s="80">
        <v>3024</v>
      </c>
      <c r="W144" s="82">
        <f t="shared" si="162"/>
        <v>3024</v>
      </c>
      <c r="X144" s="84">
        <f t="shared" si="163"/>
        <v>335221.28593944688</v>
      </c>
      <c r="Y144" s="80">
        <v>4784</v>
      </c>
      <c r="Z144" s="82">
        <f t="shared" si="164"/>
        <v>4784</v>
      </c>
      <c r="AA144" s="84">
        <f t="shared" si="165"/>
        <v>562736.76847061201</v>
      </c>
      <c r="AB144" s="80">
        <v>5713</v>
      </c>
      <c r="AC144" s="82">
        <f t="shared" si="166"/>
        <v>5713</v>
      </c>
      <c r="AD144" s="84">
        <f t="shared" si="167"/>
        <v>746961.40440487606</v>
      </c>
      <c r="AE144" s="80">
        <v>2508</v>
      </c>
      <c r="AF144" s="82">
        <f t="shared" si="168"/>
        <v>2508</v>
      </c>
      <c r="AG144" s="84">
        <f t="shared" si="169"/>
        <v>432768.00494892505</v>
      </c>
      <c r="AH144" s="81">
        <f t="shared" si="170"/>
        <v>3208422.5486248778</v>
      </c>
      <c r="AI144" s="80">
        <v>308</v>
      </c>
      <c r="AJ144" s="82">
        <f t="shared" si="171"/>
        <v>308</v>
      </c>
      <c r="AK144" s="84">
        <f t="shared" si="172"/>
        <v>1690177.5507926317</v>
      </c>
      <c r="AL144" s="80">
        <v>2687</v>
      </c>
      <c r="AM144" s="82">
        <f t="shared" si="173"/>
        <v>2687</v>
      </c>
      <c r="AN144" s="84">
        <f t="shared" si="174"/>
        <v>2031817.697377393</v>
      </c>
      <c r="AO144" s="564">
        <v>386</v>
      </c>
      <c r="AP144" s="82">
        <f t="shared" si="175"/>
        <v>386</v>
      </c>
      <c r="AQ144" s="84">
        <f t="shared" si="176"/>
        <v>1503912.8792930495</v>
      </c>
      <c r="AR144" s="564">
        <v>595</v>
      </c>
      <c r="AS144" s="82">
        <f t="shared" si="177"/>
        <v>595</v>
      </c>
      <c r="AT144" s="84">
        <f t="shared" si="178"/>
        <v>1639441.1448262313</v>
      </c>
      <c r="AU144" s="81">
        <f t="shared" si="179"/>
        <v>34891768.491026916</v>
      </c>
      <c r="AV144" s="620">
        <f>INDEX('2021-22 Baseline'!$J$9:$J$158,MATCH(C144,'2021-22 Baseline'!$C$9:$C$158,0))</f>
        <v>28834362.127389856</v>
      </c>
      <c r="AW144" s="623">
        <v>49100.375999999997</v>
      </c>
      <c r="AX144" s="620">
        <f t="shared" si="180"/>
        <v>587.25338737507548</v>
      </c>
      <c r="AY144" s="620">
        <f t="shared" si="181"/>
        <v>634.23365836508151</v>
      </c>
      <c r="AZ144" s="620">
        <f t="shared" si="182"/>
        <v>705.63382314377679</v>
      </c>
      <c r="BA144" s="620">
        <f t="shared" si="183"/>
        <v>705.63382314377679</v>
      </c>
      <c r="BB144" s="624">
        <f t="shared" si="184"/>
        <v>0</v>
      </c>
      <c r="BC144" s="620">
        <f t="shared" si="142"/>
        <v>0</v>
      </c>
      <c r="BD144" s="81">
        <f t="shared" si="185"/>
        <v>0</v>
      </c>
      <c r="BE144" s="81">
        <f t="shared" si="190"/>
        <v>34891768.491026916</v>
      </c>
      <c r="BF144" s="588">
        <f>INDEX('AP Funding Factor'!$I$9:$I$158,MATCH(C144,'AP Funding Factor'!$C$9:$C$158,0))</f>
        <v>78465.16396125911</v>
      </c>
      <c r="BG144" s="290">
        <f>INDEX('Import|Export Adjustments Data'!$Q$9:$Q$159,MATCH($C144,'Import|Export Adjustments Data'!$C$9:$C$159,0))</f>
        <v>-81</v>
      </c>
      <c r="BH144" s="289">
        <v>6000</v>
      </c>
      <c r="BI144" s="81">
        <f t="shared" si="192"/>
        <v>-480000</v>
      </c>
      <c r="BJ144" s="86">
        <f t="shared" si="149"/>
        <v>37309533.654988177</v>
      </c>
      <c r="BK144" s="620">
        <f t="shared" si="150"/>
        <v>587.25338737507548</v>
      </c>
      <c r="BL144" s="620">
        <f t="shared" si="151"/>
        <v>705.63382314377679</v>
      </c>
      <c r="BM144" s="620">
        <f t="shared" si="186"/>
        <v>651.85125998633384</v>
      </c>
      <c r="BN144" s="620">
        <f t="shared" si="187"/>
        <v>32232359.770817127</v>
      </c>
      <c r="BO144" s="281">
        <f t="shared" si="191"/>
        <v>0.1100000000000001</v>
      </c>
      <c r="BP144" s="81">
        <f t="shared" si="188"/>
        <v>35130124.934778385</v>
      </c>
      <c r="BQ144" s="81">
        <f t="shared" si="189"/>
        <v>34650124.934778385</v>
      </c>
      <c r="BS144" s="599"/>
      <c r="BT144" s="601"/>
    </row>
    <row r="145" spans="1:72" ht="15.4" x14ac:dyDescent="0.45">
      <c r="A145" s="76"/>
      <c r="B145" s="77" t="s">
        <v>226</v>
      </c>
      <c r="C145" s="288">
        <v>380</v>
      </c>
      <c r="D145" s="78" t="s">
        <v>228</v>
      </c>
      <c r="E145" s="87">
        <v>1.00025202771499</v>
      </c>
      <c r="F145" s="327">
        <f t="shared" si="152"/>
        <v>4661.174449151853</v>
      </c>
      <c r="G145" s="290">
        <v>1502.5</v>
      </c>
      <c r="H145" s="81">
        <f t="shared" si="153"/>
        <v>7003414.609850659</v>
      </c>
      <c r="I145" s="597">
        <f>INDEX('Historic Spend Factor'!$U$9:$U$159, MATCH(C145, 'Historic Spend Factor'!$C$9:$C$159, 0))</f>
        <v>27714372.51917642</v>
      </c>
      <c r="J145" s="80">
        <v>135509.11499999993</v>
      </c>
      <c r="K145" s="82">
        <f t="shared" si="154"/>
        <v>135543.26705261369</v>
      </c>
      <c r="L145" s="81">
        <f t="shared" si="155"/>
        <v>27580288.531666141</v>
      </c>
      <c r="M145" s="80">
        <v>27307.5</v>
      </c>
      <c r="N145" s="82">
        <f t="shared" si="156"/>
        <v>27314.382246827088</v>
      </c>
      <c r="O145" s="81">
        <f t="shared" si="157"/>
        <v>6953744.4455894427</v>
      </c>
      <c r="P145" s="80">
        <v>18867</v>
      </c>
      <c r="Q145" s="82">
        <f t="shared" si="158"/>
        <v>18871.755006898715</v>
      </c>
      <c r="R145" s="84">
        <f t="shared" si="159"/>
        <v>1158842.2442717953</v>
      </c>
      <c r="S145" s="80">
        <v>23702</v>
      </c>
      <c r="T145" s="82">
        <f t="shared" si="160"/>
        <v>23707.973560900693</v>
      </c>
      <c r="U145" s="84">
        <f t="shared" si="161"/>
        <v>1921687.9442433217</v>
      </c>
      <c r="V145" s="80">
        <v>14696</v>
      </c>
      <c r="W145" s="82">
        <f t="shared" si="162"/>
        <v>14699.703799299494</v>
      </c>
      <c r="X145" s="84">
        <f t="shared" si="163"/>
        <v>1629515.0828472718</v>
      </c>
      <c r="Y145" s="80">
        <v>14551</v>
      </c>
      <c r="Z145" s="82">
        <f t="shared" si="164"/>
        <v>14554.66725528082</v>
      </c>
      <c r="AA145" s="84">
        <f t="shared" si="165"/>
        <v>1712049.8364134114</v>
      </c>
      <c r="AB145" s="80">
        <v>13537</v>
      </c>
      <c r="AC145" s="82">
        <f t="shared" si="166"/>
        <v>13540.411699177819</v>
      </c>
      <c r="AD145" s="84">
        <f t="shared" si="167"/>
        <v>1770377.1992014842</v>
      </c>
      <c r="AE145" s="80">
        <v>5347</v>
      </c>
      <c r="AF145" s="82">
        <f t="shared" si="168"/>
        <v>5348.3475921920517</v>
      </c>
      <c r="AG145" s="84">
        <f t="shared" si="169"/>
        <v>922884.25727525575</v>
      </c>
      <c r="AH145" s="81">
        <f t="shared" si="170"/>
        <v>9115356.5642525405</v>
      </c>
      <c r="AI145" s="80">
        <v>1133</v>
      </c>
      <c r="AJ145" s="82">
        <f t="shared" si="171"/>
        <v>1133.2855474010837</v>
      </c>
      <c r="AK145" s="84">
        <f t="shared" si="172"/>
        <v>6219005.814464449</v>
      </c>
      <c r="AL145" s="80">
        <v>5512</v>
      </c>
      <c r="AM145" s="82">
        <f t="shared" si="173"/>
        <v>5513.3891767650248</v>
      </c>
      <c r="AN145" s="84">
        <f t="shared" si="174"/>
        <v>4169036.7331150551</v>
      </c>
      <c r="AO145" s="564">
        <v>1326</v>
      </c>
      <c r="AP145" s="82">
        <f t="shared" si="175"/>
        <v>1326.3341887500767</v>
      </c>
      <c r="AQ145" s="84">
        <f t="shared" si="176"/>
        <v>5167593.4422485456</v>
      </c>
      <c r="AR145" s="564">
        <v>2314</v>
      </c>
      <c r="AS145" s="82">
        <f t="shared" si="177"/>
        <v>2314.5831921324871</v>
      </c>
      <c r="AT145" s="84">
        <f t="shared" si="178"/>
        <v>6377517.5097567011</v>
      </c>
      <c r="AU145" s="81">
        <f t="shared" si="179"/>
        <v>93296915.560269311</v>
      </c>
      <c r="AV145" s="620">
        <f>INDEX('2021-22 Baseline'!$J$9:$J$158,MATCH(C145,'2021-22 Baseline'!$C$9:$C$158,0))</f>
        <v>84599217.44945173</v>
      </c>
      <c r="AW145" s="623">
        <v>135453.73899999997</v>
      </c>
      <c r="AX145" s="620">
        <f t="shared" si="180"/>
        <v>624.56169961799094</v>
      </c>
      <c r="AY145" s="620">
        <f t="shared" si="181"/>
        <v>674.52663558743029</v>
      </c>
      <c r="AZ145" s="620">
        <f t="shared" si="182"/>
        <v>688.49180780399422</v>
      </c>
      <c r="BA145" s="620">
        <f t="shared" si="183"/>
        <v>688.49180780399422</v>
      </c>
      <c r="BB145" s="624">
        <f t="shared" si="184"/>
        <v>0</v>
      </c>
      <c r="BC145" s="620">
        <f t="shared" ref="BC145:BC158" si="193">MAX(AV145-BA145*J145,0)</f>
        <v>0</v>
      </c>
      <c r="BD145" s="81">
        <f t="shared" si="185"/>
        <v>0</v>
      </c>
      <c r="BE145" s="81">
        <f t="shared" si="190"/>
        <v>93296915.560269311</v>
      </c>
      <c r="BF145" s="588">
        <f>INDEX('AP Funding Factor'!$I$9:$I$158,MATCH(C145,'AP Funding Factor'!$C$9:$C$158,0))</f>
        <v>2341136.7532800003</v>
      </c>
      <c r="BG145" s="290">
        <f>INDEX('Import|Export Adjustments Data'!$Q$9:$Q$159,MATCH($C145,'Import|Export Adjustments Data'!$C$9:$C$159,0))</f>
        <v>-243</v>
      </c>
      <c r="BH145" s="289">
        <v>0</v>
      </c>
      <c r="BI145" s="81">
        <f t="shared" si="192"/>
        <v>-1458000</v>
      </c>
      <c r="BJ145" s="86">
        <f t="shared" si="149"/>
        <v>101183466.92339997</v>
      </c>
      <c r="BK145" s="620">
        <f t="shared" si="150"/>
        <v>624.56169961799094</v>
      </c>
      <c r="BL145" s="620">
        <f t="shared" si="151"/>
        <v>688.49180780399422</v>
      </c>
      <c r="BM145" s="620">
        <f t="shared" si="186"/>
        <v>688.49180780399422</v>
      </c>
      <c r="BN145" s="620">
        <f t="shared" si="187"/>
        <v>93296915.560269311</v>
      </c>
      <c r="BO145" s="281">
        <f t="shared" si="191"/>
        <v>0.1023599561502182</v>
      </c>
      <c r="BP145" s="81">
        <f t="shared" si="188"/>
        <v>102641466.92339997</v>
      </c>
      <c r="BQ145" s="81">
        <f t="shared" si="189"/>
        <v>101183466.92339997</v>
      </c>
      <c r="BS145" s="599"/>
      <c r="BT145" s="601"/>
    </row>
    <row r="146" spans="1:72" ht="15.4" x14ac:dyDescent="0.45">
      <c r="A146" s="76"/>
      <c r="B146" s="77" t="s">
        <v>226</v>
      </c>
      <c r="C146" s="288">
        <v>381</v>
      </c>
      <c r="D146" s="78" t="s">
        <v>229</v>
      </c>
      <c r="E146" s="87">
        <v>1.00025202771499</v>
      </c>
      <c r="F146" s="327">
        <f t="shared" si="152"/>
        <v>4661.174449151853</v>
      </c>
      <c r="G146" s="290">
        <v>454.41666599999996</v>
      </c>
      <c r="H146" s="81">
        <f t="shared" si="153"/>
        <v>2118115.3528279713</v>
      </c>
      <c r="I146" s="597">
        <f>INDEX('Historic Spend Factor'!$U$9:$U$159, MATCH(C146, 'Historic Spend Factor'!$C$9:$C$159, 0))</f>
        <v>8098761.703692155</v>
      </c>
      <c r="J146" s="80">
        <v>43948.531999999963</v>
      </c>
      <c r="K146" s="82">
        <f t="shared" si="154"/>
        <v>43959.608248097087</v>
      </c>
      <c r="L146" s="81">
        <f t="shared" si="155"/>
        <v>8944883.1032743603</v>
      </c>
      <c r="M146" s="80">
        <v>8320.5</v>
      </c>
      <c r="N146" s="82">
        <f t="shared" si="156"/>
        <v>8322.596996602575</v>
      </c>
      <c r="O146" s="81">
        <f t="shared" si="157"/>
        <v>2118781.6775437873</v>
      </c>
      <c r="P146" s="80">
        <v>4125</v>
      </c>
      <c r="Q146" s="82">
        <f t="shared" si="158"/>
        <v>4126.0396143243333</v>
      </c>
      <c r="R146" s="84">
        <f t="shared" si="159"/>
        <v>253364.30050464597</v>
      </c>
      <c r="S146" s="80">
        <v>5197</v>
      </c>
      <c r="T146" s="82">
        <f t="shared" si="160"/>
        <v>5198.3097880348032</v>
      </c>
      <c r="U146" s="84">
        <f t="shared" si="161"/>
        <v>421357.36419848719</v>
      </c>
      <c r="V146" s="80">
        <v>5626</v>
      </c>
      <c r="W146" s="82">
        <f t="shared" si="162"/>
        <v>5627.4179079245341</v>
      </c>
      <c r="X146" s="84">
        <f t="shared" si="163"/>
        <v>623819.53294085129</v>
      </c>
      <c r="Y146" s="80">
        <v>2249</v>
      </c>
      <c r="Z146" s="82">
        <f t="shared" si="164"/>
        <v>2249.5668103310127</v>
      </c>
      <c r="AA146" s="84">
        <f t="shared" si="165"/>
        <v>264614.12151012046</v>
      </c>
      <c r="AB146" s="80">
        <v>3250</v>
      </c>
      <c r="AC146" s="82">
        <f t="shared" si="166"/>
        <v>3250.8190900737177</v>
      </c>
      <c r="AD146" s="84">
        <f t="shared" si="167"/>
        <v>425037.00209831016</v>
      </c>
      <c r="AE146" s="80">
        <v>2231</v>
      </c>
      <c r="AF146" s="82">
        <f t="shared" si="168"/>
        <v>2231.5622738321426</v>
      </c>
      <c r="AG146" s="84">
        <f t="shared" si="169"/>
        <v>385067.28595120541</v>
      </c>
      <c r="AH146" s="81">
        <f t="shared" si="170"/>
        <v>2373259.60720362</v>
      </c>
      <c r="AI146" s="80">
        <v>247</v>
      </c>
      <c r="AJ146" s="82">
        <f t="shared" si="171"/>
        <v>247.06225084560253</v>
      </c>
      <c r="AK146" s="84">
        <f t="shared" si="172"/>
        <v>1355776.2013881016</v>
      </c>
      <c r="AL146" s="80">
        <v>1665</v>
      </c>
      <c r="AM146" s="82">
        <f t="shared" si="173"/>
        <v>1665.4196261454583</v>
      </c>
      <c r="AN146" s="84">
        <f t="shared" si="174"/>
        <v>1259333.4834246309</v>
      </c>
      <c r="AO146" s="564">
        <v>328</v>
      </c>
      <c r="AP146" s="82">
        <f t="shared" si="175"/>
        <v>328.08266509051674</v>
      </c>
      <c r="AQ146" s="84">
        <f t="shared" si="176"/>
        <v>1278258.408037348</v>
      </c>
      <c r="AR146" s="564">
        <v>462</v>
      </c>
      <c r="AS146" s="82">
        <f t="shared" si="177"/>
        <v>462.11643680432536</v>
      </c>
      <c r="AT146" s="84">
        <f t="shared" si="178"/>
        <v>1273298.6557941206</v>
      </c>
      <c r="AU146" s="81">
        <f t="shared" si="179"/>
        <v>26702352.840358127</v>
      </c>
      <c r="AV146" s="620">
        <f>INDEX('2021-22 Baseline'!$J$9:$J$158,MATCH(C146,'2021-22 Baseline'!$C$9:$C$158,0))</f>
        <v>23839080.474478655</v>
      </c>
      <c r="AW146" s="623">
        <v>43896.29899999997</v>
      </c>
      <c r="AX146" s="620">
        <f t="shared" si="180"/>
        <v>543.0772301436773</v>
      </c>
      <c r="AY146" s="620">
        <f t="shared" si="181"/>
        <v>586.5234085551715</v>
      </c>
      <c r="AZ146" s="620">
        <f t="shared" si="182"/>
        <v>607.5823611209164</v>
      </c>
      <c r="BA146" s="620">
        <f t="shared" si="183"/>
        <v>607.5823611209164</v>
      </c>
      <c r="BB146" s="624">
        <f t="shared" si="184"/>
        <v>0</v>
      </c>
      <c r="BC146" s="620">
        <f t="shared" si="193"/>
        <v>0</v>
      </c>
      <c r="BD146" s="81">
        <f t="shared" si="185"/>
        <v>0</v>
      </c>
      <c r="BE146" s="81">
        <f t="shared" si="190"/>
        <v>26702352.840358127</v>
      </c>
      <c r="BF146" s="588">
        <f>INDEX('AP Funding Factor'!$I$9:$I$158,MATCH(C146,'AP Funding Factor'!$C$9:$C$158,0))</f>
        <v>88272.622828087216</v>
      </c>
      <c r="BG146" s="290">
        <f>INDEX('Import|Export Adjustments Data'!$Q$9:$Q$159,MATCH($C146,'Import|Export Adjustments Data'!$C$9:$C$159,0))</f>
        <v>-33</v>
      </c>
      <c r="BH146" s="289">
        <v>0</v>
      </c>
      <c r="BI146" s="81">
        <f t="shared" si="192"/>
        <v>-198000</v>
      </c>
      <c r="BJ146" s="86">
        <f t="shared" si="149"/>
        <v>28710740.816014186</v>
      </c>
      <c r="BK146" s="620">
        <f t="shared" si="150"/>
        <v>543.0772301436773</v>
      </c>
      <c r="BL146" s="620">
        <f t="shared" si="151"/>
        <v>607.5823611209164</v>
      </c>
      <c r="BM146" s="620">
        <f t="shared" si="186"/>
        <v>602.81572545948188</v>
      </c>
      <c r="BN146" s="620">
        <f t="shared" si="187"/>
        <v>26492866.200459231</v>
      </c>
      <c r="BO146" s="281">
        <f t="shared" si="191"/>
        <v>0.1100000000000001</v>
      </c>
      <c r="BP146" s="81">
        <f t="shared" si="188"/>
        <v>28699254.176115289</v>
      </c>
      <c r="BQ146" s="81">
        <f t="shared" si="189"/>
        <v>28501254.176115289</v>
      </c>
      <c r="BS146" s="599"/>
      <c r="BT146" s="601"/>
    </row>
    <row r="147" spans="1:72" ht="15.4" x14ac:dyDescent="0.45">
      <c r="A147" s="76"/>
      <c r="B147" s="77" t="s">
        <v>226</v>
      </c>
      <c r="C147" s="288">
        <v>371</v>
      </c>
      <c r="D147" s="78" t="s">
        <v>230</v>
      </c>
      <c r="E147" s="87">
        <v>1</v>
      </c>
      <c r="F147" s="327">
        <f t="shared" si="152"/>
        <v>4660</v>
      </c>
      <c r="G147" s="290">
        <v>684.5</v>
      </c>
      <c r="H147" s="81">
        <f t="shared" si="153"/>
        <v>3189770</v>
      </c>
      <c r="I147" s="597">
        <f>INDEX('Historic Spend Factor'!$U$9:$U$159, MATCH(C147, 'Historic Spend Factor'!$C$9:$C$159, 0))</f>
        <v>13014275.488845488</v>
      </c>
      <c r="J147" s="80">
        <v>64449.701999999954</v>
      </c>
      <c r="K147" s="82">
        <f t="shared" si="154"/>
        <v>64449.701999999954</v>
      </c>
      <c r="L147" s="81">
        <f t="shared" si="155"/>
        <v>13114198.997799814</v>
      </c>
      <c r="M147" s="80">
        <v>12716</v>
      </c>
      <c r="N147" s="82">
        <f t="shared" si="156"/>
        <v>12716</v>
      </c>
      <c r="O147" s="81">
        <f t="shared" si="157"/>
        <v>3237262.0977136288</v>
      </c>
      <c r="P147" s="80">
        <v>4575</v>
      </c>
      <c r="Q147" s="82">
        <f t="shared" si="158"/>
        <v>4575</v>
      </c>
      <c r="R147" s="84">
        <f t="shared" si="159"/>
        <v>280933.23941548547</v>
      </c>
      <c r="S147" s="80">
        <v>10580</v>
      </c>
      <c r="T147" s="82">
        <f t="shared" si="160"/>
        <v>10580</v>
      </c>
      <c r="U147" s="84">
        <f t="shared" si="161"/>
        <v>857578.92372653412</v>
      </c>
      <c r="V147" s="80">
        <v>4243</v>
      </c>
      <c r="W147" s="82">
        <f t="shared" si="162"/>
        <v>4243</v>
      </c>
      <c r="X147" s="84">
        <f t="shared" si="163"/>
        <v>470351.82415379409</v>
      </c>
      <c r="Y147" s="80">
        <v>6740</v>
      </c>
      <c r="Z147" s="82">
        <f t="shared" si="164"/>
        <v>6740</v>
      </c>
      <c r="AA147" s="84">
        <f t="shared" si="165"/>
        <v>792818.94220148935</v>
      </c>
      <c r="AB147" s="80">
        <v>9248</v>
      </c>
      <c r="AC147" s="82">
        <f t="shared" si="166"/>
        <v>9248</v>
      </c>
      <c r="AD147" s="84">
        <f t="shared" si="167"/>
        <v>1209154.3966280927</v>
      </c>
      <c r="AE147" s="80">
        <v>2894</v>
      </c>
      <c r="AF147" s="82">
        <f t="shared" si="168"/>
        <v>2894</v>
      </c>
      <c r="AG147" s="84">
        <f t="shared" si="169"/>
        <v>499374.2449450515</v>
      </c>
      <c r="AH147" s="81">
        <f t="shared" si="170"/>
        <v>4110211.5710704471</v>
      </c>
      <c r="AI147" s="80">
        <v>372</v>
      </c>
      <c r="AJ147" s="82">
        <f t="shared" si="171"/>
        <v>372</v>
      </c>
      <c r="AK147" s="84">
        <f t="shared" si="172"/>
        <v>2041383.275632659</v>
      </c>
      <c r="AL147" s="80">
        <v>2843</v>
      </c>
      <c r="AM147" s="82">
        <f t="shared" si="173"/>
        <v>2843</v>
      </c>
      <c r="AN147" s="84">
        <f t="shared" si="174"/>
        <v>2149779.5733695305</v>
      </c>
      <c r="AO147" s="564">
        <v>585</v>
      </c>
      <c r="AP147" s="82">
        <f t="shared" si="175"/>
        <v>585</v>
      </c>
      <c r="AQ147" s="84">
        <f t="shared" si="176"/>
        <v>2279246.2030736632</v>
      </c>
      <c r="AR147" s="564">
        <v>940</v>
      </c>
      <c r="AS147" s="82">
        <f t="shared" si="177"/>
        <v>940</v>
      </c>
      <c r="AT147" s="84">
        <f t="shared" si="178"/>
        <v>2590041.4724985836</v>
      </c>
      <c r="AU147" s="81">
        <f t="shared" si="179"/>
        <v>42536398.680003814</v>
      </c>
      <c r="AV147" s="620">
        <f>INDEX('2021-22 Baseline'!$J$9:$J$158,MATCH(C147,'2021-22 Baseline'!$C$9:$C$158,0))</f>
        <v>38791482.890783384</v>
      </c>
      <c r="AW147" s="623">
        <v>64114.818999999989</v>
      </c>
      <c r="AX147" s="620">
        <f t="shared" si="180"/>
        <v>605.03146535878693</v>
      </c>
      <c r="AY147" s="620">
        <f t="shared" si="181"/>
        <v>653.43398258748994</v>
      </c>
      <c r="AZ147" s="620">
        <f t="shared" si="182"/>
        <v>659.9937216157158</v>
      </c>
      <c r="BA147" s="620">
        <f t="shared" si="183"/>
        <v>659.9937216157158</v>
      </c>
      <c r="BB147" s="624">
        <f t="shared" si="184"/>
        <v>0</v>
      </c>
      <c r="BC147" s="620">
        <f t="shared" si="193"/>
        <v>0</v>
      </c>
      <c r="BD147" s="81">
        <f t="shared" si="185"/>
        <v>0</v>
      </c>
      <c r="BE147" s="81">
        <f t="shared" si="190"/>
        <v>42536398.680003814</v>
      </c>
      <c r="BF147" s="588">
        <f>INDEX('AP Funding Factor'!$I$9:$I$158,MATCH(C147,'AP Funding Factor'!$C$9:$C$158,0))</f>
        <v>540658.73842460057</v>
      </c>
      <c r="BG147" s="290">
        <f>INDEX('Import|Export Adjustments Data'!$Q$9:$Q$159,MATCH($C147,'Import|Export Adjustments Data'!$C$9:$C$159,0))</f>
        <v>-76</v>
      </c>
      <c r="BH147" s="289">
        <v>706000</v>
      </c>
      <c r="BI147" s="81">
        <f t="shared" si="192"/>
        <v>250000</v>
      </c>
      <c r="BJ147" s="86">
        <f t="shared" si="149"/>
        <v>46516827.418428414</v>
      </c>
      <c r="BK147" s="620">
        <f t="shared" si="150"/>
        <v>605.03146535878693</v>
      </c>
      <c r="BL147" s="620">
        <f t="shared" si="151"/>
        <v>659.9937216157158</v>
      </c>
      <c r="BM147" s="620">
        <f t="shared" si="186"/>
        <v>659.9937216157158</v>
      </c>
      <c r="BN147" s="620">
        <f t="shared" si="187"/>
        <v>42536398.680003814</v>
      </c>
      <c r="BO147" s="281">
        <f t="shared" si="191"/>
        <v>9.0841979969316089E-2</v>
      </c>
      <c r="BP147" s="81">
        <f t="shared" si="188"/>
        <v>46266827.418428414</v>
      </c>
      <c r="BQ147" s="81">
        <f t="shared" si="189"/>
        <v>46516827.418428414</v>
      </c>
      <c r="BS147" s="599"/>
      <c r="BT147" s="601"/>
    </row>
    <row r="148" spans="1:72" ht="15.4" x14ac:dyDescent="0.45">
      <c r="A148" s="76"/>
      <c r="B148" s="77" t="s">
        <v>226</v>
      </c>
      <c r="C148" s="288">
        <v>811</v>
      </c>
      <c r="D148" s="78" t="s">
        <v>231</v>
      </c>
      <c r="E148" s="87">
        <v>1</v>
      </c>
      <c r="F148" s="327">
        <f t="shared" si="152"/>
        <v>4660</v>
      </c>
      <c r="G148" s="290">
        <v>482</v>
      </c>
      <c r="H148" s="81">
        <f t="shared" si="153"/>
        <v>2246120</v>
      </c>
      <c r="I148" s="597">
        <f>INDEX('Historic Spend Factor'!$U$9:$U$159, MATCH(C148, 'Historic Spend Factor'!$C$9:$C$159, 0))</f>
        <v>10505503.5</v>
      </c>
      <c r="J148" s="80">
        <v>61560.210999999937</v>
      </c>
      <c r="K148" s="82">
        <f t="shared" si="154"/>
        <v>61560.210999999937</v>
      </c>
      <c r="L148" s="81">
        <f t="shared" si="155"/>
        <v>12526246.5511562</v>
      </c>
      <c r="M148" s="80">
        <v>7837.5</v>
      </c>
      <c r="N148" s="82">
        <f t="shared" si="156"/>
        <v>7837.5</v>
      </c>
      <c r="O148" s="81">
        <f t="shared" si="157"/>
        <v>1995284.8136859518</v>
      </c>
      <c r="P148" s="80">
        <v>3459</v>
      </c>
      <c r="Q148" s="82">
        <f t="shared" si="158"/>
        <v>3459</v>
      </c>
      <c r="R148" s="84">
        <f t="shared" si="159"/>
        <v>212403.95084987197</v>
      </c>
      <c r="S148" s="80">
        <v>4519</v>
      </c>
      <c r="T148" s="82">
        <f t="shared" si="160"/>
        <v>4519</v>
      </c>
      <c r="U148" s="84">
        <f t="shared" si="161"/>
        <v>366294.81628735422</v>
      </c>
      <c r="V148" s="80">
        <v>1693</v>
      </c>
      <c r="W148" s="82">
        <f t="shared" si="162"/>
        <v>1693</v>
      </c>
      <c r="X148" s="84">
        <f t="shared" si="163"/>
        <v>187675.14454215727</v>
      </c>
      <c r="Y148" s="80">
        <v>1446</v>
      </c>
      <c r="Z148" s="82">
        <f t="shared" si="164"/>
        <v>1446</v>
      </c>
      <c r="AA148" s="84">
        <f t="shared" si="165"/>
        <v>170091.42291147681</v>
      </c>
      <c r="AB148" s="80">
        <v>2014</v>
      </c>
      <c r="AC148" s="82">
        <f t="shared" si="166"/>
        <v>2014</v>
      </c>
      <c r="AD148" s="84">
        <f t="shared" si="167"/>
        <v>263325.79528643802</v>
      </c>
      <c r="AE148" s="80">
        <v>464</v>
      </c>
      <c r="AF148" s="82">
        <f t="shared" si="168"/>
        <v>464</v>
      </c>
      <c r="AG148" s="84">
        <f t="shared" si="169"/>
        <v>80065.532016069075</v>
      </c>
      <c r="AH148" s="81">
        <f t="shared" si="170"/>
        <v>1279856.6618933673</v>
      </c>
      <c r="AI148" s="80">
        <v>254</v>
      </c>
      <c r="AJ148" s="82">
        <f t="shared" si="171"/>
        <v>254</v>
      </c>
      <c r="AK148" s="84">
        <f t="shared" si="172"/>
        <v>1393847.7204588586</v>
      </c>
      <c r="AL148" s="80">
        <v>2049</v>
      </c>
      <c r="AM148" s="82">
        <f t="shared" si="173"/>
        <v>2049</v>
      </c>
      <c r="AN148" s="84">
        <f t="shared" si="174"/>
        <v>1549383.8712044205</v>
      </c>
      <c r="AO148" s="564">
        <v>317</v>
      </c>
      <c r="AP148" s="82">
        <f t="shared" si="175"/>
        <v>317</v>
      </c>
      <c r="AQ148" s="84">
        <f t="shared" si="176"/>
        <v>1235078.7117510275</v>
      </c>
      <c r="AR148" s="564">
        <v>452</v>
      </c>
      <c r="AS148" s="82">
        <f t="shared" si="177"/>
        <v>452</v>
      </c>
      <c r="AT148" s="84">
        <f t="shared" si="178"/>
        <v>1245424.1974142126</v>
      </c>
      <c r="AU148" s="81">
        <f t="shared" si="179"/>
        <v>31730626.027564041</v>
      </c>
      <c r="AV148" s="620">
        <f>INDEX('2021-22 Baseline'!$J$9:$J$158,MATCH(C148,'2021-22 Baseline'!$C$9:$C$158,0))</f>
        <v>29192364.271148812</v>
      </c>
      <c r="AW148" s="623">
        <v>61356.97199999998</v>
      </c>
      <c r="AX148" s="620">
        <f t="shared" si="180"/>
        <v>475.77908947574565</v>
      </c>
      <c r="AY148" s="620">
        <f t="shared" si="181"/>
        <v>513.84141663380535</v>
      </c>
      <c r="AZ148" s="620">
        <f t="shared" si="182"/>
        <v>515.44050145578728</v>
      </c>
      <c r="BA148" s="620">
        <f t="shared" si="183"/>
        <v>515.44050145578728</v>
      </c>
      <c r="BB148" s="624">
        <f t="shared" si="184"/>
        <v>0</v>
      </c>
      <c r="BC148" s="620">
        <f t="shared" si="193"/>
        <v>0</v>
      </c>
      <c r="BD148" s="81">
        <f t="shared" si="185"/>
        <v>0</v>
      </c>
      <c r="BE148" s="81">
        <f t="shared" si="190"/>
        <v>31730626.027564041</v>
      </c>
      <c r="BF148" s="588">
        <f>INDEX('AP Funding Factor'!$I$9:$I$158,MATCH(C148,'AP Funding Factor'!$C$9:$C$158,0))</f>
        <v>74574.188571428575</v>
      </c>
      <c r="BG148" s="290">
        <f>INDEX('Import|Export Adjustments Data'!$Q$9:$Q$159,MATCH($C148,'Import|Export Adjustments Data'!$C$9:$C$159,0))</f>
        <v>-158</v>
      </c>
      <c r="BH148" s="289">
        <v>0</v>
      </c>
      <c r="BI148" s="81">
        <f t="shared" si="192"/>
        <v>-948000</v>
      </c>
      <c r="BJ148" s="86">
        <f t="shared" si="149"/>
        <v>33103320.216135472</v>
      </c>
      <c r="BK148" s="620">
        <f t="shared" si="150"/>
        <v>475.77908947574565</v>
      </c>
      <c r="BL148" s="620">
        <f t="shared" si="151"/>
        <v>515.44050145578728</v>
      </c>
      <c r="BM148" s="620">
        <f t="shared" si="186"/>
        <v>515.44050145578728</v>
      </c>
      <c r="BN148" s="620">
        <f t="shared" si="187"/>
        <v>31730626.027564041</v>
      </c>
      <c r="BO148" s="281">
        <f t="shared" si="191"/>
        <v>8.3360981718940241E-2</v>
      </c>
      <c r="BP148" s="81">
        <f t="shared" si="188"/>
        <v>34051320.216135472</v>
      </c>
      <c r="BQ148" s="81">
        <f t="shared" si="189"/>
        <v>33103320.216135468</v>
      </c>
      <c r="BS148" s="599"/>
      <c r="BT148" s="601"/>
    </row>
    <row r="149" spans="1:72" ht="15.4" x14ac:dyDescent="0.45">
      <c r="A149" s="76"/>
      <c r="B149" s="77" t="s">
        <v>226</v>
      </c>
      <c r="C149" s="288">
        <v>810</v>
      </c>
      <c r="D149" s="78" t="s">
        <v>232</v>
      </c>
      <c r="E149" s="87">
        <v>1</v>
      </c>
      <c r="F149" s="327">
        <f t="shared" si="152"/>
        <v>4660</v>
      </c>
      <c r="G149" s="290">
        <v>750</v>
      </c>
      <c r="H149" s="81">
        <f t="shared" si="153"/>
        <v>3495000</v>
      </c>
      <c r="I149" s="597">
        <f>INDEX('Historic Spend Factor'!$U$9:$U$159, MATCH(C149, 'Historic Spend Factor'!$C$9:$C$159, 0))</f>
        <v>13392044</v>
      </c>
      <c r="J149" s="80">
        <v>54257.218999999975</v>
      </c>
      <c r="K149" s="82">
        <f t="shared" si="154"/>
        <v>54257.218999999975</v>
      </c>
      <c r="L149" s="81">
        <f t="shared" si="155"/>
        <v>11040236.726512797</v>
      </c>
      <c r="M149" s="80">
        <v>14038</v>
      </c>
      <c r="N149" s="82">
        <f t="shared" si="156"/>
        <v>14038</v>
      </c>
      <c r="O149" s="81">
        <f t="shared" si="157"/>
        <v>3573819.2299232399</v>
      </c>
      <c r="P149" s="80">
        <v>2431</v>
      </c>
      <c r="Q149" s="82">
        <f t="shared" si="158"/>
        <v>2431</v>
      </c>
      <c r="R149" s="84">
        <f t="shared" si="159"/>
        <v>149278.40546864376</v>
      </c>
      <c r="S149" s="80">
        <v>5106</v>
      </c>
      <c r="T149" s="82">
        <f t="shared" si="160"/>
        <v>5106</v>
      </c>
      <c r="U149" s="84">
        <f t="shared" si="161"/>
        <v>413875.04579845769</v>
      </c>
      <c r="V149" s="80">
        <v>4279</v>
      </c>
      <c r="W149" s="82">
        <f t="shared" si="162"/>
        <v>4279</v>
      </c>
      <c r="X149" s="84">
        <f t="shared" si="163"/>
        <v>474342.5537483113</v>
      </c>
      <c r="Y149" s="80">
        <v>2527</v>
      </c>
      <c r="Z149" s="82">
        <f t="shared" si="164"/>
        <v>2527</v>
      </c>
      <c r="AA149" s="84">
        <f t="shared" si="165"/>
        <v>297248.28886397084</v>
      </c>
      <c r="AB149" s="80">
        <v>10306</v>
      </c>
      <c r="AC149" s="82">
        <f t="shared" si="166"/>
        <v>10306</v>
      </c>
      <c r="AD149" s="84">
        <f t="shared" si="167"/>
        <v>1347485.4251350698</v>
      </c>
      <c r="AE149" s="80">
        <v>13560</v>
      </c>
      <c r="AF149" s="82">
        <f t="shared" si="168"/>
        <v>13560</v>
      </c>
      <c r="AG149" s="84">
        <f t="shared" si="169"/>
        <v>2339846.15115926</v>
      </c>
      <c r="AH149" s="81">
        <f t="shared" si="170"/>
        <v>5022075.8701737141</v>
      </c>
      <c r="AI149" s="80">
        <v>355</v>
      </c>
      <c r="AJ149" s="82">
        <f t="shared" si="171"/>
        <v>355</v>
      </c>
      <c r="AK149" s="84">
        <f t="shared" si="172"/>
        <v>1948094.2549720267</v>
      </c>
      <c r="AL149" s="80">
        <v>2594</v>
      </c>
      <c r="AM149" s="82">
        <f t="shared" si="173"/>
        <v>2594</v>
      </c>
      <c r="AN149" s="84">
        <f t="shared" si="174"/>
        <v>1961494.2713051571</v>
      </c>
      <c r="AO149" s="564">
        <v>475</v>
      </c>
      <c r="AP149" s="82">
        <f t="shared" si="175"/>
        <v>475</v>
      </c>
      <c r="AQ149" s="84">
        <f t="shared" si="176"/>
        <v>1850669.9939487008</v>
      </c>
      <c r="AR149" s="564">
        <v>490</v>
      </c>
      <c r="AS149" s="82">
        <f t="shared" si="177"/>
        <v>490</v>
      </c>
      <c r="AT149" s="84">
        <f t="shared" si="178"/>
        <v>1350128.0016216021</v>
      </c>
      <c r="AU149" s="81">
        <f t="shared" si="179"/>
        <v>40138562.34845724</v>
      </c>
      <c r="AV149" s="620">
        <f>INDEX('2021-22 Baseline'!$J$9:$J$158,MATCH(C149,'2021-22 Baseline'!$C$9:$C$158,0))</f>
        <v>36341619.230387174</v>
      </c>
      <c r="AW149" s="623">
        <v>53948.619999999966</v>
      </c>
      <c r="AX149" s="620">
        <f t="shared" si="180"/>
        <v>673.63389889096698</v>
      </c>
      <c r="AY149" s="620">
        <f t="shared" si="181"/>
        <v>727.52461080224441</v>
      </c>
      <c r="AZ149" s="620">
        <f t="shared" si="182"/>
        <v>739.78289135049954</v>
      </c>
      <c r="BA149" s="620">
        <f t="shared" si="183"/>
        <v>739.78289135049954</v>
      </c>
      <c r="BB149" s="624">
        <f t="shared" si="184"/>
        <v>0</v>
      </c>
      <c r="BC149" s="620">
        <f t="shared" si="193"/>
        <v>0</v>
      </c>
      <c r="BD149" s="81">
        <f t="shared" si="185"/>
        <v>0</v>
      </c>
      <c r="BE149" s="81">
        <f t="shared" si="190"/>
        <v>40138562.34845724</v>
      </c>
      <c r="BF149" s="588">
        <f>INDEX('AP Funding Factor'!$I$9:$I$158,MATCH(C149,'AP Funding Factor'!$C$9:$C$158,0))</f>
        <v>606832.74598547234</v>
      </c>
      <c r="BG149" s="290">
        <f>INDEX('Import|Export Adjustments Data'!$Q$9:$Q$159,MATCH($C149,'Import|Export Adjustments Data'!$C$9:$C$159,0))</f>
        <v>-38</v>
      </c>
      <c r="BH149" s="289">
        <v>0</v>
      </c>
      <c r="BI149" s="81">
        <f t="shared" si="192"/>
        <v>-228000</v>
      </c>
      <c r="BJ149" s="86">
        <f t="shared" si="149"/>
        <v>44012395.09444271</v>
      </c>
      <c r="BK149" s="620">
        <f t="shared" si="150"/>
        <v>673.63389889096698</v>
      </c>
      <c r="BL149" s="620">
        <f t="shared" si="151"/>
        <v>739.78289135049954</v>
      </c>
      <c r="BM149" s="620">
        <f t="shared" si="186"/>
        <v>739.78289135049954</v>
      </c>
      <c r="BN149" s="620">
        <f t="shared" si="187"/>
        <v>40138562.34845724</v>
      </c>
      <c r="BO149" s="281">
        <f t="shared" si="191"/>
        <v>9.8197244183281907E-2</v>
      </c>
      <c r="BP149" s="81">
        <f t="shared" si="188"/>
        <v>44240395.09444271</v>
      </c>
      <c r="BQ149" s="81">
        <f t="shared" si="189"/>
        <v>44012395.09444271</v>
      </c>
      <c r="BS149" s="599"/>
      <c r="BT149" s="601"/>
    </row>
    <row r="150" spans="1:72" ht="15.4" x14ac:dyDescent="0.45">
      <c r="A150" s="76"/>
      <c r="B150" s="77" t="s">
        <v>226</v>
      </c>
      <c r="C150" s="288">
        <v>382</v>
      </c>
      <c r="D150" s="78" t="s">
        <v>233</v>
      </c>
      <c r="E150" s="87">
        <v>1.00025202771499</v>
      </c>
      <c r="F150" s="327">
        <f t="shared" si="152"/>
        <v>4661.174449151853</v>
      </c>
      <c r="G150" s="290">
        <v>871</v>
      </c>
      <c r="H150" s="81">
        <f t="shared" si="153"/>
        <v>4059882.9452112638</v>
      </c>
      <c r="I150" s="597">
        <f>INDEX('Historic Spend Factor'!$U$9:$U$159, MATCH(C150, 'Historic Spend Factor'!$C$9:$C$159, 0))</f>
        <v>17976771.241672426</v>
      </c>
      <c r="J150" s="80">
        <v>96406.918999999965</v>
      </c>
      <c r="K150" s="82">
        <f t="shared" si="154"/>
        <v>96431.216215504755</v>
      </c>
      <c r="L150" s="81">
        <f t="shared" si="155"/>
        <v>19621784.427335143</v>
      </c>
      <c r="M150" s="80">
        <v>17836</v>
      </c>
      <c r="N150" s="82">
        <f t="shared" si="156"/>
        <v>17840.495166324563</v>
      </c>
      <c r="O150" s="81">
        <f t="shared" si="157"/>
        <v>4541865.272600322</v>
      </c>
      <c r="P150" s="80">
        <v>13797</v>
      </c>
      <c r="Q150" s="82">
        <f t="shared" si="158"/>
        <v>13800.477226383717</v>
      </c>
      <c r="R150" s="84">
        <f t="shared" si="159"/>
        <v>847434.48583335767</v>
      </c>
      <c r="S150" s="80">
        <v>14070</v>
      </c>
      <c r="T150" s="82">
        <f t="shared" si="160"/>
        <v>14073.54602994991</v>
      </c>
      <c r="U150" s="84">
        <f t="shared" si="161"/>
        <v>1140753.9184669452</v>
      </c>
      <c r="V150" s="80">
        <v>6898</v>
      </c>
      <c r="W150" s="82">
        <f t="shared" si="162"/>
        <v>6899.7384871780014</v>
      </c>
      <c r="X150" s="84">
        <f t="shared" si="163"/>
        <v>764860.84931140998</v>
      </c>
      <c r="Y150" s="80">
        <v>3384</v>
      </c>
      <c r="Z150" s="82">
        <f t="shared" si="164"/>
        <v>3384.8528617875263</v>
      </c>
      <c r="AA150" s="84">
        <f t="shared" si="165"/>
        <v>398156.59723888291</v>
      </c>
      <c r="AB150" s="80">
        <v>7681</v>
      </c>
      <c r="AC150" s="82">
        <f t="shared" si="166"/>
        <v>7682.9358248788385</v>
      </c>
      <c r="AD150" s="84">
        <f t="shared" si="167"/>
        <v>1004525.9117283446</v>
      </c>
      <c r="AE150" s="80">
        <v>466</v>
      </c>
      <c r="AF150" s="82">
        <f t="shared" si="168"/>
        <v>466.11744491518533</v>
      </c>
      <c r="AG150" s="84">
        <f t="shared" si="169"/>
        <v>80430.907778243709</v>
      </c>
      <c r="AH150" s="81">
        <f t="shared" si="170"/>
        <v>4236162.6703571845</v>
      </c>
      <c r="AI150" s="80">
        <v>604</v>
      </c>
      <c r="AJ150" s="82">
        <f t="shared" si="171"/>
        <v>604.15222473985398</v>
      </c>
      <c r="AK150" s="84">
        <f t="shared" si="172"/>
        <v>3315339.375054305</v>
      </c>
      <c r="AL150" s="80">
        <v>2972</v>
      </c>
      <c r="AM150" s="82">
        <f t="shared" si="173"/>
        <v>2972.7490263689501</v>
      </c>
      <c r="AN150" s="84">
        <f t="shared" si="174"/>
        <v>2247891.3590018037</v>
      </c>
      <c r="AO150" s="564">
        <v>790</v>
      </c>
      <c r="AP150" s="82">
        <f t="shared" si="175"/>
        <v>790.1991018948421</v>
      </c>
      <c r="AQ150" s="84">
        <f t="shared" si="176"/>
        <v>3078732.1413094657</v>
      </c>
      <c r="AR150" s="564">
        <v>1223</v>
      </c>
      <c r="AS150" s="82">
        <f t="shared" si="177"/>
        <v>1223.3082298954328</v>
      </c>
      <c r="AT150" s="84">
        <f t="shared" si="178"/>
        <v>3370658.5628489386</v>
      </c>
      <c r="AU150" s="81">
        <f t="shared" si="179"/>
        <v>58389205.050179586</v>
      </c>
      <c r="AV150" s="620">
        <f>INDEX('2021-22 Baseline'!$J$9:$J$158,MATCH(C150,'2021-22 Baseline'!$C$9:$C$158,0))</f>
        <v>45008340.76518485</v>
      </c>
      <c r="AW150" s="623">
        <v>96197.535999999964</v>
      </c>
      <c r="AX150" s="620">
        <f t="shared" si="180"/>
        <v>467.87415391995972</v>
      </c>
      <c r="AY150" s="620">
        <f t="shared" si="181"/>
        <v>505.30408623355652</v>
      </c>
      <c r="AZ150" s="620">
        <f t="shared" si="182"/>
        <v>605.65367772182003</v>
      </c>
      <c r="BA150" s="620">
        <f t="shared" si="183"/>
        <v>605.65367772182003</v>
      </c>
      <c r="BB150" s="624">
        <f t="shared" si="184"/>
        <v>0</v>
      </c>
      <c r="BC150" s="620">
        <f t="shared" si="193"/>
        <v>0</v>
      </c>
      <c r="BD150" s="81">
        <f t="shared" si="185"/>
        <v>0</v>
      </c>
      <c r="BE150" s="81">
        <f t="shared" si="190"/>
        <v>58389205.050179586</v>
      </c>
      <c r="BF150" s="588">
        <f>INDEX('AP Funding Factor'!$I$9:$I$158,MATCH(C150,'AP Funding Factor'!$C$9:$C$158,0))</f>
        <v>162792.5075641647</v>
      </c>
      <c r="BG150" s="290">
        <f>INDEX('Import|Export Adjustments Data'!$Q$9:$Q$159,MATCH($C150,'Import|Export Adjustments Data'!$C$9:$C$159,0))</f>
        <v>-100</v>
      </c>
      <c r="BH150" s="289">
        <v>0</v>
      </c>
      <c r="BI150" s="81">
        <f t="shared" si="192"/>
        <v>-600000</v>
      </c>
      <c r="BJ150" s="86">
        <f t="shared" si="149"/>
        <v>62011880.502955012</v>
      </c>
      <c r="BK150" s="620">
        <f t="shared" si="150"/>
        <v>467.87415391995972</v>
      </c>
      <c r="BL150" s="620">
        <f t="shared" si="151"/>
        <v>605.65367772182003</v>
      </c>
      <c r="BM150" s="620">
        <f t="shared" si="186"/>
        <v>519.34031085115532</v>
      </c>
      <c r="BN150" s="620">
        <f t="shared" si="187"/>
        <v>50067999.281662136</v>
      </c>
      <c r="BO150" s="281">
        <f t="shared" si="191"/>
        <v>0.1100000000000001</v>
      </c>
      <c r="BP150" s="81">
        <f t="shared" si="188"/>
        <v>54290674.734437563</v>
      </c>
      <c r="BQ150" s="81">
        <f t="shared" si="189"/>
        <v>53690674.734437563</v>
      </c>
      <c r="BS150" s="599"/>
      <c r="BT150" s="601"/>
    </row>
    <row r="151" spans="1:72" ht="15.4" x14ac:dyDescent="0.45">
      <c r="A151" s="76"/>
      <c r="B151" s="77" t="s">
        <v>226</v>
      </c>
      <c r="C151" s="288">
        <v>383</v>
      </c>
      <c r="D151" s="78" t="s">
        <v>234</v>
      </c>
      <c r="E151" s="87">
        <v>1.00025202771499</v>
      </c>
      <c r="F151" s="327">
        <f t="shared" si="152"/>
        <v>4661.174449151853</v>
      </c>
      <c r="G151" s="290">
        <v>1776.5</v>
      </c>
      <c r="H151" s="81">
        <f t="shared" si="153"/>
        <v>8280576.4089182671</v>
      </c>
      <c r="I151" s="597">
        <f>INDEX('Historic Spend Factor'!$U$9:$U$159, MATCH(C151, 'Historic Spend Factor'!$C$9:$C$159, 0))</f>
        <v>29993380.619793754</v>
      </c>
      <c r="J151" s="80">
        <v>163468.47899999999</v>
      </c>
      <c r="K151" s="82">
        <f t="shared" si="154"/>
        <v>163509.67758723526</v>
      </c>
      <c r="L151" s="81">
        <f t="shared" si="155"/>
        <v>33270882.306718703</v>
      </c>
      <c r="M151" s="80">
        <v>32341</v>
      </c>
      <c r="N151" s="82">
        <f t="shared" si="156"/>
        <v>32349.15082833049</v>
      </c>
      <c r="O151" s="81">
        <f t="shared" si="157"/>
        <v>8235504.8655061126</v>
      </c>
      <c r="P151" s="80">
        <v>10200</v>
      </c>
      <c r="Q151" s="82">
        <f t="shared" si="158"/>
        <v>10202.570682692898</v>
      </c>
      <c r="R151" s="84">
        <f t="shared" si="159"/>
        <v>626500.81579330645</v>
      </c>
      <c r="S151" s="80">
        <v>18701</v>
      </c>
      <c r="T151" s="82">
        <f t="shared" si="160"/>
        <v>18705.71317029803</v>
      </c>
      <c r="U151" s="84">
        <f t="shared" si="161"/>
        <v>1516221.6794065631</v>
      </c>
      <c r="V151" s="80">
        <v>8834</v>
      </c>
      <c r="W151" s="82">
        <f t="shared" si="162"/>
        <v>8836.2264128342213</v>
      </c>
      <c r="X151" s="84">
        <f t="shared" si="163"/>
        <v>979527.50693200855</v>
      </c>
      <c r="Y151" s="80">
        <v>12256</v>
      </c>
      <c r="Z151" s="82">
        <f t="shared" si="164"/>
        <v>12259.088851674918</v>
      </c>
      <c r="AA151" s="84">
        <f t="shared" si="165"/>
        <v>1442023.4207327862</v>
      </c>
      <c r="AB151" s="80">
        <v>22709</v>
      </c>
      <c r="AC151" s="82">
        <f t="shared" si="166"/>
        <v>22714.723297379707</v>
      </c>
      <c r="AD151" s="84">
        <f t="shared" si="167"/>
        <v>2969897.00943093</v>
      </c>
      <c r="AE151" s="80">
        <v>9517</v>
      </c>
      <c r="AF151" s="82">
        <f t="shared" si="168"/>
        <v>9519.3985477635597</v>
      </c>
      <c r="AG151" s="84">
        <f t="shared" si="169"/>
        <v>1642620.0629303551</v>
      </c>
      <c r="AH151" s="81">
        <f t="shared" si="170"/>
        <v>9176790.4952259474</v>
      </c>
      <c r="AI151" s="80">
        <v>827</v>
      </c>
      <c r="AJ151" s="82">
        <f t="shared" si="171"/>
        <v>827.20842692029669</v>
      </c>
      <c r="AK151" s="84">
        <f t="shared" si="172"/>
        <v>4539380.2370362747</v>
      </c>
      <c r="AL151" s="80">
        <v>5383</v>
      </c>
      <c r="AM151" s="82">
        <f t="shared" si="173"/>
        <v>5384.3566651897909</v>
      </c>
      <c r="AN151" s="84">
        <f t="shared" si="174"/>
        <v>4071466.7515163897</v>
      </c>
      <c r="AO151" s="564">
        <v>1373</v>
      </c>
      <c r="AP151" s="82">
        <f t="shared" si="175"/>
        <v>1373.3460340526813</v>
      </c>
      <c r="AQ151" s="84">
        <f t="shared" si="176"/>
        <v>5350758.5190099953</v>
      </c>
      <c r="AR151" s="564">
        <v>2145</v>
      </c>
      <c r="AS151" s="82">
        <f t="shared" si="177"/>
        <v>2145.5405994486537</v>
      </c>
      <c r="AT151" s="84">
        <f t="shared" si="178"/>
        <v>5911743.7590441331</v>
      </c>
      <c r="AU151" s="81">
        <f t="shared" si="179"/>
        <v>100549907.55385131</v>
      </c>
      <c r="AV151" s="620">
        <f>INDEX('2021-22 Baseline'!$J$9:$J$158,MATCH(C151,'2021-22 Baseline'!$C$9:$C$158,0))</f>
        <v>88120409.79762198</v>
      </c>
      <c r="AW151" s="623">
        <v>162086.90399999992</v>
      </c>
      <c r="AX151" s="620">
        <f t="shared" si="180"/>
        <v>543.66150270611638</v>
      </c>
      <c r="AY151" s="620">
        <f t="shared" si="181"/>
        <v>587.1544229226057</v>
      </c>
      <c r="AZ151" s="620">
        <f t="shared" si="182"/>
        <v>615.10272909464891</v>
      </c>
      <c r="BA151" s="620">
        <f t="shared" si="183"/>
        <v>615.10272909464891</v>
      </c>
      <c r="BB151" s="624">
        <f t="shared" si="184"/>
        <v>0</v>
      </c>
      <c r="BC151" s="620">
        <f t="shared" si="193"/>
        <v>0</v>
      </c>
      <c r="BD151" s="81">
        <f t="shared" si="185"/>
        <v>0</v>
      </c>
      <c r="BE151" s="81">
        <f t="shared" si="190"/>
        <v>100549907.55385131</v>
      </c>
      <c r="BF151" s="588">
        <f>INDEX('AP Funding Factor'!$I$9:$I$158,MATCH(C151,'AP Funding Factor'!$C$9:$C$158,0))</f>
        <v>1918491.9944067802</v>
      </c>
      <c r="BG151" s="290">
        <f>INDEX('Import|Export Adjustments Data'!$Q$9:$Q$159,MATCH($C151,'Import|Export Adjustments Data'!$C$9:$C$159,0))</f>
        <v>-65</v>
      </c>
      <c r="BH151" s="289">
        <v>0</v>
      </c>
      <c r="BI151" s="81">
        <f t="shared" si="192"/>
        <v>-390000</v>
      </c>
      <c r="BJ151" s="86">
        <f t="shared" si="149"/>
        <v>110358975.95717634</v>
      </c>
      <c r="BK151" s="620">
        <f t="shared" si="150"/>
        <v>543.66150270611638</v>
      </c>
      <c r="BL151" s="620">
        <f t="shared" si="151"/>
        <v>615.10272909464891</v>
      </c>
      <c r="BM151" s="620">
        <f t="shared" si="186"/>
        <v>603.46426800378924</v>
      </c>
      <c r="BN151" s="620">
        <f t="shared" si="187"/>
        <v>98647386.021427795</v>
      </c>
      <c r="BO151" s="281">
        <f t="shared" si="191"/>
        <v>0.1100000000000001</v>
      </c>
      <c r="BP151" s="81">
        <f t="shared" si="188"/>
        <v>108846454.42475285</v>
      </c>
      <c r="BQ151" s="81">
        <f t="shared" si="189"/>
        <v>108456454.42475285</v>
      </c>
      <c r="BS151" s="599"/>
      <c r="BT151" s="601"/>
    </row>
    <row r="152" spans="1:72" ht="15.4" x14ac:dyDescent="0.45">
      <c r="A152" s="76"/>
      <c r="B152" s="77" t="s">
        <v>226</v>
      </c>
      <c r="C152" s="288">
        <v>812</v>
      </c>
      <c r="D152" s="78" t="s">
        <v>235</v>
      </c>
      <c r="E152" s="87">
        <v>1</v>
      </c>
      <c r="F152" s="327">
        <f t="shared" si="152"/>
        <v>4660</v>
      </c>
      <c r="G152" s="290">
        <v>420.75</v>
      </c>
      <c r="H152" s="81">
        <f t="shared" si="153"/>
        <v>1960695</v>
      </c>
      <c r="I152" s="597">
        <f>INDEX('Historic Spend Factor'!$U$9:$U$159, MATCH(C152, 'Historic Spend Factor'!$C$9:$C$159, 0))</f>
        <v>8273303.5</v>
      </c>
      <c r="J152" s="80">
        <v>33213.527999999977</v>
      </c>
      <c r="K152" s="82">
        <f t="shared" si="154"/>
        <v>33213.527999999977</v>
      </c>
      <c r="L152" s="81">
        <f t="shared" si="155"/>
        <v>6758275.0904107532</v>
      </c>
      <c r="M152" s="80">
        <v>7093.5</v>
      </c>
      <c r="N152" s="82">
        <f t="shared" si="156"/>
        <v>7093.5</v>
      </c>
      <c r="O152" s="81">
        <f t="shared" si="157"/>
        <v>1805875.9586451417</v>
      </c>
      <c r="P152" s="80">
        <v>3110</v>
      </c>
      <c r="Q152" s="82">
        <f t="shared" si="158"/>
        <v>3110</v>
      </c>
      <c r="R152" s="84">
        <f t="shared" si="159"/>
        <v>190973.19662998029</v>
      </c>
      <c r="S152" s="80">
        <v>3157</v>
      </c>
      <c r="T152" s="82">
        <f t="shared" si="160"/>
        <v>3157</v>
      </c>
      <c r="U152" s="84">
        <f t="shared" si="161"/>
        <v>255895.71476414631</v>
      </c>
      <c r="V152" s="80">
        <v>1012</v>
      </c>
      <c r="W152" s="82">
        <f t="shared" si="162"/>
        <v>1012</v>
      </c>
      <c r="X152" s="84">
        <f t="shared" si="163"/>
        <v>112183.84304587312</v>
      </c>
      <c r="Y152" s="80">
        <v>1536</v>
      </c>
      <c r="Z152" s="82">
        <f t="shared" si="164"/>
        <v>1536</v>
      </c>
      <c r="AA152" s="84">
        <f t="shared" si="165"/>
        <v>180678.02599725337</v>
      </c>
      <c r="AB152" s="80">
        <v>4730</v>
      </c>
      <c r="AC152" s="82">
        <f t="shared" si="166"/>
        <v>4730</v>
      </c>
      <c r="AD152" s="84">
        <f t="shared" si="167"/>
        <v>618436.4506975431</v>
      </c>
      <c r="AE152" s="80">
        <v>7144</v>
      </c>
      <c r="AF152" s="82">
        <f t="shared" si="168"/>
        <v>7144</v>
      </c>
      <c r="AG152" s="84">
        <f t="shared" si="169"/>
        <v>1232733.1050060289</v>
      </c>
      <c r="AH152" s="81">
        <f t="shared" si="170"/>
        <v>2590900.3361408249</v>
      </c>
      <c r="AI152" s="80">
        <v>237</v>
      </c>
      <c r="AJ152" s="82">
        <f t="shared" si="171"/>
        <v>237</v>
      </c>
      <c r="AK152" s="84">
        <f t="shared" si="172"/>
        <v>1300558.6997982261</v>
      </c>
      <c r="AL152" s="80">
        <v>1378</v>
      </c>
      <c r="AM152" s="82">
        <f t="shared" si="173"/>
        <v>1378</v>
      </c>
      <c r="AN152" s="84">
        <f t="shared" si="174"/>
        <v>1041996.5712638807</v>
      </c>
      <c r="AO152" s="564">
        <v>242</v>
      </c>
      <c r="AP152" s="82">
        <f t="shared" si="175"/>
        <v>242</v>
      </c>
      <c r="AQ152" s="84">
        <f t="shared" si="176"/>
        <v>942867.66007491702</v>
      </c>
      <c r="AR152" s="564">
        <v>285</v>
      </c>
      <c r="AS152" s="82">
        <f t="shared" si="177"/>
        <v>285</v>
      </c>
      <c r="AT152" s="84">
        <f t="shared" si="178"/>
        <v>785278.53155542153</v>
      </c>
      <c r="AU152" s="81">
        <f t="shared" si="179"/>
        <v>23499056.347889166</v>
      </c>
      <c r="AV152" s="620">
        <f>INDEX('2021-22 Baseline'!$J$9:$J$158,MATCH(C152,'2021-22 Baseline'!$C$9:$C$158,0))</f>
        <v>21735829.278922785</v>
      </c>
      <c r="AW152" s="623">
        <v>33146.195999999982</v>
      </c>
      <c r="AX152" s="620">
        <f t="shared" si="180"/>
        <v>655.75637333837028</v>
      </c>
      <c r="AY152" s="620">
        <f t="shared" si="181"/>
        <v>708.2168832054399</v>
      </c>
      <c r="AZ152" s="620">
        <f t="shared" si="182"/>
        <v>707.51461115149175</v>
      </c>
      <c r="BA152" s="620">
        <f t="shared" si="183"/>
        <v>708.2168832054399</v>
      </c>
      <c r="BB152" s="624">
        <f t="shared" si="184"/>
        <v>23324.932527424364</v>
      </c>
      <c r="BC152" s="620">
        <f t="shared" si="193"/>
        <v>0</v>
      </c>
      <c r="BD152" s="81">
        <f t="shared" si="185"/>
        <v>23324.932527424364</v>
      </c>
      <c r="BE152" s="81">
        <f t="shared" si="190"/>
        <v>23522381.280416589</v>
      </c>
      <c r="BF152" s="588">
        <f>INDEX('AP Funding Factor'!$I$9:$I$158,MATCH(C152,'AP Funding Factor'!$C$9:$C$158,0))</f>
        <v>114831.05142857143</v>
      </c>
      <c r="BG152" s="290">
        <f>INDEX('Import|Export Adjustments Data'!$Q$9:$Q$159,MATCH($C152,'Import|Export Adjustments Data'!$C$9:$C$159,0))</f>
        <v>101</v>
      </c>
      <c r="BH152" s="289">
        <v>0</v>
      </c>
      <c r="BI152" s="81">
        <f t="shared" si="192"/>
        <v>606000</v>
      </c>
      <c r="BJ152" s="86">
        <f t="shared" si="149"/>
        <v>26203907.331845161</v>
      </c>
      <c r="BK152" s="620">
        <f t="shared" si="150"/>
        <v>655.75637333837028</v>
      </c>
      <c r="BL152" s="620">
        <f t="shared" si="151"/>
        <v>708.2168832054399</v>
      </c>
      <c r="BM152" s="620">
        <f t="shared" si="186"/>
        <v>708.2168832054399</v>
      </c>
      <c r="BN152" s="620">
        <f t="shared" si="187"/>
        <v>23522381.280416593</v>
      </c>
      <c r="BO152" s="281">
        <f t="shared" si="191"/>
        <v>8.0000000000000071E-2</v>
      </c>
      <c r="BP152" s="81">
        <f t="shared" si="188"/>
        <v>25597907.331845164</v>
      </c>
      <c r="BQ152" s="81">
        <f t="shared" si="189"/>
        <v>26203907.331845164</v>
      </c>
      <c r="BS152" s="599"/>
      <c r="BT152" s="601"/>
    </row>
    <row r="153" spans="1:72" ht="15.4" x14ac:dyDescent="0.45">
      <c r="A153" s="76"/>
      <c r="B153" s="77" t="s">
        <v>226</v>
      </c>
      <c r="C153" s="288">
        <v>813</v>
      </c>
      <c r="D153" s="78" t="s">
        <v>236</v>
      </c>
      <c r="E153" s="87">
        <v>1</v>
      </c>
      <c r="F153" s="327">
        <f t="shared" si="152"/>
        <v>4660</v>
      </c>
      <c r="G153" s="290">
        <v>387</v>
      </c>
      <c r="H153" s="81">
        <f t="shared" si="153"/>
        <v>1803420</v>
      </c>
      <c r="I153" s="597">
        <f>INDEX('Historic Spend Factor'!$U$9:$U$159, MATCH(C153, 'Historic Spend Factor'!$C$9:$C$159, 0))</f>
        <v>7858045.3100000005</v>
      </c>
      <c r="J153" s="80">
        <v>34543.422999999995</v>
      </c>
      <c r="K153" s="82">
        <f t="shared" si="154"/>
        <v>34543.422999999995</v>
      </c>
      <c r="L153" s="81">
        <f t="shared" si="155"/>
        <v>7028881.5809757402</v>
      </c>
      <c r="M153" s="80">
        <v>6415</v>
      </c>
      <c r="N153" s="82">
        <f t="shared" si="156"/>
        <v>6415</v>
      </c>
      <c r="O153" s="81">
        <f t="shared" si="157"/>
        <v>1633142.2111381665</v>
      </c>
      <c r="P153" s="80">
        <v>3063</v>
      </c>
      <c r="Q153" s="82">
        <f t="shared" si="158"/>
        <v>3063</v>
      </c>
      <c r="R153" s="84">
        <f t="shared" si="159"/>
        <v>188087.10652013816</v>
      </c>
      <c r="S153" s="80">
        <v>2523</v>
      </c>
      <c r="T153" s="82">
        <f t="shared" si="160"/>
        <v>2523</v>
      </c>
      <c r="U153" s="84">
        <f t="shared" si="161"/>
        <v>204505.82462779258</v>
      </c>
      <c r="V153" s="80">
        <v>2401</v>
      </c>
      <c r="W153" s="82">
        <f t="shared" si="162"/>
        <v>2401</v>
      </c>
      <c r="X153" s="84">
        <f t="shared" si="163"/>
        <v>266159.49323432939</v>
      </c>
      <c r="Y153" s="80">
        <v>3577</v>
      </c>
      <c r="Z153" s="82">
        <f t="shared" si="164"/>
        <v>3577</v>
      </c>
      <c r="AA153" s="84">
        <f t="shared" si="165"/>
        <v>420758.65819803072</v>
      </c>
      <c r="AB153" s="80">
        <v>2036</v>
      </c>
      <c r="AC153" s="82">
        <f t="shared" si="166"/>
        <v>2036</v>
      </c>
      <c r="AD153" s="84">
        <f t="shared" si="167"/>
        <v>266202.2438943336</v>
      </c>
      <c r="AE153" s="80">
        <v>792</v>
      </c>
      <c r="AF153" s="82">
        <f t="shared" si="168"/>
        <v>792</v>
      </c>
      <c r="AG153" s="84">
        <f t="shared" si="169"/>
        <v>136663.58051018688</v>
      </c>
      <c r="AH153" s="81">
        <f t="shared" si="170"/>
        <v>1482376.9069848112</v>
      </c>
      <c r="AI153" s="80">
        <v>191</v>
      </c>
      <c r="AJ153" s="82">
        <f t="shared" si="171"/>
        <v>191</v>
      </c>
      <c r="AK153" s="84">
        <f t="shared" si="172"/>
        <v>1048129.5850694566</v>
      </c>
      <c r="AL153" s="80">
        <v>1320</v>
      </c>
      <c r="AM153" s="82">
        <f t="shared" si="173"/>
        <v>1320</v>
      </c>
      <c r="AN153" s="84">
        <f t="shared" si="174"/>
        <v>998138.95070270146</v>
      </c>
      <c r="AO153" s="564">
        <v>275</v>
      </c>
      <c r="AP153" s="82">
        <f t="shared" si="175"/>
        <v>275</v>
      </c>
      <c r="AQ153" s="84">
        <f t="shared" si="176"/>
        <v>1071440.5228124056</v>
      </c>
      <c r="AR153" s="564">
        <v>374</v>
      </c>
      <c r="AS153" s="82">
        <f t="shared" si="177"/>
        <v>374</v>
      </c>
      <c r="AT153" s="84">
        <f t="shared" si="178"/>
        <v>1030505.8624622023</v>
      </c>
      <c r="AU153" s="81">
        <f t="shared" si="179"/>
        <v>22150660.930145483</v>
      </c>
      <c r="AV153" s="620">
        <f>INDEX('2021-22 Baseline'!$J$9:$J$158,MATCH(C153,'2021-22 Baseline'!$C$9:$C$158,0))</f>
        <v>20070274.199280705</v>
      </c>
      <c r="AW153" s="623">
        <v>34459.182999999968</v>
      </c>
      <c r="AX153" s="620">
        <f t="shared" si="180"/>
        <v>582.43615930420412</v>
      </c>
      <c r="AY153" s="620">
        <f t="shared" si="181"/>
        <v>629.03105204854046</v>
      </c>
      <c r="AZ153" s="620">
        <f t="shared" si="182"/>
        <v>641.24105275106888</v>
      </c>
      <c r="BA153" s="620">
        <f t="shared" si="183"/>
        <v>641.24105275106888</v>
      </c>
      <c r="BB153" s="624">
        <f t="shared" si="184"/>
        <v>0</v>
      </c>
      <c r="BC153" s="620">
        <f t="shared" si="193"/>
        <v>0</v>
      </c>
      <c r="BD153" s="81">
        <f t="shared" si="185"/>
        <v>0</v>
      </c>
      <c r="BE153" s="81">
        <f t="shared" si="190"/>
        <v>22150660.930145483</v>
      </c>
      <c r="BF153" s="588">
        <f>INDEX('AP Funding Factor'!$I$9:$I$158,MATCH(C153,'AP Funding Factor'!$C$9:$C$158,0))</f>
        <v>52795.885714285709</v>
      </c>
      <c r="BG153" s="290">
        <f>INDEX('Import|Export Adjustments Data'!$Q$9:$Q$159,MATCH($C153,'Import|Export Adjustments Data'!$C$9:$C$159,0))</f>
        <v>-71</v>
      </c>
      <c r="BH153" s="289">
        <v>0</v>
      </c>
      <c r="BI153" s="81">
        <f t="shared" si="192"/>
        <v>-426000</v>
      </c>
      <c r="BJ153" s="86">
        <f t="shared" si="149"/>
        <v>23580876.815859769</v>
      </c>
      <c r="BK153" s="620">
        <f t="shared" si="150"/>
        <v>582.43615930420412</v>
      </c>
      <c r="BL153" s="620">
        <f t="shared" si="151"/>
        <v>641.24105275106888</v>
      </c>
      <c r="BM153" s="620">
        <f t="shared" si="186"/>
        <v>641.24105275106888</v>
      </c>
      <c r="BN153" s="620">
        <f t="shared" si="187"/>
        <v>22150660.930145483</v>
      </c>
      <c r="BO153" s="281">
        <f t="shared" si="191"/>
        <v>0.10096367216814772</v>
      </c>
      <c r="BP153" s="81">
        <f t="shared" si="188"/>
        <v>24006876.815859769</v>
      </c>
      <c r="BQ153" s="81">
        <f t="shared" si="189"/>
        <v>23580876.815859769</v>
      </c>
      <c r="BS153" s="599"/>
      <c r="BT153" s="601"/>
    </row>
    <row r="154" spans="1:72" ht="15.4" x14ac:dyDescent="0.45">
      <c r="A154" s="76"/>
      <c r="B154" s="77" t="s">
        <v>226</v>
      </c>
      <c r="C154" s="288">
        <v>815</v>
      </c>
      <c r="D154" s="78" t="s">
        <v>237</v>
      </c>
      <c r="E154" s="87">
        <v>1</v>
      </c>
      <c r="F154" s="327">
        <f t="shared" si="152"/>
        <v>4660</v>
      </c>
      <c r="G154" s="290">
        <v>1147.5</v>
      </c>
      <c r="H154" s="81">
        <f t="shared" si="153"/>
        <v>5347350</v>
      </c>
      <c r="I154" s="597">
        <f>INDEX('Historic Spend Factor'!$U$9:$U$159, MATCH(C154, 'Historic Spend Factor'!$C$9:$C$159, 0))</f>
        <v>24505675.5</v>
      </c>
      <c r="J154" s="80">
        <v>114118.91299999993</v>
      </c>
      <c r="K154" s="82">
        <f t="shared" si="154"/>
        <v>114118.91299999993</v>
      </c>
      <c r="L154" s="81">
        <f t="shared" si="155"/>
        <v>23220869.733340338</v>
      </c>
      <c r="M154" s="80">
        <v>12285.5</v>
      </c>
      <c r="N154" s="82">
        <f t="shared" si="156"/>
        <v>12285.5</v>
      </c>
      <c r="O154" s="81">
        <f t="shared" si="157"/>
        <v>3127664.6352202566</v>
      </c>
      <c r="P154" s="80">
        <v>7078</v>
      </c>
      <c r="Q154" s="82">
        <f t="shared" si="158"/>
        <v>7078</v>
      </c>
      <c r="R154" s="84">
        <f t="shared" si="159"/>
        <v>434632.88930771715</v>
      </c>
      <c r="S154" s="80">
        <v>5261</v>
      </c>
      <c r="T154" s="82">
        <f t="shared" si="160"/>
        <v>5261</v>
      </c>
      <c r="U154" s="84">
        <f t="shared" si="161"/>
        <v>426438.82020087866</v>
      </c>
      <c r="V154" s="80">
        <v>1963</v>
      </c>
      <c r="W154" s="82">
        <f t="shared" si="162"/>
        <v>1963</v>
      </c>
      <c r="X154" s="84">
        <f t="shared" si="163"/>
        <v>217605.61650103648</v>
      </c>
      <c r="Y154" s="80">
        <v>708</v>
      </c>
      <c r="Z154" s="82">
        <f t="shared" si="164"/>
        <v>708</v>
      </c>
      <c r="AA154" s="84">
        <f t="shared" si="165"/>
        <v>83281.277608108983</v>
      </c>
      <c r="AB154" s="80">
        <v>729</v>
      </c>
      <c r="AC154" s="82">
        <f t="shared" si="166"/>
        <v>729</v>
      </c>
      <c r="AD154" s="84">
        <f t="shared" si="167"/>
        <v>95315.047052538896</v>
      </c>
      <c r="AE154" s="80">
        <v>1818</v>
      </c>
      <c r="AF154" s="82">
        <f t="shared" si="168"/>
        <v>1818</v>
      </c>
      <c r="AG154" s="84">
        <f t="shared" si="169"/>
        <v>313705.03708020161</v>
      </c>
      <c r="AH154" s="81">
        <f t="shared" si="170"/>
        <v>1570978.6877504818</v>
      </c>
      <c r="AI154" s="80">
        <v>413</v>
      </c>
      <c r="AJ154" s="82">
        <f t="shared" si="171"/>
        <v>413</v>
      </c>
      <c r="AK154" s="84">
        <f t="shared" si="172"/>
        <v>2266374.4431083016</v>
      </c>
      <c r="AL154" s="80">
        <v>3847</v>
      </c>
      <c r="AM154" s="82">
        <f t="shared" si="173"/>
        <v>3847</v>
      </c>
      <c r="AN154" s="84">
        <f t="shared" si="174"/>
        <v>2908970.1086009787</v>
      </c>
      <c r="AO154" s="564">
        <v>738</v>
      </c>
      <c r="AP154" s="82">
        <f t="shared" si="175"/>
        <v>738</v>
      </c>
      <c r="AQ154" s="84">
        <f t="shared" si="176"/>
        <v>2875356.7484929287</v>
      </c>
      <c r="AR154" s="564">
        <v>1198</v>
      </c>
      <c r="AS154" s="82">
        <f t="shared" si="177"/>
        <v>1198</v>
      </c>
      <c r="AT154" s="84">
        <f t="shared" si="178"/>
        <v>3300925.1958013861</v>
      </c>
      <c r="AU154" s="81">
        <f t="shared" si="179"/>
        <v>63776815.052314669</v>
      </c>
      <c r="AV154" s="620">
        <f>INDEX('2021-22 Baseline'!$J$9:$J$158,MATCH(C154,'2021-22 Baseline'!$C$9:$C$158,0))</f>
        <v>57689401.274678051</v>
      </c>
      <c r="AW154" s="623">
        <v>114037.79199999996</v>
      </c>
      <c r="AX154" s="620">
        <f t="shared" si="180"/>
        <v>505.87967605228687</v>
      </c>
      <c r="AY154" s="620">
        <f t="shared" si="181"/>
        <v>546.3500501364698</v>
      </c>
      <c r="AZ154" s="620">
        <f t="shared" si="182"/>
        <v>558.86279824900464</v>
      </c>
      <c r="BA154" s="620">
        <f t="shared" si="183"/>
        <v>558.86279824900464</v>
      </c>
      <c r="BB154" s="624">
        <f t="shared" si="184"/>
        <v>0</v>
      </c>
      <c r="BC154" s="620">
        <f t="shared" si="193"/>
        <v>0</v>
      </c>
      <c r="BD154" s="81">
        <f t="shared" si="185"/>
        <v>0</v>
      </c>
      <c r="BE154" s="81">
        <f t="shared" si="190"/>
        <v>63776815.052314669</v>
      </c>
      <c r="BF154" s="588">
        <f>INDEX('AP Funding Factor'!$I$9:$I$158,MATCH(C154,'AP Funding Factor'!$C$9:$C$158,0))</f>
        <v>318682.91431767563</v>
      </c>
      <c r="BG154" s="290">
        <f>INDEX('Import|Export Adjustments Data'!$Q$9:$Q$159,MATCH($C154,'Import|Export Adjustments Data'!$C$9:$C$159,0))</f>
        <v>-198.5</v>
      </c>
      <c r="BH154" s="289">
        <v>6000</v>
      </c>
      <c r="BI154" s="81">
        <f t="shared" si="192"/>
        <v>-1185000</v>
      </c>
      <c r="BJ154" s="86">
        <f t="shared" si="149"/>
        <v>68257847.966632351</v>
      </c>
      <c r="BK154" s="620">
        <f t="shared" si="150"/>
        <v>505.87967605228687</v>
      </c>
      <c r="BL154" s="620">
        <f t="shared" si="151"/>
        <v>558.86279824900464</v>
      </c>
      <c r="BM154" s="620">
        <f t="shared" si="186"/>
        <v>558.86279824900464</v>
      </c>
      <c r="BN154" s="620">
        <f t="shared" si="187"/>
        <v>63776815.052314669</v>
      </c>
      <c r="BO154" s="281">
        <f t="shared" si="191"/>
        <v>0.10473463296683527</v>
      </c>
      <c r="BP154" s="81">
        <f t="shared" si="188"/>
        <v>69442847.966632351</v>
      </c>
      <c r="BQ154" s="81">
        <f t="shared" si="189"/>
        <v>68257847.966632351</v>
      </c>
      <c r="BS154" s="599"/>
      <c r="BT154" s="601"/>
    </row>
    <row r="155" spans="1:72" ht="15.4" x14ac:dyDescent="0.45">
      <c r="A155" s="76"/>
      <c r="B155" s="77" t="s">
        <v>226</v>
      </c>
      <c r="C155" s="288">
        <v>372</v>
      </c>
      <c r="D155" s="78" t="s">
        <v>238</v>
      </c>
      <c r="E155" s="87">
        <v>1</v>
      </c>
      <c r="F155" s="327">
        <f t="shared" si="152"/>
        <v>4660</v>
      </c>
      <c r="G155" s="290">
        <v>984.83333199999993</v>
      </c>
      <c r="H155" s="81">
        <f t="shared" si="153"/>
        <v>4589323.3271199996</v>
      </c>
      <c r="I155" s="597">
        <f>INDEX('Historic Spend Factor'!$U$9:$U$159, MATCH(C155, 'Historic Spend Factor'!$C$9:$C$159, 0))</f>
        <v>14952652.658339653</v>
      </c>
      <c r="J155" s="80">
        <v>55495.054999999971</v>
      </c>
      <c r="K155" s="82">
        <f t="shared" si="154"/>
        <v>55495.054999999971</v>
      </c>
      <c r="L155" s="81">
        <f t="shared" si="155"/>
        <v>11292111.089417383</v>
      </c>
      <c r="M155" s="80">
        <v>10781</v>
      </c>
      <c r="N155" s="82">
        <f t="shared" si="156"/>
        <v>10781</v>
      </c>
      <c r="O155" s="81">
        <f t="shared" si="157"/>
        <v>2744646.3255308769</v>
      </c>
      <c r="P155" s="80">
        <v>7834</v>
      </c>
      <c r="Q155" s="82">
        <f t="shared" si="158"/>
        <v>7834</v>
      </c>
      <c r="R155" s="84">
        <f t="shared" si="159"/>
        <v>481055.95575539081</v>
      </c>
      <c r="S155" s="80">
        <v>8045</v>
      </c>
      <c r="T155" s="82">
        <f t="shared" si="160"/>
        <v>8045</v>
      </c>
      <c r="U155" s="84">
        <f t="shared" si="161"/>
        <v>652100.41979016701</v>
      </c>
      <c r="V155" s="80">
        <v>4333</v>
      </c>
      <c r="W155" s="82">
        <f t="shared" si="162"/>
        <v>4333</v>
      </c>
      <c r="X155" s="84">
        <f t="shared" si="163"/>
        <v>480328.64814008714</v>
      </c>
      <c r="Y155" s="80">
        <v>4966</v>
      </c>
      <c r="Z155" s="82">
        <f t="shared" si="164"/>
        <v>4966</v>
      </c>
      <c r="AA155" s="84">
        <f t="shared" si="165"/>
        <v>584145.23248851579</v>
      </c>
      <c r="AB155" s="80">
        <v>4420</v>
      </c>
      <c r="AC155" s="82">
        <f t="shared" si="166"/>
        <v>4420</v>
      </c>
      <c r="AD155" s="84">
        <f t="shared" si="167"/>
        <v>577904.67485901492</v>
      </c>
      <c r="AE155" s="80">
        <v>4202</v>
      </c>
      <c r="AF155" s="82">
        <f t="shared" si="168"/>
        <v>4202</v>
      </c>
      <c r="AG155" s="84">
        <f t="shared" si="169"/>
        <v>725076.21881793591</v>
      </c>
      <c r="AH155" s="81">
        <f t="shared" si="170"/>
        <v>3500611.1498511112</v>
      </c>
      <c r="AI155" s="80">
        <v>413</v>
      </c>
      <c r="AJ155" s="82">
        <f t="shared" si="171"/>
        <v>413</v>
      </c>
      <c r="AK155" s="84">
        <f t="shared" si="172"/>
        <v>2266374.4431083016</v>
      </c>
      <c r="AL155" s="80">
        <v>3170</v>
      </c>
      <c r="AM155" s="82">
        <f t="shared" si="173"/>
        <v>3170</v>
      </c>
      <c r="AN155" s="84">
        <f t="shared" si="174"/>
        <v>2397045.8134299722</v>
      </c>
      <c r="AO155" s="564">
        <v>628</v>
      </c>
      <c r="AP155" s="82">
        <f t="shared" si="175"/>
        <v>628</v>
      </c>
      <c r="AQ155" s="84">
        <f t="shared" si="176"/>
        <v>2446780.5393679664</v>
      </c>
      <c r="AR155" s="564">
        <v>742</v>
      </c>
      <c r="AS155" s="82">
        <f t="shared" si="177"/>
        <v>742</v>
      </c>
      <c r="AT155" s="84">
        <f t="shared" si="178"/>
        <v>2044479.5453127117</v>
      </c>
      <c r="AU155" s="81">
        <f t="shared" si="179"/>
        <v>41644701.564357974</v>
      </c>
      <c r="AV155" s="620">
        <f>INDEX('2021-22 Baseline'!$J$9:$J$158,MATCH(C155,'2021-22 Baseline'!$C$9:$C$158,0))</f>
        <v>36641089.042233661</v>
      </c>
      <c r="AW155" s="623">
        <v>55242.252999999975</v>
      </c>
      <c r="AX155" s="620">
        <f t="shared" si="180"/>
        <v>663.28013526591099</v>
      </c>
      <c r="AY155" s="620">
        <f t="shared" si="181"/>
        <v>716.34254608718391</v>
      </c>
      <c r="AZ155" s="620">
        <f t="shared" si="182"/>
        <v>750.42184505192392</v>
      </c>
      <c r="BA155" s="620">
        <f t="shared" si="183"/>
        <v>750.42184505192392</v>
      </c>
      <c r="BB155" s="624">
        <f t="shared" si="184"/>
        <v>0</v>
      </c>
      <c r="BC155" s="620">
        <f t="shared" si="193"/>
        <v>0</v>
      </c>
      <c r="BD155" s="81">
        <f t="shared" si="185"/>
        <v>0</v>
      </c>
      <c r="BE155" s="81">
        <f t="shared" si="190"/>
        <v>41644701.564357974</v>
      </c>
      <c r="BF155" s="588">
        <f>INDEX('AP Funding Factor'!$I$9:$I$158,MATCH(C155,'AP Funding Factor'!$C$9:$C$158,0))</f>
        <v>238503.32851331728</v>
      </c>
      <c r="BG155" s="290">
        <f>INDEX('Import|Export Adjustments Data'!$Q$9:$Q$159,MATCH($C155,'Import|Export Adjustments Data'!$C$9:$C$159,0))</f>
        <v>120.5</v>
      </c>
      <c r="BH155" s="289">
        <v>0</v>
      </c>
      <c r="BI155" s="81">
        <f t="shared" si="192"/>
        <v>723000</v>
      </c>
      <c r="BJ155" s="86">
        <f t="shared" si="149"/>
        <v>47195528.219991289</v>
      </c>
      <c r="BK155" s="620">
        <f t="shared" si="150"/>
        <v>663.28013526591099</v>
      </c>
      <c r="BL155" s="620">
        <f t="shared" si="151"/>
        <v>750.42184505192392</v>
      </c>
      <c r="BM155" s="620">
        <f t="shared" si="186"/>
        <v>736.24095014516126</v>
      </c>
      <c r="BN155" s="620">
        <f t="shared" si="187"/>
        <v>40857732.021557964</v>
      </c>
      <c r="BO155" s="281">
        <f t="shared" si="191"/>
        <v>0.1100000000000001</v>
      </c>
      <c r="BP155" s="81">
        <f t="shared" si="188"/>
        <v>45685558.67719128</v>
      </c>
      <c r="BQ155" s="81">
        <f t="shared" si="189"/>
        <v>46408558.67719128</v>
      </c>
      <c r="BS155" s="599"/>
      <c r="BT155" s="601"/>
    </row>
    <row r="156" spans="1:72" ht="15.4" x14ac:dyDescent="0.45">
      <c r="A156" s="76"/>
      <c r="B156" s="77" t="s">
        <v>226</v>
      </c>
      <c r="C156" s="288">
        <v>373</v>
      </c>
      <c r="D156" s="78" t="s">
        <v>239</v>
      </c>
      <c r="E156" s="87">
        <v>1</v>
      </c>
      <c r="F156" s="327">
        <f t="shared" si="152"/>
        <v>4660</v>
      </c>
      <c r="G156" s="290">
        <v>1268.25</v>
      </c>
      <c r="H156" s="81">
        <f t="shared" si="153"/>
        <v>5910045</v>
      </c>
      <c r="I156" s="597">
        <f>INDEX('Historic Spend Factor'!$U$9:$U$159, MATCH(C156, 'Historic Spend Factor'!$C$9:$C$159, 0))</f>
        <v>23435845.165483199</v>
      </c>
      <c r="J156" s="80">
        <v>114543.21400000001</v>
      </c>
      <c r="K156" s="82">
        <f t="shared" si="154"/>
        <v>114543.21400000001</v>
      </c>
      <c r="L156" s="81">
        <f t="shared" si="155"/>
        <v>23307206.327246804</v>
      </c>
      <c r="M156" s="80">
        <v>25398.5</v>
      </c>
      <c r="N156" s="82">
        <f t="shared" si="156"/>
        <v>25398.5</v>
      </c>
      <c r="O156" s="81">
        <f t="shared" si="157"/>
        <v>6465995.7053145329</v>
      </c>
      <c r="P156" s="80">
        <v>7399</v>
      </c>
      <c r="Q156" s="82">
        <f t="shared" si="158"/>
        <v>7399</v>
      </c>
      <c r="R156" s="84">
        <f t="shared" si="159"/>
        <v>454344.27069621359</v>
      </c>
      <c r="S156" s="80">
        <v>9932</v>
      </c>
      <c r="T156" s="82">
        <f t="shared" si="160"/>
        <v>9932</v>
      </c>
      <c r="U156" s="84">
        <f t="shared" si="161"/>
        <v>805054.24106351007</v>
      </c>
      <c r="V156" s="80">
        <v>6018</v>
      </c>
      <c r="W156" s="82">
        <f t="shared" si="162"/>
        <v>6018</v>
      </c>
      <c r="X156" s="84">
        <f t="shared" si="163"/>
        <v>667116.96388346283</v>
      </c>
      <c r="Y156" s="80">
        <v>11839</v>
      </c>
      <c r="Z156" s="82">
        <f t="shared" si="164"/>
        <v>11839</v>
      </c>
      <c r="AA156" s="84">
        <f t="shared" si="165"/>
        <v>1392608.8214723193</v>
      </c>
      <c r="AB156" s="80">
        <v>19323</v>
      </c>
      <c r="AC156" s="82">
        <f t="shared" si="166"/>
        <v>19323</v>
      </c>
      <c r="AD156" s="84">
        <f t="shared" si="167"/>
        <v>2526437.1113802595</v>
      </c>
      <c r="AE156" s="80">
        <v>7821</v>
      </c>
      <c r="AF156" s="82">
        <f t="shared" si="168"/>
        <v>7821</v>
      </c>
      <c r="AG156" s="84">
        <f t="shared" si="169"/>
        <v>1349552.8575380954</v>
      </c>
      <c r="AH156" s="81">
        <f t="shared" si="170"/>
        <v>7195114.2660338609</v>
      </c>
      <c r="AI156" s="80">
        <v>828</v>
      </c>
      <c r="AJ156" s="82">
        <f t="shared" si="171"/>
        <v>828</v>
      </c>
      <c r="AK156" s="84">
        <f t="shared" si="172"/>
        <v>4543724.0651178537</v>
      </c>
      <c r="AL156" s="80">
        <v>6381</v>
      </c>
      <c r="AM156" s="82">
        <f t="shared" si="173"/>
        <v>6381</v>
      </c>
      <c r="AN156" s="84">
        <f t="shared" si="174"/>
        <v>4825094.4276014678</v>
      </c>
      <c r="AO156" s="564">
        <v>1319</v>
      </c>
      <c r="AP156" s="82">
        <f t="shared" si="175"/>
        <v>1319</v>
      </c>
      <c r="AQ156" s="84">
        <f t="shared" si="176"/>
        <v>5139018.3621438658</v>
      </c>
      <c r="AR156" s="564">
        <v>1767</v>
      </c>
      <c r="AS156" s="82">
        <f t="shared" si="177"/>
        <v>1767</v>
      </c>
      <c r="AT156" s="84">
        <f t="shared" si="178"/>
        <v>4868726.8956436142</v>
      </c>
      <c r="AU156" s="81">
        <f t="shared" si="179"/>
        <v>79780725.214585185</v>
      </c>
      <c r="AV156" s="620">
        <f>INDEX('2021-22 Baseline'!$J$9:$J$158,MATCH(C156,'2021-22 Baseline'!$C$9:$C$158,0))</f>
        <v>67895745.665381759</v>
      </c>
      <c r="AW156" s="623">
        <v>113803.867</v>
      </c>
      <c r="AX156" s="620">
        <f t="shared" si="180"/>
        <v>596.6031511511095</v>
      </c>
      <c r="AY156" s="620">
        <f t="shared" si="181"/>
        <v>644.33140324319834</v>
      </c>
      <c r="AZ156" s="620">
        <f t="shared" si="182"/>
        <v>696.51201872670674</v>
      </c>
      <c r="BA156" s="620">
        <f t="shared" si="183"/>
        <v>696.51201872670674</v>
      </c>
      <c r="BB156" s="624">
        <f t="shared" si="184"/>
        <v>0</v>
      </c>
      <c r="BC156" s="620">
        <f t="shared" si="193"/>
        <v>0</v>
      </c>
      <c r="BD156" s="81">
        <f t="shared" si="185"/>
        <v>0</v>
      </c>
      <c r="BE156" s="81">
        <f t="shared" si="190"/>
        <v>79780725.214585185</v>
      </c>
      <c r="BF156" s="588">
        <f>INDEX('AP Funding Factor'!$I$9:$I$158,MATCH(C156,'AP Funding Factor'!$C$9:$C$158,0))</f>
        <v>2232136.9434400643</v>
      </c>
      <c r="BG156" s="290">
        <f>INDEX('Import|Export Adjustments Data'!$Q$9:$Q$159,MATCH($C156,'Import|Export Adjustments Data'!$C$9:$C$159,0))</f>
        <v>-80.5</v>
      </c>
      <c r="BH156" s="289">
        <v>0</v>
      </c>
      <c r="BI156" s="81">
        <f t="shared" si="192"/>
        <v>-483000</v>
      </c>
      <c r="BJ156" s="86">
        <f t="shared" si="149"/>
        <v>87439907.15802525</v>
      </c>
      <c r="BK156" s="620">
        <f t="shared" si="150"/>
        <v>596.6031511511095</v>
      </c>
      <c r="BL156" s="620">
        <f t="shared" si="151"/>
        <v>696.51201872670674</v>
      </c>
      <c r="BM156" s="620">
        <f t="shared" si="186"/>
        <v>662.22949777773158</v>
      </c>
      <c r="BN156" s="620">
        <f t="shared" si="187"/>
        <v>75853895.081067234</v>
      </c>
      <c r="BO156" s="281">
        <f t="shared" si="191"/>
        <v>0.1100000000000001</v>
      </c>
      <c r="BP156" s="81">
        <f t="shared" si="188"/>
        <v>83996077.024507299</v>
      </c>
      <c r="BQ156" s="81">
        <f t="shared" si="189"/>
        <v>83513077.024507299</v>
      </c>
      <c r="BS156" s="599"/>
      <c r="BT156" s="601"/>
    </row>
    <row r="157" spans="1:72" ht="15.4" x14ac:dyDescent="0.45">
      <c r="A157" s="76"/>
      <c r="B157" s="77" t="s">
        <v>226</v>
      </c>
      <c r="C157" s="288">
        <v>384</v>
      </c>
      <c r="D157" s="78" t="s">
        <v>240</v>
      </c>
      <c r="E157" s="87">
        <v>1.00025202771499</v>
      </c>
      <c r="F157" s="327">
        <f t="shared" si="152"/>
        <v>4661.174449151853</v>
      </c>
      <c r="G157" s="290">
        <v>617.5</v>
      </c>
      <c r="H157" s="81">
        <f t="shared" si="153"/>
        <v>2878275.2223512693</v>
      </c>
      <c r="I157" s="597">
        <f>INDEX('Historic Spend Factor'!$U$9:$U$159, MATCH(C157, 'Historic Spend Factor'!$C$9:$C$159, 0))</f>
        <v>13651383.185695935</v>
      </c>
      <c r="J157" s="80">
        <v>73009.493999999977</v>
      </c>
      <c r="K157" s="82">
        <f t="shared" si="154"/>
        <v>73027.894415945368</v>
      </c>
      <c r="L157" s="81">
        <f t="shared" si="155"/>
        <v>14859686.081419306</v>
      </c>
      <c r="M157" s="80">
        <v>11871</v>
      </c>
      <c r="N157" s="82">
        <f t="shared" si="156"/>
        <v>11873.991821004647</v>
      </c>
      <c r="O157" s="81">
        <f t="shared" si="157"/>
        <v>3022902.1445973553</v>
      </c>
      <c r="P157" s="80">
        <v>11605</v>
      </c>
      <c r="Q157" s="82">
        <f t="shared" si="158"/>
        <v>11607.924781632459</v>
      </c>
      <c r="R157" s="84">
        <f t="shared" si="159"/>
        <v>712798.23208640399</v>
      </c>
      <c r="S157" s="80">
        <v>10489</v>
      </c>
      <c r="T157" s="82">
        <f t="shared" si="160"/>
        <v>10491.643518702531</v>
      </c>
      <c r="U157" s="84">
        <f t="shared" si="161"/>
        <v>850417.04696515913</v>
      </c>
      <c r="V157" s="80">
        <v>7718</v>
      </c>
      <c r="W157" s="82">
        <f t="shared" si="162"/>
        <v>7719.9451499042925</v>
      </c>
      <c r="X157" s="84">
        <f t="shared" si="163"/>
        <v>855783.71049368836</v>
      </c>
      <c r="Y157" s="80">
        <v>2789</v>
      </c>
      <c r="Z157" s="82">
        <f t="shared" si="164"/>
        <v>2789.702905297107</v>
      </c>
      <c r="AA157" s="84">
        <f t="shared" si="165"/>
        <v>328149.74872909108</v>
      </c>
      <c r="AB157" s="80">
        <v>4401</v>
      </c>
      <c r="AC157" s="82">
        <f t="shared" si="166"/>
        <v>4402.1091739736712</v>
      </c>
      <c r="AD157" s="84">
        <f t="shared" si="167"/>
        <v>575565.49114912702</v>
      </c>
      <c r="AE157" s="80">
        <v>2544</v>
      </c>
      <c r="AF157" s="82">
        <f t="shared" si="168"/>
        <v>2544.6411585069345</v>
      </c>
      <c r="AG157" s="84">
        <f t="shared" si="169"/>
        <v>439090.62100397429</v>
      </c>
      <c r="AH157" s="81">
        <f t="shared" si="170"/>
        <v>3761804.8504274441</v>
      </c>
      <c r="AI157" s="80">
        <v>364</v>
      </c>
      <c r="AJ157" s="82">
        <f t="shared" si="171"/>
        <v>364.09173808825636</v>
      </c>
      <c r="AK157" s="84">
        <f t="shared" si="172"/>
        <v>1997985.9809929917</v>
      </c>
      <c r="AL157" s="80">
        <v>3395</v>
      </c>
      <c r="AM157" s="82">
        <f t="shared" si="173"/>
        <v>3395.855634092391</v>
      </c>
      <c r="AN157" s="84">
        <f t="shared" si="174"/>
        <v>2567830.1358718453</v>
      </c>
      <c r="AO157" s="564">
        <v>712</v>
      </c>
      <c r="AP157" s="82">
        <f t="shared" si="175"/>
        <v>712.17944373307284</v>
      </c>
      <c r="AQ157" s="84">
        <f t="shared" si="176"/>
        <v>2774756.0564713157</v>
      </c>
      <c r="AR157" s="564">
        <v>1000</v>
      </c>
      <c r="AS157" s="82">
        <f t="shared" si="177"/>
        <v>1000.25202771499</v>
      </c>
      <c r="AT157" s="84">
        <f t="shared" si="178"/>
        <v>2756057.696524071</v>
      </c>
      <c r="AU157" s="81">
        <f t="shared" si="179"/>
        <v>45392406.132000268</v>
      </c>
      <c r="AV157" s="620">
        <f>INDEX('2021-22 Baseline'!$J$9:$J$158,MATCH(C157,'2021-22 Baseline'!$C$9:$C$158,0))</f>
        <v>37580223.767365173</v>
      </c>
      <c r="AW157" s="623">
        <v>71882.006999999954</v>
      </c>
      <c r="AX157" s="620">
        <f t="shared" si="180"/>
        <v>522.80431968691687</v>
      </c>
      <c r="AY157" s="620">
        <f t="shared" si="181"/>
        <v>564.62866526187031</v>
      </c>
      <c r="AZ157" s="620">
        <f t="shared" si="182"/>
        <v>621.73292328255673</v>
      </c>
      <c r="BA157" s="620">
        <f t="shared" si="183"/>
        <v>621.73292328255673</v>
      </c>
      <c r="BB157" s="624">
        <f t="shared" si="184"/>
        <v>0</v>
      </c>
      <c r="BC157" s="620">
        <f t="shared" si="193"/>
        <v>0</v>
      </c>
      <c r="BD157" s="81">
        <f t="shared" si="185"/>
        <v>0</v>
      </c>
      <c r="BE157" s="81">
        <f t="shared" si="190"/>
        <v>45392406.132000268</v>
      </c>
      <c r="BF157" s="588">
        <f>INDEX('AP Funding Factor'!$I$9:$I$158,MATCH(C157,'AP Funding Factor'!$C$9:$C$158,0))</f>
        <v>1047410.5909215491</v>
      </c>
      <c r="BG157" s="290">
        <f>INDEX('Import|Export Adjustments Data'!$Q$9:$Q$159,MATCH($C157,'Import|Export Adjustments Data'!$C$9:$C$159,0))</f>
        <v>-20.5</v>
      </c>
      <c r="BH157" s="289">
        <v>0</v>
      </c>
      <c r="BI157" s="81">
        <f t="shared" si="192"/>
        <v>-123000</v>
      </c>
      <c r="BJ157" s="86">
        <f t="shared" si="149"/>
        <v>49195091.945273086</v>
      </c>
      <c r="BK157" s="620">
        <f t="shared" si="150"/>
        <v>522.80431968691687</v>
      </c>
      <c r="BL157" s="620">
        <f t="shared" si="151"/>
        <v>621.73292328255673</v>
      </c>
      <c r="BM157" s="620">
        <f t="shared" si="186"/>
        <v>580.31279485247774</v>
      </c>
      <c r="BN157" s="620">
        <f t="shared" si="187"/>
        <v>42368343.51390519</v>
      </c>
      <c r="BO157" s="281">
        <f t="shared" si="191"/>
        <v>0.1100000000000001</v>
      </c>
      <c r="BP157" s="81">
        <f t="shared" si="188"/>
        <v>46294029.327178009</v>
      </c>
      <c r="BQ157" s="81">
        <f t="shared" si="189"/>
        <v>46171029.327178009</v>
      </c>
      <c r="BS157" s="599"/>
      <c r="BT157" s="601"/>
    </row>
    <row r="158" spans="1:72" ht="15.4" x14ac:dyDescent="0.45">
      <c r="A158" s="76"/>
      <c r="B158" s="77" t="s">
        <v>226</v>
      </c>
      <c r="C158" s="288">
        <v>816</v>
      </c>
      <c r="D158" s="78" t="s">
        <v>241</v>
      </c>
      <c r="E158" s="87">
        <v>1</v>
      </c>
      <c r="F158" s="327">
        <f t="shared" si="152"/>
        <v>4660</v>
      </c>
      <c r="G158" s="290">
        <v>294</v>
      </c>
      <c r="H158" s="81">
        <f t="shared" si="153"/>
        <v>1370040</v>
      </c>
      <c r="I158" s="597">
        <f>INDEX('Historic Spend Factor'!$U$9:$U$159, MATCH(C158, 'Historic Spend Factor'!$C$9:$C$159, 0))</f>
        <v>8155899.6047134213</v>
      </c>
      <c r="J158" s="80">
        <v>35583.410999999971</v>
      </c>
      <c r="K158" s="82">
        <f t="shared" si="154"/>
        <v>35583.410999999971</v>
      </c>
      <c r="L158" s="81">
        <f t="shared" si="155"/>
        <v>7240497.9137762161</v>
      </c>
      <c r="M158" s="80">
        <v>3600</v>
      </c>
      <c r="N158" s="82">
        <f t="shared" si="156"/>
        <v>3600</v>
      </c>
      <c r="O158" s="81">
        <f t="shared" si="157"/>
        <v>916494.4598748869</v>
      </c>
      <c r="P158" s="80">
        <v>3018</v>
      </c>
      <c r="Q158" s="82">
        <f t="shared" si="158"/>
        <v>3018</v>
      </c>
      <c r="R158" s="84">
        <f t="shared" si="159"/>
        <v>185323.82875539563</v>
      </c>
      <c r="S158" s="80">
        <v>2264</v>
      </c>
      <c r="T158" s="82">
        <f t="shared" si="160"/>
        <v>2264</v>
      </c>
      <c r="U158" s="84">
        <f t="shared" si="161"/>
        <v>183512.16288439254</v>
      </c>
      <c r="V158" s="80">
        <v>1156</v>
      </c>
      <c r="W158" s="82">
        <f t="shared" si="162"/>
        <v>1156</v>
      </c>
      <c r="X158" s="84">
        <f t="shared" si="163"/>
        <v>128146.76142394201</v>
      </c>
      <c r="Y158" s="80">
        <v>676</v>
      </c>
      <c r="Z158" s="82">
        <f t="shared" si="164"/>
        <v>676</v>
      </c>
      <c r="AA158" s="84">
        <f t="shared" si="165"/>
        <v>79517.152066499533</v>
      </c>
      <c r="AB158" s="80">
        <v>449</v>
      </c>
      <c r="AC158" s="82">
        <f t="shared" si="166"/>
        <v>449</v>
      </c>
      <c r="AD158" s="84">
        <f t="shared" si="167"/>
        <v>58705.701133868257</v>
      </c>
      <c r="AE158" s="80">
        <v>0</v>
      </c>
      <c r="AF158" s="82">
        <f t="shared" si="168"/>
        <v>0</v>
      </c>
      <c r="AG158" s="84">
        <f t="shared" si="169"/>
        <v>0</v>
      </c>
      <c r="AH158" s="81">
        <f t="shared" si="170"/>
        <v>635205.60626409797</v>
      </c>
      <c r="AI158" s="80">
        <v>139</v>
      </c>
      <c r="AJ158" s="82">
        <f t="shared" si="171"/>
        <v>139</v>
      </c>
      <c r="AK158" s="84">
        <f t="shared" si="172"/>
        <v>762774.93363693438</v>
      </c>
      <c r="AL158" s="80">
        <v>1077</v>
      </c>
      <c r="AM158" s="82">
        <f t="shared" si="173"/>
        <v>1077</v>
      </c>
      <c r="AN158" s="84">
        <f t="shared" si="174"/>
        <v>814390.6438687949</v>
      </c>
      <c r="AO158" s="564">
        <v>226</v>
      </c>
      <c r="AP158" s="82">
        <f t="shared" si="175"/>
        <v>226</v>
      </c>
      <c r="AQ158" s="84">
        <f t="shared" si="176"/>
        <v>880529.30238401331</v>
      </c>
      <c r="AR158" s="564">
        <v>237</v>
      </c>
      <c r="AS158" s="82">
        <f t="shared" si="177"/>
        <v>237</v>
      </c>
      <c r="AT158" s="84">
        <f t="shared" si="178"/>
        <v>653021.09466187691</v>
      </c>
      <c r="AU158" s="81">
        <f t="shared" si="179"/>
        <v>20058813.559180245</v>
      </c>
      <c r="AV158" s="620">
        <f>INDEX('2021-22 Baseline'!$J$9:$J$158,MATCH(C158,'2021-22 Baseline'!$C$9:$C$158,0))</f>
        <v>19640228.319905072</v>
      </c>
      <c r="AW158" s="623">
        <v>35523.310999999994</v>
      </c>
      <c r="AX158" s="620">
        <f t="shared" si="180"/>
        <v>552.88281883141678</v>
      </c>
      <c r="AY158" s="620">
        <f t="shared" si="181"/>
        <v>597.11344433793022</v>
      </c>
      <c r="AZ158" s="620">
        <f t="shared" si="182"/>
        <v>563.71249960213936</v>
      </c>
      <c r="BA158" s="620">
        <f t="shared" si="183"/>
        <v>597.11344433793022</v>
      </c>
      <c r="BB158" s="624">
        <f t="shared" si="184"/>
        <v>1188519.5443219317</v>
      </c>
      <c r="BC158" s="620">
        <f t="shared" si="193"/>
        <v>0</v>
      </c>
      <c r="BD158" s="81">
        <f t="shared" si="185"/>
        <v>1188519.5443219317</v>
      </c>
      <c r="BE158" s="81">
        <f t="shared" si="190"/>
        <v>21247333.103502177</v>
      </c>
      <c r="BF158" s="588">
        <f>INDEX('AP Funding Factor'!$I$9:$I$158,MATCH(C158,'AP Funding Factor'!$C$9:$C$158,0))</f>
        <v>450979.72325892502</v>
      </c>
      <c r="BG158" s="290">
        <f>INDEX('Import|Export Adjustments Data'!$Q$9:$Q$159,MATCH($C158,'Import|Export Adjustments Data'!$C$9:$C$159,0))</f>
        <v>190.5</v>
      </c>
      <c r="BH158" s="289">
        <v>0</v>
      </c>
      <c r="BI158" s="81">
        <f t="shared" si="192"/>
        <v>1143000</v>
      </c>
      <c r="BJ158" s="86">
        <f t="shared" si="149"/>
        <v>24211352.8267611</v>
      </c>
      <c r="BK158" s="620">
        <f t="shared" si="150"/>
        <v>552.88281883141678</v>
      </c>
      <c r="BL158" s="620">
        <f t="shared" si="151"/>
        <v>597.11344433793022</v>
      </c>
      <c r="BM158" s="620">
        <f t="shared" si="186"/>
        <v>597.11344433793022</v>
      </c>
      <c r="BN158" s="620">
        <f t="shared" si="187"/>
        <v>21247333.103502177</v>
      </c>
      <c r="BO158" s="281">
        <f t="shared" si="191"/>
        <v>8.0000000000000071E-2</v>
      </c>
      <c r="BP158" s="81">
        <f t="shared" si="188"/>
        <v>23068352.8267611</v>
      </c>
      <c r="BQ158" s="81">
        <f t="shared" si="189"/>
        <v>24211352.8267611</v>
      </c>
      <c r="BS158" s="599"/>
      <c r="BT158" s="601"/>
    </row>
    <row r="159" spans="1:72" ht="15.75" thickBot="1" x14ac:dyDescent="0.5">
      <c r="A159" s="76"/>
      <c r="B159" s="90" t="s">
        <v>14</v>
      </c>
      <c r="C159" s="91">
        <v>9999</v>
      </c>
      <c r="D159" s="92" t="s">
        <v>14</v>
      </c>
      <c r="E159" s="93">
        <v>1</v>
      </c>
      <c r="F159" s="328">
        <f t="shared" si="152"/>
        <v>4660</v>
      </c>
      <c r="G159" s="96">
        <v>10146.75</v>
      </c>
      <c r="H159" s="95">
        <f t="shared" si="153"/>
        <v>47283855</v>
      </c>
      <c r="I159" s="95"/>
      <c r="J159" s="94"/>
      <c r="K159" s="96"/>
      <c r="L159" s="95"/>
      <c r="M159" s="94"/>
      <c r="N159" s="97"/>
      <c r="O159" s="95"/>
      <c r="P159" s="94"/>
      <c r="Q159" s="97"/>
      <c r="R159" s="98"/>
      <c r="S159" s="94"/>
      <c r="T159" s="97"/>
      <c r="U159" s="98"/>
      <c r="V159" s="94"/>
      <c r="W159" s="97"/>
      <c r="X159" s="98"/>
      <c r="Y159" s="94"/>
      <c r="Z159" s="97"/>
      <c r="AA159" s="98"/>
      <c r="AB159" s="94"/>
      <c r="AC159" s="97"/>
      <c r="AD159" s="98"/>
      <c r="AE159" s="94"/>
      <c r="AF159" s="97"/>
      <c r="AG159" s="98"/>
      <c r="AH159" s="95"/>
      <c r="AI159" s="94"/>
      <c r="AJ159" s="97"/>
      <c r="AK159" s="98"/>
      <c r="AL159" s="94"/>
      <c r="AM159" s="97"/>
      <c r="AN159" s="98"/>
      <c r="AO159" s="563"/>
      <c r="AP159" s="97"/>
      <c r="AQ159" s="98"/>
      <c r="AR159" s="94"/>
      <c r="AS159" s="97"/>
      <c r="AT159" s="98"/>
      <c r="AU159" s="95"/>
      <c r="AV159" s="99"/>
      <c r="AW159" s="100"/>
      <c r="AX159" s="99"/>
      <c r="AY159" s="99"/>
      <c r="AZ159" s="99"/>
      <c r="BA159" s="99"/>
      <c r="BB159" s="99"/>
      <c r="BC159" s="99"/>
      <c r="BD159" s="95"/>
      <c r="BE159" s="95"/>
      <c r="BF159" s="95"/>
      <c r="BG159" s="97">
        <f>INDEX('Import|Export Adjustments Data'!$Q$9:$Q$159,MATCH($C159,'Import|Export Adjustments Data'!$C$9:$C$159,0))</f>
        <v>11543.25</v>
      </c>
      <c r="BH159" s="96"/>
      <c r="BI159" s="95">
        <f t="shared" si="192"/>
        <v>69259500</v>
      </c>
      <c r="BJ159" s="101">
        <f t="shared" si="149"/>
        <v>116543355</v>
      </c>
      <c r="BK159" s="99"/>
      <c r="BL159" s="99"/>
      <c r="BM159" s="99"/>
      <c r="BN159" s="99"/>
      <c r="BO159" s="291"/>
      <c r="BP159" s="95">
        <f t="shared" si="188"/>
        <v>47283855</v>
      </c>
      <c r="BQ159" s="95">
        <f t="shared" si="189"/>
        <v>116543355</v>
      </c>
      <c r="BS159" s="599"/>
      <c r="BT159" s="601"/>
    </row>
    <row r="160" spans="1:72" x14ac:dyDescent="0.45">
      <c r="G160" s="306"/>
    </row>
    <row r="161" spans="7:65" ht="15" customHeight="1" x14ac:dyDescent="0.45">
      <c r="G161" s="306"/>
    </row>
    <row r="162" spans="7:65" x14ac:dyDescent="0.45">
      <c r="BK162" s="474"/>
      <c r="BM162" s="474"/>
    </row>
  </sheetData>
  <sortState xmlns:xlrd2="http://schemas.microsoft.com/office/spreadsheetml/2017/richdata2" ref="A15:BU18">
    <sortCondition ref="D15:D18"/>
  </sortState>
  <pageMargins left="0.7" right="0.7" top="0.75" bottom="0.75" header="0.3" footer="0.3"/>
  <pageSetup paperSize="9" orientation="portrait" r:id="rId1"/>
  <ignoredErrors>
    <ignoredError sqref="O8 AA8 AK8 AN8 AQ8 AT8 L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866AA-8909-44B8-B7D1-6E707E2D3264}">
  <sheetPr codeName="Sheet38">
    <tabColor theme="4"/>
  </sheetPr>
  <dimension ref="A1:P178"/>
  <sheetViews>
    <sheetView showGridLines="0" zoomScale="85" zoomScaleNormal="85" workbookViewId="0"/>
  </sheetViews>
  <sheetFormatPr defaultColWidth="9" defaultRowHeight="14.25" outlineLevelRow="2" x14ac:dyDescent="0.45"/>
  <cols>
    <col min="1" max="1" width="4" customWidth="1"/>
    <col min="3" max="3" width="40.265625" customWidth="1"/>
    <col min="4" max="4" width="6.265625" customWidth="1"/>
    <col min="5" max="5" width="6" customWidth="1"/>
    <col min="6" max="6" width="36" customWidth="1"/>
    <col min="7" max="7" width="6" customWidth="1"/>
    <col min="8" max="8" width="26.265625" customWidth="1"/>
    <col min="9" max="10" width="6" customWidth="1"/>
    <col min="11" max="11" width="38" customWidth="1"/>
    <col min="12" max="12" width="9.265625" customWidth="1"/>
    <col min="13" max="13" width="38" style="24" customWidth="1"/>
    <col min="14" max="14" width="14.265625" bestFit="1" customWidth="1"/>
    <col min="15" max="15" width="20.73046875" bestFit="1" customWidth="1"/>
    <col min="16" max="16" width="12.265625" bestFit="1" customWidth="1"/>
  </cols>
  <sheetData>
    <row r="1" spans="1:16" ht="25.15" x14ac:dyDescent="0.45">
      <c r="C1" s="30" t="s">
        <v>242</v>
      </c>
      <c r="M1"/>
      <c r="O1" s="24"/>
    </row>
    <row r="2" spans="1:16" ht="25.15" x14ac:dyDescent="0.7">
      <c r="C2" s="35"/>
      <c r="M2"/>
      <c r="O2" s="24"/>
    </row>
    <row r="3" spans="1:16" ht="24.75" x14ac:dyDescent="0.65">
      <c r="C3" s="32" t="s">
        <v>243</v>
      </c>
      <c r="M3"/>
      <c r="O3" s="24"/>
    </row>
    <row r="4" spans="1:16" ht="14.65" thickBot="1" x14ac:dyDescent="0.5">
      <c r="A4" s="102"/>
      <c r="C4" s="102"/>
      <c r="E4" s="102"/>
      <c r="F4" s="102"/>
      <c r="G4" s="104"/>
      <c r="H4" s="102"/>
      <c r="I4" s="104"/>
      <c r="J4" s="104"/>
      <c r="K4" s="102"/>
      <c r="L4" s="104"/>
      <c r="M4" s="105"/>
      <c r="N4" s="102"/>
    </row>
    <row r="5" spans="1:16" ht="30.4" thickBot="1" x14ac:dyDescent="0.5">
      <c r="A5" s="102"/>
      <c r="B5" s="102"/>
      <c r="C5" s="106" t="s">
        <v>244</v>
      </c>
      <c r="E5" s="102"/>
      <c r="F5" s="630" t="s">
        <v>159</v>
      </c>
      <c r="G5" s="104"/>
      <c r="H5" s="107" t="s">
        <v>245</v>
      </c>
      <c r="I5" s="104"/>
      <c r="J5" s="104"/>
      <c r="K5" s="102"/>
      <c r="M5" s="105"/>
      <c r="N5" s="102"/>
    </row>
    <row r="6" spans="1:16" ht="15.4" thickBot="1" x14ac:dyDescent="0.5">
      <c r="A6" s="102"/>
      <c r="B6" s="102"/>
      <c r="C6" s="108" t="s">
        <v>246</v>
      </c>
      <c r="E6" s="102"/>
      <c r="F6" s="626" t="str">
        <f>INDEX('2022-23 StepbyStep Allocations'!$B$9:$B$159, MATCH(F5,'2022-23 StepbyStep Allocations'!$D$9:$D$159,0))</f>
        <v xml:space="preserve">OUTER LONDON </v>
      </c>
      <c r="G6" s="104"/>
      <c r="H6" s="109">
        <f>INDEX('2022-23 StepbyStep Allocations'!E:E,Accessibility_Dropdowns_toHide!G1)</f>
        <v>1.1270590386057799</v>
      </c>
      <c r="I6" s="104"/>
      <c r="J6" s="104"/>
      <c r="L6" s="104"/>
      <c r="M6" s="105"/>
      <c r="N6" s="102"/>
    </row>
    <row r="7" spans="1:16" ht="15.4" thickBot="1" x14ac:dyDescent="0.5">
      <c r="A7" s="102"/>
      <c r="B7" s="102"/>
      <c r="C7" s="110" t="s">
        <v>247</v>
      </c>
      <c r="E7" s="102"/>
      <c r="F7" s="111">
        <f>INDEX('2022-23 StepbyStep Allocations'!$C$9:$C$159, MATCH(F5,'2022-23 StepbyStep Allocations'!$D$9:$D$159,0))</f>
        <v>301</v>
      </c>
      <c r="G7" s="104"/>
      <c r="H7" s="102"/>
      <c r="I7" s="104"/>
      <c r="J7" s="104"/>
      <c r="K7" s="102"/>
      <c r="L7" s="104"/>
      <c r="M7" s="105"/>
      <c r="N7" s="102"/>
    </row>
    <row r="8" spans="1:16" ht="14.65" thickBot="1" x14ac:dyDescent="0.5">
      <c r="A8" s="102"/>
      <c r="B8" s="102"/>
      <c r="C8" s="102"/>
      <c r="E8" s="102"/>
      <c r="F8" s="102"/>
      <c r="G8" s="104"/>
      <c r="H8" s="103"/>
      <c r="I8" s="112"/>
      <c r="J8" s="112"/>
      <c r="K8" s="113"/>
      <c r="L8" s="112"/>
      <c r="M8" s="114"/>
      <c r="N8" s="103"/>
    </row>
    <row r="9" spans="1:16" ht="15" x14ac:dyDescent="0.45">
      <c r="A9" s="102"/>
      <c r="B9" s="102"/>
      <c r="C9" s="115" t="str">
        <f>HYPERLINK("#"&amp; CELL("address",C25),C25 &amp;" ("&amp;100*ROUND(F9/$F$20,2)&amp;"%)")</f>
        <v>(A) Basic entitlement factor (6%)</v>
      </c>
      <c r="E9" s="102"/>
      <c r="F9" s="627">
        <f>INDEX('2022-23 StepbyStep Allocations'!H:H,Accessibility_Dropdowns_toHide!$G$1)</f>
        <v>2762602.0330689433</v>
      </c>
      <c r="G9" s="104"/>
      <c r="H9" s="103"/>
      <c r="I9" s="112"/>
      <c r="J9" s="112"/>
      <c r="K9" s="151" t="str">
        <f>"Formula split for " &amp; F5</f>
        <v>Formula split for Barking and Dagenham</v>
      </c>
      <c r="L9" s="112"/>
      <c r="M9" s="114"/>
      <c r="N9" s="103"/>
    </row>
    <row r="10" spans="1:16" ht="15" x14ac:dyDescent="0.45">
      <c r="A10" s="102"/>
      <c r="B10" s="102"/>
      <c r="C10" s="116" t="str">
        <f>HYPERLINK("#"&amp; CELL("address",C29),C29 &amp; " (" &amp; 100*ROUND(F10/$F$20, 2) &amp; "%)")</f>
        <v>(B) Historic spend factor (31%)</v>
      </c>
      <c r="E10" s="102"/>
      <c r="F10" s="628">
        <f>INDEX('2022-23 StepbyStep Allocations'!I:I,Accessibility_Dropdowns_toHide!$G$1)</f>
        <v>14791426.287369061</v>
      </c>
      <c r="G10" s="104"/>
      <c r="H10" s="103"/>
      <c r="I10" s="112"/>
      <c r="J10" s="112"/>
      <c r="K10" s="151"/>
      <c r="L10" s="112"/>
      <c r="M10" s="114"/>
      <c r="N10" s="151" t="s">
        <v>248</v>
      </c>
    </row>
    <row r="11" spans="1:16" ht="15" x14ac:dyDescent="0.45">
      <c r="A11" s="102"/>
      <c r="B11" s="102"/>
      <c r="C11" s="116" t="str">
        <f>HYPERLINK("#"&amp; CELL("address",C33),C33 &amp; " (" &amp; 100*ROUND(F11/$F$20, 2) &amp; "%)")</f>
        <v>(C) Population factor (28%)</v>
      </c>
      <c r="E11" s="102"/>
      <c r="F11" s="628">
        <f>INDEX('2022-23 StepbyStep Allocations'!L:L,Accessibility_Dropdowns_toHide!$G$1)</f>
        <v>13662217.413440797</v>
      </c>
      <c r="G11" s="104"/>
      <c r="H11" s="103"/>
      <c r="I11" s="112"/>
      <c r="J11" s="112"/>
      <c r="K11" s="638"/>
      <c r="L11" s="112"/>
      <c r="M11" s="114"/>
      <c r="N11" s="38" t="s">
        <v>249</v>
      </c>
      <c r="O11" t="str">
        <f t="shared" ref="O11:O21" si="0">N11 &amp;" (" &amp; 100*ROUND(P11,2)&amp;"%)"</f>
        <v>(A) Basic entitlement factor (8%)</v>
      </c>
      <c r="P11" s="117">
        <f>('2022-23 StepbyStep Allocations'!H$8-'2022-23 StepbyStep Allocations'!H159)/(('2022-23 StepbyStep Allocations'!$BJ$8-'2022-23 StepbyStep Allocations'!BJ159)-SUM('2022-23 StepbyStep Allocations'!$BI$9:$BI$158))</f>
        <v>8.225624205745255E-2</v>
      </c>
    </row>
    <row r="12" spans="1:16" ht="15" x14ac:dyDescent="0.45">
      <c r="A12" s="102"/>
      <c r="B12" s="102"/>
      <c r="C12" s="116" t="str">
        <f>HYPERLINK("#"&amp; CELL("address",C41),C41 &amp; " (" &amp; 100*ROUND(F12/$F$20, 2) &amp; "%)")</f>
        <v>(D) FSM factor (7%)</v>
      </c>
      <c r="E12" s="102"/>
      <c r="F12" s="628">
        <f>INDEX('2022-23 StepbyStep Allocations'!O:O,Accessibility_Dropdowns_toHide!$G$1)</f>
        <v>3455339.0197263374</v>
      </c>
      <c r="G12" s="104"/>
      <c r="H12" s="103"/>
      <c r="I12" s="112"/>
      <c r="J12" s="112"/>
      <c r="K12" s="103"/>
      <c r="L12" s="112"/>
      <c r="M12" s="114"/>
      <c r="N12" s="38" t="s">
        <v>250</v>
      </c>
      <c r="O12" t="str">
        <f t="shared" si="0"/>
        <v>(B) Historic spend factor (32%)</v>
      </c>
      <c r="P12" s="117">
        <f>'2022-23 StepbyStep Allocations'!I$8/(('2022-23 StepbyStep Allocations'!$BJ$8-'2022-23 StepbyStep Allocations'!BJ159)-SUM('2022-23 StepbyStep Allocations'!$BI$9:$BI$158))</f>
        <v>0.31939984268132959</v>
      </c>
    </row>
    <row r="13" spans="1:16" ht="15" x14ac:dyDescent="0.45">
      <c r="A13" s="102"/>
      <c r="B13" s="102"/>
      <c r="C13" s="116" t="str">
        <f>HYPERLINK("#"&amp; CELL("address",C95),C95 &amp; " (" &amp; 100*ROUND(F13/$F$20, 2) &amp; "%)")</f>
        <v>(E) IDACI factor (10%)</v>
      </c>
      <c r="E13" s="102"/>
      <c r="F13" s="628">
        <f>INDEX('2022-23 StepbyStep Allocations'!AH:AH,Accessibility_Dropdowns_toHide!$G$1)</f>
        <v>4807257.7181637147</v>
      </c>
      <c r="G13" s="104"/>
      <c r="H13" s="103"/>
      <c r="I13" s="112"/>
      <c r="J13" s="112"/>
      <c r="K13" s="103"/>
      <c r="L13" s="112"/>
      <c r="M13" s="114"/>
      <c r="N13" s="38" t="s">
        <v>251</v>
      </c>
      <c r="O13" t="str">
        <f t="shared" si="0"/>
        <v>(C) Population factor (28%)</v>
      </c>
      <c r="P13" s="117">
        <f>'2022-23 StepbyStep Allocations'!L$8/(('2022-23 StepbyStep Allocations'!$BJ$8-'2022-23 StepbyStep Allocations'!BJ159)-SUM('2022-23 StepbyStep Allocations'!$BI$9:$BI$158))</f>
        <v>0.28058230984074939</v>
      </c>
    </row>
    <row r="14" spans="1:16" ht="15" x14ac:dyDescent="0.45">
      <c r="A14" s="102"/>
      <c r="B14" s="102"/>
      <c r="C14" s="116" t="str">
        <f>HYPERLINK("#"&amp; CELL("address",C100),C100 &amp; " (" &amp; 100*ROUND(F14/$F$20, 2) &amp; "%)")</f>
        <v>(F) Bad health factor (5%)</v>
      </c>
      <c r="E14" s="102"/>
      <c r="F14" s="628">
        <f>INDEX('2022-23 StepbyStep Allocations'!AK:AK,Accessibility_Dropdowns_toHide!$G$1)</f>
        <v>2585261.9874227778</v>
      </c>
      <c r="G14" s="104"/>
      <c r="H14" s="103"/>
      <c r="I14" s="112"/>
      <c r="J14" s="112"/>
      <c r="K14" s="103"/>
      <c r="L14" s="112"/>
      <c r="M14" s="114"/>
      <c r="N14" s="38" t="s">
        <v>252</v>
      </c>
      <c r="O14" t="str">
        <f t="shared" si="0"/>
        <v>(D) FSM factor (6%)</v>
      </c>
      <c r="P14" s="117">
        <f>'2022-23 StepbyStep Allocations'!O$8/(('2022-23 StepbyStep Allocations'!$BJ$8-'2022-23 StepbyStep Allocations'!BJ159)-SUM('2022-23 StepbyStep Allocations'!$BI$9:$BI$158))</f>
        <v>5.6116461968149886E-2</v>
      </c>
    </row>
    <row r="15" spans="1:16" ht="15" x14ac:dyDescent="0.45">
      <c r="A15" s="102"/>
      <c r="B15" s="102"/>
      <c r="C15" s="116" t="str">
        <f>HYPERLINK("#"&amp; CELL("address",C108),C108 &amp; " (" &amp; 100*ROUND(F15/$F$20, 2) &amp; "%)")</f>
        <v>(G) Disability factor (4%)</v>
      </c>
      <c r="E15" s="102"/>
      <c r="F15" s="628">
        <f>INDEX('2022-23 StepbyStep Allocations'!AN:AN,Accessibility_Dropdowns_toHide!$G$1)</f>
        <v>1833175.9415153079</v>
      </c>
      <c r="G15" s="104"/>
      <c r="H15" s="103"/>
      <c r="I15" s="112"/>
      <c r="J15" s="112"/>
      <c r="K15" s="103"/>
      <c r="L15" s="112"/>
      <c r="M15" s="114"/>
      <c r="N15" s="38" t="s">
        <v>253</v>
      </c>
      <c r="O15" t="str">
        <f t="shared" si="0"/>
        <v>(E) IDACI factor (6%)</v>
      </c>
      <c r="P15" s="117">
        <f>'2022-23 StepbyStep Allocations'!AH$8/(('2022-23 StepbyStep Allocations'!$BJ$8-'2022-23 StepbyStep Allocations'!BJ159)-SUM('2022-23 StepbyStep Allocations'!$BI$9:$BI$158))</f>
        <v>5.6116461968149879E-2</v>
      </c>
    </row>
    <row r="16" spans="1:16" ht="15" x14ac:dyDescent="0.45">
      <c r="A16" s="102"/>
      <c r="B16" s="102"/>
      <c r="C16" s="116" t="str">
        <f>HYPERLINK("#"&amp; CELL("address",C116),C116 &amp; " (" &amp; 100*ROUND(F16/$F$20, 2) &amp; "%)")</f>
        <v>(H) KS2 low attainment factor (5%)</v>
      </c>
      <c r="E16" s="102"/>
      <c r="F16" s="628">
        <f>INDEX('2022-23 StepbyStep Allocations'!AQ:AQ,Accessibility_Dropdowns_toHide!$G$1)</f>
        <v>2520541.9653595081</v>
      </c>
      <c r="G16" s="104"/>
      <c r="H16" s="103"/>
      <c r="I16" s="112"/>
      <c r="J16" s="112"/>
      <c r="K16" s="103"/>
      <c r="L16" s="112"/>
      <c r="M16" s="114"/>
      <c r="N16" s="38" t="s">
        <v>254</v>
      </c>
      <c r="O16" t="str">
        <f t="shared" si="0"/>
        <v>(F) Bad health factor (4%)</v>
      </c>
      <c r="P16" s="117">
        <f>'2022-23 StepbyStep Allocations'!AK$8/(('2022-23 StepbyStep Allocations'!$BJ$8-'2022-23 StepbyStep Allocations'!BJ159)-SUM('2022-23 StepbyStep Allocations'!$BI$9:$BI$158))</f>
        <v>4.2087346476112411E-2</v>
      </c>
    </row>
    <row r="17" spans="1:16" ht="15" x14ac:dyDescent="0.45">
      <c r="A17" s="102"/>
      <c r="B17" s="102"/>
      <c r="C17" s="116" t="str">
        <f>HYPERLINK("#"&amp; CELL("address",C124),C124 &amp; " (" &amp; 100*ROUND(F17/$F$20, 2) &amp; "%)")</f>
        <v>(I) KS4 low attainment factor (3%)</v>
      </c>
      <c r="E17" s="102"/>
      <c r="F17" s="628">
        <f>INDEX('2022-23 StepbyStep Allocations'!AT:AT,Accessibility_Dropdowns_toHide!$G$1)</f>
        <v>1450248.4547420698</v>
      </c>
      <c r="G17" s="104"/>
      <c r="H17" s="103"/>
      <c r="I17" s="112"/>
      <c r="J17" s="112"/>
      <c r="K17" s="103"/>
      <c r="L17" s="112"/>
      <c r="M17" s="114"/>
      <c r="N17" s="38" t="s">
        <v>255</v>
      </c>
      <c r="O17" t="str">
        <f t="shared" si="0"/>
        <v>(G) Disability factor (4%)</v>
      </c>
      <c r="P17" s="117">
        <f>'2022-23 StepbyStep Allocations'!AN$8/(('2022-23 StepbyStep Allocations'!$BJ$8-'2022-23 StepbyStep Allocations'!BJ159)-SUM('2022-23 StepbyStep Allocations'!$BI$9:$BI$158))</f>
        <v>4.2087346476112411E-2</v>
      </c>
    </row>
    <row r="18" spans="1:16" ht="15" x14ac:dyDescent="0.45">
      <c r="A18" s="102"/>
      <c r="B18" s="102"/>
      <c r="C18" s="318" t="str">
        <f>HYPERLINK("#"&amp; CELL("address",C136),C136 &amp; " (" &amp; 100*ROUND(F18/$F$20, 2) &amp; "%)")</f>
        <v>(J) Funding floor factor (0%)</v>
      </c>
      <c r="E18" s="102"/>
      <c r="F18" s="628">
        <f>INDEX('2022-23 StepbyStep Allocations'!BD:BD,Accessibility_Dropdowns_toHide!$G$1)</f>
        <v>0</v>
      </c>
      <c r="G18" s="104"/>
      <c r="H18" s="103"/>
      <c r="I18" s="112"/>
      <c r="J18" s="112"/>
      <c r="K18" s="103"/>
      <c r="L18" s="112"/>
      <c r="M18" s="114"/>
      <c r="N18" s="38" t="s">
        <v>256</v>
      </c>
      <c r="O18" t="str">
        <f t="shared" si="0"/>
        <v>(H) KS2 low attainment factor (4%)</v>
      </c>
      <c r="P18" s="117">
        <f>'2022-23 StepbyStep Allocations'!AQ$8/(('2022-23 StepbyStep Allocations'!$BJ$8-'2022-23 StepbyStep Allocations'!BJ159)-SUM('2022-23 StepbyStep Allocations'!$BI$9:$BI$158))</f>
        <v>4.2087346476112411E-2</v>
      </c>
    </row>
    <row r="19" spans="1:16" ht="15" x14ac:dyDescent="0.45">
      <c r="A19" s="102"/>
      <c r="B19" s="102"/>
      <c r="C19" s="116" t="str">
        <f ca="1">HYPERLINK("#"&amp; CELL("address",C151),"(K) AP funding factor" &amp; " (" &amp; 100*ROUND(F19/$F$20, 2) &amp; "%)")</f>
        <v>(K) AP funding factor (0%)</v>
      </c>
      <c r="E19" s="102"/>
      <c r="F19" s="628">
        <f>INDEX('2022-23 StepbyStep Allocations'!BF:BF,Accessibility_Dropdowns_toHide!$G$1)</f>
        <v>148382.28</v>
      </c>
      <c r="G19" s="104"/>
      <c r="H19" s="103"/>
      <c r="I19" s="112"/>
      <c r="J19" s="112"/>
      <c r="K19" s="103"/>
      <c r="L19" s="112"/>
      <c r="M19" s="114"/>
      <c r="N19" s="38" t="s">
        <v>257</v>
      </c>
      <c r="O19" t="str">
        <f t="shared" si="0"/>
        <v>(I) KS4 low attainment factor (4%)</v>
      </c>
      <c r="P19" s="117">
        <f>'2022-23 StepbyStep Allocations'!AT$8/(('2022-23 StepbyStep Allocations'!$BJ$8-'2022-23 StepbyStep Allocations'!BJ159)-SUM('2022-23 StepbyStep Allocations'!$BI$9:$BI$158))</f>
        <v>4.2087346476112411E-2</v>
      </c>
    </row>
    <row r="20" spans="1:16" ht="30.75" customHeight="1" x14ac:dyDescent="0.45">
      <c r="A20" s="102"/>
      <c r="B20" s="102"/>
      <c r="C20" s="116" t="str">
        <f>HYPERLINK("#"&amp; CELL("address",C153),C153 &amp; " (" &amp; 100*ROUND(F20/$F$20, 2) &amp; "%)")</f>
        <v>NFF allocation before provisional import/export adjustment (100%)</v>
      </c>
      <c r="E20" s="102"/>
      <c r="F20" s="631">
        <f>SUM(F9:F19)</f>
        <v>48016453.100808524</v>
      </c>
      <c r="G20" s="104"/>
      <c r="H20" s="103"/>
      <c r="I20" s="112"/>
      <c r="J20" s="112"/>
      <c r="K20" s="103"/>
      <c r="L20" s="112"/>
      <c r="M20" s="114"/>
      <c r="N20" s="38" t="s">
        <v>258</v>
      </c>
      <c r="O20" t="str">
        <f t="shared" si="0"/>
        <v>(J) Funding floor factor (2%)</v>
      </c>
      <c r="P20" s="117">
        <f>SUM('2022-23 StepbyStep Allocations'!$BD$8)/(('2022-23 StepbyStep Allocations'!$BJ$8-'2022-23 StepbyStep Allocations'!BJ159)-SUM('2022-23 StepbyStep Allocations'!$BI$9:$BI$158))</f>
        <v>2.2761293317782972E-2</v>
      </c>
    </row>
    <row r="21" spans="1:16" ht="30" customHeight="1" thickBot="1" x14ac:dyDescent="0.5">
      <c r="A21" s="102"/>
      <c r="B21" s="102"/>
      <c r="C21" s="116" t="str">
        <f>HYPERLINK("#"&amp; CELL("address",C160),C160 &amp; " (" &amp; 100*ROUND(F21/$F$20, 3) &amp; "%)")</f>
        <v>(L) Import/export adjustment (provisional) (2.8%)</v>
      </c>
      <c r="E21" s="102"/>
      <c r="F21" s="616">
        <f>INDEX('2022-23 StepbyStep Allocations'!BI:BI,Accessibility_Dropdowns_toHide!$G$1)</f>
        <v>1321061</v>
      </c>
      <c r="G21" s="104"/>
      <c r="H21" s="103"/>
      <c r="I21" s="112"/>
      <c r="J21" s="112"/>
      <c r="K21" s="103"/>
      <c r="L21" s="112"/>
      <c r="M21" s="29"/>
      <c r="N21" s="38" t="s">
        <v>397</v>
      </c>
      <c r="O21" t="str">
        <f t="shared" si="0"/>
        <v>(K) AP Factor (1%)</v>
      </c>
      <c r="P21" s="117">
        <f>'2022-23 StepbyStep Allocations'!$BF$8/(('2022-23 StepbyStep Allocations'!$BJ$8-'2022-23 StepbyStep Allocations'!BJ159)-SUM('2022-23 StepbyStep Allocations'!$BI$9:$BI$158))</f>
        <v>1.4418002261936442E-2</v>
      </c>
    </row>
    <row r="22" spans="1:16" ht="30.4" thickBot="1" x14ac:dyDescent="0.5">
      <c r="A22" s="102"/>
      <c r="B22" s="102"/>
      <c r="C22" s="116" t="str">
        <f>HYPERLINK("#"&amp; CELL("address",C168),C168)</f>
        <v>2022-23 high needs NFF provisional allocation before limit on gains</v>
      </c>
      <c r="E22" s="102"/>
      <c r="F22" s="632">
        <f>SUM(F20:F21)</f>
        <v>49337514.100808524</v>
      </c>
      <c r="G22" s="104"/>
      <c r="H22" s="103"/>
      <c r="I22" s="118"/>
      <c r="J22" s="112"/>
      <c r="K22" s="103"/>
      <c r="L22" s="112"/>
      <c r="M22" s="114"/>
      <c r="N22" s="25"/>
      <c r="P22" s="117">
        <f>SUM(P11:P21)</f>
        <v>1.0000000000000004</v>
      </c>
    </row>
    <row r="23" spans="1:16" ht="60.4" thickBot="1" x14ac:dyDescent="0.5">
      <c r="A23" s="102"/>
      <c r="B23" s="102"/>
      <c r="C23" s="116" t="str">
        <f ca="1">HYPERLINK("#"&amp; CELL("address",C174),C174)</f>
        <v>2022-23 high needs NFF provisional allocation after calculation of gain on 2021-22 baseline up to 11% per head, including the import/export adjustment</v>
      </c>
      <c r="E23" s="102"/>
      <c r="F23" s="633">
        <f>INDEX('2022-23 StepbyStep Allocations'!BQ:BQ,Accessibility_Dropdowns_toHide!$G$1)</f>
        <v>46861605.914427266</v>
      </c>
      <c r="G23" s="104"/>
      <c r="H23" s="103"/>
      <c r="I23" s="112"/>
      <c r="J23" s="112"/>
      <c r="K23" s="103"/>
      <c r="L23" s="112"/>
      <c r="M23" s="114"/>
      <c r="N23" s="103"/>
    </row>
    <row r="24" spans="1:16" ht="14.65" thickBot="1" x14ac:dyDescent="0.5">
      <c r="B24" s="119"/>
      <c r="C24" s="119"/>
      <c r="D24" s="119"/>
      <c r="E24" s="119"/>
      <c r="F24" s="119"/>
      <c r="G24" s="119"/>
      <c r="H24" s="119"/>
      <c r="I24" s="119"/>
      <c r="J24" s="119"/>
      <c r="K24" s="119"/>
      <c r="L24" s="119"/>
      <c r="M24" s="120"/>
      <c r="N24" s="119"/>
    </row>
    <row r="25" spans="1:16" ht="30.4" thickBot="1" x14ac:dyDescent="0.5">
      <c r="A25" s="102"/>
      <c r="B25" s="102"/>
      <c r="C25" s="357" t="s">
        <v>249</v>
      </c>
      <c r="E25" s="102"/>
      <c r="F25" s="107" t="s">
        <v>259</v>
      </c>
      <c r="G25" s="104" t="s">
        <v>260</v>
      </c>
      <c r="H25" s="107" t="s">
        <v>261</v>
      </c>
      <c r="I25" s="426" t="s">
        <v>260</v>
      </c>
      <c r="J25" s="427"/>
      <c r="K25" s="107" t="s">
        <v>8</v>
      </c>
      <c r="L25" s="104" t="s">
        <v>262</v>
      </c>
      <c r="M25" s="121" t="s">
        <v>249</v>
      </c>
      <c r="N25" s="102"/>
    </row>
    <row r="26" spans="1:16" ht="14.65" customHeight="1" thickBot="1" x14ac:dyDescent="0.5">
      <c r="A26" s="102"/>
      <c r="B26" s="102"/>
      <c r="C26" s="358"/>
      <c r="E26" s="102"/>
      <c r="F26" s="102"/>
      <c r="G26" s="104"/>
      <c r="H26" s="102"/>
      <c r="I26" s="104"/>
      <c r="J26" s="104"/>
      <c r="K26" s="102"/>
      <c r="L26" s="104"/>
      <c r="M26" s="105"/>
      <c r="N26" s="102"/>
    </row>
    <row r="27" spans="1:16" ht="15.4" thickBot="1" x14ac:dyDescent="0.5">
      <c r="A27" s="102"/>
      <c r="B27" s="102"/>
      <c r="C27" s="359"/>
      <c r="E27" s="102"/>
      <c r="F27" s="122">
        <f>INDEX('2022-23 StepbyStep Allocations'!G:G,Accessibility_Dropdowns_toHide!G1)</f>
        <v>526</v>
      </c>
      <c r="G27" s="104" t="s">
        <v>260</v>
      </c>
      <c r="H27" s="629">
        <v>4660</v>
      </c>
      <c r="I27" s="426" t="s">
        <v>260</v>
      </c>
      <c r="J27" s="427"/>
      <c r="K27" s="123">
        <f>$H$6</f>
        <v>1.1270590386057799</v>
      </c>
      <c r="L27" s="104" t="s">
        <v>262</v>
      </c>
      <c r="M27" s="263">
        <f>F27*H27*K27</f>
        <v>2762602.0330689438</v>
      </c>
      <c r="N27" s="102"/>
    </row>
    <row r="28" spans="1:16" ht="14.65" thickBot="1" x14ac:dyDescent="0.5">
      <c r="B28" s="119"/>
      <c r="C28" s="119"/>
      <c r="D28" s="119"/>
      <c r="E28" s="119"/>
      <c r="F28" s="119"/>
      <c r="G28" s="119"/>
      <c r="H28" s="119"/>
      <c r="I28" s="119"/>
      <c r="J28" s="119"/>
      <c r="K28" s="119"/>
      <c r="L28" s="119"/>
      <c r="M28" s="120"/>
      <c r="N28" s="119"/>
    </row>
    <row r="29" spans="1:16" ht="15.4" thickBot="1" x14ac:dyDescent="0.5">
      <c r="A29" s="102"/>
      <c r="B29" s="102"/>
      <c r="C29" s="107" t="s">
        <v>250</v>
      </c>
      <c r="M29" s="263">
        <f>INDEX('2022-23 StepbyStep Allocations'!$I$9:$I$159, MATCH($F$7, '2022-23 StepbyStep Allocations'!$C$9:$C$159, 0))</f>
        <v>14791426.287369061</v>
      </c>
    </row>
    <row r="30" spans="1:16" ht="14.65" thickBot="1" x14ac:dyDescent="0.5">
      <c r="B30" s="119"/>
      <c r="C30" s="119"/>
      <c r="D30" s="119"/>
      <c r="E30" s="119"/>
      <c r="F30" s="119"/>
      <c r="G30" s="119"/>
      <c r="H30" s="119"/>
      <c r="I30" s="119"/>
      <c r="J30" s="119"/>
      <c r="K30" s="119"/>
      <c r="L30" s="119"/>
      <c r="M30" s="120"/>
      <c r="N30" s="119"/>
    </row>
    <row r="31" spans="1:16" ht="30" x14ac:dyDescent="0.45">
      <c r="A31" s="102"/>
      <c r="B31" s="102"/>
      <c r="C31" s="357"/>
      <c r="E31" s="102"/>
      <c r="F31" s="124" t="str">
        <f>"Mid-2022 population estimate for  " &amp; $F$5</f>
        <v>Mid-2022 population estimate for  Barking and Dagenham</v>
      </c>
      <c r="G31" s="125" t="s">
        <v>260</v>
      </c>
      <c r="H31" s="299" t="s">
        <v>8</v>
      </c>
      <c r="I31" s="297"/>
      <c r="J31" s="361"/>
      <c r="K31" s="363"/>
      <c r="L31" s="365"/>
      <c r="M31" s="440"/>
      <c r="N31" s="102"/>
    </row>
    <row r="32" spans="1:16" ht="19.5" customHeight="1" x14ac:dyDescent="0.45">
      <c r="A32" s="102"/>
      <c r="B32" s="102"/>
      <c r="C32" s="358"/>
      <c r="E32" s="102"/>
      <c r="F32" s="431" t="s">
        <v>375</v>
      </c>
      <c r="G32" s="432"/>
      <c r="H32" s="432"/>
      <c r="I32" s="298"/>
      <c r="J32" s="437" t="s">
        <v>260</v>
      </c>
      <c r="K32" s="438" t="s">
        <v>263</v>
      </c>
      <c r="L32" s="439" t="s">
        <v>262</v>
      </c>
      <c r="M32" s="367" t="str">
        <f>C33</f>
        <v>(C) Population factor</v>
      </c>
      <c r="N32" s="102"/>
    </row>
    <row r="33" spans="1:14" ht="15.75" thickBot="1" x14ac:dyDescent="0.5">
      <c r="A33" s="102"/>
      <c r="B33" s="102"/>
      <c r="C33" s="358" t="s">
        <v>251</v>
      </c>
      <c r="E33" s="102"/>
      <c r="F33" s="126" t="s">
        <v>264</v>
      </c>
      <c r="G33" s="127"/>
      <c r="H33" s="128"/>
      <c r="I33" s="129"/>
      <c r="J33" s="362"/>
      <c r="K33" s="364"/>
      <c r="L33" s="366"/>
      <c r="M33" s="368"/>
      <c r="N33" s="102"/>
    </row>
    <row r="34" spans="1:14" ht="14.65" customHeight="1" thickBot="1" x14ac:dyDescent="0.5">
      <c r="A34" s="102"/>
      <c r="B34" s="102"/>
      <c r="C34" s="358"/>
      <c r="E34" s="102"/>
      <c r="F34" s="102"/>
      <c r="G34" s="104"/>
      <c r="H34" s="102"/>
      <c r="I34" s="104"/>
      <c r="J34" s="104"/>
      <c r="K34" s="102"/>
      <c r="L34" s="104"/>
      <c r="M34" s="105"/>
      <c r="N34" s="102"/>
    </row>
    <row r="35" spans="1:14" ht="15.4" customHeight="1" thickBot="1" x14ac:dyDescent="1.8">
      <c r="A35" s="102"/>
      <c r="B35" s="102"/>
      <c r="C35" s="358"/>
      <c r="E35" s="428"/>
      <c r="F35" s="130">
        <f>INDEX('2022-23 StepbyStep Allocations'!$J$9:$J$159, MATCH($F$7, '2022-23 StepbyStep Allocations'!$C$9:$C$159, 0))</f>
        <v>59573.575999999965</v>
      </c>
      <c r="G35" s="104" t="s">
        <v>260</v>
      </c>
      <c r="H35" s="131">
        <f>$H$6</f>
        <v>1.1270590386057799</v>
      </c>
      <c r="I35" s="369"/>
      <c r="K35" s="370"/>
      <c r="L35" s="360"/>
      <c r="M35" s="441"/>
      <c r="N35" s="102"/>
    </row>
    <row r="36" spans="1:14" ht="18.399999999999999" customHeight="1" thickBot="1" x14ac:dyDescent="0.5">
      <c r="A36" s="102"/>
      <c r="B36" s="102"/>
      <c r="C36" s="358"/>
      <c r="E36" s="429" t="s">
        <v>265</v>
      </c>
      <c r="F36" s="373" t="s">
        <v>267</v>
      </c>
      <c r="G36" s="373"/>
      <c r="H36" s="373"/>
      <c r="I36" s="429" t="s">
        <v>266</v>
      </c>
      <c r="J36" s="360" t="s">
        <v>260</v>
      </c>
      <c r="K36" s="371">
        <f>'2022-23 StepbyStep Allocations'!$L$8</f>
        <v>2447485611.7845902</v>
      </c>
      <c r="L36" s="360" t="s">
        <v>262</v>
      </c>
      <c r="M36" s="442">
        <f>INDEX('2022-23 StepbyStep Allocations'!$L$9:$L$159, MATCH($F$7, '2022-23 StepbyStep Allocations'!$C$9:$C$159, 0))</f>
        <v>13662217.413440797</v>
      </c>
      <c r="N36" s="132"/>
    </row>
    <row r="37" spans="1:14" ht="15.4" customHeight="1" thickBot="1" x14ac:dyDescent="1.8">
      <c r="A37" s="102"/>
      <c r="B37" s="102"/>
      <c r="C37" s="359"/>
      <c r="E37" s="369"/>
      <c r="F37" s="433">
        <f>'2022-23 StepbyStep Allocations'!$K$8</f>
        <v>12028162.631607817</v>
      </c>
      <c r="G37" s="434"/>
      <c r="H37" s="435"/>
      <c r="I37" s="369"/>
      <c r="J37" s="360"/>
      <c r="K37" s="372"/>
      <c r="L37" s="360"/>
      <c r="M37" s="443"/>
      <c r="N37" s="102"/>
    </row>
    <row r="38" spans="1:14" ht="14.65" thickBot="1" x14ac:dyDescent="0.5">
      <c r="B38" s="119"/>
      <c r="C38" s="119"/>
      <c r="D38" s="119"/>
      <c r="E38" s="119"/>
      <c r="F38" s="119"/>
      <c r="G38" s="119"/>
      <c r="H38" s="119"/>
      <c r="I38" s="119"/>
      <c r="J38" s="119"/>
      <c r="K38" s="119"/>
      <c r="L38" s="119"/>
      <c r="M38" s="120"/>
      <c r="N38" s="119"/>
    </row>
    <row r="39" spans="1:14" ht="30" x14ac:dyDescent="0.45">
      <c r="A39" s="102"/>
      <c r="B39" s="102"/>
      <c r="C39" s="357"/>
      <c r="E39" s="102"/>
      <c r="F39" s="124" t="str">
        <f>"FSM pupil number in " &amp; $F$5</f>
        <v>FSM pupil number in Barking and Dagenham</v>
      </c>
      <c r="G39" s="125" t="s">
        <v>260</v>
      </c>
      <c r="H39" s="299" t="s">
        <v>8</v>
      </c>
      <c r="I39" s="297"/>
      <c r="J39" s="361"/>
      <c r="K39" s="363"/>
      <c r="L39" s="365"/>
      <c r="M39" s="440"/>
      <c r="N39" s="102"/>
    </row>
    <row r="40" spans="1:14" ht="15" x14ac:dyDescent="0.45">
      <c r="A40" s="102"/>
      <c r="B40" s="102"/>
      <c r="C40" s="358"/>
      <c r="E40" s="102"/>
      <c r="F40" s="431" t="s">
        <v>375</v>
      </c>
      <c r="G40" s="432"/>
      <c r="H40" s="432"/>
      <c r="I40" s="298"/>
      <c r="J40" s="437" t="s">
        <v>260</v>
      </c>
      <c r="K40" s="438" t="s">
        <v>268</v>
      </c>
      <c r="L40" s="439" t="s">
        <v>262</v>
      </c>
      <c r="M40" s="367" t="str">
        <f>C41</f>
        <v>(D) FSM factor</v>
      </c>
      <c r="N40" s="102"/>
    </row>
    <row r="41" spans="1:14" ht="15.75" thickBot="1" x14ac:dyDescent="0.5">
      <c r="A41" s="102"/>
      <c r="B41" s="102"/>
      <c r="C41" s="358" t="s">
        <v>252</v>
      </c>
      <c r="E41" s="102"/>
      <c r="F41" s="126" t="s">
        <v>269</v>
      </c>
      <c r="G41" s="127"/>
      <c r="H41" s="128"/>
      <c r="I41" s="129"/>
      <c r="J41" s="362"/>
      <c r="K41" s="364"/>
      <c r="L41" s="366"/>
      <c r="M41" s="368"/>
      <c r="N41" s="102"/>
    </row>
    <row r="42" spans="1:14" ht="14.65" customHeight="1" thickBot="1" x14ac:dyDescent="0.5">
      <c r="A42" s="102"/>
      <c r="B42" s="102"/>
      <c r="C42" s="358"/>
      <c r="E42" s="102"/>
      <c r="F42" s="102"/>
      <c r="G42" s="104"/>
      <c r="H42" s="102"/>
      <c r="I42" s="104"/>
      <c r="J42" s="104"/>
      <c r="K42" s="102"/>
      <c r="L42" s="104"/>
      <c r="M42" s="105"/>
      <c r="N42" s="102"/>
    </row>
    <row r="43" spans="1:14" ht="15.4" customHeight="1" thickBot="1" x14ac:dyDescent="1.8">
      <c r="A43" s="102"/>
      <c r="B43" s="102"/>
      <c r="C43" s="358"/>
      <c r="E43" s="428"/>
      <c r="F43" s="130">
        <f>INDEX('2022-23 StepbyStep Allocations'!$M$9:$M$159, MATCH($F$7, '2022-23 StepbyStep Allocations'!$C$9:$C$159, 0))</f>
        <v>12042.5</v>
      </c>
      <c r="G43" s="104" t="s">
        <v>260</v>
      </c>
      <c r="H43" s="131">
        <f>$H$6</f>
        <v>1.1270590386057799</v>
      </c>
      <c r="I43" s="369"/>
      <c r="K43" s="370"/>
      <c r="L43" s="360"/>
      <c r="M43" s="441"/>
      <c r="N43" s="102"/>
    </row>
    <row r="44" spans="1:14" ht="18.399999999999999" customHeight="1" thickBot="1" x14ac:dyDescent="0.5">
      <c r="A44" s="102"/>
      <c r="B44" s="102"/>
      <c r="C44" s="358"/>
      <c r="E44" s="429" t="s">
        <v>265</v>
      </c>
      <c r="F44" s="373" t="s">
        <v>267</v>
      </c>
      <c r="G44" s="373"/>
      <c r="H44" s="373"/>
      <c r="I44" s="429" t="s">
        <v>266</v>
      </c>
      <c r="J44" s="360" t="s">
        <v>260</v>
      </c>
      <c r="K44" s="371">
        <f>'2022-23 StepbyStep Allocations'!$O$8</f>
        <v>489497122.3569181</v>
      </c>
      <c r="L44" s="360" t="s">
        <v>262</v>
      </c>
      <c r="M44" s="442">
        <f>INDEX('2022-23 StepbyStep Allocations'!$O$9:$O$159, MATCH($F$7, '2022-23 StepbyStep Allocations'!$C$9:$C$159, 0))</f>
        <v>3455339.0197263374</v>
      </c>
      <c r="N44" s="132"/>
    </row>
    <row r="45" spans="1:14" ht="15.4" customHeight="1" thickBot="1" x14ac:dyDescent="1.8">
      <c r="A45" s="102"/>
      <c r="B45" s="102"/>
      <c r="C45" s="359"/>
      <c r="E45" s="369"/>
      <c r="F45" s="433">
        <f>'2022-23 StepbyStep Allocations'!$N$8</f>
        <v>1922749.9102672876</v>
      </c>
      <c r="G45" s="434"/>
      <c r="H45" s="435"/>
      <c r="I45" s="369"/>
      <c r="J45" s="360"/>
      <c r="K45" s="372"/>
      <c r="L45" s="360"/>
      <c r="M45" s="443"/>
      <c r="N45" s="102"/>
    </row>
    <row r="46" spans="1:14" ht="14.65" thickBot="1" x14ac:dyDescent="0.5">
      <c r="B46" s="119"/>
      <c r="C46" s="119"/>
      <c r="D46" s="119"/>
      <c r="E46" s="119"/>
      <c r="F46" s="119"/>
      <c r="G46" s="119"/>
      <c r="H46" s="119"/>
      <c r="I46" s="119"/>
      <c r="J46" s="119"/>
      <c r="K46" s="119"/>
      <c r="L46" s="119"/>
      <c r="M46" s="261"/>
      <c r="N46" s="119"/>
    </row>
    <row r="47" spans="1:14" ht="30.75" outlineLevel="2" x14ac:dyDescent="0.45">
      <c r="A47" s="133"/>
      <c r="B47" s="133"/>
      <c r="C47" s="374"/>
      <c r="D47" s="134"/>
      <c r="E47" s="133"/>
      <c r="F47" s="135" t="str">
        <f>"IDACI band F population for " &amp; $F$5</f>
        <v>IDACI band F population for Barking and Dagenham</v>
      </c>
      <c r="G47" s="136" t="s">
        <v>260</v>
      </c>
      <c r="H47" s="301" t="s">
        <v>8</v>
      </c>
      <c r="I47" s="302"/>
      <c r="J47" s="361"/>
      <c r="K47" s="363"/>
      <c r="L47" s="365"/>
      <c r="M47" s="440"/>
      <c r="N47" s="133"/>
    </row>
    <row r="48" spans="1:14" ht="15.4" outlineLevel="2" x14ac:dyDescent="0.45">
      <c r="A48" s="133"/>
      <c r="B48" s="133"/>
      <c r="C48" s="375"/>
      <c r="D48" s="134"/>
      <c r="E48" s="133"/>
      <c r="F48" s="431" t="s">
        <v>375</v>
      </c>
      <c r="G48" s="432"/>
      <c r="H48" s="432"/>
      <c r="I48" s="303"/>
      <c r="J48" s="437" t="s">
        <v>260</v>
      </c>
      <c r="K48" s="438" t="str">
        <f>C49 &amp; " funding"</f>
        <v>IDACI band F factor funding</v>
      </c>
      <c r="L48" s="439" t="s">
        <v>262</v>
      </c>
      <c r="M48" s="367" t="str">
        <f>C49</f>
        <v>IDACI band F factor</v>
      </c>
      <c r="N48" s="133"/>
    </row>
    <row r="49" spans="1:14" ht="15.75" outlineLevel="2" thickBot="1" x14ac:dyDescent="0.5">
      <c r="A49" s="133"/>
      <c r="B49" s="133"/>
      <c r="C49" s="375" t="s">
        <v>270</v>
      </c>
      <c r="D49" s="134"/>
      <c r="E49" s="133"/>
      <c r="F49" s="137" t="s">
        <v>271</v>
      </c>
      <c r="G49" s="138"/>
      <c r="H49" s="139"/>
      <c r="I49" s="140"/>
      <c r="J49" s="362"/>
      <c r="K49" s="364"/>
      <c r="L49" s="366"/>
      <c r="M49" s="368"/>
      <c r="N49" s="133"/>
    </row>
    <row r="50" spans="1:14" ht="14.65" customHeight="1" outlineLevel="2" thickBot="1" x14ac:dyDescent="0.5">
      <c r="A50" s="133"/>
      <c r="B50" s="133"/>
      <c r="C50" s="375"/>
      <c r="D50" s="134"/>
      <c r="E50" s="133"/>
      <c r="F50" s="133"/>
      <c r="G50" s="141"/>
      <c r="H50" s="133"/>
      <c r="I50" s="141"/>
      <c r="J50" s="141"/>
      <c r="K50" s="133"/>
      <c r="L50" s="141"/>
      <c r="M50" s="262"/>
      <c r="N50" s="133"/>
    </row>
    <row r="51" spans="1:14" ht="15.75" customHeight="1" outlineLevel="2" thickBot="1" x14ac:dyDescent="1.8">
      <c r="A51" s="133"/>
      <c r="B51" s="133"/>
      <c r="C51" s="375"/>
      <c r="D51" s="134"/>
      <c r="E51" s="428"/>
      <c r="F51" s="142">
        <f>INDEX('2022-23 StepbyStep Allocations'!$P$9:$P$159, MATCH($F$7, '2022-23 StepbyStep Allocations'!$C$9:$C$159, 0))</f>
        <v>11102</v>
      </c>
      <c r="G51" s="141" t="s">
        <v>260</v>
      </c>
      <c r="H51" s="143">
        <f>$H$6</f>
        <v>1.1270590386057799</v>
      </c>
      <c r="I51" s="369"/>
      <c r="K51" s="370"/>
      <c r="L51" s="360"/>
      <c r="M51" s="441"/>
      <c r="N51" s="133"/>
    </row>
    <row r="52" spans="1:14" ht="18.399999999999999" customHeight="1" outlineLevel="2" thickBot="1" x14ac:dyDescent="0.5">
      <c r="A52" s="133"/>
      <c r="B52" s="133"/>
      <c r="C52" s="375"/>
      <c r="D52" s="134"/>
      <c r="E52" s="429" t="s">
        <v>265</v>
      </c>
      <c r="F52" s="373" t="s">
        <v>267</v>
      </c>
      <c r="G52" s="373"/>
      <c r="H52" s="373"/>
      <c r="I52" s="429" t="s">
        <v>266</v>
      </c>
      <c r="J52" s="360" t="s">
        <v>260</v>
      </c>
      <c r="K52" s="371">
        <f>'2022-23 StepbyStep Allocations'!$R$8</f>
        <v>75872053.965322301</v>
      </c>
      <c r="L52" s="360" t="s">
        <v>262</v>
      </c>
      <c r="M52" s="442">
        <f>INDEX('2022-23 StepbyStep Allocations'!$R$9:$R$159, MATCH($F$7, '2022-23 StepbyStep Allocations'!$C$9:$C$159, 0))</f>
        <v>768351.45472667273</v>
      </c>
      <c r="N52" s="144"/>
    </row>
    <row r="53" spans="1:14" ht="15.75" customHeight="1" outlineLevel="2" thickBot="1" x14ac:dyDescent="1.8">
      <c r="A53" s="133"/>
      <c r="B53" s="133"/>
      <c r="C53" s="376"/>
      <c r="D53" s="134"/>
      <c r="E53" s="369"/>
      <c r="F53" s="433">
        <f>'2022-23 StepbyStep Allocations'!$Q$8</f>
        <v>1235576.9919343195</v>
      </c>
      <c r="G53" s="434"/>
      <c r="H53" s="435"/>
      <c r="I53" s="369"/>
      <c r="J53" s="360"/>
      <c r="K53" s="372"/>
      <c r="L53" s="360"/>
      <c r="M53" s="443"/>
      <c r="N53" s="133"/>
    </row>
    <row r="54" spans="1:14" ht="14.65" outlineLevel="1" thickBot="1" x14ac:dyDescent="0.5">
      <c r="B54" s="119"/>
      <c r="C54" s="119"/>
      <c r="D54" s="119"/>
      <c r="E54" s="119"/>
      <c r="F54" s="119"/>
      <c r="G54" s="119"/>
      <c r="H54" s="119"/>
      <c r="I54" s="119"/>
      <c r="J54" s="119"/>
      <c r="K54" s="119"/>
      <c r="L54" s="119"/>
      <c r="M54" s="261"/>
      <c r="N54" s="119"/>
    </row>
    <row r="55" spans="1:14" ht="30.75" outlineLevel="2" x14ac:dyDescent="0.45">
      <c r="A55" s="133"/>
      <c r="B55" s="133"/>
      <c r="C55" s="374"/>
      <c r="D55" s="134"/>
      <c r="E55" s="133"/>
      <c r="F55" s="135" t="str">
        <f>"IDACI band E population for " &amp; $F$5</f>
        <v>IDACI band E population for Barking and Dagenham</v>
      </c>
      <c r="G55" s="136" t="s">
        <v>260</v>
      </c>
      <c r="H55" s="301" t="s">
        <v>8</v>
      </c>
      <c r="I55" s="302"/>
      <c r="J55" s="361"/>
      <c r="K55" s="363"/>
      <c r="L55" s="365"/>
      <c r="M55" s="440"/>
      <c r="N55" s="133"/>
    </row>
    <row r="56" spans="1:14" ht="15.4" outlineLevel="2" x14ac:dyDescent="0.45">
      <c r="A56" s="133"/>
      <c r="B56" s="133"/>
      <c r="C56" s="375"/>
      <c r="D56" s="134"/>
      <c r="E56" s="133"/>
      <c r="F56" s="431" t="s">
        <v>375</v>
      </c>
      <c r="G56" s="432"/>
      <c r="H56" s="432"/>
      <c r="I56" s="303"/>
      <c r="J56" s="437" t="s">
        <v>260</v>
      </c>
      <c r="K56" s="438" t="str">
        <f>C57 &amp; " funding"</f>
        <v>IDACI band E factor funding</v>
      </c>
      <c r="L56" s="439" t="s">
        <v>262</v>
      </c>
      <c r="M56" s="367" t="str">
        <f>C57</f>
        <v>IDACI band E factor</v>
      </c>
      <c r="N56" s="133"/>
    </row>
    <row r="57" spans="1:14" ht="15.75" outlineLevel="2" thickBot="1" x14ac:dyDescent="0.5">
      <c r="A57" s="133"/>
      <c r="B57" s="133"/>
      <c r="C57" s="375" t="s">
        <v>272</v>
      </c>
      <c r="D57" s="134"/>
      <c r="E57" s="133"/>
      <c r="F57" s="137" t="s">
        <v>273</v>
      </c>
      <c r="G57" s="138"/>
      <c r="H57" s="139"/>
      <c r="I57" s="140"/>
      <c r="J57" s="362"/>
      <c r="K57" s="364"/>
      <c r="L57" s="366"/>
      <c r="M57" s="368"/>
      <c r="N57" s="133"/>
    </row>
    <row r="58" spans="1:14" ht="14.65" customHeight="1" outlineLevel="2" thickBot="1" x14ac:dyDescent="0.5">
      <c r="A58" s="133"/>
      <c r="B58" s="133"/>
      <c r="C58" s="375"/>
      <c r="D58" s="134"/>
      <c r="E58" s="133"/>
      <c r="F58" s="133"/>
      <c r="G58" s="141"/>
      <c r="H58" s="133"/>
      <c r="I58" s="141"/>
      <c r="J58" s="141"/>
      <c r="K58" s="133"/>
      <c r="L58" s="141"/>
      <c r="M58" s="262"/>
      <c r="N58" s="133"/>
    </row>
    <row r="59" spans="1:14" ht="15.75" customHeight="1" outlineLevel="2" thickBot="1" x14ac:dyDescent="1.8">
      <c r="A59" s="133"/>
      <c r="B59" s="133"/>
      <c r="C59" s="375"/>
      <c r="D59" s="134"/>
      <c r="E59" s="428"/>
      <c r="F59" s="142">
        <f>INDEX('2022-23 StepbyStep Allocations'!$S$9:$S$159, MATCH($F$7, '2022-23 StepbyStep Allocations'!$C$9:$C$159, 0))</f>
        <v>21138</v>
      </c>
      <c r="G59" s="141" t="s">
        <v>260</v>
      </c>
      <c r="H59" s="143">
        <f>$H$6</f>
        <v>1.1270590386057799</v>
      </c>
      <c r="I59" s="369"/>
      <c r="K59" s="370"/>
      <c r="L59" s="360"/>
      <c r="M59" s="441"/>
      <c r="N59" s="133"/>
    </row>
    <row r="60" spans="1:14" ht="18.399999999999999" customHeight="1" outlineLevel="2" thickBot="1" x14ac:dyDescent="0.5">
      <c r="A60" s="133"/>
      <c r="B60" s="133"/>
      <c r="C60" s="375"/>
      <c r="D60" s="134"/>
      <c r="E60" s="429" t="s">
        <v>265</v>
      </c>
      <c r="F60" s="373" t="s">
        <v>267</v>
      </c>
      <c r="G60" s="373"/>
      <c r="H60" s="373"/>
      <c r="I60" s="429" t="s">
        <v>266</v>
      </c>
      <c r="J60" s="360" t="s">
        <v>260</v>
      </c>
      <c r="K60" s="371">
        <f>'2022-23 StepbyStep Allocations'!$U$8</f>
        <v>105241881.30673739</v>
      </c>
      <c r="L60" s="360" t="s">
        <v>262</v>
      </c>
      <c r="M60" s="442">
        <f>INDEX('2022-23 StepbyStep Allocations'!$U$9:$U$159, MATCH($F$7, '2022-23 StepbyStep Allocations'!$C$9:$C$159, 0))</f>
        <v>1931074.3317625588</v>
      </c>
      <c r="N60" s="144"/>
    </row>
    <row r="61" spans="1:14" ht="15.75" customHeight="1" outlineLevel="2" thickBot="1" x14ac:dyDescent="1.8">
      <c r="A61" s="133"/>
      <c r="B61" s="133"/>
      <c r="C61" s="376"/>
      <c r="D61" s="134"/>
      <c r="E61" s="369"/>
      <c r="F61" s="433">
        <f>'2022-23 StepbyStep Allocations'!$T$8</f>
        <v>1298375.0806128054</v>
      </c>
      <c r="G61" s="434"/>
      <c r="H61" s="435"/>
      <c r="I61" s="369"/>
      <c r="J61" s="360"/>
      <c r="K61" s="372"/>
      <c r="L61" s="360"/>
      <c r="M61" s="443"/>
      <c r="N61" s="133"/>
    </row>
    <row r="62" spans="1:14" ht="14.65" outlineLevel="1" thickBot="1" x14ac:dyDescent="0.5">
      <c r="B62" s="119"/>
      <c r="C62" s="119"/>
      <c r="D62" s="119"/>
      <c r="E62" s="119"/>
      <c r="F62" s="119"/>
      <c r="G62" s="119"/>
      <c r="H62" s="119"/>
      <c r="I62" s="119"/>
      <c r="J62" s="119"/>
      <c r="K62" s="119"/>
      <c r="L62" s="119"/>
      <c r="M62" s="261"/>
      <c r="N62" s="119"/>
    </row>
    <row r="63" spans="1:14" ht="30.75" outlineLevel="2" x14ac:dyDescent="0.45">
      <c r="A63" s="133"/>
      <c r="B63" s="133"/>
      <c r="C63" s="374"/>
      <c r="D63" s="134"/>
      <c r="E63" s="133"/>
      <c r="F63" s="135" t="str">
        <f>"IDACI band D population for " &amp; $F$5</f>
        <v>IDACI band D population for Barking and Dagenham</v>
      </c>
      <c r="G63" s="136" t="s">
        <v>260</v>
      </c>
      <c r="H63" s="301" t="s">
        <v>8</v>
      </c>
      <c r="I63" s="302"/>
      <c r="J63" s="361"/>
      <c r="K63" s="363"/>
      <c r="L63" s="365"/>
      <c r="M63" s="440"/>
      <c r="N63" s="133"/>
    </row>
    <row r="64" spans="1:14" ht="15.4" outlineLevel="2" x14ac:dyDescent="0.45">
      <c r="A64" s="133"/>
      <c r="B64" s="133"/>
      <c r="C64" s="375"/>
      <c r="D64" s="134"/>
      <c r="E64" s="133"/>
      <c r="F64" s="431" t="s">
        <v>375</v>
      </c>
      <c r="G64" s="432"/>
      <c r="H64" s="432"/>
      <c r="I64" s="303"/>
      <c r="J64" s="437" t="s">
        <v>260</v>
      </c>
      <c r="K64" s="438" t="str">
        <f>C65 &amp; " funding"</f>
        <v>IDACI band D factor funding</v>
      </c>
      <c r="L64" s="439" t="s">
        <v>262</v>
      </c>
      <c r="M64" s="367" t="str">
        <f>C65</f>
        <v>IDACI band D factor</v>
      </c>
      <c r="N64" s="133"/>
    </row>
    <row r="65" spans="1:14" ht="15.75" outlineLevel="2" thickBot="1" x14ac:dyDescent="0.5">
      <c r="A65" s="133"/>
      <c r="B65" s="133"/>
      <c r="C65" s="375" t="s">
        <v>274</v>
      </c>
      <c r="D65" s="134"/>
      <c r="E65" s="133"/>
      <c r="F65" s="137" t="s">
        <v>275</v>
      </c>
      <c r="G65" s="138"/>
      <c r="H65" s="139"/>
      <c r="I65" s="140"/>
      <c r="J65" s="362"/>
      <c r="K65" s="364"/>
      <c r="L65" s="366"/>
      <c r="M65" s="368"/>
      <c r="N65" s="133"/>
    </row>
    <row r="66" spans="1:14" ht="14.65" customHeight="1" outlineLevel="2" thickBot="1" x14ac:dyDescent="0.5">
      <c r="A66" s="133"/>
      <c r="B66" s="133"/>
      <c r="C66" s="375"/>
      <c r="D66" s="134"/>
      <c r="E66" s="133"/>
      <c r="F66" s="133"/>
      <c r="G66" s="141"/>
      <c r="H66" s="133"/>
      <c r="I66" s="141"/>
      <c r="J66" s="141"/>
      <c r="K66" s="133"/>
      <c r="L66" s="141"/>
      <c r="M66" s="262"/>
      <c r="N66" s="133"/>
    </row>
    <row r="67" spans="1:14" ht="15.75" customHeight="1" outlineLevel="2" thickBot="1" x14ac:dyDescent="1.8">
      <c r="A67" s="133"/>
      <c r="B67" s="133"/>
      <c r="C67" s="375"/>
      <c r="D67" s="134"/>
      <c r="E67" s="428"/>
      <c r="F67" s="142">
        <f>INDEX('2022-23 StepbyStep Allocations'!$V$9:$V$159, MATCH($F$7, '2022-23 StepbyStep Allocations'!$C$9:$C$159, 0))</f>
        <v>8806</v>
      </c>
      <c r="G67" s="141" t="s">
        <v>260</v>
      </c>
      <c r="H67" s="143">
        <f>$H$6</f>
        <v>1.1270590386057799</v>
      </c>
      <c r="I67" s="369"/>
      <c r="K67" s="370"/>
      <c r="L67" s="360"/>
      <c r="M67" s="441"/>
      <c r="N67" s="133"/>
    </row>
    <row r="68" spans="1:14" ht="18.399999999999999" customHeight="1" outlineLevel="2" thickBot="1" x14ac:dyDescent="0.5">
      <c r="A68" s="133"/>
      <c r="B68" s="133"/>
      <c r="C68" s="375"/>
      <c r="D68" s="134"/>
      <c r="E68" s="429" t="s">
        <v>265</v>
      </c>
      <c r="F68" s="373" t="s">
        <v>267</v>
      </c>
      <c r="G68" s="373"/>
      <c r="H68" s="373"/>
      <c r="I68" s="429" t="s">
        <v>266</v>
      </c>
      <c r="J68" s="360" t="s">
        <v>260</v>
      </c>
      <c r="K68" s="371">
        <f>'2022-23 StepbyStep Allocations'!$X$8</f>
        <v>75872053.965322301</v>
      </c>
      <c r="L68" s="360" t="s">
        <v>262</v>
      </c>
      <c r="M68" s="442">
        <f>INDEX('2022-23 StepbyStep Allocations'!$X$9:$X$159, MATCH($F$7, '2022-23 StepbyStep Allocations'!$C$9:$C$159, 0))</f>
        <v>1100208.8860090086</v>
      </c>
      <c r="N68" s="144"/>
    </row>
    <row r="69" spans="1:14" ht="15.75" customHeight="1" outlineLevel="2" thickBot="1" x14ac:dyDescent="1.8">
      <c r="A69" s="133"/>
      <c r="B69" s="133"/>
      <c r="C69" s="376"/>
      <c r="D69" s="134"/>
      <c r="E69" s="369"/>
      <c r="F69" s="433">
        <f>'2022-23 StepbyStep Allocations'!$W$8</f>
        <v>684434.7325622373</v>
      </c>
      <c r="G69" s="434"/>
      <c r="H69" s="435"/>
      <c r="I69" s="369"/>
      <c r="J69" s="360"/>
      <c r="K69" s="372"/>
      <c r="L69" s="360"/>
      <c r="M69" s="443"/>
      <c r="N69" s="133"/>
    </row>
    <row r="70" spans="1:14" ht="14.65" outlineLevel="1" thickBot="1" x14ac:dyDescent="0.5">
      <c r="B70" s="119"/>
      <c r="C70" s="119"/>
      <c r="D70" s="119"/>
      <c r="E70" s="119"/>
      <c r="F70" s="119"/>
      <c r="G70" s="119"/>
      <c r="H70" s="119"/>
      <c r="I70" s="119"/>
      <c r="J70" s="119"/>
      <c r="K70" s="119"/>
      <c r="L70" s="119"/>
      <c r="M70" s="261"/>
      <c r="N70" s="119"/>
    </row>
    <row r="71" spans="1:14" ht="30.75" outlineLevel="2" x14ac:dyDescent="0.45">
      <c r="A71" s="133"/>
      <c r="B71" s="133"/>
      <c r="C71" s="374"/>
      <c r="D71" s="134"/>
      <c r="E71" s="133"/>
      <c r="F71" s="135" t="str">
        <f>"IDACI band C population for " &amp; $F$5</f>
        <v>IDACI band C population for Barking and Dagenham</v>
      </c>
      <c r="G71" s="136" t="s">
        <v>260</v>
      </c>
      <c r="H71" s="301" t="s">
        <v>8</v>
      </c>
      <c r="I71" s="302"/>
      <c r="J71" s="361"/>
      <c r="K71" s="363"/>
      <c r="L71" s="365"/>
      <c r="M71" s="440"/>
      <c r="N71" s="133"/>
    </row>
    <row r="72" spans="1:14" ht="15.4" outlineLevel="2" x14ac:dyDescent="0.45">
      <c r="A72" s="133"/>
      <c r="B72" s="133"/>
      <c r="C72" s="375"/>
      <c r="D72" s="134"/>
      <c r="E72" s="133"/>
      <c r="F72" s="431" t="s">
        <v>375</v>
      </c>
      <c r="G72" s="432"/>
      <c r="H72" s="432"/>
      <c r="I72" s="303"/>
      <c r="J72" s="437" t="s">
        <v>260</v>
      </c>
      <c r="K72" s="438" t="str">
        <f>C73 &amp; " funding"</f>
        <v>IDACI band C factor funding</v>
      </c>
      <c r="L72" s="439" t="s">
        <v>262</v>
      </c>
      <c r="M72" s="367" t="str">
        <f>C73</f>
        <v>IDACI band C factor</v>
      </c>
      <c r="N72" s="133"/>
    </row>
    <row r="73" spans="1:14" ht="15.75" outlineLevel="2" thickBot="1" x14ac:dyDescent="0.5">
      <c r="A73" s="133"/>
      <c r="B73" s="133"/>
      <c r="C73" s="375" t="s">
        <v>276</v>
      </c>
      <c r="D73" s="134"/>
      <c r="E73" s="133"/>
      <c r="F73" s="137" t="s">
        <v>277</v>
      </c>
      <c r="G73" s="138"/>
      <c r="H73" s="139"/>
      <c r="I73" s="140"/>
      <c r="J73" s="362"/>
      <c r="K73" s="364"/>
      <c r="L73" s="366"/>
      <c r="M73" s="368"/>
      <c r="N73" s="133"/>
    </row>
    <row r="74" spans="1:14" ht="14.65" customHeight="1" outlineLevel="2" thickBot="1" x14ac:dyDescent="0.5">
      <c r="A74" s="133"/>
      <c r="B74" s="133"/>
      <c r="C74" s="375"/>
      <c r="D74" s="134"/>
      <c r="E74" s="133"/>
      <c r="F74" s="133"/>
      <c r="G74" s="141"/>
      <c r="H74" s="133"/>
      <c r="I74" s="141"/>
      <c r="J74" s="141"/>
      <c r="K74" s="133"/>
      <c r="L74" s="141"/>
      <c r="M74" s="262"/>
      <c r="N74" s="133"/>
    </row>
    <row r="75" spans="1:14" ht="15.75" customHeight="1" outlineLevel="2" thickBot="1" x14ac:dyDescent="1.8">
      <c r="A75" s="133"/>
      <c r="B75" s="133"/>
      <c r="C75" s="375"/>
      <c r="D75" s="134"/>
      <c r="E75" s="428"/>
      <c r="F75" s="142">
        <f>INDEX('2022-23 StepbyStep Allocations'!$Y$9:$Y$159, MATCH($F$7, '2022-23 StepbyStep Allocations'!$C$9:$C$159, 0))</f>
        <v>6490</v>
      </c>
      <c r="G75" s="141" t="s">
        <v>260</v>
      </c>
      <c r="H75" s="143">
        <f>$H$6</f>
        <v>1.1270590386057799</v>
      </c>
      <c r="I75" s="369"/>
      <c r="K75" s="370"/>
      <c r="L75" s="360"/>
      <c r="M75" s="441"/>
      <c r="N75" s="133"/>
    </row>
    <row r="76" spans="1:14" ht="18.399999999999999" customHeight="1" outlineLevel="2" thickBot="1" x14ac:dyDescent="0.5">
      <c r="A76" s="133"/>
      <c r="B76" s="133"/>
      <c r="C76" s="375"/>
      <c r="D76" s="134"/>
      <c r="E76" s="429" t="s">
        <v>265</v>
      </c>
      <c r="F76" s="373" t="s">
        <v>267</v>
      </c>
      <c r="G76" s="373"/>
      <c r="H76" s="373"/>
      <c r="I76" s="429" t="s">
        <v>266</v>
      </c>
      <c r="J76" s="360" t="s">
        <v>260</v>
      </c>
      <c r="K76" s="371">
        <f>'2022-23 StepbyStep Allocations'!$AA$8</f>
        <v>83214510.800676078</v>
      </c>
      <c r="L76" s="360" t="s">
        <v>262</v>
      </c>
      <c r="M76" s="442">
        <f>INDEX('2022-23 StepbyStep Allocations'!$AA$9:$AA$159, MATCH($F$7, '2022-23 StepbyStep Allocations'!$C$9:$C$159, 0))</f>
        <v>860410.06951951678</v>
      </c>
      <c r="N76" s="144"/>
    </row>
    <row r="77" spans="1:14" ht="15.75" customHeight="1" outlineLevel="2" thickBot="1" x14ac:dyDescent="1.8">
      <c r="A77" s="133"/>
      <c r="B77" s="133"/>
      <c r="C77" s="376"/>
      <c r="D77" s="134"/>
      <c r="E77" s="369"/>
      <c r="F77" s="433">
        <f>'2022-23 StepbyStep Allocations'!$Z$8</f>
        <v>707432.39463874546</v>
      </c>
      <c r="G77" s="434"/>
      <c r="H77" s="435"/>
      <c r="I77" s="369"/>
      <c r="J77" s="360"/>
      <c r="K77" s="372"/>
      <c r="L77" s="360"/>
      <c r="M77" s="443"/>
      <c r="N77" s="133"/>
    </row>
    <row r="78" spans="1:14" ht="14.65" outlineLevel="1" thickBot="1" x14ac:dyDescent="0.5">
      <c r="B78" s="119"/>
      <c r="C78" s="119"/>
      <c r="D78" s="119"/>
      <c r="E78" s="119"/>
      <c r="F78" s="119"/>
      <c r="G78" s="119"/>
      <c r="H78" s="119"/>
      <c r="I78" s="119"/>
      <c r="J78" s="119"/>
      <c r="K78" s="119"/>
      <c r="L78" s="119"/>
      <c r="M78" s="261"/>
      <c r="N78" s="119"/>
    </row>
    <row r="79" spans="1:14" ht="30.75" outlineLevel="2" x14ac:dyDescent="0.45">
      <c r="A79" s="133"/>
      <c r="B79" s="133"/>
      <c r="C79" s="374"/>
      <c r="D79" s="134"/>
      <c r="E79" s="133"/>
      <c r="F79" s="135" t="str">
        <f>"IDACI band B population for " &amp; $F$5</f>
        <v>IDACI band B population for Barking and Dagenham</v>
      </c>
      <c r="G79" s="136" t="s">
        <v>260</v>
      </c>
      <c r="H79" s="301" t="s">
        <v>8</v>
      </c>
      <c r="I79" s="302"/>
      <c r="J79" s="361"/>
      <c r="K79" s="363"/>
      <c r="L79" s="365"/>
      <c r="M79" s="440"/>
      <c r="N79" s="133"/>
    </row>
    <row r="80" spans="1:14" ht="15.4" outlineLevel="2" x14ac:dyDescent="0.45">
      <c r="A80" s="133"/>
      <c r="B80" s="133"/>
      <c r="C80" s="375"/>
      <c r="D80" s="134"/>
      <c r="E80" s="133"/>
      <c r="F80" s="431" t="s">
        <v>375</v>
      </c>
      <c r="G80" s="432"/>
      <c r="H80" s="432"/>
      <c r="I80" s="303"/>
      <c r="J80" s="437" t="s">
        <v>260</v>
      </c>
      <c r="K80" s="438" t="str">
        <f>C81 &amp; " funding"</f>
        <v>IDACI band B factor funding</v>
      </c>
      <c r="L80" s="439" t="s">
        <v>262</v>
      </c>
      <c r="M80" s="367" t="str">
        <f>C81</f>
        <v>IDACI band B factor</v>
      </c>
      <c r="N80" s="133"/>
    </row>
    <row r="81" spans="1:14" ht="15.75" outlineLevel="2" thickBot="1" x14ac:dyDescent="0.5">
      <c r="A81" s="133"/>
      <c r="B81" s="133"/>
      <c r="C81" s="375" t="s">
        <v>278</v>
      </c>
      <c r="D81" s="134"/>
      <c r="E81" s="133"/>
      <c r="F81" s="137" t="s">
        <v>279</v>
      </c>
      <c r="G81" s="138"/>
      <c r="H81" s="139"/>
      <c r="I81" s="140"/>
      <c r="J81" s="362"/>
      <c r="K81" s="364"/>
      <c r="L81" s="366"/>
      <c r="M81" s="368"/>
      <c r="N81" s="133"/>
    </row>
    <row r="82" spans="1:14" ht="14.65" customHeight="1" outlineLevel="2" thickBot="1" x14ac:dyDescent="0.5">
      <c r="A82" s="133"/>
      <c r="B82" s="133"/>
      <c r="C82" s="375"/>
      <c r="D82" s="134"/>
      <c r="E82" s="133"/>
      <c r="F82" s="133"/>
      <c r="G82" s="141"/>
      <c r="H82" s="133"/>
      <c r="I82" s="141"/>
      <c r="J82" s="141"/>
      <c r="K82" s="133"/>
      <c r="L82" s="141"/>
      <c r="M82" s="262"/>
      <c r="N82" s="133"/>
    </row>
    <row r="83" spans="1:14" ht="15.75" customHeight="1" outlineLevel="2" thickBot="1" x14ac:dyDescent="1.8">
      <c r="A83" s="133"/>
      <c r="B83" s="133"/>
      <c r="C83" s="375"/>
      <c r="D83" s="134"/>
      <c r="E83" s="428"/>
      <c r="F83" s="142">
        <f>INDEX('2022-23 StepbyStep Allocations'!$AB$9:$AB$159, MATCH($F$7, '2022-23 StepbyStep Allocations'!$C$9:$C$159, 0))</f>
        <v>999</v>
      </c>
      <c r="G83" s="141" t="s">
        <v>260</v>
      </c>
      <c r="H83" s="143">
        <f>$H$6</f>
        <v>1.1270590386057799</v>
      </c>
      <c r="I83" s="369"/>
      <c r="K83" s="370"/>
      <c r="L83" s="360"/>
      <c r="M83" s="441"/>
      <c r="N83" s="133"/>
    </row>
    <row r="84" spans="1:14" ht="18.399999999999999" customHeight="1" outlineLevel="2" thickBot="1" x14ac:dyDescent="0.5">
      <c r="A84" s="133"/>
      <c r="B84" s="133"/>
      <c r="C84" s="375"/>
      <c r="D84" s="134"/>
      <c r="E84" s="429" t="s">
        <v>265</v>
      </c>
      <c r="F84" s="373" t="s">
        <v>267</v>
      </c>
      <c r="G84" s="373"/>
      <c r="H84" s="373"/>
      <c r="I84" s="429" t="s">
        <v>266</v>
      </c>
      <c r="J84" s="360" t="s">
        <v>260</v>
      </c>
      <c r="K84" s="371">
        <f>'2022-23 StepbyStep Allocations'!$AD$8</f>
        <v>90556967.63602984</v>
      </c>
      <c r="L84" s="360" t="s">
        <v>262</v>
      </c>
      <c r="M84" s="442">
        <f>INDEX('2022-23 StepbyStep Allocations'!$AD$9:$AD$159, MATCH($F$7, '2022-23 StepbyStep Allocations'!$C$9:$C$159, 0))</f>
        <v>147212.97614595812</v>
      </c>
      <c r="N84" s="144"/>
    </row>
    <row r="85" spans="1:14" ht="15.75" customHeight="1" outlineLevel="2" thickBot="1" x14ac:dyDescent="1.8">
      <c r="A85" s="133"/>
      <c r="B85" s="133"/>
      <c r="C85" s="376"/>
      <c r="D85" s="134"/>
      <c r="E85" s="369"/>
      <c r="F85" s="433">
        <f>'2022-23 StepbyStep Allocations'!$AC$8</f>
        <v>692608.68507232505</v>
      </c>
      <c r="G85" s="434"/>
      <c r="H85" s="435"/>
      <c r="I85" s="369"/>
      <c r="J85" s="360"/>
      <c r="K85" s="372"/>
      <c r="L85" s="360"/>
      <c r="M85" s="443"/>
      <c r="N85" s="133"/>
    </row>
    <row r="86" spans="1:14" ht="14.65" outlineLevel="1" thickBot="1" x14ac:dyDescent="0.5">
      <c r="B86" s="119"/>
      <c r="C86" s="119"/>
      <c r="D86" s="119"/>
      <c r="E86" s="119"/>
      <c r="F86" s="119"/>
      <c r="G86" s="119"/>
      <c r="H86" s="119"/>
      <c r="I86" s="119"/>
      <c r="J86" s="119"/>
      <c r="K86" s="119"/>
      <c r="L86" s="119"/>
      <c r="M86" s="261"/>
      <c r="N86" s="119"/>
    </row>
    <row r="87" spans="1:14" ht="30.75" outlineLevel="2" x14ac:dyDescent="0.45">
      <c r="A87" s="133"/>
      <c r="B87" s="133"/>
      <c r="C87" s="374"/>
      <c r="D87" s="134"/>
      <c r="E87" s="133"/>
      <c r="F87" s="135" t="str">
        <f>"IDACI band A population for " &amp; $F$5</f>
        <v>IDACI band A population for Barking and Dagenham</v>
      </c>
      <c r="G87" s="136" t="s">
        <v>260</v>
      </c>
      <c r="H87" s="301" t="s">
        <v>8</v>
      </c>
      <c r="I87" s="302"/>
      <c r="J87" s="361"/>
      <c r="K87" s="363"/>
      <c r="L87" s="365"/>
      <c r="M87" s="440"/>
      <c r="N87" s="133"/>
    </row>
    <row r="88" spans="1:14" ht="15.4" outlineLevel="2" x14ac:dyDescent="0.45">
      <c r="A88" s="133"/>
      <c r="B88" s="133"/>
      <c r="C88" s="375"/>
      <c r="D88" s="134"/>
      <c r="E88" s="133"/>
      <c r="F88" s="431" t="s">
        <v>375</v>
      </c>
      <c r="G88" s="432"/>
      <c r="H88" s="432"/>
      <c r="I88" s="303"/>
      <c r="J88" s="437" t="s">
        <v>260</v>
      </c>
      <c r="K88" s="438" t="str">
        <f>C89 &amp; " funding"</f>
        <v>IDACI band A factor funding</v>
      </c>
      <c r="L88" s="439" t="s">
        <v>262</v>
      </c>
      <c r="M88" s="367" t="str">
        <f>C89</f>
        <v>IDACI band A factor</v>
      </c>
      <c r="N88" s="133"/>
    </row>
    <row r="89" spans="1:14" ht="15.75" outlineLevel="2" thickBot="1" x14ac:dyDescent="0.5">
      <c r="A89" s="133"/>
      <c r="B89" s="133"/>
      <c r="C89" s="375" t="s">
        <v>280</v>
      </c>
      <c r="D89" s="134"/>
      <c r="E89" s="133"/>
      <c r="F89" s="137" t="s">
        <v>281</v>
      </c>
      <c r="G89" s="138"/>
      <c r="H89" s="139"/>
      <c r="I89" s="140"/>
      <c r="J89" s="362"/>
      <c r="K89" s="364"/>
      <c r="L89" s="366"/>
      <c r="M89" s="368"/>
      <c r="N89" s="133"/>
    </row>
    <row r="90" spans="1:14" ht="14.65" customHeight="1" outlineLevel="2" thickBot="1" x14ac:dyDescent="0.5">
      <c r="A90" s="133"/>
      <c r="B90" s="133"/>
      <c r="C90" s="375"/>
      <c r="D90" s="134"/>
      <c r="E90" s="133"/>
      <c r="F90" s="133"/>
      <c r="G90" s="141"/>
      <c r="H90" s="133"/>
      <c r="I90" s="141"/>
      <c r="J90" s="141"/>
      <c r="K90" s="133"/>
      <c r="L90" s="141"/>
      <c r="M90" s="262"/>
      <c r="N90" s="133"/>
    </row>
    <row r="91" spans="1:14" ht="15.75" customHeight="1" outlineLevel="2" thickBot="1" x14ac:dyDescent="1.8">
      <c r="A91" s="133"/>
      <c r="B91" s="133"/>
      <c r="C91" s="375"/>
      <c r="D91" s="134"/>
      <c r="E91" s="428"/>
      <c r="F91" s="142">
        <f>INDEX('2022-23 StepbyStep Allocations'!$AE$9:$AE$159, MATCH($F$7, '2022-23 StepbyStep Allocations'!$C$9:$C$159, 0))</f>
        <v>0</v>
      </c>
      <c r="G91" s="141" t="s">
        <v>260</v>
      </c>
      <c r="H91" s="143">
        <f>$H$6</f>
        <v>1.1270590386057799</v>
      </c>
      <c r="I91" s="369"/>
      <c r="K91" s="370"/>
      <c r="L91" s="360"/>
      <c r="M91" s="441"/>
      <c r="N91" s="133"/>
    </row>
    <row r="92" spans="1:14" ht="18.399999999999999" customHeight="1" outlineLevel="2" thickBot="1" x14ac:dyDescent="0.5">
      <c r="A92" s="133"/>
      <c r="B92" s="133"/>
      <c r="C92" s="375"/>
      <c r="D92" s="134"/>
      <c r="E92" s="429" t="s">
        <v>265</v>
      </c>
      <c r="F92" s="373" t="s">
        <v>267</v>
      </c>
      <c r="G92" s="373"/>
      <c r="H92" s="373"/>
      <c r="I92" s="429" t="s">
        <v>266</v>
      </c>
      <c r="J92" s="360" t="s">
        <v>260</v>
      </c>
      <c r="K92" s="371">
        <f>'2022-23 StepbyStep Allocations'!$AG$8</f>
        <v>58739654.68283017</v>
      </c>
      <c r="L92" s="360" t="s">
        <v>262</v>
      </c>
      <c r="M92" s="442">
        <f>INDEX('2022-23 StepbyStep Allocations'!$AG$9:$AG$159, MATCH($F$7, '2022-23 StepbyStep Allocations'!$C$9:$C$159, 0))</f>
        <v>0</v>
      </c>
      <c r="N92" s="144"/>
    </row>
    <row r="93" spans="1:14" ht="15.75" customHeight="1" outlineLevel="2" thickBot="1" x14ac:dyDescent="1.8">
      <c r="A93" s="133"/>
      <c r="B93" s="133"/>
      <c r="C93" s="376"/>
      <c r="D93" s="134"/>
      <c r="E93" s="369"/>
      <c r="F93" s="433">
        <f>'2022-23 StepbyStep Allocations'!$AF$8</f>
        <v>340411.1492990905</v>
      </c>
      <c r="G93" s="434"/>
      <c r="H93" s="435"/>
      <c r="I93" s="369"/>
      <c r="J93" s="360"/>
      <c r="K93" s="372"/>
      <c r="L93" s="360"/>
      <c r="M93" s="443"/>
      <c r="N93" s="133"/>
    </row>
    <row r="94" spans="1:14" ht="14.65" outlineLevel="1" thickBot="1" x14ac:dyDescent="0.5">
      <c r="B94" s="119"/>
      <c r="C94" s="119"/>
      <c r="D94" s="119"/>
      <c r="E94" s="119"/>
      <c r="F94" s="119"/>
      <c r="G94" s="119"/>
      <c r="H94" s="119"/>
      <c r="I94" s="119"/>
      <c r="J94" s="119"/>
      <c r="K94" s="119"/>
      <c r="L94" s="119"/>
      <c r="M94" s="261"/>
      <c r="N94" s="119"/>
    </row>
    <row r="95" spans="1:14" ht="15.4" thickBot="1" x14ac:dyDescent="0.5">
      <c r="A95" s="102"/>
      <c r="B95" s="102"/>
      <c r="C95" s="107" t="s">
        <v>253</v>
      </c>
      <c r="E95" s="104"/>
      <c r="F95" s="104"/>
      <c r="G95" s="104"/>
      <c r="H95" s="102"/>
      <c r="I95" s="145"/>
      <c r="J95" s="145"/>
      <c r="K95" s="102"/>
      <c r="L95" s="104"/>
      <c r="M95" s="263">
        <f>INDEX('2022-23 StepbyStep Allocations'!$AH$9:$AH$159, MATCH($F$7, '2022-23 StepbyStep Allocations'!$C$9:$C$159, 0))</f>
        <v>4807257.7181637147</v>
      </c>
      <c r="N95" s="132"/>
    </row>
    <row r="96" spans="1:14" ht="14.65" thickBot="1" x14ac:dyDescent="0.5">
      <c r="B96" s="119"/>
      <c r="C96" s="119"/>
      <c r="D96" s="119"/>
      <c r="E96" s="119"/>
      <c r="F96" s="119"/>
      <c r="G96" s="119"/>
      <c r="H96" s="119"/>
      <c r="I96" s="119"/>
      <c r="J96" s="119"/>
      <c r="K96" s="119"/>
      <c r="L96" s="119"/>
      <c r="M96" s="120"/>
      <c r="N96" s="119"/>
    </row>
    <row r="97" spans="1:14" ht="30" x14ac:dyDescent="0.45">
      <c r="A97" s="102"/>
      <c r="B97" s="102"/>
      <c r="C97" s="357"/>
      <c r="E97" s="102"/>
      <c r="F97" s="124" t="str">
        <f>"Bad health population for " &amp; $F$5</f>
        <v>Bad health population for Barking and Dagenham</v>
      </c>
      <c r="G97" s="125" t="s">
        <v>260</v>
      </c>
      <c r="H97" s="299" t="s">
        <v>8</v>
      </c>
      <c r="I97" s="297"/>
      <c r="J97" s="361"/>
      <c r="K97" s="363"/>
      <c r="L97" s="365"/>
      <c r="M97" s="440"/>
      <c r="N97" s="102"/>
    </row>
    <row r="98" spans="1:14" ht="15" x14ac:dyDescent="0.45">
      <c r="A98" s="102"/>
      <c r="B98" s="102"/>
      <c r="C98" s="358"/>
      <c r="E98" s="102"/>
      <c r="F98" s="431" t="s">
        <v>375</v>
      </c>
      <c r="G98" s="432"/>
      <c r="H98" s="432"/>
      <c r="I98" s="298"/>
      <c r="J98" s="437" t="s">
        <v>260</v>
      </c>
      <c r="K98" s="438" t="s">
        <v>282</v>
      </c>
      <c r="L98" s="439" t="s">
        <v>262</v>
      </c>
      <c r="M98" s="367" t="s">
        <v>254</v>
      </c>
      <c r="N98" s="102"/>
    </row>
    <row r="99" spans="1:14" ht="15.75" thickBot="1" x14ac:dyDescent="0.5">
      <c r="A99" s="102"/>
      <c r="B99" s="102"/>
      <c r="C99" s="358"/>
      <c r="E99" s="102"/>
      <c r="F99" s="126" t="s">
        <v>283</v>
      </c>
      <c r="G99" s="127"/>
      <c r="H99" s="128"/>
      <c r="I99" s="129"/>
      <c r="J99" s="362"/>
      <c r="K99" s="364"/>
      <c r="L99" s="366"/>
      <c r="M99" s="368"/>
      <c r="N99" s="102"/>
    </row>
    <row r="100" spans="1:14" ht="14.65" customHeight="1" thickBot="1" x14ac:dyDescent="0.5">
      <c r="A100" s="102"/>
      <c r="B100" s="102"/>
      <c r="C100" s="358" t="s">
        <v>254</v>
      </c>
      <c r="E100" s="102"/>
      <c r="F100" s="102"/>
      <c r="G100" s="104"/>
      <c r="H100" s="102"/>
      <c r="I100" s="104"/>
      <c r="J100" s="104"/>
      <c r="K100" s="102"/>
      <c r="L100" s="104"/>
      <c r="M100" s="105"/>
      <c r="N100" s="102"/>
    </row>
    <row r="101" spans="1:14" ht="15.4" customHeight="1" thickBot="1" x14ac:dyDescent="1.8">
      <c r="A101" s="102"/>
      <c r="B101" s="102"/>
      <c r="C101" s="358"/>
      <c r="E101" s="428"/>
      <c r="F101" s="130">
        <f>INDEX('2022-23 StepbyStep Allocations'!$AI$9:$AI$159, MATCH($F$7, '2022-23 StepbyStep Allocations'!$C$9:$C$159, 0))</f>
        <v>418</v>
      </c>
      <c r="G101" s="104" t="s">
        <v>260</v>
      </c>
      <c r="H101" s="131">
        <f>$H$6</f>
        <v>1.1270590386057799</v>
      </c>
      <c r="I101" s="369"/>
      <c r="K101" s="370"/>
      <c r="L101" s="360"/>
      <c r="M101" s="441"/>
      <c r="N101" s="102"/>
    </row>
    <row r="102" spans="1:14" ht="18.399999999999999" customHeight="1" thickBot="1" x14ac:dyDescent="0.5">
      <c r="A102" s="102"/>
      <c r="B102" s="102"/>
      <c r="C102" s="358"/>
      <c r="E102" s="429" t="s">
        <v>265</v>
      </c>
      <c r="F102" s="373" t="s">
        <v>267</v>
      </c>
      <c r="G102" s="373"/>
      <c r="H102" s="373"/>
      <c r="I102" s="429" t="s">
        <v>266</v>
      </c>
      <c r="J102" s="360" t="s">
        <v>260</v>
      </c>
      <c r="K102" s="371">
        <f>'2022-23 StepbyStep Allocations'!$AK$8</f>
        <v>367122841.76768851</v>
      </c>
      <c r="L102" s="360" t="s">
        <v>262</v>
      </c>
      <c r="M102" s="442">
        <f>INDEX('2022-23 StepbyStep Allocations'!$AK$9:$AK$159, MATCH($F$7, '2022-23 StepbyStep Allocations'!$C$9:$C$159, 0))</f>
        <v>2585261.9874227778</v>
      </c>
      <c r="N102" s="132"/>
    </row>
    <row r="103" spans="1:14" ht="15.4" customHeight="1" thickBot="1" x14ac:dyDescent="1.8">
      <c r="A103" s="102"/>
      <c r="B103" s="102"/>
      <c r="C103" s="359"/>
      <c r="E103" s="369"/>
      <c r="F103" s="433">
        <f>'2022-23 StepbyStep Allocations'!$AJ$8</f>
        <v>66900.566281584179</v>
      </c>
      <c r="G103" s="433"/>
      <c r="H103" s="436"/>
      <c r="I103" s="369"/>
      <c r="J103" s="360"/>
      <c r="K103" s="372"/>
      <c r="L103" s="360"/>
      <c r="M103" s="443"/>
      <c r="N103" s="102"/>
    </row>
    <row r="104" spans="1:14" ht="14.65" thickBot="1" x14ac:dyDescent="0.5">
      <c r="B104" s="119"/>
      <c r="C104" s="119"/>
      <c r="D104" s="119"/>
      <c r="E104" s="119"/>
      <c r="F104" s="119"/>
      <c r="G104" s="119"/>
      <c r="H104" s="119"/>
      <c r="I104" s="119"/>
      <c r="J104" s="119"/>
      <c r="K104" s="119"/>
      <c r="L104" s="119"/>
      <c r="M104" s="120"/>
      <c r="N104" s="119"/>
    </row>
    <row r="105" spans="1:14" ht="30" x14ac:dyDescent="0.45">
      <c r="A105" s="102"/>
      <c r="B105" s="102"/>
      <c r="C105" s="357"/>
      <c r="E105" s="102"/>
      <c r="F105" s="124" t="str">
        <f>"DLA children in " &amp; $F$5</f>
        <v>DLA children in Barking and Dagenham</v>
      </c>
      <c r="G105" s="125" t="s">
        <v>260</v>
      </c>
      <c r="H105" s="299" t="s">
        <v>8</v>
      </c>
      <c r="I105" s="297"/>
      <c r="J105" s="361"/>
      <c r="K105" s="363"/>
      <c r="L105" s="365"/>
      <c r="M105" s="440"/>
      <c r="N105" s="102"/>
    </row>
    <row r="106" spans="1:14" ht="15" x14ac:dyDescent="0.45">
      <c r="A106" s="102"/>
      <c r="B106" s="102"/>
      <c r="C106" s="358"/>
      <c r="E106" s="102"/>
      <c r="F106" s="431" t="s">
        <v>375</v>
      </c>
      <c r="G106" s="432"/>
      <c r="H106" s="432"/>
      <c r="I106" s="298"/>
      <c r="J106" s="437" t="s">
        <v>260</v>
      </c>
      <c r="K106" s="438" t="s">
        <v>284</v>
      </c>
      <c r="L106" s="439" t="s">
        <v>262</v>
      </c>
      <c r="M106" s="367" t="s">
        <v>255</v>
      </c>
      <c r="N106" s="102"/>
    </row>
    <row r="107" spans="1:14" ht="15.75" thickBot="1" x14ac:dyDescent="0.5">
      <c r="A107" s="102"/>
      <c r="B107" s="102"/>
      <c r="C107" s="358"/>
      <c r="E107" s="102"/>
      <c r="F107" s="126" t="s">
        <v>285</v>
      </c>
      <c r="G107" s="127"/>
      <c r="H107" s="128"/>
      <c r="I107" s="129"/>
      <c r="J107" s="362"/>
      <c r="K107" s="364"/>
      <c r="L107" s="366"/>
      <c r="M107" s="368"/>
      <c r="N107" s="102"/>
    </row>
    <row r="108" spans="1:14" ht="14.65" customHeight="1" thickBot="1" x14ac:dyDescent="0.5">
      <c r="A108" s="102"/>
      <c r="B108" s="102"/>
      <c r="C108" s="358" t="s">
        <v>255</v>
      </c>
      <c r="E108" s="102"/>
      <c r="F108" s="102"/>
      <c r="G108" s="104"/>
      <c r="H108" s="102"/>
      <c r="I108" s="104"/>
      <c r="J108" s="104"/>
      <c r="K108" s="102"/>
      <c r="L108" s="104"/>
      <c r="M108" s="105"/>
      <c r="N108" s="102"/>
    </row>
    <row r="109" spans="1:14" ht="15.4" customHeight="1" thickBot="1" x14ac:dyDescent="1.8">
      <c r="A109" s="102"/>
      <c r="B109" s="102"/>
      <c r="C109" s="358"/>
      <c r="E109" s="428"/>
      <c r="F109" s="130">
        <f>INDEX('2022-23 StepbyStep Allocations'!$AL$9:$AL$159, MATCH($F$7, '2022-23 StepbyStep Allocations'!$C$9:$C$159, 0))</f>
        <v>2151</v>
      </c>
      <c r="G109" s="104" t="s">
        <v>260</v>
      </c>
      <c r="H109" s="131">
        <f>$H$6</f>
        <v>1.1270590386057799</v>
      </c>
      <c r="I109" s="369"/>
      <c r="K109" s="370"/>
      <c r="L109" s="360"/>
      <c r="M109" s="441"/>
      <c r="N109" s="102"/>
    </row>
    <row r="110" spans="1:14" ht="18.399999999999999" customHeight="1" thickBot="1" x14ac:dyDescent="0.5">
      <c r="A110" s="102"/>
      <c r="B110" s="102"/>
      <c r="C110" s="358"/>
      <c r="E110" s="429" t="s">
        <v>265</v>
      </c>
      <c r="F110" s="373" t="s">
        <v>267</v>
      </c>
      <c r="G110" s="373"/>
      <c r="H110" s="373"/>
      <c r="I110" s="429" t="s">
        <v>266</v>
      </c>
      <c r="J110" s="360" t="s">
        <v>260</v>
      </c>
      <c r="K110" s="371">
        <f>'2022-23 StepbyStep Allocations'!$AN$8</f>
        <v>367122841.76768851</v>
      </c>
      <c r="L110" s="360" t="s">
        <v>262</v>
      </c>
      <c r="M110" s="442">
        <f>INDEX('2022-23 StepbyStep Allocations'!$AN$9:$AN$159, MATCH($F$7, '2022-23 StepbyStep Allocations'!$C$9:$C$159, 0))</f>
        <v>1833175.9415153079</v>
      </c>
      <c r="N110" s="132"/>
    </row>
    <row r="111" spans="1:14" ht="15.4" customHeight="1" thickBot="1" x14ac:dyDescent="1.8">
      <c r="A111" s="102"/>
      <c r="B111" s="102"/>
      <c r="C111" s="359"/>
      <c r="E111" s="369"/>
      <c r="F111" s="433">
        <f>'2022-23 StepbyStep Allocations'!$AM$8</f>
        <v>485505.70117735944</v>
      </c>
      <c r="G111" s="433"/>
      <c r="H111" s="436"/>
      <c r="I111" s="369"/>
      <c r="J111" s="360"/>
      <c r="K111" s="372"/>
      <c r="L111" s="360"/>
      <c r="M111" s="443"/>
      <c r="N111" s="102"/>
    </row>
    <row r="112" spans="1:14" ht="14.65" thickBot="1" x14ac:dyDescent="0.5">
      <c r="B112" s="119"/>
      <c r="C112" s="119"/>
      <c r="D112" s="119"/>
      <c r="E112" s="119"/>
      <c r="F112" s="119"/>
      <c r="G112" s="119"/>
      <c r="H112" s="119"/>
      <c r="I112" s="119"/>
      <c r="J112" s="119"/>
      <c r="K112" s="119"/>
      <c r="L112" s="119"/>
      <c r="M112" s="120"/>
      <c r="N112" s="119"/>
    </row>
    <row r="113" spans="1:14" ht="30.75" customHeight="1" x14ac:dyDescent="0.45">
      <c r="A113" s="102"/>
      <c r="B113" s="102"/>
      <c r="C113" s="357"/>
      <c r="E113" s="102"/>
      <c r="F113" s="124" t="str">
        <f>"KS2 low attainment population in " &amp; $F$5</f>
        <v>KS2 low attainment population in Barking and Dagenham</v>
      </c>
      <c r="G113" s="125" t="s">
        <v>260</v>
      </c>
      <c r="H113" s="299" t="s">
        <v>8</v>
      </c>
      <c r="I113" s="297"/>
      <c r="J113" s="361"/>
      <c r="K113" s="363"/>
      <c r="L113" s="365"/>
      <c r="M113" s="440"/>
      <c r="N113" s="102"/>
    </row>
    <row r="114" spans="1:14" ht="15" x14ac:dyDescent="0.45">
      <c r="A114" s="102"/>
      <c r="B114" s="102"/>
      <c r="C114" s="358"/>
      <c r="E114" s="102"/>
      <c r="F114" s="431" t="s">
        <v>375</v>
      </c>
      <c r="G114" s="432"/>
      <c r="H114" s="432"/>
      <c r="I114" s="298"/>
      <c r="J114" s="437" t="s">
        <v>260</v>
      </c>
      <c r="K114" s="438" t="s">
        <v>286</v>
      </c>
      <c r="L114" s="439" t="s">
        <v>262</v>
      </c>
      <c r="M114" s="367" t="s">
        <v>256</v>
      </c>
      <c r="N114" s="102"/>
    </row>
    <row r="115" spans="1:14" ht="15.75" thickBot="1" x14ac:dyDescent="0.5">
      <c r="A115" s="102"/>
      <c r="B115" s="102"/>
      <c r="C115" s="358"/>
      <c r="E115" s="102"/>
      <c r="F115" s="126" t="s">
        <v>287</v>
      </c>
      <c r="G115" s="127"/>
      <c r="H115" s="128"/>
      <c r="I115" s="129"/>
      <c r="J115" s="362"/>
      <c r="K115" s="364"/>
      <c r="L115" s="366"/>
      <c r="M115" s="368"/>
      <c r="N115" s="102"/>
    </row>
    <row r="116" spans="1:14" ht="14.65" customHeight="1" thickBot="1" x14ac:dyDescent="0.5">
      <c r="A116" s="102"/>
      <c r="B116" s="102"/>
      <c r="C116" s="358" t="s">
        <v>256</v>
      </c>
      <c r="E116" s="102"/>
      <c r="F116" s="102"/>
      <c r="G116" s="104"/>
      <c r="H116" s="102"/>
      <c r="I116" s="104"/>
      <c r="J116" s="104"/>
      <c r="K116" s="102"/>
      <c r="L116" s="104"/>
      <c r="M116" s="105"/>
      <c r="N116" s="102"/>
    </row>
    <row r="117" spans="1:14" ht="15.4" customHeight="1" thickBot="1" x14ac:dyDescent="1.8">
      <c r="A117" s="102"/>
      <c r="B117" s="102"/>
      <c r="C117" s="358"/>
      <c r="E117" s="428"/>
      <c r="F117" s="130">
        <f>INDEX('2022-23 StepbyStep Allocations'!$AO$9:$AO$159, MATCH($F$7, '2022-23 StepbyStep Allocations'!$C$9:$C$159, 0))</f>
        <v>574</v>
      </c>
      <c r="G117" s="104" t="s">
        <v>260</v>
      </c>
      <c r="H117" s="131">
        <f>$H$6</f>
        <v>1.1270590386057799</v>
      </c>
      <c r="I117" s="369"/>
      <c r="K117" s="370"/>
      <c r="L117" s="360"/>
      <c r="M117" s="441"/>
      <c r="N117" s="102"/>
    </row>
    <row r="118" spans="1:14" ht="18.399999999999999" customHeight="1" thickBot="1" x14ac:dyDescent="0.5">
      <c r="A118" s="102"/>
      <c r="B118" s="102"/>
      <c r="C118" s="358"/>
      <c r="E118" s="429" t="s">
        <v>265</v>
      </c>
      <c r="F118" s="373" t="s">
        <v>267</v>
      </c>
      <c r="G118" s="373"/>
      <c r="H118" s="373"/>
      <c r="I118" s="429" t="s">
        <v>266</v>
      </c>
      <c r="J118" s="360" t="s">
        <v>260</v>
      </c>
      <c r="K118" s="371">
        <f>'2022-23 StepbyStep Allocations'!$AQ$8</f>
        <v>367122841.76768851</v>
      </c>
      <c r="L118" s="360" t="s">
        <v>262</v>
      </c>
      <c r="M118" s="442">
        <f>INDEX('2022-23 StepbyStep Allocations'!$AQ$9:$AQ$159, MATCH($F$7, '2022-23 StepbyStep Allocations'!$C$9:$C$159, 0))</f>
        <v>2520541.9653595081</v>
      </c>
      <c r="N118" s="132"/>
    </row>
    <row r="119" spans="1:14" ht="15.4" customHeight="1" thickBot="1" x14ac:dyDescent="1.8">
      <c r="A119" s="102"/>
      <c r="B119" s="102"/>
      <c r="C119" s="359"/>
      <c r="E119" s="369"/>
      <c r="F119" s="433">
        <f>'2022-23 StepbyStep Allocations'!$AP$8</f>
        <v>94227.144985247884</v>
      </c>
      <c r="G119" s="433"/>
      <c r="H119" s="436"/>
      <c r="I119" s="369"/>
      <c r="J119" s="360"/>
      <c r="K119" s="372"/>
      <c r="L119" s="360"/>
      <c r="M119" s="443"/>
      <c r="N119" s="102"/>
    </row>
    <row r="120" spans="1:14" ht="14.65" thickBot="1" x14ac:dyDescent="0.5">
      <c r="B120" s="119"/>
      <c r="C120" s="119"/>
      <c r="D120" s="119"/>
      <c r="E120" s="119"/>
      <c r="F120" s="119"/>
      <c r="G120" s="119"/>
      <c r="H120" s="119"/>
      <c r="I120" s="119"/>
      <c r="J120" s="119"/>
      <c r="K120" s="119"/>
      <c r="L120" s="119"/>
      <c r="M120" s="120"/>
      <c r="N120" s="119"/>
    </row>
    <row r="121" spans="1:14" ht="30" customHeight="1" x14ac:dyDescent="0.45">
      <c r="A121" s="102"/>
      <c r="B121" s="102"/>
      <c r="C121" s="357"/>
      <c r="E121" s="102"/>
      <c r="F121" s="124" t="str">
        <f>"KS4 low attainment population in " &amp; $F$5</f>
        <v>KS4 low attainment population in Barking and Dagenham</v>
      </c>
      <c r="G121" s="125" t="s">
        <v>260</v>
      </c>
      <c r="H121" s="299" t="s">
        <v>8</v>
      </c>
      <c r="I121" s="297"/>
      <c r="J121" s="361"/>
      <c r="K121" s="363"/>
      <c r="L121" s="365"/>
      <c r="M121" s="440"/>
      <c r="N121" s="102"/>
    </row>
    <row r="122" spans="1:14" ht="15" x14ac:dyDescent="0.45">
      <c r="A122" s="102"/>
      <c r="B122" s="102"/>
      <c r="C122" s="358"/>
      <c r="E122" s="102"/>
      <c r="F122" s="431" t="s">
        <v>375</v>
      </c>
      <c r="G122" s="432"/>
      <c r="H122" s="432"/>
      <c r="I122" s="298"/>
      <c r="J122" s="437" t="s">
        <v>260</v>
      </c>
      <c r="K122" s="438" t="s">
        <v>288</v>
      </c>
      <c r="L122" s="439" t="s">
        <v>262</v>
      </c>
      <c r="M122" s="367" t="s">
        <v>257</v>
      </c>
      <c r="N122" s="102"/>
    </row>
    <row r="123" spans="1:14" ht="15.75" thickBot="1" x14ac:dyDescent="0.5">
      <c r="A123" s="102"/>
      <c r="B123" s="102"/>
      <c r="C123" s="358"/>
      <c r="E123" s="102"/>
      <c r="F123" s="126" t="s">
        <v>289</v>
      </c>
      <c r="G123" s="127"/>
      <c r="H123" s="128"/>
      <c r="I123" s="129"/>
      <c r="J123" s="362"/>
      <c r="K123" s="364"/>
      <c r="L123" s="366"/>
      <c r="M123" s="368"/>
      <c r="N123" s="102"/>
    </row>
    <row r="124" spans="1:14" ht="14.65" customHeight="1" thickBot="1" x14ac:dyDescent="0.5">
      <c r="A124" s="102"/>
      <c r="B124" s="102"/>
      <c r="C124" s="358" t="s">
        <v>257</v>
      </c>
      <c r="E124" s="102"/>
      <c r="F124" s="102"/>
      <c r="G124" s="104"/>
      <c r="H124" s="102"/>
      <c r="I124" s="104"/>
      <c r="J124" s="104"/>
      <c r="K124" s="102"/>
      <c r="L124" s="104"/>
      <c r="M124" s="105"/>
      <c r="N124" s="102"/>
    </row>
    <row r="125" spans="1:14" ht="15.4" customHeight="1" thickBot="1" x14ac:dyDescent="1.8">
      <c r="A125" s="102"/>
      <c r="B125" s="102"/>
      <c r="C125" s="358"/>
      <c r="E125" s="428"/>
      <c r="F125" s="130">
        <f>INDEX('2022-23 StepbyStep Allocations'!$AR$9:$AR$159, MATCH($F$7, '2022-23 StepbyStep Allocations'!$C$9:$C$159, 0))</f>
        <v>467</v>
      </c>
      <c r="G125" s="104" t="s">
        <v>260</v>
      </c>
      <c r="H125" s="131">
        <f>$H$6</f>
        <v>1.1270590386057799</v>
      </c>
      <c r="I125" s="369"/>
      <c r="K125" s="370"/>
      <c r="L125" s="360"/>
      <c r="M125" s="441"/>
      <c r="N125" s="102"/>
    </row>
    <row r="126" spans="1:14" ht="18.399999999999999" customHeight="1" thickBot="1" x14ac:dyDescent="0.5">
      <c r="A126" s="102"/>
      <c r="B126" s="102"/>
      <c r="C126" s="358"/>
      <c r="E126" s="429" t="s">
        <v>265</v>
      </c>
      <c r="F126" s="373" t="s">
        <v>267</v>
      </c>
      <c r="G126" s="373"/>
      <c r="H126" s="373"/>
      <c r="I126" s="429" t="s">
        <v>266</v>
      </c>
      <c r="J126" s="360" t="s">
        <v>260</v>
      </c>
      <c r="K126" s="371">
        <f>'2022-23 StepbyStep Allocations'!$AT$8</f>
        <v>367122841.76768851</v>
      </c>
      <c r="L126" s="360" t="s">
        <v>262</v>
      </c>
      <c r="M126" s="442">
        <f>INDEX('2022-23 StepbyStep Allocations'!$AT$9:$AT$159, MATCH($F$7, '2022-23 StepbyStep Allocations'!$C$9:$C$159, 0))</f>
        <v>1450248.4547420698</v>
      </c>
      <c r="N126" s="132"/>
    </row>
    <row r="127" spans="1:14" ht="15.4" customHeight="1" thickBot="1" x14ac:dyDescent="1.8">
      <c r="A127" s="102"/>
      <c r="B127" s="102"/>
      <c r="C127" s="359"/>
      <c r="E127" s="369"/>
      <c r="F127" s="433">
        <f>'2022-23 StepbyStep Allocations'!$AS$8</f>
        <v>133239.36119398024</v>
      </c>
      <c r="G127" s="433"/>
      <c r="H127" s="436"/>
      <c r="I127" s="369"/>
      <c r="J127" s="360"/>
      <c r="K127" s="372"/>
      <c r="L127" s="360"/>
      <c r="M127" s="443"/>
      <c r="N127" s="102"/>
    </row>
    <row r="128" spans="1:14" ht="14.65" thickBot="1" x14ac:dyDescent="0.5">
      <c r="B128" s="119"/>
      <c r="C128" s="119"/>
      <c r="D128" s="119"/>
      <c r="E128" s="119"/>
      <c r="F128" s="119"/>
      <c r="G128" s="119"/>
      <c r="H128" s="119"/>
      <c r="I128" s="119"/>
      <c r="J128" s="119"/>
      <c r="K128" s="119"/>
      <c r="L128" s="119"/>
      <c r="M128" s="261"/>
      <c r="N128" s="119"/>
    </row>
    <row r="129" spans="1:14" ht="30.4" thickBot="1" x14ac:dyDescent="0.5">
      <c r="C129" s="107" t="s">
        <v>290</v>
      </c>
      <c r="M129" s="263">
        <f>INDEX('2022-23 StepbyStep Allocations'!$AU$9:$AU$159, MATCH($F$7, '2022-23 StepbyStep Allocations'!$C$9:$C$159, 0))</f>
        <v>45105468.787739567</v>
      </c>
    </row>
    <row r="130" spans="1:14" ht="14.65" thickBot="1" x14ac:dyDescent="0.5">
      <c r="B130" s="119"/>
      <c r="C130" s="119"/>
      <c r="D130" s="119"/>
      <c r="E130" s="119"/>
      <c r="F130" s="119"/>
      <c r="G130" s="119"/>
      <c r="H130" s="119"/>
      <c r="I130" s="119"/>
      <c r="J130" s="119"/>
      <c r="K130" s="119"/>
      <c r="L130" s="119"/>
      <c r="M130" s="120"/>
      <c r="N130" s="119"/>
    </row>
    <row r="131" spans="1:14" ht="61.5" thickBot="1" x14ac:dyDescent="1.8">
      <c r="A131" s="102"/>
      <c r="B131" s="102"/>
      <c r="C131" s="357"/>
      <c r="E131" s="300"/>
      <c r="F131" s="107" t="s">
        <v>437</v>
      </c>
      <c r="G131" s="146"/>
      <c r="H131" s="107" t="s">
        <v>438</v>
      </c>
      <c r="I131" s="300"/>
      <c r="J131" s="300"/>
      <c r="K131" s="107" t="s">
        <v>439</v>
      </c>
      <c r="L131" s="300"/>
      <c r="M131" s="107" t="s">
        <v>441</v>
      </c>
      <c r="N131" s="300"/>
    </row>
    <row r="132" spans="1:14" ht="61.5" thickBot="1" x14ac:dyDescent="1.8">
      <c r="A132" s="102"/>
      <c r="B132" s="102"/>
      <c r="C132" s="358"/>
      <c r="E132" s="300"/>
      <c r="F132" s="634">
        <f>IF($F$7=9999, 0, INDEX('2021-22 Baseline'!$J$9:$J$159, MATCH($F$7,'2021-22 Baseline'!$C$9:$C$159, 0)))</f>
        <v>38330305.750774033</v>
      </c>
      <c r="G132" s="430" t="s">
        <v>291</v>
      </c>
      <c r="H132" s="130">
        <f>INDEX('2022-23 StepbyStep Allocations'!$AW$9:$AW$159,MATCH('Individual LA'!$F$7,'2022-23 StepbyStep Allocations'!$C$9:$C$159,0))</f>
        <v>59457.695999999982</v>
      </c>
      <c r="I132" s="444" t="s">
        <v>262</v>
      </c>
      <c r="J132" s="445"/>
      <c r="K132" s="634">
        <f>F132/H132</f>
        <v>644.6651708598672</v>
      </c>
      <c r="L132" s="147" t="str">
        <f>"x 108%" &amp; CHAR(10) &amp; "="</f>
        <v>x 108%
=</v>
      </c>
      <c r="M132" s="634">
        <f>K132*108%</f>
        <v>696.23838452865664</v>
      </c>
      <c r="N132" s="300"/>
    </row>
    <row r="133" spans="1:14" ht="61.5" thickBot="1" x14ac:dyDescent="1.8">
      <c r="A133" s="102"/>
      <c r="B133" s="102"/>
      <c r="C133" s="358"/>
      <c r="E133" s="300"/>
      <c r="M133"/>
      <c r="N133" s="300"/>
    </row>
    <row r="134" spans="1:14" ht="61.5" thickBot="1" x14ac:dyDescent="1.8">
      <c r="A134" s="102"/>
      <c r="B134" s="102"/>
      <c r="C134" s="358"/>
      <c r="E134" s="300"/>
      <c r="F134" s="107" t="s">
        <v>292</v>
      </c>
      <c r="H134" s="107" t="s">
        <v>440</v>
      </c>
      <c r="M134" s="107" t="s">
        <v>442</v>
      </c>
      <c r="N134" s="300"/>
    </row>
    <row r="135" spans="1:14" ht="33" customHeight="1" thickBot="1" x14ac:dyDescent="1.8">
      <c r="A135" s="102"/>
      <c r="B135" s="102"/>
      <c r="C135" s="358"/>
      <c r="E135" s="300"/>
      <c r="F135" s="634">
        <f>M129</f>
        <v>45105468.787739567</v>
      </c>
      <c r="G135" s="430" t="s">
        <v>291</v>
      </c>
      <c r="H135" s="130">
        <f>INDEX('2022-23 StepbyStep Allocations'!$J$9:$J$159,MATCH('Individual LA'!$F$7,'2022-23 StepbyStep Allocations'!$C$9:$C$159,0))</f>
        <v>59573.575999999965</v>
      </c>
      <c r="L135" s="296" t="s">
        <v>262</v>
      </c>
      <c r="M135" s="634">
        <f>F135/H135</f>
        <v>757.13884940765672</v>
      </c>
      <c r="N135" s="300"/>
    </row>
    <row r="136" spans="1:14" ht="33" customHeight="1" thickBot="1" x14ac:dyDescent="1.8">
      <c r="A136" s="102"/>
      <c r="B136" s="102"/>
      <c r="C136" s="358" t="s">
        <v>258</v>
      </c>
      <c r="E136" s="300"/>
      <c r="I136" s="300"/>
      <c r="J136" s="300"/>
      <c r="L136" s="300"/>
      <c r="M136" s="148"/>
      <c r="N136" s="300"/>
    </row>
    <row r="137" spans="1:14" ht="33" customHeight="1" thickBot="1" x14ac:dyDescent="1.8">
      <c r="A137" s="102"/>
      <c r="B137" s="102"/>
      <c r="C137" s="358"/>
      <c r="M137" s="107" t="s">
        <v>293</v>
      </c>
      <c r="N137" s="300"/>
    </row>
    <row r="138" spans="1:14" ht="33" customHeight="1" thickBot="1" x14ac:dyDescent="1.8">
      <c r="A138" s="102"/>
      <c r="B138" s="102"/>
      <c r="C138" s="358"/>
      <c r="M138" s="634">
        <f>MAX($M$135,$M$132)</f>
        <v>757.13884940765672</v>
      </c>
      <c r="N138" s="300"/>
    </row>
    <row r="139" spans="1:14" ht="33" customHeight="1" thickBot="1" x14ac:dyDescent="1.8">
      <c r="A139" s="102"/>
      <c r="B139" s="102"/>
      <c r="C139" s="358"/>
      <c r="M139"/>
      <c r="N139" s="300"/>
    </row>
    <row r="140" spans="1:14" ht="33" customHeight="1" thickBot="1" x14ac:dyDescent="1.8">
      <c r="A140" s="102"/>
      <c r="B140" s="102"/>
      <c r="C140" s="358"/>
      <c r="F140" s="107" t="s">
        <v>443</v>
      </c>
      <c r="H140" s="107" t="s">
        <v>440</v>
      </c>
      <c r="M140" s="107" t="s">
        <v>294</v>
      </c>
      <c r="N140" s="300"/>
    </row>
    <row r="141" spans="1:14" ht="33" customHeight="1" thickBot="1" x14ac:dyDescent="1.8">
      <c r="A141" s="102"/>
      <c r="B141" s="102"/>
      <c r="C141" s="358"/>
      <c r="F141" s="634">
        <f>M138-M135</f>
        <v>0</v>
      </c>
      <c r="G141" s="104" t="s">
        <v>260</v>
      </c>
      <c r="H141" s="130">
        <f>INDEX('2022-23 StepbyStep Allocations'!$J$9:$J$159,MATCH('Individual LA'!$F$7,'2022-23 StepbyStep Allocations'!$C$9:$C$159,0))</f>
        <v>59573.575999999965</v>
      </c>
      <c r="L141" s="104" t="s">
        <v>262</v>
      </c>
      <c r="M141" s="264">
        <f>F141*H141</f>
        <v>0</v>
      </c>
      <c r="N141" s="300"/>
    </row>
    <row r="142" spans="1:14" ht="33" customHeight="1" thickBot="1" x14ac:dyDescent="1.8">
      <c r="A142" s="102"/>
      <c r="B142" s="102"/>
      <c r="C142" s="358"/>
      <c r="M142"/>
      <c r="N142" s="300"/>
    </row>
    <row r="143" spans="1:14" ht="16.5" customHeight="1" thickBot="1" x14ac:dyDescent="1.8">
      <c r="A143" s="102"/>
      <c r="B143" s="102"/>
      <c r="C143" s="358"/>
      <c r="M143" s="107" t="s">
        <v>295</v>
      </c>
      <c r="N143" s="300"/>
    </row>
    <row r="144" spans="1:14" ht="16.5" customHeight="1" thickBot="1" x14ac:dyDescent="1.8">
      <c r="A144" s="102"/>
      <c r="B144" s="102"/>
      <c r="C144" s="358"/>
      <c r="M144" s="264">
        <f>MAX(0, F132 - (F135 + M141))</f>
        <v>0</v>
      </c>
      <c r="N144" s="300"/>
    </row>
    <row r="145" spans="1:14" ht="14.65" customHeight="1" thickBot="1" x14ac:dyDescent="0.5">
      <c r="A145" s="102"/>
      <c r="B145" s="102"/>
      <c r="C145" s="358"/>
      <c r="M145"/>
    </row>
    <row r="146" spans="1:14" ht="33.75" customHeight="1" thickBot="1" x14ac:dyDescent="0.5">
      <c r="A146" s="102"/>
      <c r="B146" s="102"/>
      <c r="C146" s="358"/>
      <c r="M146" s="107" t="s">
        <v>296</v>
      </c>
    </row>
    <row r="147" spans="1:14" ht="33.75" customHeight="1" thickBot="1" x14ac:dyDescent="0.5">
      <c r="A147" s="102"/>
      <c r="B147" s="102"/>
      <c r="C147" s="358"/>
      <c r="M147" s="264">
        <f>M141 + M144</f>
        <v>0</v>
      </c>
    </row>
    <row r="148" spans="1:14" ht="14.65" customHeight="1" thickBot="1" x14ac:dyDescent="0.5">
      <c r="C148" s="359"/>
      <c r="M148"/>
    </row>
    <row r="149" spans="1:14" ht="14.65" thickBot="1" x14ac:dyDescent="0.5">
      <c r="B149" s="119"/>
      <c r="C149" s="119"/>
      <c r="D149" s="119"/>
      <c r="E149" s="119"/>
      <c r="F149" s="119"/>
      <c r="G149" s="119"/>
      <c r="H149" s="119"/>
      <c r="I149" s="119"/>
      <c r="J149" s="119"/>
      <c r="K149" s="119"/>
      <c r="L149" s="119"/>
      <c r="M149" s="120"/>
      <c r="N149" s="119"/>
    </row>
    <row r="150" spans="1:14" ht="66.400000000000006" customHeight="1" thickBot="1" x14ac:dyDescent="0.5">
      <c r="A150" s="102"/>
      <c r="B150" s="102"/>
      <c r="C150" s="357"/>
      <c r="E150" s="102"/>
      <c r="F150" s="107" t="s">
        <v>436</v>
      </c>
      <c r="G150" s="146"/>
      <c r="H150" s="107" t="s">
        <v>477</v>
      </c>
      <c r="I150" s="104"/>
      <c r="J150" s="104"/>
      <c r="K150" s="107" t="s">
        <v>515</v>
      </c>
      <c r="L150" s="104"/>
      <c r="M150" s="107" t="s">
        <v>516</v>
      </c>
      <c r="N150" s="102"/>
    </row>
    <row r="151" spans="1:14" ht="63.75" customHeight="1" thickBot="1" x14ac:dyDescent="0.5">
      <c r="A151" s="102"/>
      <c r="B151" s="102"/>
      <c r="C151" s="475" t="str">
        <f>"(K) 2022-23 hospital education and historic pay, pensions and supplementary grant funding factor"</f>
        <v>(K) 2022-23 hospital education and historic pay, pensions and supplementary grant funding factor</v>
      </c>
      <c r="E151" s="102"/>
      <c r="F151" s="634">
        <f>INDEX('AP Funding Factor'!E:E,MATCH($F$7,'AP Funding Factor'!$C:$C,0))+INDEX('AP Funding Factor'!F:F,MATCH($F$7,'AP Funding Factor'!$C:$C,0))</f>
        <v>0</v>
      </c>
      <c r="G151" s="147" t="str">
        <f>"x 108%" &amp; CHAR(10) &amp; "="</f>
        <v>x 108%
=</v>
      </c>
      <c r="H151" s="634">
        <f>INDEX('AP Funding Factor'!G:G,MATCH($F$7,'AP Funding Factor'!$C:$C,0))</f>
        <v>0</v>
      </c>
      <c r="I151" s="476" t="s">
        <v>307</v>
      </c>
      <c r="J151" s="476"/>
      <c r="K151" s="634">
        <f>INDEX('AP Funding Factor'!H:H,MATCH($F$7,'AP Funding Factor'!$C:$C,0))</f>
        <v>148382.28</v>
      </c>
      <c r="L151" s="104" t="s">
        <v>262</v>
      </c>
      <c r="M151" s="263">
        <f>H151+K151</f>
        <v>148382.28</v>
      </c>
      <c r="N151" s="102"/>
    </row>
    <row r="152" spans="1:14" ht="14.65" thickBot="1" x14ac:dyDescent="0.5">
      <c r="B152" s="119"/>
      <c r="C152" s="119"/>
      <c r="D152" s="119"/>
      <c r="E152" s="119"/>
      <c r="F152" s="119"/>
      <c r="G152" s="119"/>
      <c r="H152" s="119"/>
      <c r="I152" s="119"/>
      <c r="J152" s="119"/>
      <c r="K152" s="119"/>
      <c r="L152" s="119"/>
      <c r="M152" s="120"/>
      <c r="N152" s="119"/>
    </row>
    <row r="153" spans="1:14" ht="30.4" thickBot="1" x14ac:dyDescent="0.5">
      <c r="B153" s="102" t="s">
        <v>297</v>
      </c>
      <c r="C153" s="107" t="s">
        <v>298</v>
      </c>
      <c r="G153" s="146"/>
      <c r="I153" s="145"/>
      <c r="J153" s="145"/>
      <c r="L153" s="145"/>
      <c r="M153" s="263">
        <f>SUM(M27,M29,M36,M44,M52,M60,M68,M76,M84,M92,M102,M110,M118,M126,M147,M151)</f>
        <v>48016453.100808524</v>
      </c>
    </row>
    <row r="154" spans="1:14" ht="14.65" thickBot="1" x14ac:dyDescent="0.5">
      <c r="B154" s="119"/>
      <c r="C154" s="119"/>
      <c r="D154" s="119"/>
      <c r="E154" s="119"/>
      <c r="F154" s="119"/>
      <c r="G154" s="119"/>
      <c r="H154" s="119"/>
      <c r="I154" s="119"/>
      <c r="J154" s="119"/>
      <c r="K154" s="119"/>
      <c r="L154" s="119"/>
      <c r="M154" s="120"/>
      <c r="N154" s="119"/>
    </row>
    <row r="155" spans="1:14" ht="15.75" customHeight="1" thickBot="1" x14ac:dyDescent="0.5">
      <c r="A155" s="102"/>
      <c r="B155" s="102"/>
      <c r="C155" s="357"/>
      <c r="E155" s="102"/>
      <c r="F155" s="107" t="s">
        <v>40</v>
      </c>
      <c r="G155" s="146"/>
      <c r="H155" s="149" t="s">
        <v>42</v>
      </c>
      <c r="I155" s="104"/>
      <c r="J155" s="104"/>
      <c r="K155" s="107" t="s">
        <v>300</v>
      </c>
      <c r="L155" s="104"/>
      <c r="M155" s="105"/>
      <c r="N155" s="102"/>
    </row>
    <row r="156" spans="1:14" ht="15.4" thickBot="1" x14ac:dyDescent="0.5">
      <c r="A156" s="102"/>
      <c r="B156" s="102"/>
      <c r="C156" s="358"/>
      <c r="E156" s="102"/>
      <c r="F156" s="130">
        <f>INDEX('Import|Export Adjustments Data'!$P$9:$P$159, MATCH($F$7,'Import|Export Adjustments Data'!C9:C159, 0))</f>
        <v>2026.5</v>
      </c>
      <c r="G156" s="146" t="s">
        <v>301</v>
      </c>
      <c r="H156" s="130">
        <f>INDEX('Import|Export Adjustments Data'!$J$9:$J$159, MATCH($F$7,'Import|Export Adjustments Data'!C9:C159, 0))</f>
        <v>1982</v>
      </c>
      <c r="I156" s="444" t="s">
        <v>262</v>
      </c>
      <c r="J156" s="445"/>
      <c r="K156" s="150">
        <f>INDEX('2022-23 StepbyStep Allocations'!$BG$9:$BG$159, MATCH($F$7, '2022-23 StepbyStep Allocations'!$C$9:$C$159, 0))</f>
        <v>44.5</v>
      </c>
      <c r="L156" s="104"/>
      <c r="M156" s="105"/>
      <c r="N156" s="102"/>
    </row>
    <row r="157" spans="1:14" ht="14.65" customHeight="1" thickBot="1" x14ac:dyDescent="0.5">
      <c r="C157" s="358"/>
      <c r="G157" s="145"/>
      <c r="I157" s="446"/>
      <c r="J157" s="446"/>
      <c r="L157" s="104"/>
      <c r="M157" s="105"/>
      <c r="N157" s="102"/>
    </row>
    <row r="158" spans="1:14" ht="30.4" thickBot="1" x14ac:dyDescent="0.5">
      <c r="C158" s="637"/>
      <c r="G158" s="104"/>
      <c r="H158" s="107" t="s">
        <v>302</v>
      </c>
      <c r="I158" s="447"/>
      <c r="J158" s="448"/>
      <c r="K158" s="107" t="s">
        <v>300</v>
      </c>
      <c r="L158" s="104"/>
      <c r="M158" s="121" t="s">
        <v>303</v>
      </c>
      <c r="N158" s="102"/>
    </row>
    <row r="159" spans="1:14" ht="15.4" thickBot="1" x14ac:dyDescent="0.5">
      <c r="A159" s="102"/>
      <c r="B159" s="102"/>
      <c r="C159" s="637"/>
      <c r="E159" s="102"/>
      <c r="H159" s="629">
        <v>6000</v>
      </c>
      <c r="I159" s="449" t="s">
        <v>260</v>
      </c>
      <c r="J159" s="450"/>
      <c r="K159" s="150">
        <f>K156</f>
        <v>44.5</v>
      </c>
      <c r="L159" s="104" t="s">
        <v>262</v>
      </c>
      <c r="M159" s="264">
        <f>H159*K159</f>
        <v>267000</v>
      </c>
      <c r="N159" s="132"/>
    </row>
    <row r="160" spans="1:14" s="38" customFormat="1" ht="34.9" customHeight="1" thickBot="1" x14ac:dyDescent="0.5">
      <c r="A160" s="151"/>
      <c r="B160" s="151"/>
      <c r="C160" s="637" t="s">
        <v>299</v>
      </c>
      <c r="E160" s="151"/>
      <c r="F160" s="151"/>
      <c r="G160" s="152"/>
      <c r="H160" s="153"/>
      <c r="I160" s="152"/>
      <c r="J160" s="152"/>
      <c r="K160" s="154"/>
      <c r="L160" s="152"/>
      <c r="M160" s="155"/>
      <c r="N160" s="156"/>
    </row>
    <row r="161" spans="1:14" s="38" customFormat="1" ht="30.4" thickBot="1" x14ac:dyDescent="0.5">
      <c r="A161" s="151"/>
      <c r="B161" s="151"/>
      <c r="C161" s="637"/>
      <c r="E161" s="151"/>
      <c r="F161" s="151"/>
      <c r="G161" s="152"/>
      <c r="H161" s="153"/>
      <c r="I161" s="152"/>
      <c r="J161" s="152"/>
      <c r="K161" s="154"/>
      <c r="L161" s="152"/>
      <c r="M161" s="121" t="s">
        <v>304</v>
      </c>
      <c r="N161" s="156"/>
    </row>
    <row r="162" spans="1:14" s="38" customFormat="1" ht="15.4" thickBot="1" x14ac:dyDescent="0.5">
      <c r="A162" s="151"/>
      <c r="B162" s="151"/>
      <c r="C162" s="358"/>
      <c r="E162" s="151"/>
      <c r="F162" s="151"/>
      <c r="G162" s="152"/>
      <c r="H162" s="153"/>
      <c r="I162" s="152"/>
      <c r="J162" s="152"/>
      <c r="K162" s="154"/>
      <c r="L162" s="152"/>
      <c r="M162" s="264">
        <f>INDEX('2022-23 StepbyStep Allocations'!$BH$9:$BH$159, MATCH($F$7, '2022-23 StepbyStep Allocations'!$C$9:$C$159, 0))</f>
        <v>1054061</v>
      </c>
      <c r="N162" s="156"/>
    </row>
    <row r="163" spans="1:14" s="38" customFormat="1" ht="15.4" thickBot="1" x14ac:dyDescent="0.5">
      <c r="A163" s="151"/>
      <c r="B163" s="151"/>
      <c r="C163" s="358"/>
      <c r="E163" s="151"/>
      <c r="F163" s="151"/>
      <c r="G163" s="152"/>
      <c r="H163" s="153"/>
      <c r="I163" s="152"/>
      <c r="J163" s="152"/>
      <c r="K163" s="154"/>
      <c r="L163" s="152"/>
      <c r="M163" s="155"/>
      <c r="N163" s="156"/>
    </row>
    <row r="164" spans="1:14" s="38" customFormat="1" ht="15.4" thickBot="1" x14ac:dyDescent="0.5">
      <c r="A164" s="151"/>
      <c r="B164" s="151"/>
      <c r="C164" s="358"/>
      <c r="E164" s="151"/>
      <c r="F164" s="151"/>
      <c r="G164" s="152"/>
      <c r="H164" s="153"/>
      <c r="I164" s="152"/>
      <c r="J164" s="152"/>
      <c r="K164" s="154"/>
      <c r="L164" s="152"/>
      <c r="M164" s="121" t="s">
        <v>305</v>
      </c>
      <c r="N164" s="156"/>
    </row>
    <row r="165" spans="1:14" s="38" customFormat="1" ht="15.4" thickBot="1" x14ac:dyDescent="0.5">
      <c r="A165" s="151"/>
      <c r="B165" s="151"/>
      <c r="C165" s="358"/>
      <c r="E165" s="151"/>
      <c r="F165" s="151"/>
      <c r="G165" s="152"/>
      <c r="H165" s="153"/>
      <c r="I165" s="152"/>
      <c r="J165" s="152"/>
      <c r="K165" s="154"/>
      <c r="L165" s="152"/>
      <c r="M165" s="264">
        <f>M159+M162</f>
        <v>1321061</v>
      </c>
      <c r="N165" s="156"/>
    </row>
    <row r="166" spans="1:14" s="38" customFormat="1" ht="15.4" thickBot="1" x14ac:dyDescent="0.5">
      <c r="A166" s="151"/>
      <c r="B166" s="151"/>
      <c r="C166" s="359"/>
      <c r="E166" s="151"/>
      <c r="F166" s="151"/>
      <c r="G166" s="152"/>
      <c r="H166" s="153"/>
      <c r="I166" s="152"/>
      <c r="J166" s="152"/>
      <c r="K166" s="154"/>
      <c r="L166" s="152"/>
      <c r="M166" s="155"/>
      <c r="N166" s="156"/>
    </row>
    <row r="167" spans="1:14" ht="14.65" thickBot="1" x14ac:dyDescent="0.5">
      <c r="B167" s="119"/>
      <c r="C167" s="119"/>
      <c r="D167" s="119"/>
      <c r="E167" s="119"/>
      <c r="F167" s="119"/>
      <c r="G167" s="119"/>
      <c r="H167" s="119"/>
      <c r="I167" s="119"/>
      <c r="J167" s="119"/>
      <c r="K167" s="119"/>
      <c r="L167" s="119"/>
      <c r="M167" s="120"/>
      <c r="N167" s="119"/>
    </row>
    <row r="168" spans="1:14" ht="30.4" thickBot="1" x14ac:dyDescent="0.5">
      <c r="A168" s="102"/>
      <c r="B168" s="102" t="s">
        <v>297</v>
      </c>
      <c r="C168" s="157" t="s">
        <v>433</v>
      </c>
      <c r="E168" s="102"/>
      <c r="F168" s="102"/>
      <c r="G168" s="104"/>
      <c r="H168" s="102"/>
      <c r="I168" s="104"/>
      <c r="J168" s="104"/>
      <c r="K168" s="102"/>
      <c r="L168" s="104"/>
      <c r="M168" s="263">
        <f>SUM(M27,M129,M147,M151,M165)</f>
        <v>49337514.100808516</v>
      </c>
      <c r="N168" s="158"/>
    </row>
    <row r="169" spans="1:14" ht="14.65" thickBot="1" x14ac:dyDescent="0.5">
      <c r="B169" s="119"/>
      <c r="C169" s="119"/>
      <c r="D169" s="119"/>
      <c r="E169" s="119"/>
      <c r="F169" s="119"/>
      <c r="G169" s="119"/>
      <c r="H169" s="119"/>
      <c r="I169" s="119"/>
      <c r="J169" s="119"/>
      <c r="K169" s="119"/>
      <c r="L169" s="119"/>
      <c r="M169" s="120"/>
      <c r="N169" s="119"/>
    </row>
    <row r="170" spans="1:14" ht="30.75" customHeight="1" thickBot="1" x14ac:dyDescent="0.5">
      <c r="B170" s="102" t="s">
        <v>297</v>
      </c>
      <c r="C170" s="377"/>
      <c r="F170" s="107" t="s">
        <v>506</v>
      </c>
      <c r="H170" s="107" t="s">
        <v>434</v>
      </c>
      <c r="K170" s="107" t="s">
        <v>295</v>
      </c>
      <c r="M170" s="121" t="s">
        <v>505</v>
      </c>
    </row>
    <row r="171" spans="1:14" ht="15.4" thickBot="1" x14ac:dyDescent="0.5">
      <c r="C171" s="378"/>
      <c r="E171" s="159" t="s">
        <v>265</v>
      </c>
      <c r="F171" s="634">
        <f>MIN(M138, K132*(100% + 11%))</f>
        <v>715.57833965445263</v>
      </c>
      <c r="G171" s="104" t="s">
        <v>260</v>
      </c>
      <c r="H171" s="635">
        <f>INDEX('2022-23 StepbyStep Allocations'!$J$9:$J$159,MATCH($F$7,'2022-23 StepbyStep Allocations'!$C$9:$C$159,0))</f>
        <v>59573.575999999965</v>
      </c>
      <c r="I171" s="145" t="s">
        <v>395</v>
      </c>
      <c r="K171" s="636">
        <f>M144</f>
        <v>0</v>
      </c>
      <c r="L171" s="104" t="s">
        <v>262</v>
      </c>
      <c r="M171" s="263">
        <f>F171*H171+K171</f>
        <v>42629560.601358324</v>
      </c>
    </row>
    <row r="172" spans="1:14" ht="15" customHeight="1" x14ac:dyDescent="0.45">
      <c r="C172" s="378"/>
    </row>
    <row r="173" spans="1:14" ht="15.75" customHeight="1" thickBot="1" x14ac:dyDescent="0.5">
      <c r="C173" s="378"/>
    </row>
    <row r="174" spans="1:14" ht="73.5" customHeight="1" thickBot="1" x14ac:dyDescent="0.5">
      <c r="C174" s="378" t="s">
        <v>507</v>
      </c>
      <c r="F174" s="107" t="s">
        <v>505</v>
      </c>
      <c r="G174" s="104"/>
      <c r="H174" s="107" t="s">
        <v>249</v>
      </c>
      <c r="I174" s="104"/>
      <c r="J174" s="104"/>
      <c r="K174" s="107" t="s">
        <v>396</v>
      </c>
      <c r="L174" s="104"/>
      <c r="M174" s="107" t="s">
        <v>306</v>
      </c>
    </row>
    <row r="175" spans="1:14" ht="15.4" thickBot="1" x14ac:dyDescent="0.5">
      <c r="C175" s="378"/>
      <c r="F175" s="636">
        <f>M171</f>
        <v>42629560.601358324</v>
      </c>
      <c r="G175" s="104" t="s">
        <v>307</v>
      </c>
      <c r="H175" s="636">
        <f>M27</f>
        <v>2762602.0330689438</v>
      </c>
      <c r="I175" s="444" t="s">
        <v>307</v>
      </c>
      <c r="J175" s="445"/>
      <c r="K175" s="636">
        <f>M151</f>
        <v>148382.28</v>
      </c>
      <c r="L175" s="104" t="s">
        <v>307</v>
      </c>
      <c r="M175" s="263">
        <f>M165</f>
        <v>1321061</v>
      </c>
    </row>
    <row r="176" spans="1:14" ht="15.75" customHeight="1" thickBot="1" x14ac:dyDescent="0.5">
      <c r="C176" s="378"/>
      <c r="M176" s="160" t="s">
        <v>262</v>
      </c>
    </row>
    <row r="177" spans="3:16" ht="30.4" thickBot="1" x14ac:dyDescent="0.5">
      <c r="C177" s="378"/>
      <c r="E177" s="102"/>
      <c r="G177" s="145"/>
      <c r="I177" s="145"/>
      <c r="J177" s="145"/>
      <c r="K177" s="102"/>
      <c r="L177" s="104"/>
      <c r="M177" s="161" t="s">
        <v>435</v>
      </c>
    </row>
    <row r="178" spans="3:16" ht="15.4" thickBot="1" x14ac:dyDescent="0.5">
      <c r="C178" s="379"/>
      <c r="M178" s="263">
        <f>F175 + H175 + K175 + M175</f>
        <v>46861605.914427266</v>
      </c>
      <c r="P178" s="24"/>
    </row>
  </sheetData>
  <dataValidations count="1">
    <dataValidation type="list" allowBlank="1" showInputMessage="1" showErrorMessage="1" sqref="F5" xr:uid="{631E45AE-B16A-415D-AC79-BD60CA3E4775}">
      <formula1>LA_List</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49FC-5A8F-4D5E-B0B6-B5840454F19C}">
  <sheetPr codeName="Sheet39">
    <tabColor theme="5"/>
  </sheetPr>
  <dimension ref="B1:M160"/>
  <sheetViews>
    <sheetView showGridLines="0" zoomScale="70" zoomScaleNormal="70" workbookViewId="0"/>
  </sheetViews>
  <sheetFormatPr defaultColWidth="9" defaultRowHeight="14.25" x14ac:dyDescent="0.45"/>
  <cols>
    <col min="1" max="1" width="4.73046875" customWidth="1"/>
    <col min="2" max="2" width="38" customWidth="1"/>
    <col min="4" max="4" width="33.59765625" bestFit="1" customWidth="1"/>
    <col min="5" max="10" width="20" bestFit="1" customWidth="1"/>
    <col min="11" max="11" width="16.265625" customWidth="1"/>
    <col min="12" max="12" width="10.73046875" bestFit="1" customWidth="1"/>
    <col min="13" max="13" width="12.59765625" bestFit="1" customWidth="1"/>
    <col min="16" max="16" width="11.73046875" bestFit="1" customWidth="1"/>
    <col min="17" max="17" width="10.73046875" bestFit="1" customWidth="1"/>
  </cols>
  <sheetData>
    <row r="1" spans="2:13" ht="25.15" x14ac:dyDescent="0.65">
      <c r="B1" s="30" t="s">
        <v>407</v>
      </c>
      <c r="C1" s="34"/>
      <c r="D1" s="34"/>
    </row>
    <row r="2" spans="2:13" ht="24.75" x14ac:dyDescent="0.65">
      <c r="B2" s="34" t="s">
        <v>308</v>
      </c>
      <c r="C2" s="34"/>
      <c r="D2" s="34"/>
      <c r="E2" s="34"/>
      <c r="F2" s="34"/>
      <c r="G2" s="34"/>
      <c r="H2" s="34"/>
      <c r="I2" s="34"/>
      <c r="J2" s="34"/>
    </row>
    <row r="3" spans="2:13" ht="27" customHeight="1" x14ac:dyDescent="0.45">
      <c r="B3" s="452" t="s">
        <v>453</v>
      </c>
      <c r="C3" s="452"/>
      <c r="D3" s="452"/>
      <c r="E3" s="452"/>
      <c r="F3" s="452"/>
      <c r="G3" s="452"/>
      <c r="H3" s="452"/>
      <c r="I3" s="452"/>
      <c r="J3" s="452"/>
    </row>
    <row r="4" spans="2:13" ht="22.5" customHeight="1" x14ac:dyDescent="0.45">
      <c r="B4" s="451" t="s">
        <v>394</v>
      </c>
      <c r="C4" s="451"/>
      <c r="D4" s="451"/>
      <c r="E4" s="451"/>
      <c r="F4" s="451"/>
      <c r="G4" s="451"/>
      <c r="H4" s="451"/>
      <c r="I4" s="570"/>
      <c r="J4" s="451"/>
    </row>
    <row r="5" spans="2:13" ht="15.75" thickBot="1" x14ac:dyDescent="0.5">
      <c r="C5" s="162"/>
      <c r="D5" s="162"/>
      <c r="E5" s="162"/>
      <c r="F5" s="162"/>
      <c r="G5" s="162"/>
      <c r="H5" s="162"/>
      <c r="I5" s="162"/>
      <c r="J5" s="162"/>
    </row>
    <row r="6" spans="2:13" ht="15.4" thickBot="1" x14ac:dyDescent="0.5">
      <c r="B6" s="53" t="s">
        <v>309</v>
      </c>
      <c r="C6" s="54"/>
      <c r="D6" s="54"/>
      <c r="E6" s="381"/>
      <c r="F6" s="382"/>
      <c r="G6" s="382"/>
      <c r="H6" s="382"/>
      <c r="I6" s="382"/>
      <c r="J6" s="383"/>
    </row>
    <row r="7" spans="2:13" ht="138" customHeight="1" thickBot="1" x14ac:dyDescent="0.5">
      <c r="B7" s="351" t="s">
        <v>246</v>
      </c>
      <c r="C7" s="353" t="s">
        <v>247</v>
      </c>
      <c r="D7" s="355" t="s">
        <v>310</v>
      </c>
      <c r="E7" s="460" t="s">
        <v>412</v>
      </c>
      <c r="F7" s="460" t="s">
        <v>413</v>
      </c>
      <c r="G7" s="460" t="s">
        <v>414</v>
      </c>
      <c r="H7" s="460" t="s">
        <v>415</v>
      </c>
      <c r="I7" s="571" t="s">
        <v>372</v>
      </c>
      <c r="J7" s="380" t="s">
        <v>536</v>
      </c>
    </row>
    <row r="8" spans="2:13" ht="15.75" thickBot="1" x14ac:dyDescent="0.5">
      <c r="B8" s="65" t="s">
        <v>86</v>
      </c>
      <c r="C8" s="163"/>
      <c r="D8" s="67"/>
      <c r="E8" s="461">
        <f t="shared" ref="E8:J8" si="0">SUM(E9:E158)</f>
        <v>2666570634.2213273</v>
      </c>
      <c r="F8" s="461">
        <f t="shared" si="0"/>
        <v>4343439233.0134096</v>
      </c>
      <c r="G8" s="461">
        <f t="shared" si="0"/>
        <v>174353146.65777639</v>
      </c>
      <c r="H8" s="461">
        <f t="shared" si="0"/>
        <v>-63881480.360244215</v>
      </c>
      <c r="I8" s="461">
        <f t="shared" si="0"/>
        <v>2718000</v>
      </c>
      <c r="J8" s="164">
        <f t="shared" si="0"/>
        <v>7123199533.5322676</v>
      </c>
    </row>
    <row r="9" spans="2:13" ht="15.4" x14ac:dyDescent="0.45">
      <c r="B9" s="165" t="s">
        <v>88</v>
      </c>
      <c r="C9" s="166">
        <v>831</v>
      </c>
      <c r="D9" s="167" t="s">
        <v>89</v>
      </c>
      <c r="E9" s="168">
        <v>15647028.42574019</v>
      </c>
      <c r="F9" s="168">
        <v>24652372.697324753</v>
      </c>
      <c r="G9" s="168">
        <v>0</v>
      </c>
      <c r="H9" s="168">
        <v>0</v>
      </c>
      <c r="I9" s="168">
        <v>0</v>
      </c>
      <c r="J9" s="462">
        <f t="shared" ref="J9:J18" si="1">SUM(E9:I9)</f>
        <v>40299401.123064943</v>
      </c>
      <c r="K9" s="169"/>
    </row>
    <row r="10" spans="2:13" ht="15.4" x14ac:dyDescent="0.45">
      <c r="B10" s="77" t="s">
        <v>88</v>
      </c>
      <c r="C10" s="162">
        <v>830</v>
      </c>
      <c r="D10" s="78" t="s">
        <v>90</v>
      </c>
      <c r="E10" s="170">
        <v>33031554.490738556</v>
      </c>
      <c r="F10" s="170">
        <v>52726789.394530892</v>
      </c>
      <c r="G10" s="170">
        <v>0</v>
      </c>
      <c r="H10" s="170">
        <v>0</v>
      </c>
      <c r="I10" s="170">
        <v>0</v>
      </c>
      <c r="J10" s="463">
        <f t="shared" si="1"/>
        <v>85758343.885269448</v>
      </c>
      <c r="K10" s="169"/>
      <c r="M10" s="24"/>
    </row>
    <row r="11" spans="2:13" ht="15.4" x14ac:dyDescent="0.45">
      <c r="B11" s="77" t="s">
        <v>88</v>
      </c>
      <c r="C11" s="162">
        <v>856</v>
      </c>
      <c r="D11" s="78" t="s">
        <v>91</v>
      </c>
      <c r="E11" s="170">
        <v>21035562.052490015</v>
      </c>
      <c r="F11" s="170">
        <v>34414664.490745053</v>
      </c>
      <c r="G11" s="170">
        <v>0</v>
      </c>
      <c r="H11" s="170">
        <v>0</v>
      </c>
      <c r="I11" s="170">
        <v>0</v>
      </c>
      <c r="J11" s="463">
        <f t="shared" si="1"/>
        <v>55450226.543235064</v>
      </c>
      <c r="K11" s="169"/>
      <c r="M11" s="24"/>
    </row>
    <row r="12" spans="2:13" ht="15.4" x14ac:dyDescent="0.45">
      <c r="B12" s="77" t="s">
        <v>88</v>
      </c>
      <c r="C12" s="162">
        <v>855</v>
      </c>
      <c r="D12" s="78" t="s">
        <v>92</v>
      </c>
      <c r="E12" s="170">
        <v>29719333.011696178</v>
      </c>
      <c r="F12" s="170">
        <v>43248076.354515597</v>
      </c>
      <c r="G12" s="170">
        <v>1515861.805135414</v>
      </c>
      <c r="H12" s="170">
        <v>0</v>
      </c>
      <c r="I12" s="170">
        <v>0</v>
      </c>
      <c r="J12" s="463">
        <f t="shared" si="1"/>
        <v>74483271.171347186</v>
      </c>
      <c r="K12" s="169"/>
      <c r="M12" s="24"/>
    </row>
    <row r="13" spans="2:13" ht="15.4" x14ac:dyDescent="0.45">
      <c r="B13" s="77" t="s">
        <v>88</v>
      </c>
      <c r="C13" s="162">
        <v>925</v>
      </c>
      <c r="D13" s="78" t="s">
        <v>93</v>
      </c>
      <c r="E13" s="170">
        <v>36453765</v>
      </c>
      <c r="F13" s="170">
        <v>52203487.983734295</v>
      </c>
      <c r="G13" s="170">
        <v>2089189.2455052305</v>
      </c>
      <c r="H13" s="170">
        <v>0</v>
      </c>
      <c r="I13" s="170">
        <v>0</v>
      </c>
      <c r="J13" s="463">
        <f t="shared" si="1"/>
        <v>90746442.229239523</v>
      </c>
      <c r="K13" s="169"/>
      <c r="M13" s="24"/>
    </row>
    <row r="14" spans="2:13" ht="15.4" x14ac:dyDescent="0.45">
      <c r="B14" s="77" t="s">
        <v>88</v>
      </c>
      <c r="C14" s="162">
        <v>940</v>
      </c>
      <c r="D14" s="78" t="s">
        <v>358</v>
      </c>
      <c r="E14" s="170">
        <v>14655227.092600647</v>
      </c>
      <c r="F14" s="170">
        <v>27290500.639128402</v>
      </c>
      <c r="G14" s="170">
        <v>0</v>
      </c>
      <c r="H14" s="170">
        <v>0</v>
      </c>
      <c r="I14" s="170">
        <v>18000</v>
      </c>
      <c r="J14" s="463">
        <f t="shared" si="1"/>
        <v>41963727.731729046</v>
      </c>
      <c r="K14" s="24"/>
    </row>
    <row r="15" spans="2:13" ht="15.4" x14ac:dyDescent="0.45">
      <c r="B15" s="77" t="s">
        <v>88</v>
      </c>
      <c r="C15" s="162">
        <v>892</v>
      </c>
      <c r="D15" s="78" t="s">
        <v>95</v>
      </c>
      <c r="E15" s="170">
        <v>13233330.089471266</v>
      </c>
      <c r="F15" s="170">
        <v>31139960.984194994</v>
      </c>
      <c r="G15" s="170">
        <v>0</v>
      </c>
      <c r="H15" s="170">
        <v>-4695969.4785096124</v>
      </c>
      <c r="I15" s="170">
        <v>0</v>
      </c>
      <c r="J15" s="463">
        <f t="shared" si="1"/>
        <v>39677321.595156647</v>
      </c>
      <c r="K15" s="24"/>
    </row>
    <row r="16" spans="2:13" ht="15.4" x14ac:dyDescent="0.45">
      <c r="B16" s="77" t="s">
        <v>88</v>
      </c>
      <c r="C16" s="162">
        <v>891</v>
      </c>
      <c r="D16" s="78" t="s">
        <v>96</v>
      </c>
      <c r="E16" s="170">
        <v>28901776.957548451</v>
      </c>
      <c r="F16" s="170">
        <v>56803459.664451048</v>
      </c>
      <c r="G16" s="170">
        <v>0</v>
      </c>
      <c r="H16" s="170">
        <v>-669855.69629360735</v>
      </c>
      <c r="I16" s="170">
        <v>0</v>
      </c>
      <c r="J16" s="463">
        <f t="shared" si="1"/>
        <v>85035380.925705895</v>
      </c>
      <c r="K16" s="169"/>
      <c r="M16" s="24"/>
    </row>
    <row r="17" spans="2:13" ht="15.4" x14ac:dyDescent="0.45">
      <c r="B17" s="77" t="s">
        <v>88</v>
      </c>
      <c r="C17" s="162">
        <v>857</v>
      </c>
      <c r="D17" s="78" t="s">
        <v>97</v>
      </c>
      <c r="E17" s="170">
        <v>1894016.5197919146</v>
      </c>
      <c r="F17" s="170">
        <v>2034344.2728166366</v>
      </c>
      <c r="G17" s="170">
        <v>763873.88699174416</v>
      </c>
      <c r="H17" s="170">
        <v>0</v>
      </c>
      <c r="I17" s="170">
        <v>0</v>
      </c>
      <c r="J17" s="463">
        <f t="shared" si="1"/>
        <v>4692234.6796002956</v>
      </c>
      <c r="K17" s="169"/>
      <c r="M17" s="24"/>
    </row>
    <row r="18" spans="2:13" ht="15.4" x14ac:dyDescent="0.45">
      <c r="B18" s="77" t="s">
        <v>88</v>
      </c>
      <c r="C18" s="162">
        <v>941</v>
      </c>
      <c r="D18" s="78" t="s">
        <v>359</v>
      </c>
      <c r="E18" s="170">
        <v>15683801.42558796</v>
      </c>
      <c r="F18" s="170">
        <v>29205878.998667903</v>
      </c>
      <c r="G18" s="170">
        <v>0</v>
      </c>
      <c r="H18" s="170">
        <v>0</v>
      </c>
      <c r="I18" s="170">
        <v>42000</v>
      </c>
      <c r="J18" s="463">
        <f t="shared" si="1"/>
        <v>44931680.424255863</v>
      </c>
      <c r="K18" s="169"/>
      <c r="M18" s="24"/>
    </row>
    <row r="19" spans="2:13" ht="15.4" x14ac:dyDescent="0.45">
      <c r="B19" s="77" t="s">
        <v>98</v>
      </c>
      <c r="C19" s="162">
        <v>822</v>
      </c>
      <c r="D19" s="78" t="s">
        <v>520</v>
      </c>
      <c r="E19" s="170">
        <v>9199260.9491955824</v>
      </c>
      <c r="F19" s="170">
        <v>13632079.319640849</v>
      </c>
      <c r="G19" s="170">
        <v>720729.21442941937</v>
      </c>
      <c r="H19" s="170">
        <v>0</v>
      </c>
      <c r="I19" s="170">
        <v>0</v>
      </c>
      <c r="J19" s="463">
        <f t="shared" ref="J19:J41" si="2">SUM(E19:I19)</f>
        <v>23552069.483265851</v>
      </c>
      <c r="K19" s="169"/>
      <c r="M19" s="24"/>
    </row>
    <row r="20" spans="2:13" ht="15.4" x14ac:dyDescent="0.45">
      <c r="B20" s="77" t="s">
        <v>98</v>
      </c>
      <c r="C20" s="162">
        <v>873</v>
      </c>
      <c r="D20" s="78" t="s">
        <v>99</v>
      </c>
      <c r="E20" s="170">
        <v>29942833.983290799</v>
      </c>
      <c r="F20" s="170">
        <v>42874796.944932424</v>
      </c>
      <c r="G20" s="170">
        <v>2151603.2590988311</v>
      </c>
      <c r="H20" s="170">
        <v>0</v>
      </c>
      <c r="I20" s="170">
        <v>0</v>
      </c>
      <c r="J20" s="463">
        <f t="shared" si="2"/>
        <v>74969234.18732205</v>
      </c>
      <c r="K20" s="169"/>
      <c r="M20" s="24"/>
    </row>
    <row r="21" spans="2:13" ht="15.4" x14ac:dyDescent="0.45">
      <c r="B21" s="77" t="s">
        <v>98</v>
      </c>
      <c r="C21" s="162">
        <v>823</v>
      </c>
      <c r="D21" s="78" t="s">
        <v>100</v>
      </c>
      <c r="E21" s="170">
        <v>11851259.56958691</v>
      </c>
      <c r="F21" s="170">
        <v>19559763.694179103</v>
      </c>
      <c r="G21" s="170">
        <v>0</v>
      </c>
      <c r="H21" s="170">
        <v>0</v>
      </c>
      <c r="I21" s="170">
        <v>0</v>
      </c>
      <c r="J21" s="463">
        <f t="shared" si="2"/>
        <v>31411023.263766013</v>
      </c>
      <c r="K21" s="169"/>
      <c r="M21" s="24"/>
    </row>
    <row r="22" spans="2:13" ht="15.4" x14ac:dyDescent="0.45">
      <c r="B22" s="77" t="s">
        <v>98</v>
      </c>
      <c r="C22" s="162">
        <v>881</v>
      </c>
      <c r="D22" s="78" t="s">
        <v>101</v>
      </c>
      <c r="E22" s="170">
        <v>60382948.208275236</v>
      </c>
      <c r="F22" s="170">
        <v>105396579.31083098</v>
      </c>
      <c r="G22" s="170">
        <v>0</v>
      </c>
      <c r="H22" s="170">
        <v>0</v>
      </c>
      <c r="I22" s="170">
        <v>0</v>
      </c>
      <c r="J22" s="463">
        <f t="shared" si="2"/>
        <v>165779527.51910621</v>
      </c>
      <c r="K22" s="169"/>
      <c r="M22" s="24"/>
    </row>
    <row r="23" spans="2:13" ht="15.4" x14ac:dyDescent="0.45">
      <c r="B23" s="77" t="s">
        <v>98</v>
      </c>
      <c r="C23" s="162">
        <v>919</v>
      </c>
      <c r="D23" s="78" t="s">
        <v>102</v>
      </c>
      <c r="E23" s="170">
        <v>45998113.497759625</v>
      </c>
      <c r="F23" s="170">
        <v>84073017.86496748</v>
      </c>
      <c r="G23" s="170">
        <v>0</v>
      </c>
      <c r="H23" s="170">
        <v>0</v>
      </c>
      <c r="I23" s="170">
        <v>0</v>
      </c>
      <c r="J23" s="463">
        <f t="shared" si="2"/>
        <v>130071131.36272711</v>
      </c>
      <c r="K23" s="169"/>
      <c r="M23" s="24"/>
    </row>
    <row r="24" spans="2:13" ht="15.4" x14ac:dyDescent="0.45">
      <c r="B24" s="77" t="s">
        <v>98</v>
      </c>
      <c r="C24" s="162">
        <v>821</v>
      </c>
      <c r="D24" s="78" t="s">
        <v>103</v>
      </c>
      <c r="E24" s="170">
        <v>12903647.308808958</v>
      </c>
      <c r="F24" s="170">
        <v>21797340.076156348</v>
      </c>
      <c r="G24" s="170">
        <v>0</v>
      </c>
      <c r="H24" s="170">
        <v>0</v>
      </c>
      <c r="I24" s="170">
        <v>0</v>
      </c>
      <c r="J24" s="463">
        <f t="shared" si="2"/>
        <v>34700987.384965308</v>
      </c>
      <c r="K24" s="169"/>
      <c r="M24" s="24"/>
    </row>
    <row r="25" spans="2:13" ht="15.4" x14ac:dyDescent="0.45">
      <c r="B25" s="77" t="s">
        <v>98</v>
      </c>
      <c r="C25" s="162">
        <v>926</v>
      </c>
      <c r="D25" s="78" t="s">
        <v>104</v>
      </c>
      <c r="E25" s="170">
        <v>34785120.359491892</v>
      </c>
      <c r="F25" s="170">
        <v>57972874.345104463</v>
      </c>
      <c r="G25" s="170">
        <v>0</v>
      </c>
      <c r="H25" s="170">
        <v>0</v>
      </c>
      <c r="I25" s="170">
        <v>564000</v>
      </c>
      <c r="J25" s="463">
        <f t="shared" si="2"/>
        <v>93321994.704596356</v>
      </c>
      <c r="K25" s="169"/>
      <c r="M25" s="24"/>
    </row>
    <row r="26" spans="2:13" ht="15.4" x14ac:dyDescent="0.45">
      <c r="B26" s="77" t="s">
        <v>98</v>
      </c>
      <c r="C26" s="162">
        <v>874</v>
      </c>
      <c r="D26" s="78" t="s">
        <v>105</v>
      </c>
      <c r="E26" s="170">
        <v>12304297.130860716</v>
      </c>
      <c r="F26" s="170">
        <v>20676573.774945173</v>
      </c>
      <c r="G26" s="170">
        <v>0</v>
      </c>
      <c r="H26" s="170">
        <v>0</v>
      </c>
      <c r="I26" s="170">
        <v>0</v>
      </c>
      <c r="J26" s="463">
        <f t="shared" si="2"/>
        <v>32980870.90580589</v>
      </c>
      <c r="K26" s="169"/>
      <c r="M26" s="24"/>
    </row>
    <row r="27" spans="2:13" ht="15.4" x14ac:dyDescent="0.45">
      <c r="B27" s="77" t="s">
        <v>98</v>
      </c>
      <c r="C27" s="162">
        <v>882</v>
      </c>
      <c r="D27" s="78" t="s">
        <v>106</v>
      </c>
      <c r="E27" s="170">
        <v>7495531.3969595022</v>
      </c>
      <c r="F27" s="170">
        <v>14652047.687224865</v>
      </c>
      <c r="G27" s="170">
        <v>0</v>
      </c>
      <c r="H27" s="170">
        <v>0</v>
      </c>
      <c r="I27" s="170">
        <v>0</v>
      </c>
      <c r="J27" s="463">
        <f t="shared" si="2"/>
        <v>22147579.084184367</v>
      </c>
      <c r="K27" s="169"/>
      <c r="M27" s="24"/>
    </row>
    <row r="28" spans="2:13" ht="15.4" x14ac:dyDescent="0.45">
      <c r="B28" s="77" t="s">
        <v>98</v>
      </c>
      <c r="C28" s="162">
        <v>935</v>
      </c>
      <c r="D28" s="78" t="s">
        <v>107</v>
      </c>
      <c r="E28" s="170">
        <v>26558784.819752611</v>
      </c>
      <c r="F28" s="170">
        <v>50531867.160421558</v>
      </c>
      <c r="G28" s="170">
        <v>0</v>
      </c>
      <c r="H28" s="170">
        <v>0</v>
      </c>
      <c r="I28" s="170">
        <v>54000</v>
      </c>
      <c r="J28" s="463">
        <f t="shared" si="2"/>
        <v>77144651.980174169</v>
      </c>
      <c r="K28" s="169"/>
      <c r="M28" s="24"/>
    </row>
    <row r="29" spans="2:13" ht="15.4" x14ac:dyDescent="0.45">
      <c r="B29" s="77" t="s">
        <v>98</v>
      </c>
      <c r="C29" s="162">
        <v>883</v>
      </c>
      <c r="D29" s="78" t="s">
        <v>108</v>
      </c>
      <c r="E29" s="170">
        <v>10295137.86759166</v>
      </c>
      <c r="F29" s="170">
        <v>16187195.204504766</v>
      </c>
      <c r="G29" s="170">
        <v>144598.04017600059</v>
      </c>
      <c r="H29" s="170">
        <v>0</v>
      </c>
      <c r="I29" s="170">
        <v>0</v>
      </c>
      <c r="J29" s="463">
        <f t="shared" si="2"/>
        <v>26626931.112272426</v>
      </c>
      <c r="K29" s="169"/>
      <c r="M29" s="24"/>
    </row>
    <row r="30" spans="2:13" ht="15.4" x14ac:dyDescent="0.45">
      <c r="B30" s="77" t="s">
        <v>109</v>
      </c>
      <c r="C30" s="162">
        <v>202</v>
      </c>
      <c r="D30" s="78" t="s">
        <v>110</v>
      </c>
      <c r="E30" s="170">
        <v>14265131.572961926</v>
      </c>
      <c r="F30" s="170">
        <v>21682663.730591007</v>
      </c>
      <c r="G30" s="170">
        <v>1146334.9695287454</v>
      </c>
      <c r="H30" s="170">
        <v>0</v>
      </c>
      <c r="I30" s="170">
        <v>0</v>
      </c>
      <c r="J30" s="463">
        <f t="shared" si="2"/>
        <v>37094130.273081675</v>
      </c>
      <c r="K30" s="169"/>
      <c r="M30" s="24"/>
    </row>
    <row r="31" spans="2:13" ht="15.4" x14ac:dyDescent="0.45">
      <c r="B31" s="77" t="s">
        <v>109</v>
      </c>
      <c r="C31" s="162">
        <v>204</v>
      </c>
      <c r="D31" s="78" t="s">
        <v>111</v>
      </c>
      <c r="E31" s="170">
        <v>19442307.490913831</v>
      </c>
      <c r="F31" s="170">
        <v>29808160.057868212</v>
      </c>
      <c r="G31" s="170">
        <v>286392.13916313084</v>
      </c>
      <c r="H31" s="170">
        <v>0</v>
      </c>
      <c r="I31" s="170">
        <v>0</v>
      </c>
      <c r="J31" s="463">
        <f t="shared" si="2"/>
        <v>49536859.687945172</v>
      </c>
      <c r="K31" s="169"/>
      <c r="M31" s="24"/>
    </row>
    <row r="32" spans="2:13" ht="15.4" x14ac:dyDescent="0.45">
      <c r="B32" s="77" t="s">
        <v>109</v>
      </c>
      <c r="C32" s="162">
        <v>205</v>
      </c>
      <c r="D32" s="78" t="s">
        <v>112</v>
      </c>
      <c r="E32" s="170">
        <v>7957023.3850928396</v>
      </c>
      <c r="F32" s="170">
        <v>14779418.078940496</v>
      </c>
      <c r="G32" s="170">
        <v>0</v>
      </c>
      <c r="H32" s="170">
        <v>0</v>
      </c>
      <c r="I32" s="170">
        <v>0</v>
      </c>
      <c r="J32" s="463">
        <f t="shared" si="2"/>
        <v>22736441.464033335</v>
      </c>
      <c r="K32" s="169"/>
      <c r="M32" s="24"/>
    </row>
    <row r="33" spans="2:13" ht="15.4" x14ac:dyDescent="0.45">
      <c r="B33" s="77" t="s">
        <v>109</v>
      </c>
      <c r="C33" s="162">
        <v>309</v>
      </c>
      <c r="D33" s="78" t="s">
        <v>113</v>
      </c>
      <c r="E33" s="170">
        <v>16458947.773077577</v>
      </c>
      <c r="F33" s="170">
        <v>24841292.591213629</v>
      </c>
      <c r="G33" s="170">
        <v>287028.91654680594</v>
      </c>
      <c r="H33" s="170">
        <v>0</v>
      </c>
      <c r="I33" s="170">
        <v>0</v>
      </c>
      <c r="J33" s="463">
        <f t="shared" si="2"/>
        <v>41587269.280838013</v>
      </c>
      <c r="K33" s="169"/>
      <c r="M33" s="24"/>
    </row>
    <row r="34" spans="2:13" ht="15.4" x14ac:dyDescent="0.45">
      <c r="B34" s="77" t="s">
        <v>109</v>
      </c>
      <c r="C34" s="162">
        <v>206</v>
      </c>
      <c r="D34" s="78" t="s">
        <v>114</v>
      </c>
      <c r="E34" s="170">
        <v>12796427.302864652</v>
      </c>
      <c r="F34" s="170">
        <v>20917475.493752252</v>
      </c>
      <c r="G34" s="170">
        <v>0</v>
      </c>
      <c r="H34" s="170">
        <v>0</v>
      </c>
      <c r="I34" s="170">
        <v>0</v>
      </c>
      <c r="J34" s="463">
        <f t="shared" si="2"/>
        <v>33713902.796616904</v>
      </c>
      <c r="K34" s="169"/>
      <c r="M34" s="24"/>
    </row>
    <row r="35" spans="2:13" ht="15.4" x14ac:dyDescent="0.45">
      <c r="B35" s="77" t="s">
        <v>109</v>
      </c>
      <c r="C35" s="162">
        <v>207</v>
      </c>
      <c r="D35" s="78" t="s">
        <v>115</v>
      </c>
      <c r="E35" s="170">
        <v>6809805.0384025201</v>
      </c>
      <c r="F35" s="170">
        <v>9742670.4754733369</v>
      </c>
      <c r="G35" s="170">
        <v>0</v>
      </c>
      <c r="H35" s="170">
        <v>0</v>
      </c>
      <c r="I35" s="170">
        <v>0</v>
      </c>
      <c r="J35" s="463">
        <f t="shared" si="2"/>
        <v>16552475.513875857</v>
      </c>
      <c r="K35" s="169"/>
      <c r="M35" s="24"/>
    </row>
    <row r="36" spans="2:13" ht="15.4" x14ac:dyDescent="0.45">
      <c r="B36" s="77" t="s">
        <v>109</v>
      </c>
      <c r="C36" s="162">
        <v>208</v>
      </c>
      <c r="D36" s="78" t="s">
        <v>116</v>
      </c>
      <c r="E36" s="170">
        <v>19484986.659505043</v>
      </c>
      <c r="F36" s="170">
        <v>28446892.105961408</v>
      </c>
      <c r="G36" s="170">
        <v>236765.63414405574</v>
      </c>
      <c r="H36" s="170">
        <v>0</v>
      </c>
      <c r="I36" s="170">
        <v>0</v>
      </c>
      <c r="J36" s="463">
        <f t="shared" si="2"/>
        <v>48168644.399610505</v>
      </c>
      <c r="K36" s="169"/>
      <c r="M36" s="24"/>
    </row>
    <row r="37" spans="2:13" ht="15.4" x14ac:dyDescent="0.45">
      <c r="B37" s="77" t="s">
        <v>109</v>
      </c>
      <c r="C37" s="162">
        <v>209</v>
      </c>
      <c r="D37" s="78" t="s">
        <v>117</v>
      </c>
      <c r="E37" s="170">
        <v>23746609.852961957</v>
      </c>
      <c r="F37" s="170">
        <v>30558604.135749936</v>
      </c>
      <c r="G37" s="170">
        <v>4700269.6489866097</v>
      </c>
      <c r="H37" s="170">
        <v>0</v>
      </c>
      <c r="I37" s="170">
        <v>0</v>
      </c>
      <c r="J37" s="463">
        <f t="shared" si="2"/>
        <v>59005483.637698501</v>
      </c>
      <c r="K37" s="169"/>
      <c r="M37" s="24"/>
    </row>
    <row r="38" spans="2:13" ht="15.4" x14ac:dyDescent="0.45">
      <c r="B38" s="77" t="s">
        <v>109</v>
      </c>
      <c r="C38" s="162">
        <v>316</v>
      </c>
      <c r="D38" s="78" t="s">
        <v>118</v>
      </c>
      <c r="E38" s="170">
        <v>22742097.659970224</v>
      </c>
      <c r="F38" s="170">
        <v>35085156.011411123</v>
      </c>
      <c r="G38" s="170">
        <v>1488797.7822304817</v>
      </c>
      <c r="H38" s="170">
        <v>0</v>
      </c>
      <c r="I38" s="170">
        <v>0</v>
      </c>
      <c r="J38" s="463">
        <f t="shared" si="2"/>
        <v>59316051.453611828</v>
      </c>
      <c r="K38" s="169"/>
      <c r="M38" s="24"/>
    </row>
    <row r="39" spans="2:13" ht="15.4" x14ac:dyDescent="0.45">
      <c r="B39" s="77" t="s">
        <v>109</v>
      </c>
      <c r="C39" s="162">
        <v>210</v>
      </c>
      <c r="D39" s="78" t="s">
        <v>119</v>
      </c>
      <c r="E39" s="170">
        <v>19286805.687912494</v>
      </c>
      <c r="F39" s="170">
        <v>30093329.113332123</v>
      </c>
      <c r="G39" s="170">
        <v>0</v>
      </c>
      <c r="H39" s="170">
        <v>0</v>
      </c>
      <c r="I39" s="170">
        <v>0</v>
      </c>
      <c r="J39" s="463">
        <f t="shared" si="2"/>
        <v>49380134.801244617</v>
      </c>
      <c r="K39" s="169"/>
      <c r="M39" s="24"/>
    </row>
    <row r="40" spans="2:13" ht="15.4" x14ac:dyDescent="0.45">
      <c r="B40" s="77" t="s">
        <v>109</v>
      </c>
      <c r="C40" s="162">
        <v>211</v>
      </c>
      <c r="D40" s="78" t="s">
        <v>120</v>
      </c>
      <c r="E40" s="170">
        <v>21058113.082785994</v>
      </c>
      <c r="F40" s="170">
        <v>35909799.793394767</v>
      </c>
      <c r="G40" s="170">
        <v>1334541.4309764837</v>
      </c>
      <c r="H40" s="170">
        <v>0</v>
      </c>
      <c r="I40" s="170">
        <v>0</v>
      </c>
      <c r="J40" s="463">
        <f t="shared" si="2"/>
        <v>58302454.307157241</v>
      </c>
      <c r="K40" s="169"/>
      <c r="M40" s="24"/>
    </row>
    <row r="41" spans="2:13" ht="15.4" x14ac:dyDescent="0.45">
      <c r="B41" s="77" t="s">
        <v>109</v>
      </c>
      <c r="C41" s="162">
        <v>212</v>
      </c>
      <c r="D41" s="78" t="s">
        <v>121</v>
      </c>
      <c r="E41" s="170">
        <v>17844426.015926622</v>
      </c>
      <c r="F41" s="170">
        <v>23836626.924809232</v>
      </c>
      <c r="G41" s="170">
        <v>3145654.8419206077</v>
      </c>
      <c r="H41" s="170">
        <v>0</v>
      </c>
      <c r="I41" s="170">
        <v>0</v>
      </c>
      <c r="J41" s="463">
        <f t="shared" si="2"/>
        <v>44826707.782656461</v>
      </c>
      <c r="K41" s="169"/>
      <c r="M41" s="24"/>
    </row>
    <row r="42" spans="2:13" ht="15.4" x14ac:dyDescent="0.45">
      <c r="B42" s="77" t="s">
        <v>109</v>
      </c>
      <c r="C42" s="162">
        <v>213</v>
      </c>
      <c r="D42" s="78" t="s">
        <v>122</v>
      </c>
      <c r="E42" s="170">
        <v>11439465.205362109</v>
      </c>
      <c r="F42" s="170">
        <v>18548387.417919442</v>
      </c>
      <c r="G42" s="170">
        <v>35524.723229364012</v>
      </c>
      <c r="H42" s="170">
        <v>0</v>
      </c>
      <c r="I42" s="170">
        <v>0</v>
      </c>
      <c r="J42" s="463">
        <f t="shared" ref="J42:J73" si="3">SUM(E42:I42)</f>
        <v>30023377.346510917</v>
      </c>
      <c r="K42" s="169"/>
      <c r="M42" s="24"/>
    </row>
    <row r="43" spans="2:13" ht="15.4" x14ac:dyDescent="0.45">
      <c r="B43" s="77" t="s">
        <v>123</v>
      </c>
      <c r="C43" s="162">
        <v>840</v>
      </c>
      <c r="D43" s="78" t="s">
        <v>521</v>
      </c>
      <c r="E43" s="170">
        <v>21460204.0571297</v>
      </c>
      <c r="F43" s="170">
        <v>41226919.902026266</v>
      </c>
      <c r="G43" s="170">
        <v>0</v>
      </c>
      <c r="H43" s="170">
        <v>-514083.27607295662</v>
      </c>
      <c r="I43" s="170">
        <v>0</v>
      </c>
      <c r="J43" s="463">
        <f t="shared" ref="J43" si="4">SUM(E43:I43)</f>
        <v>62173040.683083005</v>
      </c>
      <c r="K43" s="169"/>
      <c r="M43" s="24"/>
    </row>
    <row r="44" spans="2:13" ht="15.4" x14ac:dyDescent="0.45">
      <c r="B44" s="77" t="s">
        <v>123</v>
      </c>
      <c r="C44" s="162">
        <v>841</v>
      </c>
      <c r="D44" s="78" t="s">
        <v>124</v>
      </c>
      <c r="E44" s="170">
        <v>5290397.3443746297</v>
      </c>
      <c r="F44" s="170">
        <v>8638118.8670097925</v>
      </c>
      <c r="G44" s="170">
        <v>0</v>
      </c>
      <c r="H44" s="170">
        <v>0</v>
      </c>
      <c r="I44" s="170">
        <v>0</v>
      </c>
      <c r="J44" s="463">
        <f t="shared" si="3"/>
        <v>13928516.211384423</v>
      </c>
      <c r="K44" s="169"/>
      <c r="M44" s="24"/>
    </row>
    <row r="45" spans="2:13" ht="15.4" x14ac:dyDescent="0.45">
      <c r="B45" s="77" t="s">
        <v>123</v>
      </c>
      <c r="C45" s="162">
        <v>390</v>
      </c>
      <c r="D45" s="78" t="s">
        <v>125</v>
      </c>
      <c r="E45" s="170">
        <v>9741376.9483356941</v>
      </c>
      <c r="F45" s="170">
        <v>15024340.447296591</v>
      </c>
      <c r="G45" s="170">
        <v>0</v>
      </c>
      <c r="H45" s="170">
        <v>0</v>
      </c>
      <c r="I45" s="170">
        <v>0</v>
      </c>
      <c r="J45" s="463">
        <f t="shared" si="3"/>
        <v>24765717.395632286</v>
      </c>
      <c r="K45" s="169"/>
      <c r="M45" s="24"/>
    </row>
    <row r="46" spans="2:13" ht="15.4" x14ac:dyDescent="0.45">
      <c r="B46" s="77" t="s">
        <v>123</v>
      </c>
      <c r="C46" s="162">
        <v>805</v>
      </c>
      <c r="D46" s="78" t="s">
        <v>126</v>
      </c>
      <c r="E46" s="170">
        <v>4691162.976521736</v>
      </c>
      <c r="F46" s="170">
        <v>8760522.5004794262</v>
      </c>
      <c r="G46" s="170">
        <v>0</v>
      </c>
      <c r="H46" s="170">
        <v>-55963.352294187993</v>
      </c>
      <c r="I46" s="170">
        <v>0</v>
      </c>
      <c r="J46" s="463">
        <f t="shared" si="3"/>
        <v>13395722.124706974</v>
      </c>
      <c r="K46" s="169"/>
      <c r="M46" s="24"/>
    </row>
    <row r="47" spans="2:13" ht="15.4" x14ac:dyDescent="0.45">
      <c r="B47" s="77" t="s">
        <v>123</v>
      </c>
      <c r="C47" s="162">
        <v>806</v>
      </c>
      <c r="D47" s="78" t="s">
        <v>127</v>
      </c>
      <c r="E47" s="170">
        <v>9124361.8908118084</v>
      </c>
      <c r="F47" s="170">
        <v>15412574.340552893</v>
      </c>
      <c r="G47" s="170">
        <v>0</v>
      </c>
      <c r="H47" s="170">
        <v>0</v>
      </c>
      <c r="I47" s="170">
        <v>0</v>
      </c>
      <c r="J47" s="463">
        <f t="shared" si="3"/>
        <v>24536936.231364701</v>
      </c>
      <c r="K47" s="169"/>
      <c r="M47" s="24"/>
    </row>
    <row r="48" spans="2:13" ht="15.4" x14ac:dyDescent="0.45">
      <c r="B48" s="77" t="s">
        <v>123</v>
      </c>
      <c r="C48" s="162">
        <v>391</v>
      </c>
      <c r="D48" s="78" t="s">
        <v>128</v>
      </c>
      <c r="E48" s="170">
        <v>15267988.920024313</v>
      </c>
      <c r="F48" s="170">
        <v>25120227.020014048</v>
      </c>
      <c r="G48" s="170">
        <v>0</v>
      </c>
      <c r="H48" s="170">
        <v>0</v>
      </c>
      <c r="I48" s="170">
        <v>0</v>
      </c>
      <c r="J48" s="463">
        <f t="shared" si="3"/>
        <v>40388215.940038361</v>
      </c>
      <c r="K48" s="169"/>
      <c r="M48" s="24"/>
    </row>
    <row r="49" spans="2:13" ht="15.4" x14ac:dyDescent="0.45">
      <c r="B49" s="77" t="s">
        <v>123</v>
      </c>
      <c r="C49" s="162">
        <v>392</v>
      </c>
      <c r="D49" s="78" t="s">
        <v>129</v>
      </c>
      <c r="E49" s="170">
        <v>8781007.8182467632</v>
      </c>
      <c r="F49" s="170">
        <v>15113340.781426247</v>
      </c>
      <c r="G49" s="170">
        <v>0</v>
      </c>
      <c r="H49" s="170">
        <v>0</v>
      </c>
      <c r="I49" s="170">
        <v>0</v>
      </c>
      <c r="J49" s="463">
        <f t="shared" si="3"/>
        <v>23894348.59967301</v>
      </c>
      <c r="K49" s="169"/>
      <c r="M49" s="24"/>
    </row>
    <row r="50" spans="2:13" ht="15.4" x14ac:dyDescent="0.45">
      <c r="B50" s="77" t="s">
        <v>123</v>
      </c>
      <c r="C50" s="162">
        <v>929</v>
      </c>
      <c r="D50" s="78" t="s">
        <v>130</v>
      </c>
      <c r="E50" s="170">
        <v>14918567.138480818</v>
      </c>
      <c r="F50" s="170">
        <v>21905163.209967352</v>
      </c>
      <c r="G50" s="170">
        <v>0</v>
      </c>
      <c r="H50" s="170">
        <v>0</v>
      </c>
      <c r="I50" s="170">
        <v>0</v>
      </c>
      <c r="J50" s="463">
        <f t="shared" si="3"/>
        <v>36823730.348448172</v>
      </c>
      <c r="K50" s="169"/>
      <c r="M50" s="24"/>
    </row>
    <row r="51" spans="2:13" ht="15.4" x14ac:dyDescent="0.45">
      <c r="B51" s="77" t="s">
        <v>123</v>
      </c>
      <c r="C51" s="162">
        <v>807</v>
      </c>
      <c r="D51" s="78" t="s">
        <v>131</v>
      </c>
      <c r="E51" s="170">
        <v>7212513.2113444591</v>
      </c>
      <c r="F51" s="170">
        <v>11944476.732341211</v>
      </c>
      <c r="G51" s="170">
        <v>0</v>
      </c>
      <c r="H51" s="170">
        <v>0</v>
      </c>
      <c r="I51" s="170">
        <v>0</v>
      </c>
      <c r="J51" s="463">
        <f t="shared" si="3"/>
        <v>19156989.943685669</v>
      </c>
      <c r="K51" s="169"/>
      <c r="M51" s="24"/>
    </row>
    <row r="52" spans="2:13" ht="15.4" x14ac:dyDescent="0.45">
      <c r="B52" s="77" t="s">
        <v>123</v>
      </c>
      <c r="C52" s="162">
        <v>393</v>
      </c>
      <c r="D52" s="78" t="s">
        <v>132</v>
      </c>
      <c r="E52" s="170">
        <v>7344924.7471680511</v>
      </c>
      <c r="F52" s="170">
        <v>12725906.347384239</v>
      </c>
      <c r="G52" s="170">
        <v>0</v>
      </c>
      <c r="H52" s="170">
        <v>0</v>
      </c>
      <c r="I52" s="170">
        <v>0</v>
      </c>
      <c r="J52" s="463">
        <f t="shared" si="3"/>
        <v>20070831.09455229</v>
      </c>
      <c r="K52" s="169"/>
      <c r="M52" s="24"/>
    </row>
    <row r="53" spans="2:13" ht="15.4" x14ac:dyDescent="0.45">
      <c r="B53" s="77" t="s">
        <v>123</v>
      </c>
      <c r="C53" s="162">
        <v>808</v>
      </c>
      <c r="D53" s="78" t="s">
        <v>133</v>
      </c>
      <c r="E53" s="170">
        <v>11114311.345924458</v>
      </c>
      <c r="F53" s="170">
        <v>17435606.858994909</v>
      </c>
      <c r="G53" s="170">
        <v>0</v>
      </c>
      <c r="H53" s="170">
        <v>0</v>
      </c>
      <c r="I53" s="170">
        <v>0</v>
      </c>
      <c r="J53" s="463">
        <f t="shared" si="3"/>
        <v>28549918.204919368</v>
      </c>
      <c r="K53" s="169"/>
      <c r="M53" s="24"/>
    </row>
    <row r="54" spans="2:13" ht="15.4" x14ac:dyDescent="0.45">
      <c r="B54" s="77" t="s">
        <v>123</v>
      </c>
      <c r="C54" s="162">
        <v>394</v>
      </c>
      <c r="D54" s="78" t="s">
        <v>134</v>
      </c>
      <c r="E54" s="170">
        <v>9905450.3917676583</v>
      </c>
      <c r="F54" s="170">
        <v>22814100.102081977</v>
      </c>
      <c r="G54" s="170">
        <v>0</v>
      </c>
      <c r="H54" s="170">
        <v>-4127973.5031836666</v>
      </c>
      <c r="I54" s="170">
        <v>0</v>
      </c>
      <c r="J54" s="463">
        <f t="shared" si="3"/>
        <v>28591576.990665969</v>
      </c>
      <c r="K54" s="169"/>
      <c r="M54" s="24"/>
    </row>
    <row r="55" spans="2:13" ht="15.4" x14ac:dyDescent="0.45">
      <c r="B55" s="77" t="s">
        <v>135</v>
      </c>
      <c r="C55" s="162">
        <v>889</v>
      </c>
      <c r="D55" s="78" t="s">
        <v>136</v>
      </c>
      <c r="E55" s="170">
        <v>8437359.9312952347</v>
      </c>
      <c r="F55" s="170">
        <v>14563067.863813862</v>
      </c>
      <c r="G55" s="170">
        <v>0</v>
      </c>
      <c r="H55" s="170">
        <v>0</v>
      </c>
      <c r="I55" s="170">
        <v>0</v>
      </c>
      <c r="J55" s="463">
        <f t="shared" si="3"/>
        <v>23000427.795109097</v>
      </c>
      <c r="K55" s="169"/>
      <c r="M55" s="24"/>
    </row>
    <row r="56" spans="2:13" ht="15.4" x14ac:dyDescent="0.45">
      <c r="B56" s="77" t="s">
        <v>135</v>
      </c>
      <c r="C56" s="162">
        <v>890</v>
      </c>
      <c r="D56" s="78" t="s">
        <v>137</v>
      </c>
      <c r="E56" s="170">
        <v>7681927.1899473108</v>
      </c>
      <c r="F56" s="170">
        <v>12897028.222878858</v>
      </c>
      <c r="G56" s="170">
        <v>0</v>
      </c>
      <c r="H56" s="170">
        <v>0</v>
      </c>
      <c r="I56" s="170">
        <v>0</v>
      </c>
      <c r="J56" s="463">
        <f t="shared" si="3"/>
        <v>20578955.412826169</v>
      </c>
      <c r="K56" s="169"/>
      <c r="M56" s="24"/>
    </row>
    <row r="57" spans="2:13" ht="15.4" x14ac:dyDescent="0.45">
      <c r="B57" s="77" t="s">
        <v>135</v>
      </c>
      <c r="C57" s="162">
        <v>350</v>
      </c>
      <c r="D57" s="78" t="s">
        <v>138</v>
      </c>
      <c r="E57" s="170">
        <v>15225443.841654262</v>
      </c>
      <c r="F57" s="170">
        <v>26624888.81457559</v>
      </c>
      <c r="G57" s="170">
        <v>0</v>
      </c>
      <c r="H57" s="170">
        <v>0</v>
      </c>
      <c r="I57" s="170">
        <v>0</v>
      </c>
      <c r="J57" s="463">
        <f t="shared" si="3"/>
        <v>41850332.656229854</v>
      </c>
      <c r="K57" s="169"/>
      <c r="M57" s="24"/>
    </row>
    <row r="58" spans="2:13" ht="15.4" x14ac:dyDescent="0.45">
      <c r="B58" s="77" t="s">
        <v>135</v>
      </c>
      <c r="C58" s="162">
        <v>351</v>
      </c>
      <c r="D58" s="78" t="s">
        <v>139</v>
      </c>
      <c r="E58" s="170">
        <v>13645658.930881139</v>
      </c>
      <c r="F58" s="170">
        <v>15160662.445633747</v>
      </c>
      <c r="G58" s="170">
        <v>4768776.0090724668</v>
      </c>
      <c r="H58" s="170">
        <v>0</v>
      </c>
      <c r="I58" s="170">
        <v>0</v>
      </c>
      <c r="J58" s="463">
        <f t="shared" si="3"/>
        <v>33575097.38558735</v>
      </c>
      <c r="K58" s="169"/>
      <c r="M58" s="24"/>
    </row>
    <row r="59" spans="2:13" ht="15.4" x14ac:dyDescent="0.45">
      <c r="B59" s="77" t="s">
        <v>135</v>
      </c>
      <c r="C59" s="162">
        <v>895</v>
      </c>
      <c r="D59" s="78" t="s">
        <v>140</v>
      </c>
      <c r="E59" s="170">
        <v>16535476.599105094</v>
      </c>
      <c r="F59" s="170">
        <v>23455159.058115188</v>
      </c>
      <c r="G59" s="170">
        <v>1014961.5388635485</v>
      </c>
      <c r="H59" s="170">
        <v>0</v>
      </c>
      <c r="I59" s="170">
        <v>0</v>
      </c>
      <c r="J59" s="463">
        <f t="shared" si="3"/>
        <v>41005597.196083829</v>
      </c>
      <c r="K59" s="169"/>
      <c r="M59" s="24"/>
    </row>
    <row r="60" spans="2:13" ht="15.4" x14ac:dyDescent="0.45">
      <c r="B60" s="77" t="s">
        <v>135</v>
      </c>
      <c r="C60" s="162">
        <v>896</v>
      </c>
      <c r="D60" s="78" t="s">
        <v>141</v>
      </c>
      <c r="E60" s="170">
        <v>16317190.201425629</v>
      </c>
      <c r="F60" s="170">
        <v>23572023.22252401</v>
      </c>
      <c r="G60" s="170">
        <v>455012.89964164869</v>
      </c>
      <c r="H60" s="170">
        <v>0</v>
      </c>
      <c r="I60" s="170">
        <v>0</v>
      </c>
      <c r="J60" s="463">
        <f t="shared" si="3"/>
        <v>40344226.323591284</v>
      </c>
      <c r="K60" s="169"/>
      <c r="M60" s="24"/>
    </row>
    <row r="61" spans="2:13" ht="15.4" x14ac:dyDescent="0.45">
      <c r="B61" s="77" t="s">
        <v>135</v>
      </c>
      <c r="C61" s="162">
        <v>909</v>
      </c>
      <c r="D61" s="78" t="s">
        <v>142</v>
      </c>
      <c r="E61" s="170">
        <v>19720094.787625886</v>
      </c>
      <c r="F61" s="170">
        <v>30116822.262877829</v>
      </c>
      <c r="G61" s="170">
        <v>0</v>
      </c>
      <c r="H61" s="170">
        <v>0</v>
      </c>
      <c r="I61" s="170">
        <v>240000</v>
      </c>
      <c r="J61" s="463">
        <f t="shared" si="3"/>
        <v>50076917.050503716</v>
      </c>
      <c r="K61" s="169"/>
      <c r="M61" s="24"/>
    </row>
    <row r="62" spans="2:13" ht="15.4" x14ac:dyDescent="0.45">
      <c r="B62" s="77" t="s">
        <v>135</v>
      </c>
      <c r="C62" s="162">
        <v>876</v>
      </c>
      <c r="D62" s="78" t="s">
        <v>143</v>
      </c>
      <c r="E62" s="170">
        <v>7353513.5727012474</v>
      </c>
      <c r="F62" s="170">
        <v>11960803.957394345</v>
      </c>
      <c r="G62" s="170">
        <v>0</v>
      </c>
      <c r="H62" s="170">
        <v>0</v>
      </c>
      <c r="I62" s="170">
        <v>0</v>
      </c>
      <c r="J62" s="463">
        <f t="shared" si="3"/>
        <v>19314317.530095592</v>
      </c>
      <c r="K62" s="169"/>
      <c r="M62" s="24"/>
    </row>
    <row r="63" spans="2:13" ht="15.4" x14ac:dyDescent="0.45">
      <c r="B63" s="77" t="s">
        <v>135</v>
      </c>
      <c r="C63" s="162">
        <v>340</v>
      </c>
      <c r="D63" s="78" t="s">
        <v>144</v>
      </c>
      <c r="E63" s="170">
        <v>8859253.341232596</v>
      </c>
      <c r="F63" s="170">
        <v>15500675.709561622</v>
      </c>
      <c r="G63" s="170">
        <v>0</v>
      </c>
      <c r="H63" s="170">
        <v>0</v>
      </c>
      <c r="I63" s="170">
        <v>0</v>
      </c>
      <c r="J63" s="463">
        <f t="shared" si="3"/>
        <v>24359929.050794218</v>
      </c>
      <c r="K63" s="169"/>
      <c r="M63" s="24"/>
    </row>
    <row r="64" spans="2:13" ht="15.4" x14ac:dyDescent="0.45">
      <c r="B64" s="77" t="s">
        <v>135</v>
      </c>
      <c r="C64" s="162">
        <v>888</v>
      </c>
      <c r="D64" s="78" t="s">
        <v>145</v>
      </c>
      <c r="E64" s="170">
        <v>48059905.739182912</v>
      </c>
      <c r="F64" s="170">
        <v>88433945.77497226</v>
      </c>
      <c r="G64" s="170">
        <v>0</v>
      </c>
      <c r="H64" s="170">
        <v>0</v>
      </c>
      <c r="I64" s="170">
        <v>6000</v>
      </c>
      <c r="J64" s="463">
        <f t="shared" si="3"/>
        <v>136499851.51415518</v>
      </c>
      <c r="K64" s="169"/>
      <c r="M64" s="24"/>
    </row>
    <row r="65" spans="2:13" ht="15.4" x14ac:dyDescent="0.45">
      <c r="B65" s="77" t="s">
        <v>135</v>
      </c>
      <c r="C65" s="162">
        <v>341</v>
      </c>
      <c r="D65" s="78" t="s">
        <v>146</v>
      </c>
      <c r="E65" s="170">
        <v>19616464.380863205</v>
      </c>
      <c r="F65" s="170">
        <v>45082395.912767656</v>
      </c>
      <c r="G65" s="170">
        <v>0</v>
      </c>
      <c r="H65" s="170">
        <v>-5976748.3524150252</v>
      </c>
      <c r="I65" s="170">
        <v>0</v>
      </c>
      <c r="J65" s="463">
        <f t="shared" si="3"/>
        <v>58722111.941215836</v>
      </c>
      <c r="K65" s="169"/>
      <c r="M65" s="24"/>
    </row>
    <row r="66" spans="2:13" ht="15.4" x14ac:dyDescent="0.45">
      <c r="B66" s="77" t="s">
        <v>135</v>
      </c>
      <c r="C66" s="162">
        <v>352</v>
      </c>
      <c r="D66" s="78" t="s">
        <v>147</v>
      </c>
      <c r="E66" s="170">
        <v>31740265.604387954</v>
      </c>
      <c r="F66" s="170">
        <v>57106344.537332892</v>
      </c>
      <c r="G66" s="170">
        <v>0</v>
      </c>
      <c r="H66" s="170">
        <v>0</v>
      </c>
      <c r="I66" s="170">
        <v>786000</v>
      </c>
      <c r="J66" s="463">
        <f t="shared" si="3"/>
        <v>89632610.141720846</v>
      </c>
      <c r="K66" s="169"/>
      <c r="M66" s="24"/>
    </row>
    <row r="67" spans="2:13" ht="15.4" x14ac:dyDescent="0.45">
      <c r="B67" s="77" t="s">
        <v>135</v>
      </c>
      <c r="C67" s="162">
        <v>353</v>
      </c>
      <c r="D67" s="78" t="s">
        <v>148</v>
      </c>
      <c r="E67" s="170">
        <v>13051513.011100166</v>
      </c>
      <c r="F67" s="170">
        <v>25288356.429551959</v>
      </c>
      <c r="G67" s="170">
        <v>0</v>
      </c>
      <c r="H67" s="170">
        <v>-337648.11717386544</v>
      </c>
      <c r="I67" s="170">
        <v>0</v>
      </c>
      <c r="J67" s="463">
        <f t="shared" si="3"/>
        <v>38002221.323478259</v>
      </c>
      <c r="K67" s="169"/>
      <c r="M67" s="24"/>
    </row>
    <row r="68" spans="2:13" ht="15.4" x14ac:dyDescent="0.45">
      <c r="B68" s="77" t="s">
        <v>135</v>
      </c>
      <c r="C68" s="162">
        <v>354</v>
      </c>
      <c r="D68" s="78" t="s">
        <v>149</v>
      </c>
      <c r="E68" s="170">
        <v>9880293.7918790244</v>
      </c>
      <c r="F68" s="170">
        <v>21823542.464346182</v>
      </c>
      <c r="G68" s="170">
        <v>0</v>
      </c>
      <c r="H68" s="170">
        <v>-2672843.7298309878</v>
      </c>
      <c r="I68" s="170">
        <v>0</v>
      </c>
      <c r="J68" s="463">
        <f t="shared" si="3"/>
        <v>29030992.526394218</v>
      </c>
      <c r="K68" s="169"/>
      <c r="M68" s="24"/>
    </row>
    <row r="69" spans="2:13" ht="15.4" x14ac:dyDescent="0.45">
      <c r="B69" s="77" t="s">
        <v>135</v>
      </c>
      <c r="C69" s="162">
        <v>355</v>
      </c>
      <c r="D69" s="78" t="s">
        <v>150</v>
      </c>
      <c r="E69" s="170">
        <v>14295170.259389002</v>
      </c>
      <c r="F69" s="170">
        <v>23239805.621170778</v>
      </c>
      <c r="G69" s="170">
        <v>0</v>
      </c>
      <c r="H69" s="170">
        <v>0</v>
      </c>
      <c r="I69" s="170">
        <v>36000</v>
      </c>
      <c r="J69" s="463">
        <f t="shared" si="3"/>
        <v>37570975.88055978</v>
      </c>
      <c r="K69" s="169"/>
      <c r="M69" s="24"/>
    </row>
    <row r="70" spans="2:13" ht="15.4" x14ac:dyDescent="0.45">
      <c r="B70" s="77" t="s">
        <v>135</v>
      </c>
      <c r="C70" s="162">
        <v>343</v>
      </c>
      <c r="D70" s="78" t="s">
        <v>151</v>
      </c>
      <c r="E70" s="170">
        <v>12282357.636888251</v>
      </c>
      <c r="F70" s="170">
        <v>20280514.350949947</v>
      </c>
      <c r="G70" s="170">
        <v>0</v>
      </c>
      <c r="H70" s="170">
        <v>0</v>
      </c>
      <c r="I70" s="170">
        <v>0</v>
      </c>
      <c r="J70" s="463">
        <f t="shared" si="3"/>
        <v>32562871.987838197</v>
      </c>
      <c r="K70" s="169"/>
      <c r="M70" s="24"/>
    </row>
    <row r="71" spans="2:13" ht="15.4" x14ac:dyDescent="0.45">
      <c r="B71" s="77" t="s">
        <v>135</v>
      </c>
      <c r="C71" s="162">
        <v>342</v>
      </c>
      <c r="D71" s="78" t="s">
        <v>522</v>
      </c>
      <c r="E71" s="170">
        <v>9921978.1594597269</v>
      </c>
      <c r="F71" s="170">
        <v>14611652.982781978</v>
      </c>
      <c r="G71" s="170">
        <v>0</v>
      </c>
      <c r="H71" s="170">
        <v>0</v>
      </c>
      <c r="I71" s="170">
        <v>0</v>
      </c>
      <c r="J71" s="463">
        <f t="shared" si="3"/>
        <v>24533631.142241705</v>
      </c>
      <c r="K71" s="169"/>
      <c r="M71" s="24"/>
    </row>
    <row r="72" spans="2:13" ht="15.4" x14ac:dyDescent="0.45">
      <c r="B72" s="77" t="s">
        <v>135</v>
      </c>
      <c r="C72" s="162">
        <v>356</v>
      </c>
      <c r="D72" s="78" t="s">
        <v>152</v>
      </c>
      <c r="E72" s="170">
        <v>13727727.665820554</v>
      </c>
      <c r="F72" s="170">
        <v>21046610.722352773</v>
      </c>
      <c r="G72" s="170">
        <v>0</v>
      </c>
      <c r="H72" s="170">
        <v>0</v>
      </c>
      <c r="I72" s="170">
        <v>18000</v>
      </c>
      <c r="J72" s="463">
        <f t="shared" si="3"/>
        <v>34792338.388173327</v>
      </c>
      <c r="K72" s="169"/>
      <c r="M72" s="24"/>
    </row>
    <row r="73" spans="2:13" ht="15.4" x14ac:dyDescent="0.45">
      <c r="B73" s="77" t="s">
        <v>135</v>
      </c>
      <c r="C73" s="162">
        <v>357</v>
      </c>
      <c r="D73" s="78" t="s">
        <v>153</v>
      </c>
      <c r="E73" s="170">
        <v>8655812.6571818385</v>
      </c>
      <c r="F73" s="170">
        <v>19963470.043565392</v>
      </c>
      <c r="G73" s="170">
        <v>0</v>
      </c>
      <c r="H73" s="170">
        <v>-3150859.0064187907</v>
      </c>
      <c r="I73" s="170">
        <v>0</v>
      </c>
      <c r="J73" s="463">
        <f t="shared" si="3"/>
        <v>25468423.694328438</v>
      </c>
      <c r="K73" s="169"/>
      <c r="M73" s="24"/>
    </row>
    <row r="74" spans="2:13" ht="15.4" x14ac:dyDescent="0.45">
      <c r="B74" s="77" t="s">
        <v>135</v>
      </c>
      <c r="C74" s="162">
        <v>358</v>
      </c>
      <c r="D74" s="78" t="s">
        <v>154</v>
      </c>
      <c r="E74" s="170">
        <v>11396274.182333272</v>
      </c>
      <c r="F74" s="170">
        <v>17063593.52076485</v>
      </c>
      <c r="G74" s="170">
        <v>406130.66390631336</v>
      </c>
      <c r="H74" s="170">
        <v>0</v>
      </c>
      <c r="I74" s="170">
        <v>420000</v>
      </c>
      <c r="J74" s="463">
        <f t="shared" ref="J74:J105" si="5">SUM(E74:I74)</f>
        <v>29285998.367004436</v>
      </c>
      <c r="K74" s="169"/>
      <c r="M74" s="24"/>
    </row>
    <row r="75" spans="2:13" ht="15.4" x14ac:dyDescent="0.45">
      <c r="B75" s="77" t="s">
        <v>135</v>
      </c>
      <c r="C75" s="162">
        <v>877</v>
      </c>
      <c r="D75" s="78" t="s">
        <v>155</v>
      </c>
      <c r="E75" s="170">
        <v>9013191.7214255389</v>
      </c>
      <c r="F75" s="170">
        <v>14578454.857376689</v>
      </c>
      <c r="G75" s="170">
        <v>0</v>
      </c>
      <c r="H75" s="170">
        <v>0</v>
      </c>
      <c r="I75" s="170">
        <v>0</v>
      </c>
      <c r="J75" s="463">
        <f t="shared" si="5"/>
        <v>23591646.578802228</v>
      </c>
      <c r="K75" s="169"/>
      <c r="M75" s="24"/>
    </row>
    <row r="76" spans="2:13" ht="15.4" x14ac:dyDescent="0.45">
      <c r="B76" s="77" t="s">
        <v>135</v>
      </c>
      <c r="C76" s="162">
        <v>359</v>
      </c>
      <c r="D76" s="78" t="s">
        <v>156</v>
      </c>
      <c r="E76" s="170">
        <v>12527873.113839479</v>
      </c>
      <c r="F76" s="170">
        <v>24471867.176849477</v>
      </c>
      <c r="G76" s="170">
        <v>0</v>
      </c>
      <c r="H76" s="170">
        <v>-1001444.2973451912</v>
      </c>
      <c r="I76" s="170">
        <v>0</v>
      </c>
      <c r="J76" s="463">
        <f t="shared" si="5"/>
        <v>35998295.993343763</v>
      </c>
      <c r="K76" s="169"/>
      <c r="M76" s="24"/>
    </row>
    <row r="77" spans="2:13" ht="15.4" x14ac:dyDescent="0.45">
      <c r="B77" s="77" t="s">
        <v>135</v>
      </c>
      <c r="C77" s="162">
        <v>344</v>
      </c>
      <c r="D77" s="78" t="s">
        <v>157</v>
      </c>
      <c r="E77" s="170">
        <v>14518417.85787775</v>
      </c>
      <c r="F77" s="170">
        <v>27291781.737694923</v>
      </c>
      <c r="G77" s="170">
        <v>0</v>
      </c>
      <c r="H77" s="170">
        <v>0</v>
      </c>
      <c r="I77" s="170">
        <v>0</v>
      </c>
      <c r="J77" s="463">
        <f t="shared" si="5"/>
        <v>41810199.595572673</v>
      </c>
      <c r="K77" s="169"/>
      <c r="M77" s="24"/>
    </row>
    <row r="78" spans="2:13" ht="15.4" x14ac:dyDescent="0.45">
      <c r="B78" s="77" t="s">
        <v>158</v>
      </c>
      <c r="C78" s="162">
        <v>301</v>
      </c>
      <c r="D78" s="78" t="s">
        <v>159</v>
      </c>
      <c r="E78" s="170">
        <v>12482620.907457069</v>
      </c>
      <c r="F78" s="170">
        <v>26705853.271798246</v>
      </c>
      <c r="G78" s="170">
        <v>0</v>
      </c>
      <c r="H78" s="170">
        <v>-858168.4284812808</v>
      </c>
      <c r="I78" s="170">
        <v>0</v>
      </c>
      <c r="J78" s="463">
        <f t="shared" si="5"/>
        <v>38330305.750774033</v>
      </c>
      <c r="K78" s="169"/>
      <c r="M78" s="24"/>
    </row>
    <row r="79" spans="2:13" ht="15.4" x14ac:dyDescent="0.45">
      <c r="B79" s="77" t="s">
        <v>158</v>
      </c>
      <c r="C79" s="162">
        <v>302</v>
      </c>
      <c r="D79" s="78" t="s">
        <v>160</v>
      </c>
      <c r="E79" s="170">
        <v>21625987.189735401</v>
      </c>
      <c r="F79" s="170">
        <v>30732912.746850904</v>
      </c>
      <c r="G79" s="170">
        <v>2415961.2920232806</v>
      </c>
      <c r="H79" s="170">
        <v>0</v>
      </c>
      <c r="I79" s="170">
        <v>0</v>
      </c>
      <c r="J79" s="463">
        <f t="shared" si="5"/>
        <v>54774861.228609584</v>
      </c>
      <c r="K79" s="169"/>
      <c r="M79" s="24"/>
    </row>
    <row r="80" spans="2:13" ht="15.4" x14ac:dyDescent="0.45">
      <c r="B80" s="77" t="s">
        <v>158</v>
      </c>
      <c r="C80" s="162">
        <v>303</v>
      </c>
      <c r="D80" s="78" t="s">
        <v>161</v>
      </c>
      <c r="E80" s="170">
        <v>14696026.132432904</v>
      </c>
      <c r="F80" s="170">
        <v>20736677.195503581</v>
      </c>
      <c r="G80" s="170">
        <v>1572351.4389481554</v>
      </c>
      <c r="H80" s="170">
        <v>0</v>
      </c>
      <c r="I80" s="170">
        <v>0</v>
      </c>
      <c r="J80" s="463">
        <f t="shared" si="5"/>
        <v>37005054.76688464</v>
      </c>
      <c r="K80" s="169"/>
      <c r="M80" s="24"/>
    </row>
    <row r="81" spans="2:13" ht="15.4" x14ac:dyDescent="0.45">
      <c r="B81" s="77" t="s">
        <v>158</v>
      </c>
      <c r="C81" s="162">
        <v>304</v>
      </c>
      <c r="D81" s="78" t="s">
        <v>162</v>
      </c>
      <c r="E81" s="170">
        <v>25953945.224596709</v>
      </c>
      <c r="F81" s="170">
        <v>30760245.954010837</v>
      </c>
      <c r="G81" s="170">
        <v>7658892.5796640692</v>
      </c>
      <c r="H81" s="170">
        <v>0</v>
      </c>
      <c r="I81" s="170">
        <v>0</v>
      </c>
      <c r="J81" s="463">
        <f t="shared" si="5"/>
        <v>64373083.758271612</v>
      </c>
      <c r="K81" s="169"/>
      <c r="M81" s="24"/>
    </row>
    <row r="82" spans="2:13" ht="15.4" x14ac:dyDescent="0.45">
      <c r="B82" s="77" t="s">
        <v>158</v>
      </c>
      <c r="C82" s="162">
        <v>305</v>
      </c>
      <c r="D82" s="78" t="s">
        <v>163</v>
      </c>
      <c r="E82" s="170">
        <v>20673297.326787718</v>
      </c>
      <c r="F82" s="170">
        <v>24392395.696795598</v>
      </c>
      <c r="G82" s="170">
        <v>7503219.7440010263</v>
      </c>
      <c r="H82" s="170">
        <v>0</v>
      </c>
      <c r="I82" s="170">
        <v>0</v>
      </c>
      <c r="J82" s="463">
        <f t="shared" si="5"/>
        <v>52568912.767584339</v>
      </c>
      <c r="K82" s="169"/>
      <c r="M82" s="24"/>
    </row>
    <row r="83" spans="2:13" ht="15.4" x14ac:dyDescent="0.45">
      <c r="B83" s="77" t="s">
        <v>158</v>
      </c>
      <c r="C83" s="162">
        <v>306</v>
      </c>
      <c r="D83" s="78" t="s">
        <v>164</v>
      </c>
      <c r="E83" s="170">
        <v>27359993.428959522</v>
      </c>
      <c r="F83" s="170">
        <v>36863592.41844438</v>
      </c>
      <c r="G83" s="170">
        <v>3841495.9234707681</v>
      </c>
      <c r="H83" s="170">
        <v>0</v>
      </c>
      <c r="I83" s="170">
        <v>0</v>
      </c>
      <c r="J83" s="463">
        <f t="shared" si="5"/>
        <v>68065081.770874664</v>
      </c>
      <c r="K83" s="169"/>
      <c r="M83" s="24"/>
    </row>
    <row r="84" spans="2:13" ht="15.4" x14ac:dyDescent="0.45">
      <c r="B84" s="77" t="s">
        <v>158</v>
      </c>
      <c r="C84" s="162">
        <v>307</v>
      </c>
      <c r="D84" s="78" t="s">
        <v>165</v>
      </c>
      <c r="E84" s="170">
        <v>24602555.986506972</v>
      </c>
      <c r="F84" s="170">
        <v>30535221.623788048</v>
      </c>
      <c r="G84" s="170">
        <v>4933659.9557609288</v>
      </c>
      <c r="H84" s="170">
        <v>0</v>
      </c>
      <c r="I84" s="170">
        <v>0</v>
      </c>
      <c r="J84" s="463">
        <f t="shared" si="5"/>
        <v>60071437.566055946</v>
      </c>
      <c r="K84" s="169"/>
      <c r="M84" s="24"/>
    </row>
    <row r="85" spans="2:13" ht="15.4" x14ac:dyDescent="0.45">
      <c r="B85" s="77" t="s">
        <v>158</v>
      </c>
      <c r="C85" s="162">
        <v>308</v>
      </c>
      <c r="D85" s="78" t="s">
        <v>166</v>
      </c>
      <c r="E85" s="170">
        <v>21057171.906844079</v>
      </c>
      <c r="F85" s="170">
        <v>34921805.688189916</v>
      </c>
      <c r="G85" s="170">
        <v>76849.490004304433</v>
      </c>
      <c r="H85" s="170">
        <v>0</v>
      </c>
      <c r="I85" s="170">
        <v>0</v>
      </c>
      <c r="J85" s="463">
        <f t="shared" si="5"/>
        <v>56055827.085038297</v>
      </c>
      <c r="K85" s="169"/>
      <c r="M85" s="24"/>
    </row>
    <row r="86" spans="2:13" ht="15.4" x14ac:dyDescent="0.45">
      <c r="B86" s="77" t="s">
        <v>158</v>
      </c>
      <c r="C86" s="162">
        <v>203</v>
      </c>
      <c r="D86" s="78" t="s">
        <v>167</v>
      </c>
      <c r="E86" s="170">
        <v>20822254.815020937</v>
      </c>
      <c r="F86" s="170">
        <v>30509753.59712166</v>
      </c>
      <c r="G86" s="170">
        <v>1290263.2130020547</v>
      </c>
      <c r="H86" s="170">
        <v>0</v>
      </c>
      <c r="I86" s="170">
        <v>0</v>
      </c>
      <c r="J86" s="463">
        <f t="shared" si="5"/>
        <v>52622271.625144653</v>
      </c>
      <c r="K86" s="169"/>
      <c r="M86" s="24"/>
    </row>
    <row r="87" spans="2:13" ht="15.4" x14ac:dyDescent="0.45">
      <c r="B87" s="77" t="s">
        <v>158</v>
      </c>
      <c r="C87" s="162">
        <v>310</v>
      </c>
      <c r="D87" s="78" t="s">
        <v>168</v>
      </c>
      <c r="E87" s="170">
        <v>14670609.103239248</v>
      </c>
      <c r="F87" s="170">
        <v>18970910.846740514</v>
      </c>
      <c r="G87" s="170">
        <v>3015254.8026920375</v>
      </c>
      <c r="H87" s="170">
        <v>0</v>
      </c>
      <c r="I87" s="170">
        <v>0</v>
      </c>
      <c r="J87" s="463">
        <f t="shared" si="5"/>
        <v>36656774.752671801</v>
      </c>
      <c r="K87" s="169"/>
      <c r="M87" s="24"/>
    </row>
    <row r="88" spans="2:13" ht="15.4" x14ac:dyDescent="0.45">
      <c r="B88" s="77" t="s">
        <v>158</v>
      </c>
      <c r="C88" s="162">
        <v>311</v>
      </c>
      <c r="D88" s="78" t="s">
        <v>169</v>
      </c>
      <c r="E88" s="170">
        <v>10603814.177797958</v>
      </c>
      <c r="F88" s="170">
        <v>20310834.740520321</v>
      </c>
      <c r="G88" s="170">
        <v>39033.297518053609</v>
      </c>
      <c r="H88" s="170">
        <v>0</v>
      </c>
      <c r="I88" s="170">
        <v>0</v>
      </c>
      <c r="J88" s="463">
        <f t="shared" si="5"/>
        <v>30953682.215836331</v>
      </c>
      <c r="K88" s="169"/>
      <c r="M88" s="24"/>
    </row>
    <row r="89" spans="2:13" ht="15.4" x14ac:dyDescent="0.45">
      <c r="B89" s="77" t="s">
        <v>158</v>
      </c>
      <c r="C89" s="162">
        <v>312</v>
      </c>
      <c r="D89" s="78" t="s">
        <v>170</v>
      </c>
      <c r="E89" s="170">
        <v>15937975.040976947</v>
      </c>
      <c r="F89" s="170">
        <v>27246768.195023477</v>
      </c>
      <c r="G89" s="170">
        <v>502917.11536663672</v>
      </c>
      <c r="H89" s="170">
        <v>0</v>
      </c>
      <c r="I89" s="170">
        <v>0</v>
      </c>
      <c r="J89" s="463">
        <f t="shared" si="5"/>
        <v>43687660.351367064</v>
      </c>
      <c r="K89" s="169"/>
      <c r="M89" s="24"/>
    </row>
    <row r="90" spans="2:13" ht="15.4" x14ac:dyDescent="0.45">
      <c r="B90" s="77" t="s">
        <v>158</v>
      </c>
      <c r="C90" s="162">
        <v>313</v>
      </c>
      <c r="D90" s="78" t="s">
        <v>171</v>
      </c>
      <c r="E90" s="170">
        <v>21161149.328968402</v>
      </c>
      <c r="F90" s="170">
        <v>24097155.506595757</v>
      </c>
      <c r="G90" s="170">
        <v>8104661.6802914953</v>
      </c>
      <c r="H90" s="170">
        <v>0</v>
      </c>
      <c r="I90" s="170">
        <v>0</v>
      </c>
      <c r="J90" s="463">
        <f t="shared" si="5"/>
        <v>53362966.515855655</v>
      </c>
      <c r="K90" s="169"/>
      <c r="M90" s="24"/>
    </row>
    <row r="91" spans="2:13" ht="15.4" x14ac:dyDescent="0.45">
      <c r="B91" s="77" t="s">
        <v>158</v>
      </c>
      <c r="C91" s="162">
        <v>314</v>
      </c>
      <c r="D91" s="78" t="s">
        <v>172</v>
      </c>
      <c r="E91" s="170">
        <v>8976122.3101294581</v>
      </c>
      <c r="F91" s="170">
        <v>12102544.233659571</v>
      </c>
      <c r="G91" s="170">
        <v>2029260.1463866939</v>
      </c>
      <c r="H91" s="170">
        <v>0</v>
      </c>
      <c r="I91" s="170">
        <v>0</v>
      </c>
      <c r="J91" s="463">
        <f t="shared" si="5"/>
        <v>23107926.690175723</v>
      </c>
      <c r="K91" s="169"/>
      <c r="M91" s="24"/>
    </row>
    <row r="92" spans="2:13" ht="15.4" x14ac:dyDescent="0.45">
      <c r="B92" s="77" t="s">
        <v>158</v>
      </c>
      <c r="C92" s="162">
        <v>315</v>
      </c>
      <c r="D92" s="78" t="s">
        <v>173</v>
      </c>
      <c r="E92" s="170">
        <v>15277871.307622733</v>
      </c>
      <c r="F92" s="170">
        <v>16359926.862372389</v>
      </c>
      <c r="G92" s="170">
        <v>6312220.930401694</v>
      </c>
      <c r="H92" s="170">
        <v>0</v>
      </c>
      <c r="I92" s="170">
        <v>0</v>
      </c>
      <c r="J92" s="463">
        <f t="shared" si="5"/>
        <v>37950019.100396812</v>
      </c>
      <c r="K92" s="169"/>
      <c r="M92" s="24"/>
    </row>
    <row r="93" spans="2:13" ht="15.4" x14ac:dyDescent="0.45">
      <c r="B93" s="77" t="s">
        <v>158</v>
      </c>
      <c r="C93" s="162">
        <v>317</v>
      </c>
      <c r="D93" s="78" t="s">
        <v>174</v>
      </c>
      <c r="E93" s="170">
        <v>19881199.289481558</v>
      </c>
      <c r="F93" s="170">
        <v>24160064.243923232</v>
      </c>
      <c r="G93" s="170">
        <v>5349780.0319065452</v>
      </c>
      <c r="H93" s="170">
        <v>0</v>
      </c>
      <c r="I93" s="170">
        <v>0</v>
      </c>
      <c r="J93" s="463">
        <f t="shared" si="5"/>
        <v>49391043.565311335</v>
      </c>
      <c r="K93" s="169"/>
      <c r="M93" s="24"/>
    </row>
    <row r="94" spans="2:13" ht="15.4" x14ac:dyDescent="0.45">
      <c r="B94" s="77" t="s">
        <v>158</v>
      </c>
      <c r="C94" s="162">
        <v>318</v>
      </c>
      <c r="D94" s="78" t="s">
        <v>175</v>
      </c>
      <c r="E94" s="170">
        <v>11202855.505861316</v>
      </c>
      <c r="F94" s="170">
        <v>12498084.194368184</v>
      </c>
      <c r="G94" s="170">
        <v>4304957.8511860734</v>
      </c>
      <c r="H94" s="170">
        <v>0</v>
      </c>
      <c r="I94" s="170">
        <v>0</v>
      </c>
      <c r="J94" s="463">
        <f t="shared" si="5"/>
        <v>28005897.551415574</v>
      </c>
      <c r="K94" s="169"/>
      <c r="M94" s="24"/>
    </row>
    <row r="95" spans="2:13" ht="15.4" x14ac:dyDescent="0.45">
      <c r="B95" s="77" t="s">
        <v>158</v>
      </c>
      <c r="C95" s="162">
        <v>319</v>
      </c>
      <c r="D95" s="78" t="s">
        <v>176</v>
      </c>
      <c r="E95" s="170">
        <v>16830504.635167155</v>
      </c>
      <c r="F95" s="170">
        <v>15948724.513975609</v>
      </c>
      <c r="G95" s="170">
        <v>10063338.786961675</v>
      </c>
      <c r="H95" s="170">
        <v>0</v>
      </c>
      <c r="I95" s="170">
        <v>0</v>
      </c>
      <c r="J95" s="463">
        <f t="shared" si="5"/>
        <v>42842567.936104439</v>
      </c>
      <c r="K95" s="169"/>
      <c r="M95" s="24"/>
    </row>
    <row r="96" spans="2:13" ht="15.4" x14ac:dyDescent="0.45">
      <c r="B96" s="77" t="s">
        <v>158</v>
      </c>
      <c r="C96" s="162">
        <v>320</v>
      </c>
      <c r="D96" s="78" t="s">
        <v>177</v>
      </c>
      <c r="E96" s="170">
        <v>15661426.342139134</v>
      </c>
      <c r="F96" s="170">
        <v>24599085.236321568</v>
      </c>
      <c r="G96" s="170">
        <v>919952.36181293998</v>
      </c>
      <c r="H96" s="170">
        <v>0</v>
      </c>
      <c r="I96" s="170">
        <v>0</v>
      </c>
      <c r="J96" s="463">
        <f t="shared" si="5"/>
        <v>41180463.940273643</v>
      </c>
      <c r="K96" s="169"/>
      <c r="M96" s="24"/>
    </row>
    <row r="97" spans="2:13" ht="15.4" x14ac:dyDescent="0.45">
      <c r="B97" s="77" t="s">
        <v>178</v>
      </c>
      <c r="C97" s="162">
        <v>867</v>
      </c>
      <c r="D97" s="78" t="s">
        <v>179</v>
      </c>
      <c r="E97" s="170">
        <v>7597056.3804125162</v>
      </c>
      <c r="F97" s="170">
        <v>8475658.8633869775</v>
      </c>
      <c r="G97" s="170">
        <v>2857364.0506424271</v>
      </c>
      <c r="H97" s="170">
        <v>0</v>
      </c>
      <c r="I97" s="170">
        <v>0</v>
      </c>
      <c r="J97" s="463">
        <f t="shared" si="5"/>
        <v>18930079.29444192</v>
      </c>
      <c r="K97" s="169"/>
      <c r="M97" s="24"/>
    </row>
    <row r="98" spans="2:13" ht="15.4" x14ac:dyDescent="0.45">
      <c r="B98" s="77" t="s">
        <v>178</v>
      </c>
      <c r="C98" s="162">
        <v>846</v>
      </c>
      <c r="D98" s="78" t="s">
        <v>180</v>
      </c>
      <c r="E98" s="170">
        <v>11464348.14856557</v>
      </c>
      <c r="F98" s="170">
        <v>17421294.626402684</v>
      </c>
      <c r="G98" s="170">
        <v>0</v>
      </c>
      <c r="H98" s="170">
        <v>0</v>
      </c>
      <c r="I98" s="170">
        <v>0</v>
      </c>
      <c r="J98" s="463">
        <f t="shared" si="5"/>
        <v>28885642.774968252</v>
      </c>
      <c r="K98" s="169"/>
      <c r="M98" s="24"/>
    </row>
    <row r="99" spans="2:13" ht="15.4" x14ac:dyDescent="0.45">
      <c r="B99" s="77" t="s">
        <v>178</v>
      </c>
      <c r="C99" s="162">
        <v>825</v>
      </c>
      <c r="D99" s="78" t="s">
        <v>181</v>
      </c>
      <c r="E99" s="170">
        <v>36813932.972700424</v>
      </c>
      <c r="F99" s="170">
        <v>37431614.938750587</v>
      </c>
      <c r="G99" s="170">
        <v>17916898.816925555</v>
      </c>
      <c r="H99" s="170">
        <v>0</v>
      </c>
      <c r="I99" s="170">
        <v>0</v>
      </c>
      <c r="J99" s="463">
        <f t="shared" si="5"/>
        <v>92162446.728376567</v>
      </c>
      <c r="K99" s="169"/>
      <c r="M99" s="24"/>
    </row>
    <row r="100" spans="2:13" ht="15.4" x14ac:dyDescent="0.45">
      <c r="B100" s="77" t="s">
        <v>178</v>
      </c>
      <c r="C100" s="162">
        <v>845</v>
      </c>
      <c r="D100" s="78" t="s">
        <v>182</v>
      </c>
      <c r="E100" s="170">
        <v>23239407.51847893</v>
      </c>
      <c r="F100" s="170">
        <v>37798138.531859301</v>
      </c>
      <c r="G100" s="170">
        <v>0</v>
      </c>
      <c r="H100" s="170">
        <v>0</v>
      </c>
      <c r="I100" s="170">
        <v>0</v>
      </c>
      <c r="J100" s="463">
        <f t="shared" si="5"/>
        <v>61037546.050338231</v>
      </c>
      <c r="K100" s="169"/>
      <c r="M100" s="24"/>
    </row>
    <row r="101" spans="2:13" ht="15.4" x14ac:dyDescent="0.45">
      <c r="B101" s="77" t="s">
        <v>178</v>
      </c>
      <c r="C101" s="162">
        <v>850</v>
      </c>
      <c r="D101" s="78" t="s">
        <v>183</v>
      </c>
      <c r="E101" s="170">
        <v>46009539.160244867</v>
      </c>
      <c r="F101" s="170">
        <v>87836911.327950671</v>
      </c>
      <c r="G101" s="170">
        <v>0</v>
      </c>
      <c r="H101" s="170">
        <v>0</v>
      </c>
      <c r="I101" s="170">
        <v>0</v>
      </c>
      <c r="J101" s="463">
        <f t="shared" si="5"/>
        <v>133846450.48819554</v>
      </c>
      <c r="K101" s="169"/>
      <c r="M101" s="24"/>
    </row>
    <row r="102" spans="2:13" ht="15.4" x14ac:dyDescent="0.45">
      <c r="B102" s="77" t="s">
        <v>178</v>
      </c>
      <c r="C102" s="162">
        <v>921</v>
      </c>
      <c r="D102" s="78" t="s">
        <v>184</v>
      </c>
      <c r="E102" s="170">
        <v>6947456.3846826525</v>
      </c>
      <c r="F102" s="170">
        <v>9768321.940348357</v>
      </c>
      <c r="G102" s="170">
        <v>0</v>
      </c>
      <c r="H102" s="170">
        <v>0</v>
      </c>
      <c r="I102" s="170">
        <v>0</v>
      </c>
      <c r="J102" s="463">
        <f t="shared" si="5"/>
        <v>16715778.325031009</v>
      </c>
      <c r="K102" s="169"/>
      <c r="M102" s="24"/>
    </row>
    <row r="103" spans="2:13" ht="15.4" x14ac:dyDescent="0.45">
      <c r="B103" s="77" t="s">
        <v>178</v>
      </c>
      <c r="C103" s="162">
        <v>886</v>
      </c>
      <c r="D103" s="78" t="s">
        <v>185</v>
      </c>
      <c r="E103" s="170">
        <v>87889671.410740748</v>
      </c>
      <c r="F103" s="170">
        <v>122909079.28539355</v>
      </c>
      <c r="G103" s="170">
        <v>8186953.4833361264</v>
      </c>
      <c r="H103" s="170">
        <v>0</v>
      </c>
      <c r="I103" s="170">
        <v>0</v>
      </c>
      <c r="J103" s="463">
        <f t="shared" si="5"/>
        <v>218985704.17947042</v>
      </c>
      <c r="K103" s="169"/>
      <c r="M103" s="24"/>
    </row>
    <row r="104" spans="2:13" ht="15.4" x14ac:dyDescent="0.45">
      <c r="B104" s="77" t="s">
        <v>178</v>
      </c>
      <c r="C104" s="162">
        <v>887</v>
      </c>
      <c r="D104" s="78" t="s">
        <v>186</v>
      </c>
      <c r="E104" s="170">
        <v>16183808.264204444</v>
      </c>
      <c r="F104" s="170">
        <v>23990329.785866782</v>
      </c>
      <c r="G104" s="170">
        <v>320048.09686030296</v>
      </c>
      <c r="H104" s="170">
        <v>0</v>
      </c>
      <c r="I104" s="170">
        <v>0</v>
      </c>
      <c r="J104" s="463">
        <f t="shared" si="5"/>
        <v>40494186.146931529</v>
      </c>
      <c r="K104" s="169"/>
      <c r="M104" s="24"/>
    </row>
    <row r="105" spans="2:13" ht="15.4" x14ac:dyDescent="0.45">
      <c r="B105" s="77" t="s">
        <v>178</v>
      </c>
      <c r="C105" s="162">
        <v>826</v>
      </c>
      <c r="D105" s="78" t="s">
        <v>187</v>
      </c>
      <c r="E105" s="170">
        <v>17544195.623370524</v>
      </c>
      <c r="F105" s="170">
        <v>23003822.228242528</v>
      </c>
      <c r="G105" s="170">
        <v>3646503.2159558367</v>
      </c>
      <c r="H105" s="170">
        <v>0</v>
      </c>
      <c r="I105" s="170">
        <v>0</v>
      </c>
      <c r="J105" s="463">
        <f t="shared" si="5"/>
        <v>44194521.067568891</v>
      </c>
      <c r="K105" s="169"/>
      <c r="M105" s="24"/>
    </row>
    <row r="106" spans="2:13" ht="15.4" x14ac:dyDescent="0.45">
      <c r="B106" s="77" t="s">
        <v>178</v>
      </c>
      <c r="C106" s="162">
        <v>931</v>
      </c>
      <c r="D106" s="78" t="s">
        <v>188</v>
      </c>
      <c r="E106" s="170">
        <v>25631572.447429925</v>
      </c>
      <c r="F106" s="170">
        <v>44530860.90217644</v>
      </c>
      <c r="G106" s="170">
        <v>0</v>
      </c>
      <c r="H106" s="170">
        <v>0</v>
      </c>
      <c r="I106" s="170">
        <v>0</v>
      </c>
      <c r="J106" s="463">
        <f t="shared" ref="J106:J137" si="6">SUM(E106:I106)</f>
        <v>70162433.349606365</v>
      </c>
      <c r="K106" s="169"/>
      <c r="M106" s="24"/>
    </row>
    <row r="107" spans="2:13" ht="15.4" x14ac:dyDescent="0.45">
      <c r="B107" s="77" t="s">
        <v>178</v>
      </c>
      <c r="C107" s="162">
        <v>851</v>
      </c>
      <c r="D107" s="78" t="s">
        <v>189</v>
      </c>
      <c r="E107" s="170">
        <v>8202241.9512381935</v>
      </c>
      <c r="F107" s="170">
        <v>17559301.25502608</v>
      </c>
      <c r="G107" s="170">
        <v>0</v>
      </c>
      <c r="H107" s="170">
        <v>-1706939.5590535998</v>
      </c>
      <c r="I107" s="170">
        <v>0</v>
      </c>
      <c r="J107" s="463">
        <f t="shared" si="6"/>
        <v>24054603.647210672</v>
      </c>
      <c r="K107" s="169"/>
      <c r="M107" s="24"/>
    </row>
    <row r="108" spans="2:13" ht="15.4" x14ac:dyDescent="0.45">
      <c r="B108" s="77" t="s">
        <v>178</v>
      </c>
      <c r="C108" s="162">
        <v>870</v>
      </c>
      <c r="D108" s="78" t="s">
        <v>190</v>
      </c>
      <c r="E108" s="170">
        <v>9816786.060360305</v>
      </c>
      <c r="F108" s="170">
        <v>13207240.092550527</v>
      </c>
      <c r="G108" s="170">
        <v>1663686.7448255345</v>
      </c>
      <c r="H108" s="170">
        <v>0</v>
      </c>
      <c r="I108" s="170">
        <v>0</v>
      </c>
      <c r="J108" s="463">
        <f t="shared" si="6"/>
        <v>24687712.897736367</v>
      </c>
      <c r="K108" s="169"/>
      <c r="M108" s="24"/>
    </row>
    <row r="109" spans="2:13" ht="15.4" x14ac:dyDescent="0.45">
      <c r="B109" s="77" t="s">
        <v>178</v>
      </c>
      <c r="C109" s="162">
        <v>871</v>
      </c>
      <c r="D109" s="78" t="s">
        <v>191</v>
      </c>
      <c r="E109" s="170">
        <v>10435307.123163173</v>
      </c>
      <c r="F109" s="170">
        <v>14188813.653159915</v>
      </c>
      <c r="G109" s="170">
        <v>1890305.404463137</v>
      </c>
      <c r="H109" s="170">
        <v>0</v>
      </c>
      <c r="I109" s="170">
        <v>0</v>
      </c>
      <c r="J109" s="463">
        <f t="shared" si="6"/>
        <v>26514426.180786226</v>
      </c>
      <c r="K109" s="169"/>
      <c r="M109" s="24"/>
    </row>
    <row r="110" spans="2:13" ht="15.4" x14ac:dyDescent="0.45">
      <c r="B110" s="77" t="s">
        <v>178</v>
      </c>
      <c r="C110" s="162">
        <v>852</v>
      </c>
      <c r="D110" s="78" t="s">
        <v>192</v>
      </c>
      <c r="E110" s="170">
        <v>10168036.733020771</v>
      </c>
      <c r="F110" s="170">
        <v>20078274.656827401</v>
      </c>
      <c r="G110" s="170">
        <v>0</v>
      </c>
      <c r="H110" s="170">
        <v>0</v>
      </c>
      <c r="I110" s="170">
        <v>0</v>
      </c>
      <c r="J110" s="463">
        <f t="shared" si="6"/>
        <v>30246311.389848173</v>
      </c>
      <c r="K110" s="169"/>
      <c r="M110" s="24"/>
    </row>
    <row r="111" spans="2:13" ht="15.4" x14ac:dyDescent="0.45">
      <c r="B111" s="77" t="s">
        <v>178</v>
      </c>
      <c r="C111" s="162">
        <v>936</v>
      </c>
      <c r="D111" s="78" t="s">
        <v>193</v>
      </c>
      <c r="E111" s="170">
        <v>64484116.711025029</v>
      </c>
      <c r="F111" s="170">
        <v>78963242.957342058</v>
      </c>
      <c r="G111" s="170">
        <v>16725632.547026405</v>
      </c>
      <c r="H111" s="170">
        <v>0</v>
      </c>
      <c r="I111" s="170">
        <v>0</v>
      </c>
      <c r="J111" s="463">
        <f t="shared" si="6"/>
        <v>160172992.21539348</v>
      </c>
      <c r="K111" s="169"/>
      <c r="M111" s="24"/>
    </row>
    <row r="112" spans="2:13" ht="15.4" x14ac:dyDescent="0.45">
      <c r="B112" s="77" t="s">
        <v>178</v>
      </c>
      <c r="C112" s="162">
        <v>869</v>
      </c>
      <c r="D112" s="78" t="s">
        <v>194</v>
      </c>
      <c r="E112" s="170">
        <v>8419066.0470872577</v>
      </c>
      <c r="F112" s="170">
        <v>10419822.422376251</v>
      </c>
      <c r="G112" s="170">
        <v>1692033.3696107981</v>
      </c>
      <c r="H112" s="170">
        <v>0</v>
      </c>
      <c r="I112" s="170">
        <v>0</v>
      </c>
      <c r="J112" s="463">
        <f t="shared" si="6"/>
        <v>20530921.839074306</v>
      </c>
      <c r="K112" s="169"/>
      <c r="M112" s="24"/>
    </row>
    <row r="113" spans="2:13" ht="15.4" x14ac:dyDescent="0.45">
      <c r="B113" s="77" t="s">
        <v>178</v>
      </c>
      <c r="C113" s="162">
        <v>938</v>
      </c>
      <c r="D113" s="78" t="s">
        <v>195</v>
      </c>
      <c r="E113" s="170">
        <v>34641902.69192607</v>
      </c>
      <c r="F113" s="170">
        <v>54474615.459755547</v>
      </c>
      <c r="G113" s="170">
        <v>0</v>
      </c>
      <c r="H113" s="170">
        <v>0</v>
      </c>
      <c r="I113" s="170">
        <v>0</v>
      </c>
      <c r="J113" s="463">
        <f t="shared" si="6"/>
        <v>89116518.151681617</v>
      </c>
      <c r="K113" s="169"/>
      <c r="M113" s="24"/>
    </row>
    <row r="114" spans="2:13" ht="15.4" x14ac:dyDescent="0.45">
      <c r="B114" s="77" t="s">
        <v>178</v>
      </c>
      <c r="C114" s="162">
        <v>868</v>
      </c>
      <c r="D114" s="78" t="s">
        <v>196</v>
      </c>
      <c r="E114" s="170">
        <v>8239494.7129741907</v>
      </c>
      <c r="F114" s="170">
        <v>9390147.7884452716</v>
      </c>
      <c r="G114" s="170">
        <v>2749386.227227523</v>
      </c>
      <c r="H114" s="170">
        <v>0</v>
      </c>
      <c r="I114" s="170">
        <v>0</v>
      </c>
      <c r="J114" s="463">
        <f t="shared" si="6"/>
        <v>20379028.728646986</v>
      </c>
      <c r="K114" s="169"/>
      <c r="M114" s="24"/>
    </row>
    <row r="115" spans="2:13" ht="15.4" x14ac:dyDescent="0.45">
      <c r="B115" s="77" t="s">
        <v>178</v>
      </c>
      <c r="C115" s="162">
        <v>872</v>
      </c>
      <c r="D115" s="78" t="s">
        <v>197</v>
      </c>
      <c r="E115" s="170">
        <v>8420711.5340594836</v>
      </c>
      <c r="F115" s="170">
        <v>10698516.366774265</v>
      </c>
      <c r="G115" s="170">
        <v>2269353.4520517406</v>
      </c>
      <c r="H115" s="170">
        <v>0</v>
      </c>
      <c r="I115" s="170">
        <v>0</v>
      </c>
      <c r="J115" s="463">
        <f t="shared" si="6"/>
        <v>21388581.352885488</v>
      </c>
      <c r="K115" s="169"/>
      <c r="M115" s="24"/>
    </row>
    <row r="116" spans="2:13" ht="15.4" x14ac:dyDescent="0.45">
      <c r="B116" s="77" t="s">
        <v>198</v>
      </c>
      <c r="C116" s="162">
        <v>800</v>
      </c>
      <c r="D116" s="78" t="s">
        <v>199</v>
      </c>
      <c r="E116" s="170">
        <v>10085211.554648781</v>
      </c>
      <c r="F116" s="170">
        <v>11755548.63792404</v>
      </c>
      <c r="G116" s="170">
        <v>3758557.0662569073</v>
      </c>
      <c r="H116" s="170">
        <v>0</v>
      </c>
      <c r="I116" s="170">
        <v>0</v>
      </c>
      <c r="J116" s="463">
        <f t="shared" si="6"/>
        <v>25599317.258829728</v>
      </c>
      <c r="K116" s="169"/>
      <c r="M116" s="24"/>
    </row>
    <row r="117" spans="2:13" ht="15.4" x14ac:dyDescent="0.45">
      <c r="B117" s="77" t="s">
        <v>198</v>
      </c>
      <c r="C117" s="162">
        <v>839</v>
      </c>
      <c r="D117" s="78" t="s">
        <v>317</v>
      </c>
      <c r="E117" s="170">
        <v>17333590.325350475</v>
      </c>
      <c r="F117" s="170">
        <v>24617968.981533404</v>
      </c>
      <c r="G117" s="170">
        <v>1537745.1863224232</v>
      </c>
      <c r="H117" s="170">
        <v>0</v>
      </c>
      <c r="I117" s="170">
        <v>0</v>
      </c>
      <c r="J117" s="463">
        <f t="shared" si="6"/>
        <v>43489304.4932063</v>
      </c>
      <c r="K117" s="169"/>
      <c r="M117" s="24"/>
    </row>
    <row r="118" spans="2:13" ht="15.4" x14ac:dyDescent="0.45">
      <c r="B118" s="77" t="s">
        <v>198</v>
      </c>
      <c r="C118" s="162">
        <v>801</v>
      </c>
      <c r="D118" s="78" t="s">
        <v>200</v>
      </c>
      <c r="E118" s="170">
        <v>22148697.220413171</v>
      </c>
      <c r="F118" s="170">
        <v>36604479.748752706</v>
      </c>
      <c r="G118" s="170">
        <v>0</v>
      </c>
      <c r="H118" s="170">
        <v>0</v>
      </c>
      <c r="I118" s="170">
        <v>0</v>
      </c>
      <c r="J118" s="463">
        <f t="shared" si="6"/>
        <v>58753176.969165877</v>
      </c>
      <c r="K118" s="169"/>
      <c r="M118" s="24"/>
    </row>
    <row r="119" spans="2:13" ht="15.4" x14ac:dyDescent="0.45">
      <c r="B119" s="77" t="s">
        <v>198</v>
      </c>
      <c r="C119" s="162">
        <v>908</v>
      </c>
      <c r="D119" s="78" t="s">
        <v>201</v>
      </c>
      <c r="E119" s="170">
        <v>18174713.664511234</v>
      </c>
      <c r="F119" s="170">
        <v>36537191.689844787</v>
      </c>
      <c r="G119" s="170">
        <v>0</v>
      </c>
      <c r="H119" s="170">
        <v>-904959.30308711529</v>
      </c>
      <c r="I119" s="170">
        <v>0</v>
      </c>
      <c r="J119" s="463">
        <f t="shared" si="6"/>
        <v>53806946.051268905</v>
      </c>
      <c r="K119" s="169"/>
      <c r="M119" s="24"/>
    </row>
    <row r="120" spans="2:13" ht="15.4" x14ac:dyDescent="0.45">
      <c r="B120" s="77" t="s">
        <v>198</v>
      </c>
      <c r="C120" s="162">
        <v>878</v>
      </c>
      <c r="D120" s="78" t="s">
        <v>202</v>
      </c>
      <c r="E120" s="170">
        <v>30710229.6577699</v>
      </c>
      <c r="F120" s="170">
        <v>47202614.010547087</v>
      </c>
      <c r="G120" s="170">
        <v>0</v>
      </c>
      <c r="H120" s="170">
        <v>0</v>
      </c>
      <c r="I120" s="170">
        <v>0</v>
      </c>
      <c r="J120" s="463">
        <f t="shared" si="6"/>
        <v>77912843.66831699</v>
      </c>
      <c r="K120" s="169"/>
      <c r="M120" s="24"/>
    </row>
    <row r="121" spans="2:13" ht="15.4" x14ac:dyDescent="0.45">
      <c r="B121" s="77" t="s">
        <v>198</v>
      </c>
      <c r="C121" s="171">
        <v>838</v>
      </c>
      <c r="D121" s="78" t="s">
        <v>203</v>
      </c>
      <c r="E121" s="170">
        <v>15839159.074614812</v>
      </c>
      <c r="F121" s="170">
        <v>22256877.482243065</v>
      </c>
      <c r="G121" s="170">
        <v>483813.20722472633</v>
      </c>
      <c r="H121" s="170">
        <v>0</v>
      </c>
      <c r="I121" s="170">
        <v>0</v>
      </c>
      <c r="J121" s="463">
        <f t="shared" si="6"/>
        <v>38579849.764082603</v>
      </c>
      <c r="K121" s="169"/>
      <c r="M121" s="24"/>
    </row>
    <row r="122" spans="2:13" ht="15.4" x14ac:dyDescent="0.45">
      <c r="B122" s="77" t="s">
        <v>198</v>
      </c>
      <c r="C122" s="162">
        <v>916</v>
      </c>
      <c r="D122" s="78" t="s">
        <v>204</v>
      </c>
      <c r="E122" s="170">
        <v>25651201.539899588</v>
      </c>
      <c r="F122" s="170">
        <v>40559115.440280512</v>
      </c>
      <c r="G122" s="170">
        <v>0</v>
      </c>
      <c r="H122" s="170">
        <v>0</v>
      </c>
      <c r="I122" s="170">
        <v>0</v>
      </c>
      <c r="J122" s="463">
        <f t="shared" si="6"/>
        <v>66210316.9801801</v>
      </c>
      <c r="K122" s="169"/>
      <c r="M122" s="24"/>
    </row>
    <row r="123" spans="2:13" ht="15.4" x14ac:dyDescent="0.45">
      <c r="B123" s="77" t="s">
        <v>198</v>
      </c>
      <c r="C123" s="162">
        <v>802</v>
      </c>
      <c r="D123" s="78" t="s">
        <v>205</v>
      </c>
      <c r="E123" s="170">
        <v>10738608.304307595</v>
      </c>
      <c r="F123" s="170">
        <v>14056405.104634263</v>
      </c>
      <c r="G123" s="170">
        <v>1804392.0845776305</v>
      </c>
      <c r="H123" s="170">
        <v>0</v>
      </c>
      <c r="I123" s="170">
        <v>0</v>
      </c>
      <c r="J123" s="463">
        <f t="shared" si="6"/>
        <v>26599405.493519489</v>
      </c>
      <c r="K123" s="169"/>
      <c r="M123" s="24"/>
    </row>
    <row r="124" spans="2:13" ht="15.4" x14ac:dyDescent="0.45">
      <c r="B124" s="77" t="s">
        <v>198</v>
      </c>
      <c r="C124" s="162">
        <v>879</v>
      </c>
      <c r="D124" s="78" t="s">
        <v>206</v>
      </c>
      <c r="E124" s="170">
        <v>12706155.628975254</v>
      </c>
      <c r="F124" s="170">
        <v>20682949.125348885</v>
      </c>
      <c r="G124" s="170">
        <v>0</v>
      </c>
      <c r="H124" s="170">
        <v>0</v>
      </c>
      <c r="I124" s="170">
        <v>0</v>
      </c>
      <c r="J124" s="463">
        <f t="shared" si="6"/>
        <v>33389104.754324138</v>
      </c>
      <c r="K124" s="169"/>
      <c r="M124" s="24"/>
    </row>
    <row r="125" spans="2:13" ht="15.4" x14ac:dyDescent="0.45">
      <c r="B125" s="77" t="s">
        <v>198</v>
      </c>
      <c r="C125" s="162">
        <v>933</v>
      </c>
      <c r="D125" s="78" t="s">
        <v>207</v>
      </c>
      <c r="E125" s="170">
        <v>22689837.711636487</v>
      </c>
      <c r="F125" s="170">
        <v>36127726.499919519</v>
      </c>
      <c r="G125" s="170">
        <v>0</v>
      </c>
      <c r="H125" s="170">
        <v>0</v>
      </c>
      <c r="I125" s="170">
        <v>0</v>
      </c>
      <c r="J125" s="463">
        <f t="shared" si="6"/>
        <v>58817564.211556002</v>
      </c>
      <c r="K125" s="169"/>
      <c r="M125" s="24"/>
    </row>
    <row r="126" spans="2:13" ht="15.4" x14ac:dyDescent="0.45">
      <c r="B126" s="77" t="s">
        <v>198</v>
      </c>
      <c r="C126" s="162">
        <v>803</v>
      </c>
      <c r="D126" s="78" t="s">
        <v>208</v>
      </c>
      <c r="E126" s="170">
        <v>14310431.624642802</v>
      </c>
      <c r="F126" s="170">
        <v>18652177.72333432</v>
      </c>
      <c r="G126" s="170">
        <v>2966650.920566028</v>
      </c>
      <c r="H126" s="170">
        <v>0</v>
      </c>
      <c r="I126" s="170">
        <v>0</v>
      </c>
      <c r="J126" s="463">
        <f t="shared" si="6"/>
        <v>35929260.268543154</v>
      </c>
      <c r="K126" s="169"/>
      <c r="M126" s="24"/>
    </row>
    <row r="127" spans="2:13" ht="15.4" x14ac:dyDescent="0.45">
      <c r="B127" s="77" t="s">
        <v>198</v>
      </c>
      <c r="C127" s="162">
        <v>866</v>
      </c>
      <c r="D127" s="78" t="s">
        <v>209</v>
      </c>
      <c r="E127" s="170">
        <v>13470519.90022547</v>
      </c>
      <c r="F127" s="170">
        <v>16997470.376126222</v>
      </c>
      <c r="G127" s="170">
        <v>3091606.5906667062</v>
      </c>
      <c r="H127" s="170">
        <v>0</v>
      </c>
      <c r="I127" s="170">
        <v>0</v>
      </c>
      <c r="J127" s="463">
        <f t="shared" si="6"/>
        <v>33559596.867018394</v>
      </c>
      <c r="K127" s="169"/>
      <c r="M127" s="24"/>
    </row>
    <row r="128" spans="2:13" ht="15.4" x14ac:dyDescent="0.45">
      <c r="B128" s="77" t="s">
        <v>198</v>
      </c>
      <c r="C128" s="162">
        <v>880</v>
      </c>
      <c r="D128" s="78" t="s">
        <v>210</v>
      </c>
      <c r="E128" s="170">
        <v>7179459.0448755752</v>
      </c>
      <c r="F128" s="170">
        <v>10808624.224918896</v>
      </c>
      <c r="G128" s="170">
        <v>0</v>
      </c>
      <c r="H128" s="170">
        <v>0</v>
      </c>
      <c r="I128" s="170">
        <v>0</v>
      </c>
      <c r="J128" s="463">
        <f t="shared" si="6"/>
        <v>17988083.269794472</v>
      </c>
      <c r="K128" s="169"/>
      <c r="M128" s="24"/>
    </row>
    <row r="129" spans="2:13" ht="15.4" x14ac:dyDescent="0.45">
      <c r="B129" s="77" t="s">
        <v>198</v>
      </c>
      <c r="C129" s="162">
        <v>865</v>
      </c>
      <c r="D129" s="78" t="s">
        <v>211</v>
      </c>
      <c r="E129" s="170">
        <v>21322449.264081258</v>
      </c>
      <c r="F129" s="170">
        <v>32741871.219583306</v>
      </c>
      <c r="G129" s="170">
        <v>0</v>
      </c>
      <c r="H129" s="170">
        <v>0</v>
      </c>
      <c r="I129" s="170">
        <v>0</v>
      </c>
      <c r="J129" s="463">
        <f t="shared" si="6"/>
        <v>54064320.483664565</v>
      </c>
      <c r="K129" s="169"/>
      <c r="M129" s="24"/>
    </row>
    <row r="130" spans="2:13" ht="15.4" x14ac:dyDescent="0.45">
      <c r="B130" s="77" t="s">
        <v>212</v>
      </c>
      <c r="C130" s="162">
        <v>330</v>
      </c>
      <c r="D130" s="78" t="s">
        <v>213</v>
      </c>
      <c r="E130" s="170">
        <v>64002086.959733739</v>
      </c>
      <c r="F130" s="170">
        <v>128608452.7217675</v>
      </c>
      <c r="G130" s="170">
        <v>0</v>
      </c>
      <c r="H130" s="170">
        <v>-5165673.928845197</v>
      </c>
      <c r="I130" s="170">
        <v>0</v>
      </c>
      <c r="J130" s="463">
        <f t="shared" si="6"/>
        <v>187444865.75265604</v>
      </c>
      <c r="K130" s="169"/>
      <c r="M130" s="24"/>
    </row>
    <row r="131" spans="2:13" ht="15.4" x14ac:dyDescent="0.45">
      <c r="B131" s="77" t="s">
        <v>212</v>
      </c>
      <c r="C131" s="162">
        <v>331</v>
      </c>
      <c r="D131" s="78" t="s">
        <v>214</v>
      </c>
      <c r="E131" s="170">
        <v>15160240.382533431</v>
      </c>
      <c r="F131" s="170">
        <v>31344988.901712991</v>
      </c>
      <c r="G131" s="170">
        <v>0</v>
      </c>
      <c r="H131" s="170">
        <v>-198510.9651606977</v>
      </c>
      <c r="I131" s="170">
        <v>12000</v>
      </c>
      <c r="J131" s="463">
        <f t="shared" si="6"/>
        <v>46318718.319085725</v>
      </c>
      <c r="K131" s="169"/>
      <c r="M131" s="24"/>
    </row>
    <row r="132" spans="2:13" ht="15.4" x14ac:dyDescent="0.45">
      <c r="B132" s="77" t="s">
        <v>212</v>
      </c>
      <c r="C132" s="162">
        <v>332</v>
      </c>
      <c r="D132" s="78" t="s">
        <v>215</v>
      </c>
      <c r="E132" s="170">
        <v>12381841.811473716</v>
      </c>
      <c r="F132" s="170">
        <v>26313705.713717978</v>
      </c>
      <c r="G132" s="170">
        <v>0</v>
      </c>
      <c r="H132" s="170">
        <v>-2483917.6856889054</v>
      </c>
      <c r="I132" s="170">
        <v>0</v>
      </c>
      <c r="J132" s="463">
        <f t="shared" si="6"/>
        <v>36211629.839502789</v>
      </c>
      <c r="K132" s="169"/>
      <c r="M132" s="24"/>
    </row>
    <row r="133" spans="2:13" ht="15.4" x14ac:dyDescent="0.45">
      <c r="B133" s="77" t="s">
        <v>212</v>
      </c>
      <c r="C133" s="162">
        <v>884</v>
      </c>
      <c r="D133" s="78" t="s">
        <v>523</v>
      </c>
      <c r="E133" s="170">
        <v>6405620.5780010112</v>
      </c>
      <c r="F133" s="170">
        <v>11114746.948976856</v>
      </c>
      <c r="G133" s="170">
        <v>0</v>
      </c>
      <c r="H133" s="170">
        <v>0</v>
      </c>
      <c r="I133" s="170">
        <v>0</v>
      </c>
      <c r="J133" s="463">
        <f t="shared" si="6"/>
        <v>17520367.526977867</v>
      </c>
      <c r="K133" s="169"/>
      <c r="M133" s="24"/>
    </row>
    <row r="134" spans="2:13" ht="15.4" x14ac:dyDescent="0.45">
      <c r="B134" s="77" t="s">
        <v>212</v>
      </c>
      <c r="C134" s="162">
        <v>333</v>
      </c>
      <c r="D134" s="78" t="s">
        <v>216</v>
      </c>
      <c r="E134" s="170">
        <v>17549646.432445642</v>
      </c>
      <c r="F134" s="170">
        <v>33650154.768822804</v>
      </c>
      <c r="G134" s="170">
        <v>0</v>
      </c>
      <c r="H134" s="170">
        <v>0</v>
      </c>
      <c r="I134" s="170">
        <v>0</v>
      </c>
      <c r="J134" s="463">
        <f t="shared" si="6"/>
        <v>51199801.201268449</v>
      </c>
      <c r="K134" s="169"/>
      <c r="M134" s="24"/>
    </row>
    <row r="135" spans="2:13" ht="15.4" x14ac:dyDescent="0.45">
      <c r="B135" s="77" t="s">
        <v>212</v>
      </c>
      <c r="C135" s="162">
        <v>893</v>
      </c>
      <c r="D135" s="78" t="s">
        <v>217</v>
      </c>
      <c r="E135" s="170">
        <v>11933200.237546183</v>
      </c>
      <c r="F135" s="170">
        <v>18043864.143894516</v>
      </c>
      <c r="G135" s="170">
        <v>0</v>
      </c>
      <c r="H135" s="170">
        <v>0</v>
      </c>
      <c r="I135" s="170">
        <v>0</v>
      </c>
      <c r="J135" s="463">
        <f t="shared" si="6"/>
        <v>29977064.381440699</v>
      </c>
      <c r="K135" s="169"/>
      <c r="M135" s="24"/>
    </row>
    <row r="136" spans="2:13" ht="15.4" x14ac:dyDescent="0.45">
      <c r="B136" s="77" t="s">
        <v>212</v>
      </c>
      <c r="C136" s="162">
        <v>334</v>
      </c>
      <c r="D136" s="78" t="s">
        <v>218</v>
      </c>
      <c r="E136" s="170">
        <v>11670480.318496289</v>
      </c>
      <c r="F136" s="170">
        <v>16485098.280580314</v>
      </c>
      <c r="G136" s="170">
        <v>1094316.9928944525</v>
      </c>
      <c r="H136" s="170">
        <v>0</v>
      </c>
      <c r="I136" s="170">
        <v>0</v>
      </c>
      <c r="J136" s="463">
        <f t="shared" si="6"/>
        <v>29249895.591971055</v>
      </c>
      <c r="K136" s="169"/>
      <c r="M136" s="24"/>
    </row>
    <row r="137" spans="2:13" ht="15.4" x14ac:dyDescent="0.45">
      <c r="B137" s="77" t="s">
        <v>212</v>
      </c>
      <c r="C137" s="162">
        <v>860</v>
      </c>
      <c r="D137" s="78" t="s">
        <v>219</v>
      </c>
      <c r="E137" s="170">
        <v>30027599.02906616</v>
      </c>
      <c r="F137" s="170">
        <v>55242377.590881258</v>
      </c>
      <c r="G137" s="170">
        <v>0</v>
      </c>
      <c r="H137" s="170">
        <v>0</v>
      </c>
      <c r="I137" s="170">
        <v>0</v>
      </c>
      <c r="J137" s="463">
        <f t="shared" si="6"/>
        <v>85269976.619947419</v>
      </c>
      <c r="K137" s="169"/>
      <c r="M137" s="24"/>
    </row>
    <row r="138" spans="2:13" ht="15.4" x14ac:dyDescent="0.45">
      <c r="B138" s="77" t="s">
        <v>212</v>
      </c>
      <c r="C138" s="162">
        <v>861</v>
      </c>
      <c r="D138" s="78" t="s">
        <v>220</v>
      </c>
      <c r="E138" s="170">
        <v>13774243.499306515</v>
      </c>
      <c r="F138" s="170">
        <v>24463773.681515388</v>
      </c>
      <c r="G138" s="170">
        <v>0</v>
      </c>
      <c r="H138" s="170">
        <v>0</v>
      </c>
      <c r="I138" s="170">
        <v>0</v>
      </c>
      <c r="J138" s="463">
        <f t="shared" ref="J138" si="7">SUM(E138:I138)</f>
        <v>38238017.180821903</v>
      </c>
      <c r="K138" s="169"/>
      <c r="M138" s="24"/>
    </row>
    <row r="139" spans="2:13" ht="15.4" x14ac:dyDescent="0.45">
      <c r="B139" s="77" t="s">
        <v>212</v>
      </c>
      <c r="C139" s="162">
        <v>894</v>
      </c>
      <c r="D139" s="78" t="s">
        <v>221</v>
      </c>
      <c r="E139" s="170">
        <v>9156063.4364382438</v>
      </c>
      <c r="F139" s="170">
        <v>15960575.181232382</v>
      </c>
      <c r="G139" s="170">
        <v>0</v>
      </c>
      <c r="H139" s="170">
        <v>0</v>
      </c>
      <c r="I139" s="170">
        <v>0</v>
      </c>
      <c r="J139" s="463">
        <f t="shared" ref="J139:J158" si="8">SUM(E139:I139)</f>
        <v>25116638.617670625</v>
      </c>
      <c r="K139" s="169"/>
      <c r="M139" s="24"/>
    </row>
    <row r="140" spans="2:13" ht="15.4" x14ac:dyDescent="0.45">
      <c r="B140" s="77" t="s">
        <v>212</v>
      </c>
      <c r="C140" s="162">
        <v>335</v>
      </c>
      <c r="D140" s="78" t="s">
        <v>222</v>
      </c>
      <c r="E140" s="170">
        <v>13562164.911601396</v>
      </c>
      <c r="F140" s="170">
        <v>29362562.862736821</v>
      </c>
      <c r="G140" s="170">
        <v>0</v>
      </c>
      <c r="H140" s="170">
        <v>-2708513.0920973569</v>
      </c>
      <c r="I140" s="170">
        <v>0</v>
      </c>
      <c r="J140" s="463">
        <f t="shared" si="8"/>
        <v>40216214.682240859</v>
      </c>
      <c r="K140" s="169"/>
      <c r="M140" s="24"/>
    </row>
    <row r="141" spans="2:13" ht="15.4" x14ac:dyDescent="0.45">
      <c r="B141" s="77" t="s">
        <v>212</v>
      </c>
      <c r="C141" s="162">
        <v>937</v>
      </c>
      <c r="D141" s="78" t="s">
        <v>223</v>
      </c>
      <c r="E141" s="170">
        <v>26627878.731615312</v>
      </c>
      <c r="F141" s="170">
        <v>37265721.543301582</v>
      </c>
      <c r="G141" s="170">
        <v>2042267.3476795941</v>
      </c>
      <c r="H141" s="170">
        <v>0</v>
      </c>
      <c r="I141" s="170">
        <v>516000</v>
      </c>
      <c r="J141" s="463">
        <f t="shared" si="8"/>
        <v>66451867.622596487</v>
      </c>
      <c r="K141" s="169"/>
      <c r="M141" s="24"/>
    </row>
    <row r="142" spans="2:13" ht="15.4" x14ac:dyDescent="0.45">
      <c r="B142" s="77" t="s">
        <v>212</v>
      </c>
      <c r="C142" s="162">
        <v>336</v>
      </c>
      <c r="D142" s="78" t="s">
        <v>224</v>
      </c>
      <c r="E142" s="170">
        <v>14420808.509229552</v>
      </c>
      <c r="F142" s="170">
        <v>26834818.382112745</v>
      </c>
      <c r="G142" s="170">
        <v>0</v>
      </c>
      <c r="H142" s="170">
        <v>0</v>
      </c>
      <c r="I142" s="170">
        <v>6000</v>
      </c>
      <c r="J142" s="463">
        <f t="shared" si="8"/>
        <v>41261626.891342297</v>
      </c>
      <c r="K142" s="169"/>
      <c r="M142" s="24"/>
    </row>
    <row r="143" spans="2:13" ht="15.4" x14ac:dyDescent="0.45">
      <c r="B143" s="77" t="s">
        <v>212</v>
      </c>
      <c r="C143" s="162">
        <v>885</v>
      </c>
      <c r="D143" s="78" t="s">
        <v>225</v>
      </c>
      <c r="E143" s="170">
        <v>21006015.023500308</v>
      </c>
      <c r="F143" s="170">
        <v>39654874.1612482</v>
      </c>
      <c r="G143" s="170">
        <v>0</v>
      </c>
      <c r="H143" s="170">
        <v>0</v>
      </c>
      <c r="I143" s="170">
        <v>0</v>
      </c>
      <c r="J143" s="463">
        <f t="shared" si="8"/>
        <v>60660889.184748508</v>
      </c>
      <c r="K143" s="169"/>
      <c r="M143" s="24"/>
    </row>
    <row r="144" spans="2:13" ht="15.4" x14ac:dyDescent="0.45">
      <c r="B144" s="77" t="s">
        <v>226</v>
      </c>
      <c r="C144" s="162">
        <v>370</v>
      </c>
      <c r="D144" s="78" t="s">
        <v>227</v>
      </c>
      <c r="E144" s="170">
        <v>9790872.6542681213</v>
      </c>
      <c r="F144" s="170">
        <v>20355261.680685945</v>
      </c>
      <c r="G144" s="170">
        <v>0</v>
      </c>
      <c r="H144" s="170">
        <v>-1311772.2075642124</v>
      </c>
      <c r="I144" s="170">
        <v>0</v>
      </c>
      <c r="J144" s="463">
        <f t="shared" si="8"/>
        <v>28834362.127389856</v>
      </c>
      <c r="K144" s="169"/>
      <c r="M144" s="24"/>
    </row>
    <row r="145" spans="2:13" ht="15.4" x14ac:dyDescent="0.45">
      <c r="B145" s="77" t="s">
        <v>226</v>
      </c>
      <c r="C145" s="162">
        <v>380</v>
      </c>
      <c r="D145" s="78" t="s">
        <v>228</v>
      </c>
      <c r="E145" s="170">
        <v>29371530.833876763</v>
      </c>
      <c r="F145" s="170">
        <v>58853068.073525071</v>
      </c>
      <c r="G145" s="170">
        <v>0</v>
      </c>
      <c r="H145" s="170">
        <v>-3625381.4579501003</v>
      </c>
      <c r="I145" s="170">
        <v>0</v>
      </c>
      <c r="J145" s="463">
        <f t="shared" si="8"/>
        <v>84599217.44945173</v>
      </c>
      <c r="K145" s="169"/>
      <c r="M145" s="24"/>
    </row>
    <row r="146" spans="2:13" ht="15.4" x14ac:dyDescent="0.45">
      <c r="B146" s="77" t="s">
        <v>226</v>
      </c>
      <c r="C146" s="162">
        <v>381</v>
      </c>
      <c r="D146" s="78" t="s">
        <v>229</v>
      </c>
      <c r="E146" s="170">
        <v>8241303.5069487244</v>
      </c>
      <c r="F146" s="170">
        <v>16721692.391383026</v>
      </c>
      <c r="G146" s="170">
        <v>0</v>
      </c>
      <c r="H146" s="170">
        <v>-1123915.4238530956</v>
      </c>
      <c r="I146" s="170">
        <v>0</v>
      </c>
      <c r="J146" s="463">
        <f t="shared" si="8"/>
        <v>23839080.474478655</v>
      </c>
      <c r="K146" s="169"/>
      <c r="M146" s="24"/>
    </row>
    <row r="147" spans="2:13" ht="15.4" x14ac:dyDescent="0.45">
      <c r="B147" s="77" t="s">
        <v>226</v>
      </c>
      <c r="C147" s="162">
        <v>371</v>
      </c>
      <c r="D147" s="78" t="s">
        <v>230</v>
      </c>
      <c r="E147" s="170">
        <v>13370279.488845488</v>
      </c>
      <c r="F147" s="170">
        <v>26404663.812597796</v>
      </c>
      <c r="G147" s="170">
        <v>0</v>
      </c>
      <c r="H147" s="170">
        <v>-983460.4106599018</v>
      </c>
      <c r="I147" s="170">
        <v>0</v>
      </c>
      <c r="J147" s="463">
        <f t="shared" si="8"/>
        <v>38791482.890783384</v>
      </c>
      <c r="K147" s="169"/>
      <c r="M147" s="24"/>
    </row>
    <row r="148" spans="2:13" ht="15.4" x14ac:dyDescent="0.45">
      <c r="B148" s="77" t="s">
        <v>226</v>
      </c>
      <c r="C148" s="162">
        <v>811</v>
      </c>
      <c r="D148" s="78" t="s">
        <v>231</v>
      </c>
      <c r="E148" s="170">
        <v>10156248</v>
      </c>
      <c r="F148" s="170">
        <v>19248413.070265308</v>
      </c>
      <c r="G148" s="170">
        <v>0</v>
      </c>
      <c r="H148" s="170">
        <v>-212296.799116496</v>
      </c>
      <c r="I148" s="170">
        <v>0</v>
      </c>
      <c r="J148" s="463">
        <f t="shared" si="8"/>
        <v>29192364.271148812</v>
      </c>
      <c r="K148" s="169"/>
      <c r="M148" s="24"/>
    </row>
    <row r="149" spans="2:13" ht="15.4" x14ac:dyDescent="0.45">
      <c r="B149" s="77" t="s">
        <v>226</v>
      </c>
      <c r="C149" s="162">
        <v>810</v>
      </c>
      <c r="D149" s="78" t="s">
        <v>232</v>
      </c>
      <c r="E149" s="170">
        <v>12464500</v>
      </c>
      <c r="F149" s="170">
        <v>23877119.230387174</v>
      </c>
      <c r="G149" s="170">
        <v>0</v>
      </c>
      <c r="H149" s="170">
        <v>0</v>
      </c>
      <c r="I149" s="170">
        <v>0</v>
      </c>
      <c r="J149" s="463">
        <f t="shared" si="8"/>
        <v>36341619.230387174</v>
      </c>
      <c r="K149" s="169"/>
      <c r="M149" s="24"/>
    </row>
    <row r="150" spans="2:13" ht="15.4" x14ac:dyDescent="0.45">
      <c r="B150" s="77" t="s">
        <v>226</v>
      </c>
      <c r="C150" s="162">
        <v>382</v>
      </c>
      <c r="D150" s="78" t="s">
        <v>233</v>
      </c>
      <c r="E150" s="170">
        <v>15415901.418451075</v>
      </c>
      <c r="F150" s="170">
        <v>36148896.077516407</v>
      </c>
      <c r="G150" s="170">
        <v>0</v>
      </c>
      <c r="H150" s="170">
        <v>-6556456.7307826281</v>
      </c>
      <c r="I150" s="170">
        <v>0</v>
      </c>
      <c r="J150" s="463">
        <f t="shared" si="8"/>
        <v>45008340.76518485</v>
      </c>
      <c r="K150" s="169"/>
      <c r="M150" s="24"/>
    </row>
    <row r="151" spans="2:13" ht="15.4" x14ac:dyDescent="0.45">
      <c r="B151" s="77" t="s">
        <v>226</v>
      </c>
      <c r="C151" s="162">
        <v>383</v>
      </c>
      <c r="D151" s="78" t="s">
        <v>234</v>
      </c>
      <c r="E151" s="170">
        <v>29213162.364319034</v>
      </c>
      <c r="F151" s="170">
        <v>62846388.889121719</v>
      </c>
      <c r="G151" s="170">
        <v>0</v>
      </c>
      <c r="H151" s="170">
        <v>-3939141.4558187723</v>
      </c>
      <c r="I151" s="170">
        <v>0</v>
      </c>
      <c r="J151" s="463">
        <f t="shared" si="8"/>
        <v>88120409.79762198</v>
      </c>
      <c r="K151" s="169"/>
      <c r="M151" s="24"/>
    </row>
    <row r="152" spans="2:13" ht="15.4" x14ac:dyDescent="0.45">
      <c r="B152" s="77" t="s">
        <v>226</v>
      </c>
      <c r="C152" s="162">
        <v>812</v>
      </c>
      <c r="D152" s="78" t="s">
        <v>235</v>
      </c>
      <c r="E152" s="170">
        <v>7857000</v>
      </c>
      <c r="F152" s="170">
        <v>13878829.278922785</v>
      </c>
      <c r="G152" s="170">
        <v>0</v>
      </c>
      <c r="H152" s="170">
        <v>0</v>
      </c>
      <c r="I152" s="170">
        <v>0</v>
      </c>
      <c r="J152" s="463">
        <f t="shared" si="8"/>
        <v>21735829.278922785</v>
      </c>
      <c r="K152" s="169"/>
      <c r="M152" s="24"/>
    </row>
    <row r="153" spans="2:13" ht="15.4" x14ac:dyDescent="0.45">
      <c r="B153" s="77" t="s">
        <v>226</v>
      </c>
      <c r="C153" s="162">
        <v>813</v>
      </c>
      <c r="D153" s="78" t="s">
        <v>236</v>
      </c>
      <c r="E153" s="170">
        <v>7245123.4479882503</v>
      </c>
      <c r="F153" s="170">
        <v>12825150.751292456</v>
      </c>
      <c r="G153" s="170">
        <v>0</v>
      </c>
      <c r="H153" s="170">
        <v>0</v>
      </c>
      <c r="I153" s="170">
        <v>0</v>
      </c>
      <c r="J153" s="463">
        <f t="shared" si="8"/>
        <v>20070274.199280705</v>
      </c>
      <c r="K153" s="169"/>
      <c r="M153" s="24"/>
    </row>
    <row r="154" spans="2:13" ht="15.4" x14ac:dyDescent="0.45">
      <c r="B154" s="77" t="s">
        <v>226</v>
      </c>
      <c r="C154" s="162">
        <v>815</v>
      </c>
      <c r="D154" s="78" t="s">
        <v>237</v>
      </c>
      <c r="E154" s="170">
        <v>22572000</v>
      </c>
      <c r="F154" s="170">
        <v>35117401.274678051</v>
      </c>
      <c r="G154" s="170">
        <v>0</v>
      </c>
      <c r="H154" s="170">
        <v>0</v>
      </c>
      <c r="I154" s="170">
        <v>0</v>
      </c>
      <c r="J154" s="463">
        <f t="shared" si="8"/>
        <v>57689401.274678051</v>
      </c>
      <c r="K154" s="169"/>
      <c r="M154" s="24"/>
    </row>
    <row r="155" spans="2:13" ht="15.4" x14ac:dyDescent="0.45">
      <c r="B155" s="77" t="s">
        <v>226</v>
      </c>
      <c r="C155" s="162">
        <v>372</v>
      </c>
      <c r="D155" s="78" t="s">
        <v>238</v>
      </c>
      <c r="E155" s="170">
        <v>12800815.872625368</v>
      </c>
      <c r="F155" s="170">
        <v>23840273.169608295</v>
      </c>
      <c r="G155" s="170">
        <v>0</v>
      </c>
      <c r="H155" s="170">
        <v>0</v>
      </c>
      <c r="I155" s="170">
        <v>0</v>
      </c>
      <c r="J155" s="463">
        <f t="shared" si="8"/>
        <v>36641089.042233661</v>
      </c>
      <c r="K155" s="169"/>
      <c r="M155" s="24"/>
    </row>
    <row r="156" spans="2:13" ht="15.4" x14ac:dyDescent="0.45">
      <c r="B156" s="77" t="s">
        <v>226</v>
      </c>
      <c r="C156" s="162">
        <v>373</v>
      </c>
      <c r="D156" s="78" t="s">
        <v>239</v>
      </c>
      <c r="E156" s="170">
        <v>23206114.665483199</v>
      </c>
      <c r="F156" s="170">
        <v>50454241.869185217</v>
      </c>
      <c r="G156" s="170">
        <v>0</v>
      </c>
      <c r="H156" s="170">
        <v>-5764610.8692866564</v>
      </c>
      <c r="I156" s="170">
        <v>0</v>
      </c>
      <c r="J156" s="463">
        <f t="shared" si="8"/>
        <v>67895745.665381759</v>
      </c>
      <c r="K156" s="169"/>
      <c r="M156" s="24"/>
    </row>
    <row r="157" spans="2:13" ht="15.4" x14ac:dyDescent="0.45">
      <c r="B157" s="77" t="s">
        <v>226</v>
      </c>
      <c r="C157" s="162">
        <v>384</v>
      </c>
      <c r="D157" s="78" t="s">
        <v>240</v>
      </c>
      <c r="E157" s="170">
        <v>12587527.165731154</v>
      </c>
      <c r="F157" s="170">
        <v>28127069.834894322</v>
      </c>
      <c r="G157" s="170">
        <v>0</v>
      </c>
      <c r="H157" s="170">
        <v>-3134373.2332603037</v>
      </c>
      <c r="I157" s="170">
        <v>0</v>
      </c>
      <c r="J157" s="463">
        <f t="shared" si="8"/>
        <v>37580223.767365173</v>
      </c>
      <c r="K157" s="169"/>
      <c r="M157" s="24"/>
    </row>
    <row r="158" spans="2:13" ht="15.75" thickBot="1" x14ac:dyDescent="0.5">
      <c r="B158" s="90" t="s">
        <v>226</v>
      </c>
      <c r="C158" s="172">
        <v>816</v>
      </c>
      <c r="D158" s="92" t="s">
        <v>241</v>
      </c>
      <c r="E158" s="173">
        <v>7994160.7378354371</v>
      </c>
      <c r="F158" s="173">
        <v>10616553.020352323</v>
      </c>
      <c r="G158" s="173">
        <v>1029514.5617173126</v>
      </c>
      <c r="H158" s="173">
        <v>0</v>
      </c>
      <c r="I158" s="173">
        <v>0</v>
      </c>
      <c r="J158" s="464">
        <f t="shared" si="8"/>
        <v>19640228.319905072</v>
      </c>
      <c r="K158" s="169"/>
      <c r="M158" s="24"/>
    </row>
    <row r="159" spans="2:13" ht="15" customHeight="1" x14ac:dyDescent="0.45"/>
    <row r="160" spans="2:13" ht="15" customHeight="1" x14ac:dyDescent="0.45"/>
  </sheetData>
  <sortState xmlns:xlrd2="http://schemas.microsoft.com/office/spreadsheetml/2017/richdata2" ref="C9:J18">
    <sortCondition ref="D9:D1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DB4C4-5262-4E8A-8F27-EA24A665CE38}">
  <sheetPr codeName="Sheet24">
    <tabColor theme="5"/>
  </sheetPr>
  <dimension ref="A1:U163"/>
  <sheetViews>
    <sheetView showGridLines="0" zoomScale="70" zoomScaleNormal="70" workbookViewId="0"/>
  </sheetViews>
  <sheetFormatPr defaultRowHeight="14.25" x14ac:dyDescent="0.45"/>
  <cols>
    <col min="2" max="2" width="33.59765625" customWidth="1"/>
    <col min="4" max="4" width="37.3984375" bestFit="1" customWidth="1"/>
    <col min="5" max="23" width="21.3984375" customWidth="1"/>
    <col min="24" max="24" width="16.59765625" bestFit="1" customWidth="1"/>
  </cols>
  <sheetData>
    <row r="1" spans="1:21" ht="25.15" x14ac:dyDescent="0.7">
      <c r="A1" s="480"/>
      <c r="B1" s="481" t="s">
        <v>539</v>
      </c>
      <c r="C1" s="482"/>
      <c r="D1" s="482"/>
      <c r="E1" s="483"/>
      <c r="F1" s="483"/>
      <c r="G1" s="483"/>
      <c r="H1" s="648"/>
      <c r="I1" s="483"/>
      <c r="J1" s="484"/>
      <c r="K1" s="483"/>
      <c r="L1" s="482"/>
      <c r="M1" s="485"/>
      <c r="N1" s="483"/>
      <c r="O1" s="482"/>
      <c r="P1" s="483"/>
      <c r="Q1" s="483"/>
      <c r="R1" s="483"/>
      <c r="S1" s="480"/>
      <c r="T1" s="482"/>
      <c r="U1" s="482"/>
    </row>
    <row r="2" spans="1:21" ht="25.15" x14ac:dyDescent="0.7">
      <c r="A2" s="480"/>
      <c r="B2" s="482" t="s">
        <v>308</v>
      </c>
      <c r="C2" s="482"/>
      <c r="D2" s="482"/>
      <c r="E2" s="483"/>
      <c r="F2" s="483"/>
      <c r="G2" s="483"/>
      <c r="H2" s="648"/>
      <c r="I2" s="483"/>
      <c r="J2" s="486"/>
      <c r="K2" s="482"/>
      <c r="L2" s="482"/>
      <c r="M2" s="482"/>
      <c r="N2" s="483"/>
      <c r="O2" s="480"/>
      <c r="P2" s="482"/>
      <c r="Q2" s="482"/>
      <c r="R2" s="482"/>
      <c r="S2" s="482"/>
      <c r="T2" s="482"/>
      <c r="U2" s="482"/>
    </row>
    <row r="3" spans="1:21" ht="25.15" x14ac:dyDescent="0.7">
      <c r="A3" s="480"/>
      <c r="B3" s="487" t="s">
        <v>469</v>
      </c>
      <c r="C3" s="482"/>
      <c r="D3" s="482"/>
      <c r="E3" s="483"/>
      <c r="F3" s="483"/>
      <c r="G3" s="483"/>
      <c r="H3" s="483"/>
      <c r="I3" s="483"/>
      <c r="J3" s="482"/>
      <c r="K3" s="482"/>
      <c r="L3" s="482"/>
      <c r="M3" s="482"/>
      <c r="N3" s="483"/>
      <c r="O3" s="480"/>
      <c r="P3" s="482"/>
      <c r="Q3" s="482"/>
      <c r="R3" s="482"/>
      <c r="S3" s="483"/>
      <c r="T3" s="482"/>
      <c r="U3" s="483"/>
    </row>
    <row r="4" spans="1:21" ht="15.75" thickBot="1" x14ac:dyDescent="0.5">
      <c r="A4" s="480"/>
      <c r="B4" s="488"/>
      <c r="C4" s="488"/>
      <c r="D4" s="488"/>
      <c r="E4" s="489"/>
      <c r="F4" s="489"/>
      <c r="G4" s="489"/>
      <c r="H4" s="489"/>
      <c r="I4" s="489"/>
      <c r="J4" s="490"/>
      <c r="K4" s="488"/>
      <c r="L4" s="488"/>
      <c r="M4" s="488"/>
      <c r="N4" s="488"/>
      <c r="O4" s="488"/>
      <c r="P4" s="567"/>
      <c r="Q4" s="488"/>
      <c r="R4" s="488"/>
      <c r="S4" s="488"/>
      <c r="T4" s="488"/>
      <c r="U4" s="488"/>
    </row>
    <row r="5" spans="1:21" ht="45.4" thickBot="1" x14ac:dyDescent="0.5">
      <c r="A5" s="480"/>
      <c r="B5" s="53" t="s">
        <v>309</v>
      </c>
      <c r="C5" s="54"/>
      <c r="D5" s="54"/>
      <c r="E5" s="56" t="s">
        <v>408</v>
      </c>
      <c r="F5" s="524"/>
      <c r="G5" s="524"/>
      <c r="H5" s="524"/>
      <c r="I5" s="524"/>
      <c r="J5" s="194"/>
      <c r="K5" s="193" t="s">
        <v>538</v>
      </c>
      <c r="L5" s="194"/>
      <c r="M5" s="194"/>
      <c r="N5" s="194"/>
      <c r="O5" s="194"/>
      <c r="P5" s="194"/>
      <c r="Q5" s="194"/>
      <c r="R5" s="194"/>
      <c r="S5" s="195"/>
      <c r="T5" s="193"/>
      <c r="U5" s="195"/>
    </row>
    <row r="6" spans="1:21" ht="15.4" customHeight="1" thickBot="1" x14ac:dyDescent="0.5">
      <c r="A6" s="480"/>
      <c r="B6" s="594"/>
      <c r="C6" s="595"/>
      <c r="D6" s="596"/>
      <c r="E6" s="508"/>
      <c r="F6" s="575" t="s">
        <v>545</v>
      </c>
      <c r="G6" s="576"/>
      <c r="H6" s="576"/>
      <c r="I6" s="576"/>
      <c r="J6" s="576"/>
      <c r="K6" s="508"/>
      <c r="L6" s="509" t="s">
        <v>547</v>
      </c>
      <c r="M6" s="510"/>
      <c r="N6" s="511"/>
      <c r="O6" s="507"/>
      <c r="P6" s="512" t="s">
        <v>551</v>
      </c>
      <c r="Q6" s="513"/>
      <c r="R6" s="513"/>
      <c r="S6" s="514"/>
      <c r="T6" s="505"/>
      <c r="U6" s="507"/>
    </row>
    <row r="7" spans="1:21" ht="130.15" customHeight="1" thickBot="1" x14ac:dyDescent="0.5">
      <c r="A7" s="480"/>
      <c r="B7" s="590" t="s">
        <v>246</v>
      </c>
      <c r="C7" s="591" t="s">
        <v>247</v>
      </c>
      <c r="D7" s="592" t="s">
        <v>310</v>
      </c>
      <c r="E7" s="506" t="s">
        <v>409</v>
      </c>
      <c r="F7" s="573" t="s">
        <v>517</v>
      </c>
      <c r="G7" s="574" t="s">
        <v>454</v>
      </c>
      <c r="H7" s="574" t="s">
        <v>480</v>
      </c>
      <c r="I7" s="574" t="s">
        <v>518</v>
      </c>
      <c r="J7" s="572" t="s">
        <v>455</v>
      </c>
      <c r="K7" s="506" t="s">
        <v>546</v>
      </c>
      <c r="L7" s="491" t="s">
        <v>461</v>
      </c>
      <c r="M7" s="492" t="s">
        <v>456</v>
      </c>
      <c r="N7" s="493" t="s">
        <v>478</v>
      </c>
      <c r="O7" s="506" t="s">
        <v>548</v>
      </c>
      <c r="P7" s="491" t="s">
        <v>457</v>
      </c>
      <c r="Q7" s="494" t="s">
        <v>458</v>
      </c>
      <c r="R7" s="492" t="s">
        <v>459</v>
      </c>
      <c r="S7" s="495" t="s">
        <v>479</v>
      </c>
      <c r="T7" s="504" t="s">
        <v>549</v>
      </c>
      <c r="U7" s="572" t="s">
        <v>550</v>
      </c>
    </row>
    <row r="8" spans="1:21" ht="15.75" thickBot="1" x14ac:dyDescent="0.5">
      <c r="A8" s="480"/>
      <c r="B8" s="527" t="s">
        <v>86</v>
      </c>
      <c r="C8" s="522"/>
      <c r="D8" s="523"/>
      <c r="E8" s="496"/>
      <c r="F8" s="528"/>
      <c r="G8" s="529"/>
      <c r="H8" s="525"/>
      <c r="I8" s="559"/>
      <c r="J8" s="530">
        <f>SUM(J9:J159)</f>
        <v>6196566710.2927141</v>
      </c>
      <c r="K8" s="530">
        <f>SUM(K9:K159)</f>
        <v>91302173.157899424</v>
      </c>
      <c r="L8" s="531">
        <f>SUM(L9:L159)</f>
        <v>122027.833333</v>
      </c>
      <c r="M8" s="532"/>
      <c r="N8" s="530">
        <f>SUM(N9:N159)</f>
        <v>502650118.98681682</v>
      </c>
      <c r="O8" s="530">
        <f>SUM(O9:O159)</f>
        <v>73943890.14520143</v>
      </c>
      <c r="P8" s="531">
        <f>SUM(P9:P159)</f>
        <v>253950.33333300002</v>
      </c>
      <c r="Q8" s="533">
        <f>SUM(Q9:Q159)</f>
        <v>261200.666666</v>
      </c>
      <c r="R8" s="533">
        <f>P8-Q8</f>
        <v>-7250.3333329999878</v>
      </c>
      <c r="S8" s="534"/>
      <c r="T8" s="530">
        <f>SUM(T9:T159)</f>
        <v>5572172528.0007973</v>
      </c>
      <c r="U8" s="530">
        <f>SUM(U9:U159)-U14</f>
        <v>2786086264.0003986</v>
      </c>
    </row>
    <row r="9" spans="1:21" ht="15.4" x14ac:dyDescent="0.45">
      <c r="A9" s="480"/>
      <c r="B9" s="165" t="s">
        <v>88</v>
      </c>
      <c r="C9" s="166">
        <v>831</v>
      </c>
      <c r="D9" s="167" t="s">
        <v>89</v>
      </c>
      <c r="E9" s="543">
        <v>1</v>
      </c>
      <c r="F9" s="560">
        <v>32983598</v>
      </c>
      <c r="G9" s="550">
        <v>720501</v>
      </c>
      <c r="H9" s="550">
        <v>900000</v>
      </c>
      <c r="I9" s="551">
        <v>1630000</v>
      </c>
      <c r="J9" s="547">
        <f t="shared" ref="J9:J14" si="0">SUM(F9:I9)</f>
        <v>36234099</v>
      </c>
      <c r="K9" s="535">
        <v>997840.14851962111</v>
      </c>
      <c r="L9" s="516">
        <v>669</v>
      </c>
      <c r="M9" s="536">
        <f t="shared" ref="M9:M14" si="1">4000*E9</f>
        <v>4000</v>
      </c>
      <c r="N9" s="535">
        <f t="shared" ref="N9:N14" si="2">L9*M9</f>
        <v>2676000</v>
      </c>
      <c r="O9" s="535">
        <v>249717</v>
      </c>
      <c r="P9" s="516">
        <v>1443</v>
      </c>
      <c r="Q9" s="537">
        <v>1402</v>
      </c>
      <c r="R9" s="538">
        <f>P9-Q9</f>
        <v>41</v>
      </c>
      <c r="S9" s="535">
        <f t="shared" ref="S9:S14" si="3">R9*6000</f>
        <v>246000</v>
      </c>
      <c r="T9" s="535">
        <f t="shared" ref="T9:T14" si="4">J9-K9-N9-O9-S9</f>
        <v>32064541.85148038</v>
      </c>
      <c r="U9" s="535">
        <f t="shared" ref="U9:U14" si="5">T9/2</f>
        <v>16032270.92574019</v>
      </c>
    </row>
    <row r="10" spans="1:21" ht="15.4" x14ac:dyDescent="0.45">
      <c r="A10" s="480"/>
      <c r="B10" s="77" t="s">
        <v>88</v>
      </c>
      <c r="C10" s="310">
        <v>830</v>
      </c>
      <c r="D10" s="78" t="s">
        <v>90</v>
      </c>
      <c r="E10" s="544">
        <v>1</v>
      </c>
      <c r="F10" s="552">
        <v>66361718</v>
      </c>
      <c r="G10" s="553">
        <v>1206993.0857142857</v>
      </c>
      <c r="H10" s="553">
        <v>560000</v>
      </c>
      <c r="I10" s="554">
        <v>1864800</v>
      </c>
      <c r="J10" s="561">
        <f t="shared" si="0"/>
        <v>69993511.085714281</v>
      </c>
      <c r="K10" s="497">
        <v>1046891.0185228867</v>
      </c>
      <c r="L10" s="498">
        <v>944</v>
      </c>
      <c r="M10" s="539">
        <f t="shared" si="1"/>
        <v>4000</v>
      </c>
      <c r="N10" s="497">
        <f t="shared" si="2"/>
        <v>3776000</v>
      </c>
      <c r="O10" s="497">
        <v>50000</v>
      </c>
      <c r="P10" s="498">
        <v>2970</v>
      </c>
      <c r="Q10" s="515">
        <v>3283</v>
      </c>
      <c r="R10" s="499">
        <f t="shared" ref="R10:R14" si="6">P10-Q10</f>
        <v>-313</v>
      </c>
      <c r="S10" s="497">
        <f t="shared" si="3"/>
        <v>-1878000</v>
      </c>
      <c r="T10" s="497">
        <f t="shared" si="4"/>
        <v>66998620.067191392</v>
      </c>
      <c r="U10" s="497">
        <f t="shared" si="5"/>
        <v>33499310.033595696</v>
      </c>
    </row>
    <row r="11" spans="1:21" ht="15.4" x14ac:dyDescent="0.45">
      <c r="A11" s="480"/>
      <c r="B11" s="77" t="s">
        <v>88</v>
      </c>
      <c r="C11" s="310">
        <v>856</v>
      </c>
      <c r="D11" s="78" t="s">
        <v>91</v>
      </c>
      <c r="E11" s="544">
        <v>1</v>
      </c>
      <c r="F11" s="552">
        <v>47083995.920000002</v>
      </c>
      <c r="G11" s="553">
        <v>1908330</v>
      </c>
      <c r="H11" s="553">
        <v>720000</v>
      </c>
      <c r="I11" s="554">
        <v>350000</v>
      </c>
      <c r="J11" s="561">
        <f t="shared" si="0"/>
        <v>50062325.920000002</v>
      </c>
      <c r="K11" s="497">
        <v>383875.8950199692</v>
      </c>
      <c r="L11" s="498">
        <v>1047</v>
      </c>
      <c r="M11" s="539">
        <f t="shared" si="1"/>
        <v>4000</v>
      </c>
      <c r="N11" s="497">
        <f t="shared" si="2"/>
        <v>4188000</v>
      </c>
      <c r="O11" s="497">
        <v>1833000</v>
      </c>
      <c r="P11" s="498">
        <v>1957</v>
      </c>
      <c r="Q11" s="515">
        <v>1974</v>
      </c>
      <c r="R11" s="499">
        <f t="shared" si="6"/>
        <v>-17</v>
      </c>
      <c r="S11" s="497">
        <f t="shared" si="3"/>
        <v>-102000</v>
      </c>
      <c r="T11" s="497">
        <f t="shared" si="4"/>
        <v>43759450.024980031</v>
      </c>
      <c r="U11" s="497">
        <f t="shared" si="5"/>
        <v>21879725.012490015</v>
      </c>
    </row>
    <row r="12" spans="1:21" ht="15.4" x14ac:dyDescent="0.45">
      <c r="A12" s="480"/>
      <c r="B12" s="77" t="s">
        <v>88</v>
      </c>
      <c r="C12" s="310">
        <v>855</v>
      </c>
      <c r="D12" s="78" t="s">
        <v>92</v>
      </c>
      <c r="E12" s="544">
        <v>1</v>
      </c>
      <c r="F12" s="552">
        <v>57114683</v>
      </c>
      <c r="G12" s="553">
        <v>7735820.4285714291</v>
      </c>
      <c r="H12" s="553">
        <v>750000</v>
      </c>
      <c r="I12" s="554">
        <v>1490000</v>
      </c>
      <c r="J12" s="561">
        <f t="shared" si="0"/>
        <v>67090503.428571433</v>
      </c>
      <c r="K12" s="497">
        <v>945629.97660763597</v>
      </c>
      <c r="L12" s="498">
        <v>1553</v>
      </c>
      <c r="M12" s="539">
        <f t="shared" si="1"/>
        <v>4000</v>
      </c>
      <c r="N12" s="497">
        <f t="shared" si="2"/>
        <v>6212000</v>
      </c>
      <c r="O12" s="497">
        <v>624756</v>
      </c>
      <c r="P12" s="498">
        <v>2929</v>
      </c>
      <c r="Q12" s="515">
        <v>3068</v>
      </c>
      <c r="R12" s="499">
        <f t="shared" si="6"/>
        <v>-139</v>
      </c>
      <c r="S12" s="497">
        <f t="shared" si="3"/>
        <v>-834000</v>
      </c>
      <c r="T12" s="497">
        <f t="shared" si="4"/>
        <v>60142117.451963797</v>
      </c>
      <c r="U12" s="497">
        <f t="shared" si="5"/>
        <v>30071058.725981899</v>
      </c>
    </row>
    <row r="13" spans="1:21" ht="15.4" x14ac:dyDescent="0.45">
      <c r="A13" s="480"/>
      <c r="B13" s="77" t="s">
        <v>88</v>
      </c>
      <c r="C13" s="310">
        <v>925</v>
      </c>
      <c r="D13" s="78" t="s">
        <v>93</v>
      </c>
      <c r="E13" s="544">
        <v>1</v>
      </c>
      <c r="F13" s="552">
        <v>58963631</v>
      </c>
      <c r="G13" s="553">
        <v>11530820</v>
      </c>
      <c r="H13" s="553">
        <v>1312000</v>
      </c>
      <c r="I13" s="554">
        <v>0</v>
      </c>
      <c r="J13" s="561">
        <f t="shared" si="0"/>
        <v>71806451</v>
      </c>
      <c r="K13" s="497">
        <v>0</v>
      </c>
      <c r="L13" s="498">
        <v>1802</v>
      </c>
      <c r="M13" s="539">
        <f t="shared" si="1"/>
        <v>4000</v>
      </c>
      <c r="N13" s="497">
        <f t="shared" si="2"/>
        <v>7208000</v>
      </c>
      <c r="O13" s="497">
        <v>1897176</v>
      </c>
      <c r="P13" s="498">
        <v>3328.5</v>
      </c>
      <c r="Q13" s="515">
        <v>3365.5</v>
      </c>
      <c r="R13" s="499">
        <f t="shared" si="6"/>
        <v>-37</v>
      </c>
      <c r="S13" s="497">
        <f t="shared" si="3"/>
        <v>-222000</v>
      </c>
      <c r="T13" s="497">
        <f t="shared" si="4"/>
        <v>62923275</v>
      </c>
      <c r="U13" s="497">
        <f t="shared" si="5"/>
        <v>31461637.5</v>
      </c>
    </row>
    <row r="14" spans="1:21" ht="15.4" x14ac:dyDescent="0.45">
      <c r="A14" s="480"/>
      <c r="B14" s="77" t="s">
        <v>88</v>
      </c>
      <c r="C14" s="310">
        <v>928</v>
      </c>
      <c r="D14" s="78" t="s">
        <v>94</v>
      </c>
      <c r="E14" s="544">
        <v>1.004938767636737</v>
      </c>
      <c r="F14" s="552">
        <v>50851047</v>
      </c>
      <c r="G14" s="553">
        <v>14970654.857142858</v>
      </c>
      <c r="H14" s="553">
        <v>1780000</v>
      </c>
      <c r="I14" s="554">
        <v>1253333.3333333333</v>
      </c>
      <c r="J14" s="561">
        <f t="shared" si="0"/>
        <v>68855035.190476194</v>
      </c>
      <c r="K14" s="497">
        <v>1415702.1346982997</v>
      </c>
      <c r="L14" s="498">
        <v>1627</v>
      </c>
      <c r="M14" s="539">
        <f t="shared" si="1"/>
        <v>4019.755070546948</v>
      </c>
      <c r="N14" s="497">
        <f t="shared" si="2"/>
        <v>6540141.4997798847</v>
      </c>
      <c r="O14" s="497">
        <v>1309320</v>
      </c>
      <c r="P14" s="498">
        <v>3197</v>
      </c>
      <c r="Q14" s="515">
        <v>3318.5</v>
      </c>
      <c r="R14" s="499">
        <f t="shared" si="6"/>
        <v>-121.5</v>
      </c>
      <c r="S14" s="497">
        <f t="shared" si="3"/>
        <v>-729000</v>
      </c>
      <c r="T14" s="497">
        <f t="shared" si="4"/>
        <v>60318871.555998005</v>
      </c>
      <c r="U14" s="497">
        <f t="shared" si="5"/>
        <v>30159435.777999002</v>
      </c>
    </row>
    <row r="15" spans="1:21" ht="17.649999999999999" x14ac:dyDescent="0.45">
      <c r="A15" s="480"/>
      <c r="B15" s="520" t="s">
        <v>88</v>
      </c>
      <c r="C15" s="540">
        <v>940</v>
      </c>
      <c r="D15" s="521" t="s">
        <v>451</v>
      </c>
      <c r="E15" s="545"/>
      <c r="F15" s="577"/>
      <c r="G15" s="578"/>
      <c r="H15" s="578"/>
      <c r="I15" s="579"/>
      <c r="J15" s="549"/>
      <c r="K15" s="583"/>
      <c r="L15" s="584"/>
      <c r="M15" s="585"/>
      <c r="N15" s="583"/>
      <c r="O15" s="583"/>
      <c r="P15" s="584"/>
      <c r="Q15" s="586"/>
      <c r="R15" s="587"/>
      <c r="S15" s="583"/>
      <c r="T15" s="583"/>
      <c r="U15" s="497">
        <f>U14*48.304866069837%</f>
        <v>14568475.059980921</v>
      </c>
    </row>
    <row r="16" spans="1:21" ht="17.649999999999999" x14ac:dyDescent="0.45">
      <c r="A16" s="480"/>
      <c r="B16" s="520" t="s">
        <v>88</v>
      </c>
      <c r="C16" s="540">
        <v>941</v>
      </c>
      <c r="D16" s="521" t="s">
        <v>452</v>
      </c>
      <c r="E16" s="545"/>
      <c r="F16" s="577"/>
      <c r="G16" s="578"/>
      <c r="H16" s="578"/>
      <c r="I16" s="579"/>
      <c r="J16" s="549"/>
      <c r="K16" s="583"/>
      <c r="L16" s="584"/>
      <c r="M16" s="585"/>
      <c r="N16" s="583"/>
      <c r="O16" s="583"/>
      <c r="P16" s="584"/>
      <c r="Q16" s="586"/>
      <c r="R16" s="587"/>
      <c r="S16" s="583"/>
      <c r="T16" s="583"/>
      <c r="U16" s="497">
        <f>U14*51.695133930163%</f>
        <v>15590960.718018083</v>
      </c>
    </row>
    <row r="17" spans="1:21" ht="15.4" x14ac:dyDescent="0.45">
      <c r="A17" s="480"/>
      <c r="B17" s="77" t="s">
        <v>88</v>
      </c>
      <c r="C17" s="310">
        <v>892</v>
      </c>
      <c r="D17" s="78" t="s">
        <v>95</v>
      </c>
      <c r="E17" s="544">
        <v>1.0041582963367661</v>
      </c>
      <c r="F17" s="552">
        <v>28763863</v>
      </c>
      <c r="G17" s="553">
        <v>4554159</v>
      </c>
      <c r="H17" s="553">
        <v>742000</v>
      </c>
      <c r="I17" s="554">
        <v>0</v>
      </c>
      <c r="J17" s="548">
        <f>SUM(F17:I17)</f>
        <v>34060022</v>
      </c>
      <c r="K17" s="497">
        <v>198577.04719640093</v>
      </c>
      <c r="L17" s="498">
        <v>546.5</v>
      </c>
      <c r="M17" s="539">
        <f>4000*E17</f>
        <v>4016.6331853470647</v>
      </c>
      <c r="N17" s="497">
        <f>L17*M17</f>
        <v>2195090.035792171</v>
      </c>
      <c r="O17" s="497">
        <v>1368503</v>
      </c>
      <c r="P17" s="498">
        <v>1144</v>
      </c>
      <c r="Q17" s="515">
        <v>1160</v>
      </c>
      <c r="R17" s="499">
        <f>P17-Q17</f>
        <v>-16</v>
      </c>
      <c r="S17" s="497">
        <f>R17*6000</f>
        <v>-96000</v>
      </c>
      <c r="T17" s="497">
        <f>J17-K17-N17-O17-S17</f>
        <v>30393851.917011425</v>
      </c>
      <c r="U17" s="497">
        <f>T17/2</f>
        <v>15196925.958505712</v>
      </c>
    </row>
    <row r="18" spans="1:21" ht="15.4" x14ac:dyDescent="0.45">
      <c r="A18" s="480"/>
      <c r="B18" s="77" t="s">
        <v>88</v>
      </c>
      <c r="C18" s="310">
        <v>891</v>
      </c>
      <c r="D18" s="78" t="s">
        <v>96</v>
      </c>
      <c r="E18" s="544">
        <v>1.0041582963367661</v>
      </c>
      <c r="F18" s="552">
        <v>60751229</v>
      </c>
      <c r="G18" s="553">
        <v>2546139</v>
      </c>
      <c r="H18" s="553">
        <v>1254000</v>
      </c>
      <c r="I18" s="554">
        <v>0</v>
      </c>
      <c r="J18" s="548">
        <f>SUM(F18:I18)</f>
        <v>64551368</v>
      </c>
      <c r="K18" s="497">
        <v>0</v>
      </c>
      <c r="L18" s="498">
        <v>1038</v>
      </c>
      <c r="M18" s="539">
        <f>4000*E18</f>
        <v>4016.6331853470647</v>
      </c>
      <c r="N18" s="497">
        <f>L18*M18</f>
        <v>4169265.2463902533</v>
      </c>
      <c r="O18" s="497">
        <v>0</v>
      </c>
      <c r="P18" s="498">
        <v>3052.5</v>
      </c>
      <c r="Q18" s="515">
        <v>3337</v>
      </c>
      <c r="R18" s="499">
        <f t="shared" ref="R18:R81" si="7">P18-Q18</f>
        <v>-284.5</v>
      </c>
      <c r="S18" s="497">
        <f>R18*6000</f>
        <v>-1707000</v>
      </c>
      <c r="T18" s="497">
        <f>J18-K18-N18-O18-S18</f>
        <v>62089102.753609747</v>
      </c>
      <c r="U18" s="497">
        <f>T18/2</f>
        <v>31044551.376804873</v>
      </c>
    </row>
    <row r="19" spans="1:21" ht="15.4" x14ac:dyDescent="0.45">
      <c r="A19" s="480"/>
      <c r="B19" s="77" t="s">
        <v>88</v>
      </c>
      <c r="C19" s="310">
        <v>857</v>
      </c>
      <c r="D19" s="78" t="s">
        <v>97</v>
      </c>
      <c r="E19" s="544">
        <v>1</v>
      </c>
      <c r="F19" s="552">
        <v>3176267.2600000002</v>
      </c>
      <c r="G19" s="553">
        <v>272000</v>
      </c>
      <c r="H19" s="553">
        <v>0</v>
      </c>
      <c r="I19" s="554">
        <v>200000</v>
      </c>
      <c r="J19" s="548">
        <f>SUM(F19:I19)</f>
        <v>3648267.2600000002</v>
      </c>
      <c r="K19" s="497">
        <v>178293.72041617101</v>
      </c>
      <c r="L19" s="498">
        <v>26</v>
      </c>
      <c r="M19" s="539">
        <f>4000*E19</f>
        <v>4000</v>
      </c>
      <c r="N19" s="497">
        <f>L19*M19</f>
        <v>104000</v>
      </c>
      <c r="O19" s="497">
        <v>0</v>
      </c>
      <c r="P19" s="498">
        <v>67</v>
      </c>
      <c r="Q19" s="515">
        <v>104</v>
      </c>
      <c r="R19" s="499">
        <f t="shared" si="7"/>
        <v>-37</v>
      </c>
      <c r="S19" s="497">
        <f>R19*6000</f>
        <v>-222000</v>
      </c>
      <c r="T19" s="497">
        <f>J19-K19-N19-O19-S19</f>
        <v>3587973.5395838292</v>
      </c>
      <c r="U19" s="497">
        <f>T19/2</f>
        <v>1793986.7697919146</v>
      </c>
    </row>
    <row r="20" spans="1:21" ht="15.4" x14ac:dyDescent="0.45">
      <c r="A20" s="480"/>
      <c r="B20" s="77" t="s">
        <v>98</v>
      </c>
      <c r="C20" s="310">
        <v>822</v>
      </c>
      <c r="D20" s="78" t="s">
        <v>520</v>
      </c>
      <c r="E20" s="544">
        <v>1.023570261471221</v>
      </c>
      <c r="F20" s="552">
        <v>16866396</v>
      </c>
      <c r="G20" s="553">
        <v>4106834</v>
      </c>
      <c r="H20" s="553">
        <v>460000</v>
      </c>
      <c r="I20" s="554">
        <v>120000</v>
      </c>
      <c r="J20" s="548">
        <f t="shared" ref="J20:J48" si="8">SUM(F20:I20)</f>
        <v>21553230</v>
      </c>
      <c r="K20" s="497">
        <v>326264.13097083406</v>
      </c>
      <c r="L20" s="498">
        <v>386.5</v>
      </c>
      <c r="M20" s="539">
        <f t="shared" ref="M20:M73" si="9">4000*E20</f>
        <v>4094.281045884884</v>
      </c>
      <c r="N20" s="497">
        <f t="shared" ref="N20:N74" si="10">L20*M20</f>
        <v>1582439.6242345076</v>
      </c>
      <c r="O20" s="497">
        <v>666000</v>
      </c>
      <c r="P20" s="498">
        <v>925</v>
      </c>
      <c r="Q20" s="515">
        <v>845.5</v>
      </c>
      <c r="R20" s="499">
        <f t="shared" si="7"/>
        <v>79.5</v>
      </c>
      <c r="S20" s="497">
        <f t="shared" ref="S20:S74" si="11">R20*6000</f>
        <v>477000</v>
      </c>
      <c r="T20" s="497">
        <f t="shared" ref="T20:T73" si="12">J20-K20-N20-O20-S20</f>
        <v>18501526.244794656</v>
      </c>
      <c r="U20" s="497">
        <f t="shared" ref="U20:U74" si="13">T20/2</f>
        <v>9250763.1223973278</v>
      </c>
    </row>
    <row r="21" spans="1:21" ht="15.4" x14ac:dyDescent="0.45">
      <c r="A21" s="480"/>
      <c r="B21" s="77" t="s">
        <v>98</v>
      </c>
      <c r="C21" s="310">
        <v>873</v>
      </c>
      <c r="D21" s="78" t="s">
        <v>99</v>
      </c>
      <c r="E21" s="544">
        <v>1.0193022956972073</v>
      </c>
      <c r="F21" s="552">
        <v>58760066</v>
      </c>
      <c r="G21" s="553">
        <v>8143147</v>
      </c>
      <c r="H21" s="553">
        <v>1100000</v>
      </c>
      <c r="I21" s="554">
        <v>260000</v>
      </c>
      <c r="J21" s="548">
        <f t="shared" si="8"/>
        <v>68263213</v>
      </c>
      <c r="K21" s="497">
        <v>483780.53951212356</v>
      </c>
      <c r="L21" s="498">
        <v>1196.5</v>
      </c>
      <c r="M21" s="539">
        <f t="shared" si="9"/>
        <v>4077.2091827888294</v>
      </c>
      <c r="N21" s="497">
        <f t="shared" si="10"/>
        <v>4878380.7872068342</v>
      </c>
      <c r="O21" s="497">
        <v>624000</v>
      </c>
      <c r="P21" s="498">
        <v>2803.5</v>
      </c>
      <c r="Q21" s="515">
        <v>2885.5</v>
      </c>
      <c r="R21" s="499">
        <f t="shared" si="7"/>
        <v>-82</v>
      </c>
      <c r="S21" s="497">
        <f t="shared" si="11"/>
        <v>-492000</v>
      </c>
      <c r="T21" s="497">
        <f t="shared" si="12"/>
        <v>62769051.673281036</v>
      </c>
      <c r="U21" s="497">
        <f t="shared" si="13"/>
        <v>31384525.836640518</v>
      </c>
    </row>
    <row r="22" spans="1:21" ht="15.4" x14ac:dyDescent="0.45">
      <c r="A22" s="480"/>
      <c r="B22" s="77" t="s">
        <v>98</v>
      </c>
      <c r="C22" s="310">
        <v>823</v>
      </c>
      <c r="D22" s="78" t="s">
        <v>100</v>
      </c>
      <c r="E22" s="544">
        <v>1.023570261471221</v>
      </c>
      <c r="F22" s="552">
        <v>22597252.870000001</v>
      </c>
      <c r="G22" s="553">
        <v>3523820.5999999996</v>
      </c>
      <c r="H22" s="553">
        <v>678000</v>
      </c>
      <c r="I22" s="554">
        <v>460000</v>
      </c>
      <c r="J22" s="548">
        <f t="shared" si="8"/>
        <v>27259073.469999999</v>
      </c>
      <c r="K22" s="497">
        <v>352749.61643509346</v>
      </c>
      <c r="L22" s="498">
        <v>622</v>
      </c>
      <c r="M22" s="539">
        <f t="shared" si="9"/>
        <v>4094.281045884884</v>
      </c>
      <c r="N22" s="497">
        <f t="shared" si="10"/>
        <v>2546642.8105403977</v>
      </c>
      <c r="O22" s="497">
        <v>662495</v>
      </c>
      <c r="P22" s="498">
        <v>1407.5</v>
      </c>
      <c r="Q22" s="515">
        <v>1380</v>
      </c>
      <c r="R22" s="499">
        <f t="shared" si="7"/>
        <v>27.5</v>
      </c>
      <c r="S22" s="497">
        <f t="shared" si="11"/>
        <v>165000</v>
      </c>
      <c r="T22" s="497">
        <f t="shared" si="12"/>
        <v>23532186.04302451</v>
      </c>
      <c r="U22" s="497">
        <f t="shared" si="13"/>
        <v>11766093.021512255</v>
      </c>
    </row>
    <row r="23" spans="1:21" ht="15.4" x14ac:dyDescent="0.45">
      <c r="A23" s="480"/>
      <c r="B23" s="77" t="s">
        <v>98</v>
      </c>
      <c r="C23" s="310">
        <v>881</v>
      </c>
      <c r="D23" s="78" t="s">
        <v>101</v>
      </c>
      <c r="E23" s="544">
        <v>1.0189419796053065</v>
      </c>
      <c r="F23" s="552">
        <v>114702701</v>
      </c>
      <c r="G23" s="553">
        <v>16961839.714285716</v>
      </c>
      <c r="H23" s="553">
        <v>1800000</v>
      </c>
      <c r="I23" s="554">
        <v>1580300</v>
      </c>
      <c r="J23" s="548">
        <f t="shared" si="8"/>
        <v>135044840.71428573</v>
      </c>
      <c r="K23" s="497">
        <v>1472750.3402451086</v>
      </c>
      <c r="L23" s="498">
        <v>2839.5</v>
      </c>
      <c r="M23" s="539">
        <f t="shared" si="9"/>
        <v>4075.7679184212261</v>
      </c>
      <c r="N23" s="497">
        <f t="shared" si="10"/>
        <v>11573143.004357072</v>
      </c>
      <c r="O23" s="497">
        <v>0</v>
      </c>
      <c r="P23" s="498">
        <v>7088</v>
      </c>
      <c r="Q23" s="515">
        <v>7255.5</v>
      </c>
      <c r="R23" s="499">
        <f t="shared" si="7"/>
        <v>-167.5</v>
      </c>
      <c r="S23" s="497">
        <f t="shared" si="11"/>
        <v>-1005000</v>
      </c>
      <c r="T23" s="497">
        <f t="shared" si="12"/>
        <v>123003947.36968355</v>
      </c>
      <c r="U23" s="497">
        <f t="shared" si="13"/>
        <v>61501973.684841774</v>
      </c>
    </row>
    <row r="24" spans="1:21" ht="15.4" x14ac:dyDescent="0.45">
      <c r="A24" s="480"/>
      <c r="B24" s="77" t="s">
        <v>98</v>
      </c>
      <c r="C24" s="310">
        <v>919</v>
      </c>
      <c r="D24" s="78" t="s">
        <v>102</v>
      </c>
      <c r="E24" s="544">
        <v>1.0525261171555516</v>
      </c>
      <c r="F24" s="552">
        <v>87871842</v>
      </c>
      <c r="G24" s="553">
        <v>5473830</v>
      </c>
      <c r="H24" s="553">
        <v>2690000</v>
      </c>
      <c r="I24" s="554">
        <v>1189166.6666666667</v>
      </c>
      <c r="J24" s="548">
        <f t="shared" si="8"/>
        <v>97224838.666666672</v>
      </c>
      <c r="K24" s="497">
        <v>659374.8978464742</v>
      </c>
      <c r="L24" s="498">
        <v>2329.5</v>
      </c>
      <c r="M24" s="539">
        <f t="shared" si="9"/>
        <v>4210.1044686222058</v>
      </c>
      <c r="N24" s="497">
        <f t="shared" si="10"/>
        <v>9807438.3596554287</v>
      </c>
      <c r="O24" s="497">
        <v>1328558</v>
      </c>
      <c r="P24" s="498">
        <v>3764</v>
      </c>
      <c r="Q24" s="515">
        <v>3621</v>
      </c>
      <c r="R24" s="499">
        <f t="shared" si="7"/>
        <v>143</v>
      </c>
      <c r="S24" s="497">
        <f t="shared" si="11"/>
        <v>858000</v>
      </c>
      <c r="T24" s="497">
        <f t="shared" si="12"/>
        <v>84571467.409164771</v>
      </c>
      <c r="U24" s="497">
        <f t="shared" si="13"/>
        <v>42285733.704582386</v>
      </c>
    </row>
    <row r="25" spans="1:21" ht="15.4" x14ac:dyDescent="0.45">
      <c r="A25" s="480"/>
      <c r="B25" s="77" t="s">
        <v>98</v>
      </c>
      <c r="C25" s="310">
        <v>821</v>
      </c>
      <c r="D25" s="78" t="s">
        <v>103</v>
      </c>
      <c r="E25" s="544">
        <v>1.023570261471221</v>
      </c>
      <c r="F25" s="552">
        <v>24984879</v>
      </c>
      <c r="G25" s="553">
        <v>487499</v>
      </c>
      <c r="H25" s="553">
        <v>324000</v>
      </c>
      <c r="I25" s="554">
        <v>660000</v>
      </c>
      <c r="J25" s="548">
        <f t="shared" si="8"/>
        <v>26456378</v>
      </c>
      <c r="K25" s="497">
        <v>443829.25813738327</v>
      </c>
      <c r="L25" s="498">
        <v>506</v>
      </c>
      <c r="M25" s="539">
        <f t="shared" si="9"/>
        <v>4094.281045884884</v>
      </c>
      <c r="N25" s="497">
        <f t="shared" si="10"/>
        <v>2071706.2092177512</v>
      </c>
      <c r="O25" s="497">
        <v>55271</v>
      </c>
      <c r="P25" s="498">
        <v>1124</v>
      </c>
      <c r="Q25" s="515">
        <v>1257</v>
      </c>
      <c r="R25" s="499">
        <f t="shared" si="7"/>
        <v>-133</v>
      </c>
      <c r="S25" s="497">
        <f t="shared" si="11"/>
        <v>-798000</v>
      </c>
      <c r="T25" s="497">
        <f t="shared" si="12"/>
        <v>24683571.532644868</v>
      </c>
      <c r="U25" s="497">
        <f t="shared" si="13"/>
        <v>12341785.766322434</v>
      </c>
    </row>
    <row r="26" spans="1:21" ht="15.4" x14ac:dyDescent="0.45">
      <c r="A26" s="480"/>
      <c r="B26" s="77" t="s">
        <v>98</v>
      </c>
      <c r="C26" s="310">
        <v>926</v>
      </c>
      <c r="D26" s="78" t="s">
        <v>104</v>
      </c>
      <c r="E26" s="544">
        <v>1</v>
      </c>
      <c r="F26" s="552">
        <v>78867775.040000007</v>
      </c>
      <c r="G26" s="553">
        <v>5773326.8571428573</v>
      </c>
      <c r="H26" s="553">
        <v>2950000</v>
      </c>
      <c r="I26" s="554">
        <v>1180000</v>
      </c>
      <c r="J26" s="548">
        <f t="shared" si="8"/>
        <v>88771101.897142857</v>
      </c>
      <c r="K26" s="497">
        <v>591759.28101622267</v>
      </c>
      <c r="L26" s="498">
        <v>1749.5</v>
      </c>
      <c r="M26" s="539">
        <f t="shared" si="9"/>
        <v>4000</v>
      </c>
      <c r="N26" s="497">
        <f t="shared" si="10"/>
        <v>6998000</v>
      </c>
      <c r="O26" s="497">
        <v>0</v>
      </c>
      <c r="P26" s="498">
        <v>3185.5</v>
      </c>
      <c r="Q26" s="515">
        <v>3228</v>
      </c>
      <c r="R26" s="499">
        <f t="shared" si="7"/>
        <v>-42.5</v>
      </c>
      <c r="S26" s="497">
        <f t="shared" si="11"/>
        <v>-255000</v>
      </c>
      <c r="T26" s="497">
        <f t="shared" si="12"/>
        <v>81436342.616126642</v>
      </c>
      <c r="U26" s="497">
        <f t="shared" si="13"/>
        <v>40718171.308063321</v>
      </c>
    </row>
    <row r="27" spans="1:21" ht="15.4" x14ac:dyDescent="0.45">
      <c r="A27" s="480"/>
      <c r="B27" s="77" t="s">
        <v>98</v>
      </c>
      <c r="C27" s="310">
        <v>874</v>
      </c>
      <c r="D27" s="78" t="s">
        <v>105</v>
      </c>
      <c r="E27" s="544">
        <v>1.0193022956972073</v>
      </c>
      <c r="F27" s="552">
        <v>27549082.780000001</v>
      </c>
      <c r="G27" s="553">
        <v>432004</v>
      </c>
      <c r="H27" s="553">
        <v>836000</v>
      </c>
      <c r="I27" s="554">
        <v>620000</v>
      </c>
      <c r="J27" s="548">
        <f t="shared" si="8"/>
        <v>29437086.780000001</v>
      </c>
      <c r="K27" s="497">
        <v>482538.00135555898</v>
      </c>
      <c r="L27" s="498">
        <v>606</v>
      </c>
      <c r="M27" s="539">
        <f t="shared" si="9"/>
        <v>4077.2091827888294</v>
      </c>
      <c r="N27" s="497">
        <f t="shared" si="10"/>
        <v>2470788.7647700305</v>
      </c>
      <c r="O27" s="497">
        <v>249000</v>
      </c>
      <c r="P27" s="498">
        <v>1168.5</v>
      </c>
      <c r="Q27" s="515">
        <v>1105.5</v>
      </c>
      <c r="R27" s="499">
        <f t="shared" si="7"/>
        <v>63</v>
      </c>
      <c r="S27" s="497">
        <f t="shared" si="11"/>
        <v>378000</v>
      </c>
      <c r="T27" s="497">
        <f t="shared" si="12"/>
        <v>25856760.013874412</v>
      </c>
      <c r="U27" s="497">
        <f t="shared" si="13"/>
        <v>12928380.006937206</v>
      </c>
    </row>
    <row r="28" spans="1:21" ht="15.4" x14ac:dyDescent="0.45">
      <c r="A28" s="480"/>
      <c r="B28" s="77" t="s">
        <v>98</v>
      </c>
      <c r="C28" s="310">
        <v>882</v>
      </c>
      <c r="D28" s="78" t="s">
        <v>106</v>
      </c>
      <c r="E28" s="544">
        <v>1.0053237953143217</v>
      </c>
      <c r="F28" s="552">
        <v>12162613</v>
      </c>
      <c r="G28" s="553">
        <v>5557392</v>
      </c>
      <c r="H28" s="553">
        <v>564000</v>
      </c>
      <c r="I28" s="554">
        <v>200000</v>
      </c>
      <c r="J28" s="548">
        <f t="shared" si="8"/>
        <v>18484005</v>
      </c>
      <c r="K28" s="497">
        <v>244127.57928960444</v>
      </c>
      <c r="L28" s="498">
        <v>566</v>
      </c>
      <c r="M28" s="539">
        <f t="shared" si="9"/>
        <v>4021.2951812572869</v>
      </c>
      <c r="N28" s="497">
        <f t="shared" si="10"/>
        <v>2276053.0725916242</v>
      </c>
      <c r="O28" s="497">
        <v>32000</v>
      </c>
      <c r="P28" s="498">
        <v>1136</v>
      </c>
      <c r="Q28" s="515">
        <v>1072</v>
      </c>
      <c r="R28" s="499">
        <f t="shared" si="7"/>
        <v>64</v>
      </c>
      <c r="S28" s="497">
        <f t="shared" si="11"/>
        <v>384000</v>
      </c>
      <c r="T28" s="497">
        <f t="shared" si="12"/>
        <v>15547824.348118771</v>
      </c>
      <c r="U28" s="497">
        <f t="shared" si="13"/>
        <v>7773912.1740593854</v>
      </c>
    </row>
    <row r="29" spans="1:21" ht="15.4" x14ac:dyDescent="0.45">
      <c r="A29" s="480"/>
      <c r="B29" s="77" t="s">
        <v>98</v>
      </c>
      <c r="C29" s="310">
        <v>935</v>
      </c>
      <c r="D29" s="78" t="s">
        <v>107</v>
      </c>
      <c r="E29" s="544">
        <v>1.0000359327175439</v>
      </c>
      <c r="F29" s="552">
        <v>49293796</v>
      </c>
      <c r="G29" s="553">
        <v>7882976.7999999998</v>
      </c>
      <c r="H29" s="553">
        <v>1590000</v>
      </c>
      <c r="I29" s="554">
        <v>1250000</v>
      </c>
      <c r="J29" s="548">
        <f t="shared" si="8"/>
        <v>60016772.799999997</v>
      </c>
      <c r="K29" s="497">
        <v>580716.95684365928</v>
      </c>
      <c r="L29" s="498">
        <v>1208</v>
      </c>
      <c r="M29" s="539">
        <f t="shared" si="9"/>
        <v>4000.1437308701757</v>
      </c>
      <c r="N29" s="497">
        <f t="shared" si="10"/>
        <v>4832173.6268911725</v>
      </c>
      <c r="O29" s="497">
        <v>120000</v>
      </c>
      <c r="P29" s="498">
        <v>3503.5</v>
      </c>
      <c r="Q29" s="515">
        <v>3489</v>
      </c>
      <c r="R29" s="499">
        <f t="shared" si="7"/>
        <v>14.5</v>
      </c>
      <c r="S29" s="497">
        <f t="shared" si="11"/>
        <v>87000</v>
      </c>
      <c r="T29" s="497">
        <f t="shared" si="12"/>
        <v>54396882.216265164</v>
      </c>
      <c r="U29" s="497">
        <f t="shared" si="13"/>
        <v>27198441.108132582</v>
      </c>
    </row>
    <row r="30" spans="1:21" ht="15.4" x14ac:dyDescent="0.45">
      <c r="A30" s="480"/>
      <c r="B30" s="77" t="s">
        <v>98</v>
      </c>
      <c r="C30" s="310">
        <v>883</v>
      </c>
      <c r="D30" s="78" t="s">
        <v>108</v>
      </c>
      <c r="E30" s="544">
        <v>1.0452520358512145</v>
      </c>
      <c r="F30" s="552">
        <v>18916760</v>
      </c>
      <c r="G30" s="553">
        <v>5653169</v>
      </c>
      <c r="H30" s="553">
        <v>86000</v>
      </c>
      <c r="I30" s="554">
        <v>180000</v>
      </c>
      <c r="J30" s="548">
        <f t="shared" si="8"/>
        <v>24835929</v>
      </c>
      <c r="K30" s="497">
        <v>468941.17032283242</v>
      </c>
      <c r="L30" s="498">
        <v>379</v>
      </c>
      <c r="M30" s="539">
        <f t="shared" si="9"/>
        <v>4181.0081434048579</v>
      </c>
      <c r="N30" s="497">
        <f t="shared" si="10"/>
        <v>1584602.0863504412</v>
      </c>
      <c r="O30" s="497">
        <v>0</v>
      </c>
      <c r="P30" s="498">
        <v>961</v>
      </c>
      <c r="Q30" s="515">
        <v>1023.5</v>
      </c>
      <c r="R30" s="499">
        <f t="shared" si="7"/>
        <v>-62.5</v>
      </c>
      <c r="S30" s="497">
        <f t="shared" si="11"/>
        <v>-375000</v>
      </c>
      <c r="T30" s="497">
        <f t="shared" si="12"/>
        <v>23157385.743326727</v>
      </c>
      <c r="U30" s="497">
        <f t="shared" si="13"/>
        <v>11578692.871663364</v>
      </c>
    </row>
    <row r="31" spans="1:21" ht="15.4" x14ac:dyDescent="0.45">
      <c r="A31" s="480"/>
      <c r="B31" s="77" t="s">
        <v>109</v>
      </c>
      <c r="C31" s="310">
        <v>202</v>
      </c>
      <c r="D31" s="78" t="s">
        <v>110</v>
      </c>
      <c r="E31" s="544">
        <v>1.205632878027378</v>
      </c>
      <c r="F31" s="552">
        <v>32821331.189999998</v>
      </c>
      <c r="G31" s="553">
        <v>28334</v>
      </c>
      <c r="H31" s="553">
        <v>704000</v>
      </c>
      <c r="I31" s="554">
        <v>890000</v>
      </c>
      <c r="J31" s="548">
        <f t="shared" si="8"/>
        <v>34443665.189999998</v>
      </c>
      <c r="K31" s="497">
        <v>494656.39205578808</v>
      </c>
      <c r="L31" s="498">
        <v>353</v>
      </c>
      <c r="M31" s="539">
        <f t="shared" si="9"/>
        <v>4822.5315121095118</v>
      </c>
      <c r="N31" s="497">
        <f t="shared" si="10"/>
        <v>1702353.6237746577</v>
      </c>
      <c r="O31" s="497">
        <v>2484824.9999999995</v>
      </c>
      <c r="P31" s="498">
        <v>1962.5</v>
      </c>
      <c r="Q31" s="515">
        <v>1726</v>
      </c>
      <c r="R31" s="499">
        <f t="shared" si="7"/>
        <v>236.5</v>
      </c>
      <c r="S31" s="497">
        <f t="shared" si="11"/>
        <v>1419000</v>
      </c>
      <c r="T31" s="497">
        <f t="shared" si="12"/>
        <v>28342830.174169552</v>
      </c>
      <c r="U31" s="497">
        <f t="shared" si="13"/>
        <v>14171415.087084776</v>
      </c>
    </row>
    <row r="32" spans="1:21" ht="15.4" x14ac:dyDescent="0.45">
      <c r="A32" s="480"/>
      <c r="B32" s="77" t="s">
        <v>109</v>
      </c>
      <c r="C32" s="310">
        <v>204</v>
      </c>
      <c r="D32" s="78" t="s">
        <v>111</v>
      </c>
      <c r="E32" s="544">
        <v>1.205632878027378</v>
      </c>
      <c r="F32" s="552">
        <v>41733485</v>
      </c>
      <c r="G32" s="553">
        <v>223165</v>
      </c>
      <c r="H32" s="553">
        <v>116000</v>
      </c>
      <c r="I32" s="554">
        <v>580000</v>
      </c>
      <c r="J32" s="548">
        <f t="shared" si="8"/>
        <v>42652650</v>
      </c>
      <c r="K32" s="497">
        <v>415995.43764886772</v>
      </c>
      <c r="L32" s="498">
        <v>620</v>
      </c>
      <c r="M32" s="539">
        <f t="shared" si="9"/>
        <v>4822.5315121095118</v>
      </c>
      <c r="N32" s="497">
        <f t="shared" si="10"/>
        <v>2989969.5375078972</v>
      </c>
      <c r="O32" s="497">
        <v>0</v>
      </c>
      <c r="P32" s="498">
        <v>1258.5</v>
      </c>
      <c r="Q32" s="515">
        <v>1371.5</v>
      </c>
      <c r="R32" s="499">
        <f t="shared" si="7"/>
        <v>-113</v>
      </c>
      <c r="S32" s="497">
        <f t="shared" si="11"/>
        <v>-678000</v>
      </c>
      <c r="T32" s="497">
        <f t="shared" si="12"/>
        <v>39924685.024843231</v>
      </c>
      <c r="U32" s="497">
        <f t="shared" si="13"/>
        <v>19962342.512421615</v>
      </c>
    </row>
    <row r="33" spans="1:21" ht="15.4" x14ac:dyDescent="0.45">
      <c r="A33" s="480"/>
      <c r="B33" s="77" t="s">
        <v>109</v>
      </c>
      <c r="C33" s="310">
        <v>205</v>
      </c>
      <c r="D33" s="78" t="s">
        <v>112</v>
      </c>
      <c r="E33" s="544">
        <v>1.205632878027378</v>
      </c>
      <c r="F33" s="552">
        <v>22122383.449999999</v>
      </c>
      <c r="G33" s="553">
        <v>2593670</v>
      </c>
      <c r="H33" s="553">
        <v>612000</v>
      </c>
      <c r="I33" s="554">
        <v>200000</v>
      </c>
      <c r="J33" s="548">
        <f t="shared" si="8"/>
        <v>25528053.449999999</v>
      </c>
      <c r="K33" s="497">
        <v>0</v>
      </c>
      <c r="L33" s="498">
        <v>481</v>
      </c>
      <c r="M33" s="539">
        <f t="shared" si="9"/>
        <v>4822.5315121095118</v>
      </c>
      <c r="N33" s="497">
        <f t="shared" si="10"/>
        <v>2319637.657324675</v>
      </c>
      <c r="O33" s="497">
        <v>300000</v>
      </c>
      <c r="P33" s="498">
        <v>1057</v>
      </c>
      <c r="Q33" s="515">
        <v>714</v>
      </c>
      <c r="R33" s="499">
        <f t="shared" si="7"/>
        <v>343</v>
      </c>
      <c r="S33" s="497">
        <f t="shared" si="11"/>
        <v>2058000</v>
      </c>
      <c r="T33" s="497">
        <f t="shared" si="12"/>
        <v>20850415.792675324</v>
      </c>
      <c r="U33" s="497">
        <f t="shared" si="13"/>
        <v>10425207.896337662</v>
      </c>
    </row>
    <row r="34" spans="1:21" ht="15.4" x14ac:dyDescent="0.45">
      <c r="A34" s="480"/>
      <c r="B34" s="77" t="s">
        <v>109</v>
      </c>
      <c r="C34" s="310">
        <v>309</v>
      </c>
      <c r="D34" s="78" t="s">
        <v>113</v>
      </c>
      <c r="E34" s="544">
        <v>1.1243577599840504</v>
      </c>
      <c r="F34" s="552">
        <v>35066790</v>
      </c>
      <c r="G34" s="553">
        <v>1347157</v>
      </c>
      <c r="H34" s="553">
        <v>888000</v>
      </c>
      <c r="I34" s="554">
        <v>260000</v>
      </c>
      <c r="J34" s="548">
        <f t="shared" si="8"/>
        <v>37561947</v>
      </c>
      <c r="K34" s="497">
        <v>386624.33099017129</v>
      </c>
      <c r="L34" s="498">
        <v>393</v>
      </c>
      <c r="M34" s="539">
        <f t="shared" si="9"/>
        <v>4497.4310399362021</v>
      </c>
      <c r="N34" s="497">
        <f t="shared" si="10"/>
        <v>1767490.3986949273</v>
      </c>
      <c r="O34" s="497">
        <v>320000</v>
      </c>
      <c r="P34" s="498">
        <v>1045.5</v>
      </c>
      <c r="Q34" s="515">
        <v>1132</v>
      </c>
      <c r="R34" s="499">
        <f t="shared" si="7"/>
        <v>-86.5</v>
      </c>
      <c r="S34" s="497">
        <f t="shared" si="11"/>
        <v>-519000</v>
      </c>
      <c r="T34" s="497">
        <f t="shared" si="12"/>
        <v>35606832.270314902</v>
      </c>
      <c r="U34" s="497">
        <f t="shared" si="13"/>
        <v>17803416.135157451</v>
      </c>
    </row>
    <row r="35" spans="1:21" ht="15.4" x14ac:dyDescent="0.45">
      <c r="A35" s="480"/>
      <c r="B35" s="77" t="s">
        <v>109</v>
      </c>
      <c r="C35" s="310">
        <v>206</v>
      </c>
      <c r="D35" s="78" t="s">
        <v>114</v>
      </c>
      <c r="E35" s="544">
        <v>1.205632878027378</v>
      </c>
      <c r="F35" s="552">
        <v>23884664.59</v>
      </c>
      <c r="G35" s="553">
        <v>1820321.2</v>
      </c>
      <c r="H35" s="553">
        <v>0</v>
      </c>
      <c r="I35" s="554">
        <v>840000</v>
      </c>
      <c r="J35" s="548">
        <f t="shared" si="8"/>
        <v>26544985.789999999</v>
      </c>
      <c r="K35" s="497">
        <v>402366.58669505478</v>
      </c>
      <c r="L35" s="498">
        <v>382.5</v>
      </c>
      <c r="M35" s="539">
        <f t="shared" si="9"/>
        <v>4822.5315121095118</v>
      </c>
      <c r="N35" s="497">
        <f t="shared" si="10"/>
        <v>1844618.3033818882</v>
      </c>
      <c r="O35" s="497">
        <v>0</v>
      </c>
      <c r="P35" s="498">
        <v>750</v>
      </c>
      <c r="Q35" s="515">
        <v>790</v>
      </c>
      <c r="R35" s="499">
        <f t="shared" si="7"/>
        <v>-40</v>
      </c>
      <c r="S35" s="497">
        <f t="shared" si="11"/>
        <v>-240000</v>
      </c>
      <c r="T35" s="497">
        <f t="shared" si="12"/>
        <v>24538000.899923056</v>
      </c>
      <c r="U35" s="497">
        <f t="shared" si="13"/>
        <v>12269000.449961528</v>
      </c>
    </row>
    <row r="36" spans="1:21" ht="15.4" x14ac:dyDescent="0.45">
      <c r="A36" s="480"/>
      <c r="B36" s="77" t="s">
        <v>109</v>
      </c>
      <c r="C36" s="310">
        <v>207</v>
      </c>
      <c r="D36" s="78" t="s">
        <v>115</v>
      </c>
      <c r="E36" s="544">
        <v>1.205632878027378</v>
      </c>
      <c r="F36" s="552">
        <v>16640381.110000003</v>
      </c>
      <c r="G36" s="553">
        <v>1834664</v>
      </c>
      <c r="H36" s="553">
        <v>0</v>
      </c>
      <c r="I36" s="554">
        <v>320000</v>
      </c>
      <c r="J36" s="548">
        <f t="shared" si="8"/>
        <v>18795045.110000003</v>
      </c>
      <c r="K36" s="497">
        <v>209348.1690601767</v>
      </c>
      <c r="L36" s="498">
        <v>151</v>
      </c>
      <c r="M36" s="539">
        <f t="shared" si="9"/>
        <v>4822.5315121095118</v>
      </c>
      <c r="N36" s="497">
        <f t="shared" si="10"/>
        <v>728202.25832853629</v>
      </c>
      <c r="O36" s="497">
        <v>1465000</v>
      </c>
      <c r="P36" s="498">
        <v>459.5</v>
      </c>
      <c r="Q36" s="515">
        <v>392</v>
      </c>
      <c r="R36" s="499">
        <f t="shared" si="7"/>
        <v>67.5</v>
      </c>
      <c r="S36" s="497">
        <f t="shared" si="11"/>
        <v>405000</v>
      </c>
      <c r="T36" s="497">
        <f t="shared" si="12"/>
        <v>15987494.68261129</v>
      </c>
      <c r="U36" s="497">
        <f t="shared" si="13"/>
        <v>7993747.3413056452</v>
      </c>
    </row>
    <row r="37" spans="1:21" ht="15.4" x14ac:dyDescent="0.45">
      <c r="A37" s="480"/>
      <c r="B37" s="77" t="s">
        <v>109</v>
      </c>
      <c r="C37" s="310">
        <v>208</v>
      </c>
      <c r="D37" s="78" t="s">
        <v>116</v>
      </c>
      <c r="E37" s="544">
        <v>1.205632878027378</v>
      </c>
      <c r="F37" s="552">
        <v>40354580</v>
      </c>
      <c r="G37" s="553">
        <v>2271470</v>
      </c>
      <c r="H37" s="553">
        <v>576000</v>
      </c>
      <c r="I37" s="554">
        <v>1352500</v>
      </c>
      <c r="J37" s="548">
        <f t="shared" si="8"/>
        <v>44554550</v>
      </c>
      <c r="K37" s="497">
        <v>933614.33878633659</v>
      </c>
      <c r="L37" s="498">
        <v>494</v>
      </c>
      <c r="M37" s="539">
        <f t="shared" si="9"/>
        <v>4822.5315121095118</v>
      </c>
      <c r="N37" s="497">
        <f t="shared" si="10"/>
        <v>2382330.5669820989</v>
      </c>
      <c r="O37" s="497">
        <v>0</v>
      </c>
      <c r="P37" s="498">
        <v>1627</v>
      </c>
      <c r="Q37" s="515">
        <v>1661</v>
      </c>
      <c r="R37" s="499">
        <f t="shared" si="7"/>
        <v>-34</v>
      </c>
      <c r="S37" s="497">
        <f t="shared" si="11"/>
        <v>-204000</v>
      </c>
      <c r="T37" s="497">
        <f t="shared" si="12"/>
        <v>41442605.094231568</v>
      </c>
      <c r="U37" s="497">
        <f t="shared" si="13"/>
        <v>20721302.547115784</v>
      </c>
    </row>
    <row r="38" spans="1:21" ht="15.4" x14ac:dyDescent="0.45">
      <c r="A38" s="480"/>
      <c r="B38" s="77" t="s">
        <v>109</v>
      </c>
      <c r="C38" s="310">
        <v>209</v>
      </c>
      <c r="D38" s="78" t="s">
        <v>117</v>
      </c>
      <c r="E38" s="544">
        <v>1.205632878027378</v>
      </c>
      <c r="F38" s="552">
        <v>47859956.939999998</v>
      </c>
      <c r="G38" s="553">
        <v>274334</v>
      </c>
      <c r="H38" s="553">
        <v>1784000</v>
      </c>
      <c r="I38" s="554">
        <v>1653300.0000000002</v>
      </c>
      <c r="J38" s="548">
        <f t="shared" si="8"/>
        <v>51571590.939999998</v>
      </c>
      <c r="K38" s="497">
        <v>1030826.8735996054</v>
      </c>
      <c r="L38" s="498">
        <v>669</v>
      </c>
      <c r="M38" s="539">
        <f t="shared" si="9"/>
        <v>4822.5315121095118</v>
      </c>
      <c r="N38" s="497">
        <f t="shared" si="10"/>
        <v>3226273.5816012635</v>
      </c>
      <c r="O38" s="497">
        <v>174361.83130788</v>
      </c>
      <c r="P38" s="498">
        <v>1294</v>
      </c>
      <c r="Q38" s="515">
        <v>1622</v>
      </c>
      <c r="R38" s="499">
        <f t="shared" si="7"/>
        <v>-328</v>
      </c>
      <c r="S38" s="497">
        <f t="shared" si="11"/>
        <v>-1968000</v>
      </c>
      <c r="T38" s="497">
        <f t="shared" si="12"/>
        <v>49108128.653491251</v>
      </c>
      <c r="U38" s="497">
        <f t="shared" si="13"/>
        <v>24554064.326745626</v>
      </c>
    </row>
    <row r="39" spans="1:21" ht="15.4" x14ac:dyDescent="0.45">
      <c r="A39" s="480"/>
      <c r="B39" s="77" t="s">
        <v>109</v>
      </c>
      <c r="C39" s="310">
        <v>316</v>
      </c>
      <c r="D39" s="78" t="s">
        <v>118</v>
      </c>
      <c r="E39" s="544">
        <v>1.1243577599840504</v>
      </c>
      <c r="F39" s="552">
        <v>41416512</v>
      </c>
      <c r="G39" s="553">
        <v>3074996.8571428573</v>
      </c>
      <c r="H39" s="553">
        <v>1004000</v>
      </c>
      <c r="I39" s="554">
        <v>1940000</v>
      </c>
      <c r="J39" s="548">
        <f t="shared" si="8"/>
        <v>47435508.857142858</v>
      </c>
      <c r="K39" s="497">
        <v>1705920.7568686462</v>
      </c>
      <c r="L39" s="498">
        <v>146.5</v>
      </c>
      <c r="M39" s="539">
        <f t="shared" si="9"/>
        <v>4497.4310399362021</v>
      </c>
      <c r="N39" s="497">
        <f t="shared" si="10"/>
        <v>658873.64735065366</v>
      </c>
      <c r="O39" s="497">
        <v>0</v>
      </c>
      <c r="P39" s="498">
        <v>1589</v>
      </c>
      <c r="Q39" s="515">
        <v>1650</v>
      </c>
      <c r="R39" s="499">
        <f t="shared" si="7"/>
        <v>-61</v>
      </c>
      <c r="S39" s="497">
        <f t="shared" si="11"/>
        <v>-366000</v>
      </c>
      <c r="T39" s="497">
        <f t="shared" si="12"/>
        <v>45436714.452923559</v>
      </c>
      <c r="U39" s="497">
        <f t="shared" si="13"/>
        <v>22718357.226461779</v>
      </c>
    </row>
    <row r="40" spans="1:21" ht="15.4" x14ac:dyDescent="0.45">
      <c r="A40" s="480"/>
      <c r="B40" s="77" t="s">
        <v>109</v>
      </c>
      <c r="C40" s="310">
        <v>210</v>
      </c>
      <c r="D40" s="78" t="s">
        <v>119</v>
      </c>
      <c r="E40" s="544">
        <v>1.205632878027378</v>
      </c>
      <c r="F40" s="552">
        <v>50461953</v>
      </c>
      <c r="G40" s="553">
        <v>1150497</v>
      </c>
      <c r="H40" s="553">
        <v>6000</v>
      </c>
      <c r="I40" s="554">
        <v>1040000</v>
      </c>
      <c r="J40" s="548">
        <f t="shared" si="8"/>
        <v>52658450</v>
      </c>
      <c r="K40" s="497">
        <v>593632.87339193397</v>
      </c>
      <c r="L40" s="498">
        <v>570.5</v>
      </c>
      <c r="M40" s="539">
        <f t="shared" si="9"/>
        <v>4822.5315121095118</v>
      </c>
      <c r="N40" s="497">
        <f t="shared" si="10"/>
        <v>2751254.2276584767</v>
      </c>
      <c r="O40" s="497">
        <v>2105908.0000000005</v>
      </c>
      <c r="P40" s="498">
        <v>1161.5</v>
      </c>
      <c r="Q40" s="515">
        <v>1408.5</v>
      </c>
      <c r="R40" s="499">
        <f t="shared" si="7"/>
        <v>-247</v>
      </c>
      <c r="S40" s="497">
        <f t="shared" si="11"/>
        <v>-1482000</v>
      </c>
      <c r="T40" s="497">
        <f t="shared" si="12"/>
        <v>48689654.898949593</v>
      </c>
      <c r="U40" s="497">
        <f t="shared" si="13"/>
        <v>24344827.449474797</v>
      </c>
    </row>
    <row r="41" spans="1:21" ht="15.4" x14ac:dyDescent="0.45">
      <c r="A41" s="480"/>
      <c r="B41" s="77" t="s">
        <v>109</v>
      </c>
      <c r="C41" s="310">
        <v>211</v>
      </c>
      <c r="D41" s="78" t="s">
        <v>120</v>
      </c>
      <c r="E41" s="544">
        <v>1.205632878027378</v>
      </c>
      <c r="F41" s="552">
        <v>44023230.060000002</v>
      </c>
      <c r="G41" s="553">
        <v>1261489.8571428573</v>
      </c>
      <c r="H41" s="553">
        <v>1810000</v>
      </c>
      <c r="I41" s="554">
        <v>960000</v>
      </c>
      <c r="J41" s="548">
        <f t="shared" si="8"/>
        <v>48054719.917142861</v>
      </c>
      <c r="K41" s="497">
        <v>829952.29212359106</v>
      </c>
      <c r="L41" s="498">
        <v>602.5</v>
      </c>
      <c r="M41" s="539">
        <f t="shared" si="9"/>
        <v>4822.5315121095118</v>
      </c>
      <c r="N41" s="497">
        <f t="shared" si="10"/>
        <v>2905575.2360459808</v>
      </c>
      <c r="O41" s="497">
        <v>460000</v>
      </c>
      <c r="P41" s="498">
        <v>2128</v>
      </c>
      <c r="Q41" s="515">
        <v>1924</v>
      </c>
      <c r="R41" s="499">
        <f t="shared" si="7"/>
        <v>204</v>
      </c>
      <c r="S41" s="497">
        <f t="shared" si="11"/>
        <v>1224000</v>
      </c>
      <c r="T41" s="497">
        <f t="shared" si="12"/>
        <v>42635192.388973288</v>
      </c>
      <c r="U41" s="497">
        <f t="shared" si="13"/>
        <v>21317596.194486644</v>
      </c>
    </row>
    <row r="42" spans="1:21" ht="15.4" x14ac:dyDescent="0.45">
      <c r="A42" s="480"/>
      <c r="B42" s="77" t="s">
        <v>109</v>
      </c>
      <c r="C42" s="310">
        <v>212</v>
      </c>
      <c r="D42" s="78" t="s">
        <v>121</v>
      </c>
      <c r="E42" s="544">
        <v>1.205632878027378</v>
      </c>
      <c r="F42" s="552">
        <v>38157010</v>
      </c>
      <c r="G42" s="553">
        <v>1986660</v>
      </c>
      <c r="H42" s="553">
        <v>588000</v>
      </c>
      <c r="I42" s="554">
        <v>1180000</v>
      </c>
      <c r="J42" s="548">
        <f t="shared" si="8"/>
        <v>41911670</v>
      </c>
      <c r="K42" s="497">
        <v>974675.17446615815</v>
      </c>
      <c r="L42" s="498">
        <v>889</v>
      </c>
      <c r="M42" s="539">
        <f t="shared" si="9"/>
        <v>4822.5315121095118</v>
      </c>
      <c r="N42" s="497">
        <f t="shared" si="10"/>
        <v>4287230.5142653557</v>
      </c>
      <c r="O42" s="497">
        <v>825977</v>
      </c>
      <c r="P42" s="498">
        <v>1530</v>
      </c>
      <c r="Q42" s="515">
        <v>1353.333333</v>
      </c>
      <c r="R42" s="499">
        <f t="shared" si="7"/>
        <v>176.66666699999996</v>
      </c>
      <c r="S42" s="497">
        <f t="shared" si="11"/>
        <v>1060000.0019999999</v>
      </c>
      <c r="T42" s="497">
        <f t="shared" si="12"/>
        <v>34763787.309268489</v>
      </c>
      <c r="U42" s="497">
        <f t="shared" si="13"/>
        <v>17381893.654634245</v>
      </c>
    </row>
    <row r="43" spans="1:21" ht="15.4" x14ac:dyDescent="0.45">
      <c r="A43" s="480"/>
      <c r="B43" s="77" t="s">
        <v>109</v>
      </c>
      <c r="C43" s="310">
        <v>213</v>
      </c>
      <c r="D43" s="78" t="s">
        <v>122</v>
      </c>
      <c r="E43" s="544">
        <v>1.205632878027378</v>
      </c>
      <c r="F43" s="552">
        <v>21923586.139999997</v>
      </c>
      <c r="G43" s="553">
        <v>1540334</v>
      </c>
      <c r="H43" s="553">
        <v>480000</v>
      </c>
      <c r="I43" s="554">
        <v>190000</v>
      </c>
      <c r="J43" s="548">
        <f t="shared" si="8"/>
        <v>24133920.139999997</v>
      </c>
      <c r="K43" s="497">
        <v>418290.12509957771</v>
      </c>
      <c r="L43" s="498">
        <v>222</v>
      </c>
      <c r="M43" s="539">
        <f t="shared" si="9"/>
        <v>4822.5315121095118</v>
      </c>
      <c r="N43" s="497">
        <f t="shared" si="10"/>
        <v>1070601.9956883115</v>
      </c>
      <c r="O43" s="497">
        <v>447000</v>
      </c>
      <c r="P43" s="498">
        <v>766</v>
      </c>
      <c r="Q43" s="515">
        <v>746</v>
      </c>
      <c r="R43" s="499">
        <f t="shared" si="7"/>
        <v>20</v>
      </c>
      <c r="S43" s="497">
        <f t="shared" si="11"/>
        <v>120000</v>
      </c>
      <c r="T43" s="497">
        <f t="shared" si="12"/>
        <v>22078028.019212108</v>
      </c>
      <c r="U43" s="497">
        <f t="shared" si="13"/>
        <v>11039014.009606054</v>
      </c>
    </row>
    <row r="44" spans="1:21" ht="15.4" x14ac:dyDescent="0.45">
      <c r="A44" s="480"/>
      <c r="B44" s="77" t="s">
        <v>123</v>
      </c>
      <c r="C44" s="310">
        <v>840</v>
      </c>
      <c r="D44" s="78" t="s">
        <v>521</v>
      </c>
      <c r="E44" s="544">
        <v>1</v>
      </c>
      <c r="F44" s="552">
        <v>48704047</v>
      </c>
      <c r="G44" s="553">
        <v>2252836</v>
      </c>
      <c r="H44" s="553">
        <v>1364000</v>
      </c>
      <c r="I44" s="554">
        <v>1070000</v>
      </c>
      <c r="J44" s="548">
        <f t="shared" ref="J44" si="14">SUM(F44:I44)</f>
        <v>53390883</v>
      </c>
      <c r="K44" s="497">
        <v>353591.88574060414</v>
      </c>
      <c r="L44" s="498">
        <v>1375</v>
      </c>
      <c r="M44" s="539">
        <f t="shared" ref="M44" si="15">4000*E44</f>
        <v>4000</v>
      </c>
      <c r="N44" s="497">
        <f t="shared" ref="N44" si="16">L44*M44</f>
        <v>5500000</v>
      </c>
      <c r="O44" s="497">
        <v>966000</v>
      </c>
      <c r="P44" s="498">
        <v>2223</v>
      </c>
      <c r="Q44" s="515">
        <v>2345</v>
      </c>
      <c r="R44" s="499">
        <f t="shared" ref="R44" si="17">P44-Q44</f>
        <v>-122</v>
      </c>
      <c r="S44" s="497">
        <f t="shared" ref="S44" si="18">R44*6000</f>
        <v>-732000</v>
      </c>
      <c r="T44" s="497">
        <f t="shared" ref="T44" si="19">J44-K44-N44-O44-S44</f>
        <v>47303291.114259399</v>
      </c>
      <c r="U44" s="497">
        <f t="shared" ref="U44" si="20">T44/2</f>
        <v>23651645.5571297</v>
      </c>
    </row>
    <row r="45" spans="1:21" ht="15.4" x14ac:dyDescent="0.45">
      <c r="A45" s="480"/>
      <c r="B45" s="77" t="s">
        <v>123</v>
      </c>
      <c r="C45" s="310">
        <v>841</v>
      </c>
      <c r="D45" s="78" t="s">
        <v>124</v>
      </c>
      <c r="E45" s="544">
        <v>1</v>
      </c>
      <c r="F45" s="552">
        <v>10123924</v>
      </c>
      <c r="G45" s="553">
        <v>3251658</v>
      </c>
      <c r="H45" s="553">
        <v>526000</v>
      </c>
      <c r="I45" s="554">
        <v>0</v>
      </c>
      <c r="J45" s="548">
        <f t="shared" si="8"/>
        <v>13901582</v>
      </c>
      <c r="K45" s="497">
        <v>217205.31125073985</v>
      </c>
      <c r="L45" s="498">
        <v>285</v>
      </c>
      <c r="M45" s="539">
        <f t="shared" si="9"/>
        <v>4000</v>
      </c>
      <c r="N45" s="497">
        <f t="shared" si="10"/>
        <v>1140000</v>
      </c>
      <c r="O45" s="497">
        <v>100500</v>
      </c>
      <c r="P45" s="498">
        <v>521</v>
      </c>
      <c r="Q45" s="515">
        <v>507</v>
      </c>
      <c r="R45" s="499">
        <f t="shared" si="7"/>
        <v>14</v>
      </c>
      <c r="S45" s="497">
        <f t="shared" si="11"/>
        <v>84000</v>
      </c>
      <c r="T45" s="497">
        <f t="shared" si="12"/>
        <v>12359876.688749259</v>
      </c>
      <c r="U45" s="497">
        <f t="shared" si="13"/>
        <v>6179938.3443746297</v>
      </c>
    </row>
    <row r="46" spans="1:21" ht="15.4" x14ac:dyDescent="0.45">
      <c r="A46" s="480"/>
      <c r="B46" s="77" t="s">
        <v>123</v>
      </c>
      <c r="C46" s="310">
        <v>390</v>
      </c>
      <c r="D46" s="78" t="s">
        <v>125</v>
      </c>
      <c r="E46" s="544">
        <v>1</v>
      </c>
      <c r="F46" s="552">
        <v>21292239.309999999</v>
      </c>
      <c r="G46" s="553">
        <v>1717485.2857142857</v>
      </c>
      <c r="H46" s="553">
        <v>414000</v>
      </c>
      <c r="I46" s="554">
        <v>440000</v>
      </c>
      <c r="J46" s="548">
        <f t="shared" si="8"/>
        <v>23863724.595714286</v>
      </c>
      <c r="K46" s="497">
        <v>236246.103328611</v>
      </c>
      <c r="L46" s="498">
        <v>630</v>
      </c>
      <c r="M46" s="539">
        <f t="shared" si="9"/>
        <v>4000</v>
      </c>
      <c r="N46" s="497">
        <f t="shared" si="10"/>
        <v>2520000</v>
      </c>
      <c r="O46" s="497">
        <v>0</v>
      </c>
      <c r="P46" s="498">
        <v>916</v>
      </c>
      <c r="Q46" s="515">
        <v>908</v>
      </c>
      <c r="R46" s="499">
        <f t="shared" si="7"/>
        <v>8</v>
      </c>
      <c r="S46" s="497">
        <f t="shared" si="11"/>
        <v>48000</v>
      </c>
      <c r="T46" s="497">
        <f t="shared" si="12"/>
        <v>21059478.492385674</v>
      </c>
      <c r="U46" s="497">
        <f t="shared" si="13"/>
        <v>10529739.246192837</v>
      </c>
    </row>
    <row r="47" spans="1:21" ht="15.4" x14ac:dyDescent="0.45">
      <c r="A47" s="480"/>
      <c r="B47" s="77" t="s">
        <v>123</v>
      </c>
      <c r="C47" s="310">
        <v>805</v>
      </c>
      <c r="D47" s="78" t="s">
        <v>126</v>
      </c>
      <c r="E47" s="544">
        <v>1</v>
      </c>
      <c r="F47" s="552">
        <v>8703775</v>
      </c>
      <c r="G47" s="553">
        <v>1866000</v>
      </c>
      <c r="H47" s="553">
        <v>486000</v>
      </c>
      <c r="I47" s="554">
        <v>610000</v>
      </c>
      <c r="J47" s="548">
        <f t="shared" si="8"/>
        <v>11665775</v>
      </c>
      <c r="K47" s="497">
        <v>422904.04695653066</v>
      </c>
      <c r="L47" s="498">
        <v>246</v>
      </c>
      <c r="M47" s="539">
        <f t="shared" si="9"/>
        <v>4000</v>
      </c>
      <c r="N47" s="497">
        <f t="shared" si="10"/>
        <v>984000</v>
      </c>
      <c r="O47" s="497">
        <v>0</v>
      </c>
      <c r="P47" s="498">
        <v>614</v>
      </c>
      <c r="Q47" s="515">
        <v>616</v>
      </c>
      <c r="R47" s="499">
        <f t="shared" si="7"/>
        <v>-2</v>
      </c>
      <c r="S47" s="497">
        <f t="shared" si="11"/>
        <v>-12000</v>
      </c>
      <c r="T47" s="497">
        <f t="shared" si="12"/>
        <v>10270870.95304347</v>
      </c>
      <c r="U47" s="497">
        <f t="shared" si="13"/>
        <v>5135435.4765217351</v>
      </c>
    </row>
    <row r="48" spans="1:21" ht="15.4" x14ac:dyDescent="0.45">
      <c r="A48" s="480"/>
      <c r="B48" s="77" t="s">
        <v>123</v>
      </c>
      <c r="C48" s="310">
        <v>806</v>
      </c>
      <c r="D48" s="78" t="s">
        <v>127</v>
      </c>
      <c r="E48" s="544">
        <v>1</v>
      </c>
      <c r="F48" s="552">
        <v>19331176</v>
      </c>
      <c r="G48" s="553">
        <v>4851674</v>
      </c>
      <c r="H48" s="553">
        <v>994000</v>
      </c>
      <c r="I48" s="554">
        <v>280000</v>
      </c>
      <c r="J48" s="548">
        <f t="shared" si="8"/>
        <v>25456850</v>
      </c>
      <c r="K48" s="497">
        <v>1507276.2183763825</v>
      </c>
      <c r="L48" s="498">
        <v>534</v>
      </c>
      <c r="M48" s="539">
        <f t="shared" si="9"/>
        <v>4000</v>
      </c>
      <c r="N48" s="497">
        <f t="shared" si="10"/>
        <v>2136000</v>
      </c>
      <c r="O48" s="497">
        <v>1167000</v>
      </c>
      <c r="P48" s="498">
        <v>1257</v>
      </c>
      <c r="Q48" s="515">
        <v>1163.5</v>
      </c>
      <c r="R48" s="499">
        <f t="shared" si="7"/>
        <v>93.5</v>
      </c>
      <c r="S48" s="497">
        <f t="shared" si="11"/>
        <v>561000</v>
      </c>
      <c r="T48" s="497">
        <f t="shared" si="12"/>
        <v>20085573.781623617</v>
      </c>
      <c r="U48" s="497">
        <f t="shared" si="13"/>
        <v>10042786.890811808</v>
      </c>
    </row>
    <row r="49" spans="1:21" ht="15.4" x14ac:dyDescent="0.45">
      <c r="A49" s="480"/>
      <c r="B49" s="77" t="s">
        <v>123</v>
      </c>
      <c r="C49" s="310">
        <v>391</v>
      </c>
      <c r="D49" s="78" t="s">
        <v>128</v>
      </c>
      <c r="E49" s="544">
        <v>1</v>
      </c>
      <c r="F49" s="552">
        <v>28705319</v>
      </c>
      <c r="G49" s="553">
        <v>3832949.4785714285</v>
      </c>
      <c r="H49" s="553">
        <v>1468000</v>
      </c>
      <c r="I49" s="554">
        <v>370000</v>
      </c>
      <c r="J49" s="548">
        <f t="shared" ref="J49:J80" si="21">SUM(F49:I49)</f>
        <v>34376268.47857143</v>
      </c>
      <c r="K49" s="497">
        <v>785022.15995137102</v>
      </c>
      <c r="L49" s="498">
        <v>688.5</v>
      </c>
      <c r="M49" s="539">
        <f t="shared" si="9"/>
        <v>4000</v>
      </c>
      <c r="N49" s="497">
        <f t="shared" si="10"/>
        <v>2754000</v>
      </c>
      <c r="O49" s="497">
        <v>1965000.0000000005</v>
      </c>
      <c r="P49" s="498">
        <v>1622.5</v>
      </c>
      <c r="Q49" s="515">
        <v>1332</v>
      </c>
      <c r="R49" s="499">
        <f t="shared" si="7"/>
        <v>290.5</v>
      </c>
      <c r="S49" s="497">
        <f t="shared" si="11"/>
        <v>1743000</v>
      </c>
      <c r="T49" s="497">
        <f t="shared" si="12"/>
        <v>27129246.318620056</v>
      </c>
      <c r="U49" s="497">
        <f t="shared" si="13"/>
        <v>13564623.159310028</v>
      </c>
    </row>
    <row r="50" spans="1:21" ht="15.4" x14ac:dyDescent="0.45">
      <c r="A50" s="480"/>
      <c r="B50" s="77" t="s">
        <v>123</v>
      </c>
      <c r="C50" s="310">
        <v>392</v>
      </c>
      <c r="D50" s="78" t="s">
        <v>129</v>
      </c>
      <c r="E50" s="544">
        <v>1</v>
      </c>
      <c r="F50" s="552">
        <v>18183163</v>
      </c>
      <c r="G50" s="553">
        <v>60000</v>
      </c>
      <c r="H50" s="553">
        <v>456000</v>
      </c>
      <c r="I50" s="554">
        <v>1400000</v>
      </c>
      <c r="J50" s="548">
        <f t="shared" si="21"/>
        <v>20099163</v>
      </c>
      <c r="K50" s="497">
        <v>690984.36350647185</v>
      </c>
      <c r="L50" s="498">
        <v>542.5</v>
      </c>
      <c r="M50" s="539">
        <f t="shared" si="9"/>
        <v>4000</v>
      </c>
      <c r="N50" s="497">
        <f t="shared" si="10"/>
        <v>2170000</v>
      </c>
      <c r="O50" s="497">
        <v>0</v>
      </c>
      <c r="P50" s="498">
        <v>806</v>
      </c>
      <c r="Q50" s="515">
        <v>886</v>
      </c>
      <c r="R50" s="499">
        <f t="shared" si="7"/>
        <v>-80</v>
      </c>
      <c r="S50" s="497">
        <f t="shared" si="11"/>
        <v>-480000</v>
      </c>
      <c r="T50" s="497">
        <f t="shared" si="12"/>
        <v>17718178.636493526</v>
      </c>
      <c r="U50" s="497">
        <f t="shared" si="13"/>
        <v>8859089.3182467632</v>
      </c>
    </row>
    <row r="51" spans="1:21" ht="15.4" x14ac:dyDescent="0.45">
      <c r="A51" s="480"/>
      <c r="B51" s="77" t="s">
        <v>123</v>
      </c>
      <c r="C51" s="310">
        <v>929</v>
      </c>
      <c r="D51" s="78" t="s">
        <v>130</v>
      </c>
      <c r="E51" s="544">
        <v>1</v>
      </c>
      <c r="F51" s="552">
        <v>31627315</v>
      </c>
      <c r="G51" s="553">
        <v>1230000</v>
      </c>
      <c r="H51" s="553">
        <v>538000</v>
      </c>
      <c r="I51" s="554">
        <v>70000</v>
      </c>
      <c r="J51" s="548">
        <f t="shared" si="21"/>
        <v>33465315</v>
      </c>
      <c r="K51" s="497">
        <v>435865.72303836117</v>
      </c>
      <c r="L51" s="498">
        <v>767</v>
      </c>
      <c r="M51" s="539">
        <f t="shared" si="9"/>
        <v>4000</v>
      </c>
      <c r="N51" s="497">
        <f t="shared" si="10"/>
        <v>3068000</v>
      </c>
      <c r="O51" s="497">
        <v>0</v>
      </c>
      <c r="P51" s="498">
        <v>1735</v>
      </c>
      <c r="Q51" s="515">
        <v>1885</v>
      </c>
      <c r="R51" s="499">
        <f t="shared" si="7"/>
        <v>-150</v>
      </c>
      <c r="S51" s="497">
        <f t="shared" si="11"/>
        <v>-900000</v>
      </c>
      <c r="T51" s="497">
        <f t="shared" si="12"/>
        <v>30861449.27696164</v>
      </c>
      <c r="U51" s="497">
        <f t="shared" si="13"/>
        <v>15430724.63848082</v>
      </c>
    </row>
    <row r="52" spans="1:21" ht="15.4" x14ac:dyDescent="0.45">
      <c r="A52" s="480"/>
      <c r="B52" s="77" t="s">
        <v>123</v>
      </c>
      <c r="C52" s="310">
        <v>807</v>
      </c>
      <c r="D52" s="78" t="s">
        <v>131</v>
      </c>
      <c r="E52" s="544">
        <v>1</v>
      </c>
      <c r="F52" s="552">
        <v>14334157</v>
      </c>
      <c r="G52" s="553">
        <v>2054167</v>
      </c>
      <c r="H52" s="553">
        <v>90000</v>
      </c>
      <c r="I52" s="554">
        <v>670000</v>
      </c>
      <c r="J52" s="548">
        <f t="shared" si="21"/>
        <v>17148324</v>
      </c>
      <c r="K52" s="497">
        <v>159147.0441637889</v>
      </c>
      <c r="L52" s="498">
        <v>389</v>
      </c>
      <c r="M52" s="539">
        <f t="shared" si="9"/>
        <v>4000</v>
      </c>
      <c r="N52" s="497">
        <f t="shared" si="10"/>
        <v>1556000</v>
      </c>
      <c r="O52" s="497">
        <v>134000</v>
      </c>
      <c r="P52" s="498">
        <v>964</v>
      </c>
      <c r="Q52" s="515">
        <v>984</v>
      </c>
      <c r="R52" s="499">
        <f t="shared" si="7"/>
        <v>-20</v>
      </c>
      <c r="S52" s="497">
        <f t="shared" si="11"/>
        <v>-120000</v>
      </c>
      <c r="T52" s="497">
        <f t="shared" si="12"/>
        <v>15419176.95583621</v>
      </c>
      <c r="U52" s="497">
        <f t="shared" si="13"/>
        <v>7709588.4779181052</v>
      </c>
    </row>
    <row r="53" spans="1:21" ht="15.4" x14ac:dyDescent="0.45">
      <c r="A53" s="480"/>
      <c r="B53" s="77" t="s">
        <v>123</v>
      </c>
      <c r="C53" s="310">
        <v>393</v>
      </c>
      <c r="D53" s="78" t="s">
        <v>132</v>
      </c>
      <c r="E53" s="544">
        <v>1</v>
      </c>
      <c r="F53" s="552">
        <v>15922355</v>
      </c>
      <c r="G53" s="553">
        <v>192990</v>
      </c>
      <c r="H53" s="553">
        <v>462000</v>
      </c>
      <c r="I53" s="554">
        <v>1430000</v>
      </c>
      <c r="J53" s="548">
        <f t="shared" si="21"/>
        <v>18007345</v>
      </c>
      <c r="K53" s="497">
        <v>541150.50566389807</v>
      </c>
      <c r="L53" s="498">
        <v>498</v>
      </c>
      <c r="M53" s="539">
        <f t="shared" si="9"/>
        <v>4000</v>
      </c>
      <c r="N53" s="497">
        <f t="shared" si="10"/>
        <v>1992000</v>
      </c>
      <c r="O53" s="497">
        <v>0</v>
      </c>
      <c r="P53" s="498">
        <v>750.5</v>
      </c>
      <c r="Q53" s="515">
        <v>721.5</v>
      </c>
      <c r="R53" s="499">
        <f t="shared" si="7"/>
        <v>29</v>
      </c>
      <c r="S53" s="497">
        <f t="shared" si="11"/>
        <v>174000</v>
      </c>
      <c r="T53" s="497">
        <f t="shared" si="12"/>
        <v>15300194.494336102</v>
      </c>
      <c r="U53" s="497">
        <f t="shared" si="13"/>
        <v>7650097.2471680511</v>
      </c>
    </row>
    <row r="54" spans="1:21" ht="15.4" x14ac:dyDescent="0.45">
      <c r="A54" s="480"/>
      <c r="B54" s="77" t="s">
        <v>123</v>
      </c>
      <c r="C54" s="310">
        <v>808</v>
      </c>
      <c r="D54" s="78" t="s">
        <v>133</v>
      </c>
      <c r="E54" s="544">
        <v>1</v>
      </c>
      <c r="F54" s="552">
        <v>17390488</v>
      </c>
      <c r="G54" s="553">
        <v>7160167.7999999998</v>
      </c>
      <c r="H54" s="553">
        <v>762000</v>
      </c>
      <c r="I54" s="554">
        <v>700000</v>
      </c>
      <c r="J54" s="548">
        <f t="shared" si="21"/>
        <v>26012655.800000001</v>
      </c>
      <c r="K54" s="497">
        <v>1203703.7238382369</v>
      </c>
      <c r="L54" s="498">
        <v>555</v>
      </c>
      <c r="M54" s="539">
        <f t="shared" si="9"/>
        <v>4000</v>
      </c>
      <c r="N54" s="497">
        <f t="shared" si="10"/>
        <v>2220000</v>
      </c>
      <c r="O54" s="497">
        <v>25000</v>
      </c>
      <c r="P54" s="498">
        <v>1117.5</v>
      </c>
      <c r="Q54" s="515">
        <v>1252</v>
      </c>
      <c r="R54" s="499">
        <f t="shared" si="7"/>
        <v>-134.5</v>
      </c>
      <c r="S54" s="497">
        <f t="shared" si="11"/>
        <v>-807000</v>
      </c>
      <c r="T54" s="497">
        <f t="shared" si="12"/>
        <v>23370952.076161765</v>
      </c>
      <c r="U54" s="497">
        <f t="shared" si="13"/>
        <v>11685476.038080882</v>
      </c>
    </row>
    <row r="55" spans="1:21" ht="15.4" x14ac:dyDescent="0.45">
      <c r="A55" s="480"/>
      <c r="B55" s="77" t="s">
        <v>123</v>
      </c>
      <c r="C55" s="310">
        <v>394</v>
      </c>
      <c r="D55" s="78" t="s">
        <v>134</v>
      </c>
      <c r="E55" s="544">
        <v>1</v>
      </c>
      <c r="F55" s="552">
        <v>15615208</v>
      </c>
      <c r="G55" s="553">
        <v>6487164</v>
      </c>
      <c r="H55" s="553">
        <v>696000</v>
      </c>
      <c r="I55" s="554">
        <v>500000</v>
      </c>
      <c r="J55" s="548">
        <f t="shared" si="21"/>
        <v>23298372</v>
      </c>
      <c r="K55" s="497">
        <v>859629.21646468272</v>
      </c>
      <c r="L55" s="498">
        <v>653</v>
      </c>
      <c r="M55" s="539">
        <f t="shared" si="9"/>
        <v>4000</v>
      </c>
      <c r="N55" s="497">
        <f t="shared" si="10"/>
        <v>2612000</v>
      </c>
      <c r="O55" s="497">
        <v>0</v>
      </c>
      <c r="P55" s="498">
        <v>1118</v>
      </c>
      <c r="Q55" s="515">
        <v>1182.5</v>
      </c>
      <c r="R55" s="499">
        <f t="shared" si="7"/>
        <v>-64.5</v>
      </c>
      <c r="S55" s="497">
        <f t="shared" si="11"/>
        <v>-387000</v>
      </c>
      <c r="T55" s="497">
        <f t="shared" si="12"/>
        <v>20213742.783535317</v>
      </c>
      <c r="U55" s="497">
        <f t="shared" si="13"/>
        <v>10106871.391767658</v>
      </c>
    </row>
    <row r="56" spans="1:21" ht="15.4" x14ac:dyDescent="0.45">
      <c r="A56" s="480"/>
      <c r="B56" s="77" t="s">
        <v>135</v>
      </c>
      <c r="C56" s="310">
        <v>889</v>
      </c>
      <c r="D56" s="78" t="s">
        <v>136</v>
      </c>
      <c r="E56" s="544">
        <v>1</v>
      </c>
      <c r="F56" s="552">
        <v>19589942</v>
      </c>
      <c r="G56" s="553">
        <v>256998</v>
      </c>
      <c r="H56" s="553">
        <v>604000</v>
      </c>
      <c r="I56" s="554">
        <v>240000</v>
      </c>
      <c r="J56" s="548">
        <f t="shared" si="21"/>
        <v>20690940</v>
      </c>
      <c r="K56" s="497">
        <v>156280.13740952907</v>
      </c>
      <c r="L56" s="498">
        <v>264</v>
      </c>
      <c r="M56" s="539">
        <f t="shared" si="9"/>
        <v>4000</v>
      </c>
      <c r="N56" s="497">
        <f t="shared" si="10"/>
        <v>1056000</v>
      </c>
      <c r="O56" s="497">
        <v>360400.00000000006</v>
      </c>
      <c r="P56" s="498">
        <v>910.5</v>
      </c>
      <c r="Q56" s="515">
        <v>920.5</v>
      </c>
      <c r="R56" s="499">
        <f t="shared" si="7"/>
        <v>-10</v>
      </c>
      <c r="S56" s="497">
        <f t="shared" si="11"/>
        <v>-60000</v>
      </c>
      <c r="T56" s="497">
        <f t="shared" si="12"/>
        <v>19178259.862590469</v>
      </c>
      <c r="U56" s="497">
        <f t="shared" si="13"/>
        <v>9589129.9312952347</v>
      </c>
    </row>
    <row r="57" spans="1:21" ht="15.4" x14ac:dyDescent="0.45">
      <c r="A57" s="480"/>
      <c r="B57" s="77" t="s">
        <v>135</v>
      </c>
      <c r="C57" s="310">
        <v>890</v>
      </c>
      <c r="D57" s="78" t="s">
        <v>137</v>
      </c>
      <c r="E57" s="544">
        <v>1</v>
      </c>
      <c r="F57" s="552">
        <v>16347446</v>
      </c>
      <c r="G57" s="553">
        <v>2641670</v>
      </c>
      <c r="H57" s="553">
        <v>694000</v>
      </c>
      <c r="I57" s="554">
        <v>500000</v>
      </c>
      <c r="J57" s="548">
        <f t="shared" si="21"/>
        <v>20183116</v>
      </c>
      <c r="K57" s="497">
        <v>76145.620105377631</v>
      </c>
      <c r="L57" s="498">
        <v>460</v>
      </c>
      <c r="M57" s="539">
        <f t="shared" si="9"/>
        <v>4000</v>
      </c>
      <c r="N57" s="497">
        <f t="shared" si="10"/>
        <v>1840000</v>
      </c>
      <c r="O57" s="497">
        <v>1132000</v>
      </c>
      <c r="P57" s="498">
        <v>636</v>
      </c>
      <c r="Q57" s="515">
        <v>589</v>
      </c>
      <c r="R57" s="499">
        <f t="shared" si="7"/>
        <v>47</v>
      </c>
      <c r="S57" s="497">
        <f t="shared" si="11"/>
        <v>282000</v>
      </c>
      <c r="T57" s="497">
        <f t="shared" si="12"/>
        <v>16852970.379894622</v>
      </c>
      <c r="U57" s="497">
        <f t="shared" si="13"/>
        <v>8426485.1899473108</v>
      </c>
    </row>
    <row r="58" spans="1:21" ht="15.4" x14ac:dyDescent="0.45">
      <c r="A58" s="480"/>
      <c r="B58" s="77" t="s">
        <v>135</v>
      </c>
      <c r="C58" s="310">
        <v>350</v>
      </c>
      <c r="D58" s="78" t="s">
        <v>138</v>
      </c>
      <c r="E58" s="544">
        <v>1.0082072667712707</v>
      </c>
      <c r="F58" s="552">
        <v>32070834</v>
      </c>
      <c r="G58" s="553">
        <v>2736000</v>
      </c>
      <c r="H58" s="553">
        <v>1020000</v>
      </c>
      <c r="I58" s="554">
        <v>180000</v>
      </c>
      <c r="J58" s="548">
        <f t="shared" si="21"/>
        <v>36006834</v>
      </c>
      <c r="K58" s="497">
        <v>115442.5593231403</v>
      </c>
      <c r="L58" s="498">
        <v>743</v>
      </c>
      <c r="M58" s="539">
        <f t="shared" si="9"/>
        <v>4032.8290670850829</v>
      </c>
      <c r="N58" s="497">
        <f t="shared" si="10"/>
        <v>2996391.9968442167</v>
      </c>
      <c r="O58" s="497">
        <v>0</v>
      </c>
      <c r="P58" s="498">
        <v>1651.5</v>
      </c>
      <c r="Q58" s="515">
        <v>1731.5</v>
      </c>
      <c r="R58" s="499">
        <f t="shared" si="7"/>
        <v>-80</v>
      </c>
      <c r="S58" s="497">
        <f t="shared" si="11"/>
        <v>-480000</v>
      </c>
      <c r="T58" s="497">
        <f t="shared" si="12"/>
        <v>33374999.443832643</v>
      </c>
      <c r="U58" s="497">
        <f t="shared" si="13"/>
        <v>16687499.721916322</v>
      </c>
    </row>
    <row r="59" spans="1:21" ht="15.4" x14ac:dyDescent="0.45">
      <c r="A59" s="480"/>
      <c r="B59" s="77" t="s">
        <v>135</v>
      </c>
      <c r="C59" s="310">
        <v>351</v>
      </c>
      <c r="D59" s="78" t="s">
        <v>139</v>
      </c>
      <c r="E59" s="544">
        <v>1.0082072667712707</v>
      </c>
      <c r="F59" s="552">
        <v>32229730</v>
      </c>
      <c r="G59" s="553">
        <v>0</v>
      </c>
      <c r="H59" s="553">
        <v>878000</v>
      </c>
      <c r="I59" s="554">
        <v>520000</v>
      </c>
      <c r="J59" s="548">
        <f t="shared" si="21"/>
        <v>33627730</v>
      </c>
      <c r="K59" s="497">
        <v>179309.90701030218</v>
      </c>
      <c r="L59" s="498">
        <v>438</v>
      </c>
      <c r="M59" s="539">
        <f t="shared" si="9"/>
        <v>4032.8290670850829</v>
      </c>
      <c r="N59" s="497">
        <f t="shared" si="10"/>
        <v>1766379.1313832663</v>
      </c>
      <c r="O59" s="497">
        <v>167616</v>
      </c>
      <c r="P59" s="498">
        <v>1074</v>
      </c>
      <c r="Q59" s="515">
        <v>1070</v>
      </c>
      <c r="R59" s="499">
        <f t="shared" si="7"/>
        <v>4</v>
      </c>
      <c r="S59" s="497">
        <f t="shared" si="11"/>
        <v>24000</v>
      </c>
      <c r="T59" s="497">
        <f t="shared" si="12"/>
        <v>31490424.961606432</v>
      </c>
      <c r="U59" s="497">
        <f t="shared" si="13"/>
        <v>15745212.480803216</v>
      </c>
    </row>
    <row r="60" spans="1:21" ht="15.4" x14ac:dyDescent="0.45">
      <c r="A60" s="480"/>
      <c r="B60" s="77" t="s">
        <v>135</v>
      </c>
      <c r="C60" s="310">
        <v>895</v>
      </c>
      <c r="D60" s="78" t="s">
        <v>140</v>
      </c>
      <c r="E60" s="544">
        <v>1.0054548012657853</v>
      </c>
      <c r="F60" s="552">
        <v>31424739</v>
      </c>
      <c r="G60" s="553">
        <v>1625992</v>
      </c>
      <c r="H60" s="553">
        <v>1510000</v>
      </c>
      <c r="I60" s="554">
        <v>760000</v>
      </c>
      <c r="J60" s="548">
        <f t="shared" si="21"/>
        <v>35320731</v>
      </c>
      <c r="K60" s="497">
        <v>444973.69591645291</v>
      </c>
      <c r="L60" s="498">
        <v>406</v>
      </c>
      <c r="M60" s="539">
        <f t="shared" si="9"/>
        <v>4021.8192050631415</v>
      </c>
      <c r="N60" s="497">
        <f t="shared" si="10"/>
        <v>1632858.5972556355</v>
      </c>
      <c r="O60" s="497">
        <v>0</v>
      </c>
      <c r="P60" s="498">
        <v>1337.5</v>
      </c>
      <c r="Q60" s="515">
        <v>1460.5</v>
      </c>
      <c r="R60" s="499">
        <f t="shared" si="7"/>
        <v>-123</v>
      </c>
      <c r="S60" s="497">
        <f t="shared" si="11"/>
        <v>-738000</v>
      </c>
      <c r="T60" s="497">
        <f t="shared" si="12"/>
        <v>33980898.706827909</v>
      </c>
      <c r="U60" s="497">
        <f t="shared" si="13"/>
        <v>16990449.353413954</v>
      </c>
    </row>
    <row r="61" spans="1:21" ht="15.4" x14ac:dyDescent="0.45">
      <c r="A61" s="480"/>
      <c r="B61" s="77" t="s">
        <v>135</v>
      </c>
      <c r="C61" s="310">
        <v>896</v>
      </c>
      <c r="D61" s="78" t="s">
        <v>141</v>
      </c>
      <c r="E61" s="544">
        <v>1.0054548012657853</v>
      </c>
      <c r="F61" s="552">
        <v>35017002</v>
      </c>
      <c r="G61" s="553">
        <v>1959165</v>
      </c>
      <c r="H61" s="553">
        <v>134000</v>
      </c>
      <c r="I61" s="554">
        <v>840000</v>
      </c>
      <c r="J61" s="548">
        <f t="shared" si="21"/>
        <v>37950167</v>
      </c>
      <c r="K61" s="497">
        <v>405344.62915901246</v>
      </c>
      <c r="L61" s="498">
        <v>974</v>
      </c>
      <c r="M61" s="539">
        <f t="shared" si="9"/>
        <v>4021.8192050631415</v>
      </c>
      <c r="N61" s="497">
        <f t="shared" si="10"/>
        <v>3917251.9057314997</v>
      </c>
      <c r="O61" s="497">
        <v>525886.00000000012</v>
      </c>
      <c r="P61" s="498">
        <v>1968</v>
      </c>
      <c r="Q61" s="515">
        <v>1958</v>
      </c>
      <c r="R61" s="499">
        <f t="shared" si="7"/>
        <v>10</v>
      </c>
      <c r="S61" s="497">
        <f t="shared" si="11"/>
        <v>60000</v>
      </c>
      <c r="T61" s="497">
        <f t="shared" si="12"/>
        <v>33041684.46510949</v>
      </c>
      <c r="U61" s="497">
        <f t="shared" si="13"/>
        <v>16520842.232554745</v>
      </c>
    </row>
    <row r="62" spans="1:21" ht="15.4" x14ac:dyDescent="0.45">
      <c r="A62" s="480"/>
      <c r="B62" s="77" t="s">
        <v>135</v>
      </c>
      <c r="C62" s="310">
        <v>909</v>
      </c>
      <c r="D62" s="78" t="s">
        <v>142</v>
      </c>
      <c r="E62" s="544">
        <v>1</v>
      </c>
      <c r="F62" s="552">
        <v>37843930.949999996</v>
      </c>
      <c r="G62" s="553">
        <v>1541674</v>
      </c>
      <c r="H62" s="553">
        <v>778000</v>
      </c>
      <c r="I62" s="554">
        <v>880000</v>
      </c>
      <c r="J62" s="548">
        <f t="shared" si="21"/>
        <v>41043604.949999996</v>
      </c>
      <c r="K62" s="497">
        <v>409810.4247482249</v>
      </c>
      <c r="L62" s="498">
        <v>579.5</v>
      </c>
      <c r="M62" s="539">
        <f t="shared" si="9"/>
        <v>4000</v>
      </c>
      <c r="N62" s="497">
        <f t="shared" si="10"/>
        <v>2318000</v>
      </c>
      <c r="O62" s="497">
        <v>802637</v>
      </c>
      <c r="P62" s="498">
        <v>1913.5</v>
      </c>
      <c r="Q62" s="515">
        <v>2041.5</v>
      </c>
      <c r="R62" s="499">
        <f t="shared" si="7"/>
        <v>-128</v>
      </c>
      <c r="S62" s="497">
        <f t="shared" si="11"/>
        <v>-768000</v>
      </c>
      <c r="T62" s="497">
        <f t="shared" si="12"/>
        <v>38281157.525251769</v>
      </c>
      <c r="U62" s="497">
        <f t="shared" si="13"/>
        <v>19140578.762625884</v>
      </c>
    </row>
    <row r="63" spans="1:21" ht="15.4" x14ac:dyDescent="0.45">
      <c r="A63" s="480"/>
      <c r="B63" s="77" t="s">
        <v>135</v>
      </c>
      <c r="C63" s="310">
        <v>876</v>
      </c>
      <c r="D63" s="78" t="s">
        <v>143</v>
      </c>
      <c r="E63" s="544">
        <v>1.0054548012657853</v>
      </c>
      <c r="F63" s="552">
        <v>15052469.52</v>
      </c>
      <c r="G63" s="553">
        <v>1219994.2857142857</v>
      </c>
      <c r="H63" s="553">
        <v>472000</v>
      </c>
      <c r="I63" s="554">
        <v>680000</v>
      </c>
      <c r="J63" s="548">
        <f t="shared" si="21"/>
        <v>17424463.805714287</v>
      </c>
      <c r="K63" s="497">
        <v>491314.31362034404</v>
      </c>
      <c r="L63" s="498">
        <v>362.5</v>
      </c>
      <c r="M63" s="539">
        <f t="shared" si="9"/>
        <v>4021.8192050631415</v>
      </c>
      <c r="N63" s="497">
        <f t="shared" si="10"/>
        <v>1457909.4618353888</v>
      </c>
      <c r="O63" s="497">
        <v>0</v>
      </c>
      <c r="P63" s="498">
        <v>776</v>
      </c>
      <c r="Q63" s="515">
        <v>782</v>
      </c>
      <c r="R63" s="499">
        <f t="shared" si="7"/>
        <v>-6</v>
      </c>
      <c r="S63" s="497">
        <f t="shared" si="11"/>
        <v>-36000</v>
      </c>
      <c r="T63" s="497">
        <f t="shared" si="12"/>
        <v>15511240.030258555</v>
      </c>
      <c r="U63" s="497">
        <f t="shared" si="13"/>
        <v>7755620.0151292775</v>
      </c>
    </row>
    <row r="64" spans="1:21" ht="15.4" x14ac:dyDescent="0.45">
      <c r="A64" s="480"/>
      <c r="B64" s="77" t="s">
        <v>135</v>
      </c>
      <c r="C64" s="310">
        <v>340</v>
      </c>
      <c r="D64" s="78" t="s">
        <v>144</v>
      </c>
      <c r="E64" s="544">
        <v>1.0016847182558959</v>
      </c>
      <c r="F64" s="552">
        <v>19022534</v>
      </c>
      <c r="G64" s="553">
        <v>375833</v>
      </c>
      <c r="H64" s="553">
        <v>852000</v>
      </c>
      <c r="I64" s="554">
        <v>760000</v>
      </c>
      <c r="J64" s="548">
        <f t="shared" si="21"/>
        <v>21010367</v>
      </c>
      <c r="K64" s="497">
        <v>286730.65848349012</v>
      </c>
      <c r="L64" s="498">
        <v>508</v>
      </c>
      <c r="M64" s="539">
        <f t="shared" si="9"/>
        <v>4006.7388730235834</v>
      </c>
      <c r="N64" s="497">
        <f t="shared" si="10"/>
        <v>2035423.3474959803</v>
      </c>
      <c r="O64" s="497">
        <v>113528</v>
      </c>
      <c r="P64" s="498">
        <v>790</v>
      </c>
      <c r="Q64" s="515">
        <v>988</v>
      </c>
      <c r="R64" s="499">
        <f t="shared" si="7"/>
        <v>-198</v>
      </c>
      <c r="S64" s="497">
        <f t="shared" si="11"/>
        <v>-1188000</v>
      </c>
      <c r="T64" s="497">
        <f t="shared" si="12"/>
        <v>19762684.994020529</v>
      </c>
      <c r="U64" s="497">
        <f t="shared" si="13"/>
        <v>9881342.4970102645</v>
      </c>
    </row>
    <row r="65" spans="1:21" ht="15.4" x14ac:dyDescent="0.45">
      <c r="A65" s="480"/>
      <c r="B65" s="77" t="s">
        <v>135</v>
      </c>
      <c r="C65" s="310">
        <v>888</v>
      </c>
      <c r="D65" s="78" t="s">
        <v>145</v>
      </c>
      <c r="E65" s="544">
        <v>1</v>
      </c>
      <c r="F65" s="552">
        <v>108961694.86</v>
      </c>
      <c r="G65" s="553">
        <v>2762506</v>
      </c>
      <c r="H65" s="553">
        <v>3620000</v>
      </c>
      <c r="I65" s="554">
        <v>870000</v>
      </c>
      <c r="J65" s="548">
        <f t="shared" si="21"/>
        <v>116214200.86</v>
      </c>
      <c r="K65" s="497">
        <v>474157.52163417335</v>
      </c>
      <c r="L65" s="498">
        <v>2997.5</v>
      </c>
      <c r="M65" s="539">
        <f t="shared" si="9"/>
        <v>4000</v>
      </c>
      <c r="N65" s="497">
        <f t="shared" si="10"/>
        <v>11990000</v>
      </c>
      <c r="O65" s="497">
        <v>610000</v>
      </c>
      <c r="P65" s="498">
        <v>4795.5</v>
      </c>
      <c r="Q65" s="515">
        <v>4976.5</v>
      </c>
      <c r="R65" s="499">
        <f t="shared" si="7"/>
        <v>-181</v>
      </c>
      <c r="S65" s="497">
        <f t="shared" si="11"/>
        <v>-1086000</v>
      </c>
      <c r="T65" s="497">
        <f t="shared" si="12"/>
        <v>104226043.33836582</v>
      </c>
      <c r="U65" s="497">
        <f t="shared" si="13"/>
        <v>52113021.669182912</v>
      </c>
    </row>
    <row r="66" spans="1:21" ht="15.4" x14ac:dyDescent="0.45">
      <c r="A66" s="480"/>
      <c r="B66" s="77" t="s">
        <v>135</v>
      </c>
      <c r="C66" s="310">
        <v>341</v>
      </c>
      <c r="D66" s="78" t="s">
        <v>146</v>
      </c>
      <c r="E66" s="544">
        <v>1.0016847182558959</v>
      </c>
      <c r="F66" s="552">
        <v>43707747</v>
      </c>
      <c r="G66" s="553">
        <v>658843.57142857136</v>
      </c>
      <c r="H66" s="553">
        <v>678000</v>
      </c>
      <c r="I66" s="554">
        <v>2370000</v>
      </c>
      <c r="J66" s="548">
        <f t="shared" si="21"/>
        <v>47414590.571428575</v>
      </c>
      <c r="K66" s="497">
        <v>1165713.1810889794</v>
      </c>
      <c r="L66" s="498">
        <v>1406</v>
      </c>
      <c r="M66" s="539">
        <f t="shared" si="9"/>
        <v>4006.7388730235834</v>
      </c>
      <c r="N66" s="497">
        <f t="shared" si="10"/>
        <v>5633474.8554711584</v>
      </c>
      <c r="O66" s="497">
        <v>612365</v>
      </c>
      <c r="P66" s="498">
        <v>2115.5</v>
      </c>
      <c r="Q66" s="515">
        <v>2162</v>
      </c>
      <c r="R66" s="499">
        <f t="shared" si="7"/>
        <v>-46.5</v>
      </c>
      <c r="S66" s="497">
        <f t="shared" si="11"/>
        <v>-279000</v>
      </c>
      <c r="T66" s="497">
        <f t="shared" si="12"/>
        <v>40282037.534868442</v>
      </c>
      <c r="U66" s="497">
        <f t="shared" si="13"/>
        <v>20141018.767434221</v>
      </c>
    </row>
    <row r="67" spans="1:21" ht="15.4" x14ac:dyDescent="0.45">
      <c r="A67" s="480"/>
      <c r="B67" s="77" t="s">
        <v>135</v>
      </c>
      <c r="C67" s="310">
        <v>352</v>
      </c>
      <c r="D67" s="78" t="s">
        <v>147</v>
      </c>
      <c r="E67" s="544">
        <v>1.0082072667712707</v>
      </c>
      <c r="F67" s="552">
        <v>68840752.079999998</v>
      </c>
      <c r="G67" s="553">
        <v>3418990</v>
      </c>
      <c r="H67" s="553">
        <v>1674000</v>
      </c>
      <c r="I67" s="554">
        <v>860000</v>
      </c>
      <c r="J67" s="548">
        <f t="shared" si="21"/>
        <v>74793742.079999998</v>
      </c>
      <c r="K67" s="497">
        <v>696595.50358900684</v>
      </c>
      <c r="L67" s="498">
        <v>1463</v>
      </c>
      <c r="M67" s="539">
        <f t="shared" si="9"/>
        <v>4032.8290670850829</v>
      </c>
      <c r="N67" s="497">
        <f t="shared" si="10"/>
        <v>5900028.9251454761</v>
      </c>
      <c r="O67" s="497">
        <v>1740275</v>
      </c>
      <c r="P67" s="498">
        <v>2943</v>
      </c>
      <c r="Q67" s="515">
        <v>3020.333333</v>
      </c>
      <c r="R67" s="499">
        <f t="shared" si="7"/>
        <v>-77.333333000000039</v>
      </c>
      <c r="S67" s="497">
        <f t="shared" si="11"/>
        <v>-463999.99800000025</v>
      </c>
      <c r="T67" s="497">
        <f t="shared" si="12"/>
        <v>66920842.64926552</v>
      </c>
      <c r="U67" s="497">
        <f t="shared" si="13"/>
        <v>33460421.32463276</v>
      </c>
    </row>
    <row r="68" spans="1:21" ht="15.4" x14ac:dyDescent="0.45">
      <c r="A68" s="480"/>
      <c r="B68" s="77" t="s">
        <v>135</v>
      </c>
      <c r="C68" s="310">
        <v>353</v>
      </c>
      <c r="D68" s="78" t="s">
        <v>148</v>
      </c>
      <c r="E68" s="544">
        <v>1.0082072667712707</v>
      </c>
      <c r="F68" s="552">
        <v>24229536.529999997</v>
      </c>
      <c r="G68" s="553">
        <v>6907988</v>
      </c>
      <c r="H68" s="553">
        <v>610000</v>
      </c>
      <c r="I68" s="554">
        <v>120000</v>
      </c>
      <c r="J68" s="548">
        <f t="shared" si="21"/>
        <v>31867524.529999997</v>
      </c>
      <c r="K68" s="497">
        <v>163003.24434026552</v>
      </c>
      <c r="L68" s="498">
        <v>832.83333300000004</v>
      </c>
      <c r="M68" s="539">
        <f t="shared" si="9"/>
        <v>4032.8290670850829</v>
      </c>
      <c r="N68" s="497">
        <f t="shared" si="10"/>
        <v>3358674.4733597501</v>
      </c>
      <c r="O68" s="497">
        <v>445384</v>
      </c>
      <c r="P68" s="498">
        <v>1504.333333</v>
      </c>
      <c r="Q68" s="515">
        <v>1495</v>
      </c>
      <c r="R68" s="499">
        <f t="shared" si="7"/>
        <v>9.3333330000000387</v>
      </c>
      <c r="S68" s="497">
        <f t="shared" si="11"/>
        <v>55999.998000000232</v>
      </c>
      <c r="T68" s="497">
        <f t="shared" si="12"/>
        <v>27844462.814299982</v>
      </c>
      <c r="U68" s="497">
        <f t="shared" si="13"/>
        <v>13922231.407149991</v>
      </c>
    </row>
    <row r="69" spans="1:21" ht="15.4" x14ac:dyDescent="0.45">
      <c r="A69" s="480"/>
      <c r="B69" s="77" t="s">
        <v>135</v>
      </c>
      <c r="C69" s="310">
        <v>354</v>
      </c>
      <c r="D69" s="78" t="s">
        <v>149</v>
      </c>
      <c r="E69" s="544">
        <v>1.0082072667712707</v>
      </c>
      <c r="F69" s="552">
        <v>22193846</v>
      </c>
      <c r="G69" s="553">
        <v>116000</v>
      </c>
      <c r="H69" s="553">
        <v>354000</v>
      </c>
      <c r="I69" s="554">
        <v>200000</v>
      </c>
      <c r="J69" s="548">
        <f t="shared" si="21"/>
        <v>22863846</v>
      </c>
      <c r="K69" s="497">
        <v>122374.13042479404</v>
      </c>
      <c r="L69" s="498">
        <v>571.5</v>
      </c>
      <c r="M69" s="539">
        <f t="shared" si="9"/>
        <v>4032.8290670850829</v>
      </c>
      <c r="N69" s="497">
        <f t="shared" si="10"/>
        <v>2304761.8118391247</v>
      </c>
      <c r="O69" s="497">
        <v>0</v>
      </c>
      <c r="P69" s="498">
        <v>1209</v>
      </c>
      <c r="Q69" s="515">
        <v>1271</v>
      </c>
      <c r="R69" s="499">
        <f t="shared" si="7"/>
        <v>-62</v>
      </c>
      <c r="S69" s="497">
        <f t="shared" si="11"/>
        <v>-372000</v>
      </c>
      <c r="T69" s="497">
        <f t="shared" si="12"/>
        <v>20808710.05773608</v>
      </c>
      <c r="U69" s="497">
        <f t="shared" si="13"/>
        <v>10404355.02886804</v>
      </c>
    </row>
    <row r="70" spans="1:21" ht="15.4" x14ac:dyDescent="0.45">
      <c r="A70" s="480"/>
      <c r="B70" s="77" t="s">
        <v>135</v>
      </c>
      <c r="C70" s="310">
        <v>355</v>
      </c>
      <c r="D70" s="78" t="s">
        <v>150</v>
      </c>
      <c r="E70" s="544">
        <v>1.0082072667712707</v>
      </c>
      <c r="F70" s="552">
        <v>31166385</v>
      </c>
      <c r="G70" s="553">
        <v>3432666</v>
      </c>
      <c r="H70" s="553">
        <v>490000</v>
      </c>
      <c r="I70" s="554">
        <v>1761666.6670000001</v>
      </c>
      <c r="J70" s="548">
        <f t="shared" si="21"/>
        <v>36850717.667000003</v>
      </c>
      <c r="K70" s="497">
        <v>959241.08804117166</v>
      </c>
      <c r="L70" s="498">
        <v>651</v>
      </c>
      <c r="M70" s="539">
        <f t="shared" si="9"/>
        <v>4032.8290670850829</v>
      </c>
      <c r="N70" s="497">
        <f t="shared" si="10"/>
        <v>2625371.7226723889</v>
      </c>
      <c r="O70" s="497">
        <v>0</v>
      </c>
      <c r="P70" s="498">
        <v>1354.5</v>
      </c>
      <c r="Q70" s="515">
        <v>1442</v>
      </c>
      <c r="R70" s="499">
        <f t="shared" si="7"/>
        <v>-87.5</v>
      </c>
      <c r="S70" s="497">
        <f t="shared" si="11"/>
        <v>-525000</v>
      </c>
      <c r="T70" s="497">
        <f t="shared" si="12"/>
        <v>33791104.856286444</v>
      </c>
      <c r="U70" s="497">
        <f t="shared" si="13"/>
        <v>16895552.428143222</v>
      </c>
    </row>
    <row r="71" spans="1:21" ht="15.4" x14ac:dyDescent="0.45">
      <c r="A71" s="480"/>
      <c r="B71" s="77" t="s">
        <v>135</v>
      </c>
      <c r="C71" s="310">
        <v>343</v>
      </c>
      <c r="D71" s="78" t="s">
        <v>151</v>
      </c>
      <c r="E71" s="544">
        <v>1.0016847182558959</v>
      </c>
      <c r="F71" s="552">
        <v>26739001</v>
      </c>
      <c r="G71" s="553">
        <v>282000</v>
      </c>
      <c r="H71" s="553">
        <v>526000</v>
      </c>
      <c r="I71" s="554">
        <v>1710000</v>
      </c>
      <c r="J71" s="548">
        <f t="shared" si="21"/>
        <v>29257001</v>
      </c>
      <c r="K71" s="497">
        <v>857362.70212377317</v>
      </c>
      <c r="L71" s="498">
        <v>611</v>
      </c>
      <c r="M71" s="539">
        <f t="shared" si="9"/>
        <v>4006.7388730235834</v>
      </c>
      <c r="N71" s="497">
        <f t="shared" si="10"/>
        <v>2448117.4514174093</v>
      </c>
      <c r="O71" s="497">
        <v>0</v>
      </c>
      <c r="P71" s="498">
        <v>1238</v>
      </c>
      <c r="Q71" s="515">
        <v>1258</v>
      </c>
      <c r="R71" s="499">
        <f t="shared" si="7"/>
        <v>-20</v>
      </c>
      <c r="S71" s="497">
        <f t="shared" si="11"/>
        <v>-120000</v>
      </c>
      <c r="T71" s="497">
        <f t="shared" si="12"/>
        <v>26071520.846458819</v>
      </c>
      <c r="U71" s="497">
        <f t="shared" si="13"/>
        <v>13035760.423229409</v>
      </c>
    </row>
    <row r="72" spans="1:21" ht="15.4" x14ac:dyDescent="0.45">
      <c r="A72" s="480"/>
      <c r="B72" s="77" t="s">
        <v>135</v>
      </c>
      <c r="C72" s="310">
        <v>342</v>
      </c>
      <c r="D72" s="78" t="s">
        <v>522</v>
      </c>
      <c r="E72" s="544">
        <v>1.0016847182558959</v>
      </c>
      <c r="F72" s="552">
        <v>20384332</v>
      </c>
      <c r="G72" s="553">
        <v>24000</v>
      </c>
      <c r="H72" s="553">
        <v>288000</v>
      </c>
      <c r="I72" s="554">
        <v>800000</v>
      </c>
      <c r="J72" s="548">
        <f t="shared" si="21"/>
        <v>21496332</v>
      </c>
      <c r="K72" s="497">
        <v>332402.04285530117</v>
      </c>
      <c r="L72" s="498">
        <v>397</v>
      </c>
      <c r="M72" s="539">
        <f t="shared" si="9"/>
        <v>4006.7388730235834</v>
      </c>
      <c r="N72" s="497">
        <f t="shared" si="10"/>
        <v>1590675.3325903625</v>
      </c>
      <c r="O72" s="497">
        <v>0</v>
      </c>
      <c r="P72" s="498">
        <v>1222.5</v>
      </c>
      <c r="Q72" s="515">
        <v>1145</v>
      </c>
      <c r="R72" s="499">
        <f t="shared" si="7"/>
        <v>77.5</v>
      </c>
      <c r="S72" s="497">
        <f t="shared" si="11"/>
        <v>465000</v>
      </c>
      <c r="T72" s="497">
        <f t="shared" si="12"/>
        <v>19108254.624554336</v>
      </c>
      <c r="U72" s="497">
        <f t="shared" si="13"/>
        <v>9554127.312277168</v>
      </c>
    </row>
    <row r="73" spans="1:21" ht="15.4" x14ac:dyDescent="0.45">
      <c r="A73" s="480"/>
      <c r="B73" s="77" t="s">
        <v>135</v>
      </c>
      <c r="C73" s="310">
        <v>356</v>
      </c>
      <c r="D73" s="78" t="s">
        <v>152</v>
      </c>
      <c r="E73" s="544">
        <v>1.0082072667712707</v>
      </c>
      <c r="F73" s="552">
        <v>28795569.950000003</v>
      </c>
      <c r="G73" s="553">
        <v>374998</v>
      </c>
      <c r="H73" s="553">
        <v>564000</v>
      </c>
      <c r="I73" s="554">
        <v>1250000</v>
      </c>
      <c r="J73" s="548">
        <f t="shared" si="21"/>
        <v>30984567.950000003</v>
      </c>
      <c r="K73" s="497">
        <v>549963.41638873471</v>
      </c>
      <c r="L73" s="498">
        <v>610</v>
      </c>
      <c r="M73" s="539">
        <f t="shared" si="9"/>
        <v>4032.8290670850829</v>
      </c>
      <c r="N73" s="497">
        <f t="shared" si="10"/>
        <v>2460025.7309219004</v>
      </c>
      <c r="O73" s="497">
        <v>50000</v>
      </c>
      <c r="P73" s="498">
        <v>1459</v>
      </c>
      <c r="Q73" s="515">
        <v>1524</v>
      </c>
      <c r="R73" s="499">
        <f t="shared" si="7"/>
        <v>-65</v>
      </c>
      <c r="S73" s="497">
        <f t="shared" si="11"/>
        <v>-390000</v>
      </c>
      <c r="T73" s="497">
        <f t="shared" si="12"/>
        <v>28314578.802689366</v>
      </c>
      <c r="U73" s="497">
        <f t="shared" si="13"/>
        <v>14157289.401344683</v>
      </c>
    </row>
    <row r="74" spans="1:21" ht="15.4" x14ac:dyDescent="0.45">
      <c r="A74" s="480"/>
      <c r="B74" s="77" t="s">
        <v>135</v>
      </c>
      <c r="C74" s="310">
        <v>357</v>
      </c>
      <c r="D74" s="78" t="s">
        <v>153</v>
      </c>
      <c r="E74" s="544">
        <v>1.0082072667712707</v>
      </c>
      <c r="F74" s="552">
        <v>17800827</v>
      </c>
      <c r="G74" s="553">
        <v>820000</v>
      </c>
      <c r="H74" s="553">
        <v>678000</v>
      </c>
      <c r="I74" s="554">
        <v>90000</v>
      </c>
      <c r="J74" s="548">
        <f t="shared" si="21"/>
        <v>19388827</v>
      </c>
      <c r="K74" s="497">
        <v>323959.76813143422</v>
      </c>
      <c r="L74" s="498">
        <v>437</v>
      </c>
      <c r="M74" s="539">
        <f t="shared" ref="M74:M137" si="22">4000*E74</f>
        <v>4032.8290670850829</v>
      </c>
      <c r="N74" s="497">
        <f t="shared" si="10"/>
        <v>1762346.3023161811</v>
      </c>
      <c r="O74" s="497">
        <v>75000</v>
      </c>
      <c r="P74" s="498">
        <v>729</v>
      </c>
      <c r="Q74" s="515">
        <v>797</v>
      </c>
      <c r="R74" s="499">
        <f t="shared" si="7"/>
        <v>-68</v>
      </c>
      <c r="S74" s="497">
        <f t="shared" si="11"/>
        <v>-408000</v>
      </c>
      <c r="T74" s="497">
        <f t="shared" ref="T74:T137" si="23">J74-K74-N74-O74-S74</f>
        <v>17635520.929552384</v>
      </c>
      <c r="U74" s="497">
        <f t="shared" si="13"/>
        <v>8817760.4647761919</v>
      </c>
    </row>
    <row r="75" spans="1:21" ht="15.4" x14ac:dyDescent="0.45">
      <c r="A75" s="480"/>
      <c r="B75" s="77" t="s">
        <v>135</v>
      </c>
      <c r="C75" s="310">
        <v>358</v>
      </c>
      <c r="D75" s="78" t="s">
        <v>154</v>
      </c>
      <c r="E75" s="544">
        <v>1.0082072667712707</v>
      </c>
      <c r="F75" s="552">
        <v>22627132.84</v>
      </c>
      <c r="G75" s="553">
        <v>2794836.7142857141</v>
      </c>
      <c r="H75" s="553">
        <v>126000</v>
      </c>
      <c r="I75" s="554">
        <v>720000</v>
      </c>
      <c r="J75" s="548">
        <f t="shared" si="21"/>
        <v>26267969.554285713</v>
      </c>
      <c r="K75" s="497">
        <v>286082.4857532552</v>
      </c>
      <c r="L75" s="498">
        <v>614</v>
      </c>
      <c r="M75" s="539">
        <f t="shared" si="22"/>
        <v>4032.8290670850829</v>
      </c>
      <c r="N75" s="497">
        <f t="shared" ref="N75:N138" si="24">L75*M75</f>
        <v>2476157.047190241</v>
      </c>
      <c r="O75" s="497">
        <v>0</v>
      </c>
      <c r="P75" s="498">
        <v>1169</v>
      </c>
      <c r="Q75" s="515">
        <v>1263.5</v>
      </c>
      <c r="R75" s="499">
        <f t="shared" si="7"/>
        <v>-94.5</v>
      </c>
      <c r="S75" s="497">
        <f t="shared" ref="S75:S138" si="25">R75*6000</f>
        <v>-567000</v>
      </c>
      <c r="T75" s="497">
        <f t="shared" si="23"/>
        <v>24072730.021342214</v>
      </c>
      <c r="U75" s="497">
        <f t="shared" ref="U75:U138" si="26">T75/2</f>
        <v>12036365.010671107</v>
      </c>
    </row>
    <row r="76" spans="1:21" ht="15.4" x14ac:dyDescent="0.45">
      <c r="A76" s="480"/>
      <c r="B76" s="77" t="s">
        <v>135</v>
      </c>
      <c r="C76" s="310">
        <v>877</v>
      </c>
      <c r="D76" s="78" t="s">
        <v>155</v>
      </c>
      <c r="E76" s="544">
        <v>1.0054548012657853</v>
      </c>
      <c r="F76" s="552">
        <v>20107254</v>
      </c>
      <c r="G76" s="553">
        <v>904986.6857142857</v>
      </c>
      <c r="H76" s="553">
        <v>512000</v>
      </c>
      <c r="I76" s="554">
        <v>1140000</v>
      </c>
      <c r="J76" s="548">
        <f t="shared" si="21"/>
        <v>22664240.685714286</v>
      </c>
      <c r="K76" s="497">
        <v>729150.70558442338</v>
      </c>
      <c r="L76" s="498">
        <v>403</v>
      </c>
      <c r="M76" s="539">
        <f t="shared" si="22"/>
        <v>4021.8192050631415</v>
      </c>
      <c r="N76" s="497">
        <f t="shared" si="24"/>
        <v>1620793.1396404461</v>
      </c>
      <c r="O76" s="497">
        <v>311525</v>
      </c>
      <c r="P76" s="498">
        <v>1072</v>
      </c>
      <c r="Q76" s="515">
        <v>1154</v>
      </c>
      <c r="R76" s="499">
        <f t="shared" si="7"/>
        <v>-82</v>
      </c>
      <c r="S76" s="497">
        <f t="shared" si="25"/>
        <v>-492000</v>
      </c>
      <c r="T76" s="497">
        <f t="shared" si="23"/>
        <v>20494771.840489417</v>
      </c>
      <c r="U76" s="497">
        <f t="shared" si="26"/>
        <v>10247385.920244709</v>
      </c>
    </row>
    <row r="77" spans="1:21" ht="15.4" x14ac:dyDescent="0.45">
      <c r="A77" s="480"/>
      <c r="B77" s="77" t="s">
        <v>135</v>
      </c>
      <c r="C77" s="310">
        <v>359</v>
      </c>
      <c r="D77" s="78" t="s">
        <v>156</v>
      </c>
      <c r="E77" s="544">
        <v>1.0082072667712707</v>
      </c>
      <c r="F77" s="552">
        <v>25253018</v>
      </c>
      <c r="G77" s="553">
        <v>2110000</v>
      </c>
      <c r="H77" s="553">
        <v>502000</v>
      </c>
      <c r="I77" s="554">
        <v>380000</v>
      </c>
      <c r="J77" s="548">
        <f t="shared" si="21"/>
        <v>28245018</v>
      </c>
      <c r="K77" s="497">
        <v>153765.86136775918</v>
      </c>
      <c r="L77" s="498">
        <v>726</v>
      </c>
      <c r="M77" s="539">
        <f t="shared" si="22"/>
        <v>4032.8290670850829</v>
      </c>
      <c r="N77" s="497">
        <f t="shared" si="24"/>
        <v>2927833.90270377</v>
      </c>
      <c r="O77" s="497">
        <v>30000</v>
      </c>
      <c r="P77" s="498">
        <v>1446</v>
      </c>
      <c r="Q77" s="515">
        <v>1540</v>
      </c>
      <c r="R77" s="499">
        <f t="shared" si="7"/>
        <v>-94</v>
      </c>
      <c r="S77" s="497">
        <f t="shared" si="25"/>
        <v>-564000</v>
      </c>
      <c r="T77" s="497">
        <f t="shared" si="23"/>
        <v>25697418.235928472</v>
      </c>
      <c r="U77" s="497">
        <f t="shared" si="26"/>
        <v>12848709.117964236</v>
      </c>
    </row>
    <row r="78" spans="1:21" ht="15.4" x14ac:dyDescent="0.45">
      <c r="A78" s="480"/>
      <c r="B78" s="77" t="s">
        <v>135</v>
      </c>
      <c r="C78" s="310">
        <v>344</v>
      </c>
      <c r="D78" s="78" t="s">
        <v>157</v>
      </c>
      <c r="E78" s="544">
        <v>1.0016847182558959</v>
      </c>
      <c r="F78" s="552">
        <v>31189286</v>
      </c>
      <c r="G78" s="553">
        <v>2335165</v>
      </c>
      <c r="H78" s="553">
        <v>612000</v>
      </c>
      <c r="I78" s="554">
        <v>1580000</v>
      </c>
      <c r="J78" s="548">
        <f t="shared" si="21"/>
        <v>35716451</v>
      </c>
      <c r="K78" s="497">
        <v>1164552.3667130102</v>
      </c>
      <c r="L78" s="498">
        <v>1056</v>
      </c>
      <c r="M78" s="539">
        <f t="shared" si="22"/>
        <v>4006.7388730235834</v>
      </c>
      <c r="N78" s="497">
        <f t="shared" si="24"/>
        <v>4231116.2499129046</v>
      </c>
      <c r="O78" s="497">
        <v>1359100</v>
      </c>
      <c r="P78" s="498">
        <v>1900</v>
      </c>
      <c r="Q78" s="515">
        <v>1980</v>
      </c>
      <c r="R78" s="499">
        <f t="shared" si="7"/>
        <v>-80</v>
      </c>
      <c r="S78" s="497">
        <f t="shared" si="25"/>
        <v>-480000</v>
      </c>
      <c r="T78" s="497">
        <f t="shared" si="23"/>
        <v>29441682.383374088</v>
      </c>
      <c r="U78" s="497">
        <f t="shared" si="26"/>
        <v>14720841.191687044</v>
      </c>
    </row>
    <row r="79" spans="1:21" ht="15.4" x14ac:dyDescent="0.45">
      <c r="A79" s="480"/>
      <c r="B79" s="77" t="s">
        <v>158</v>
      </c>
      <c r="C79" s="310">
        <v>301</v>
      </c>
      <c r="D79" s="78" t="s">
        <v>159</v>
      </c>
      <c r="E79" s="544">
        <v>1.1243577599840504</v>
      </c>
      <c r="F79" s="552">
        <v>27689088</v>
      </c>
      <c r="G79" s="553">
        <v>879983.2</v>
      </c>
      <c r="H79" s="553">
        <v>1394000</v>
      </c>
      <c r="I79" s="554">
        <v>2940000</v>
      </c>
      <c r="J79" s="548">
        <f t="shared" si="21"/>
        <v>32903071.199999999</v>
      </c>
      <c r="K79" s="497">
        <v>1593040.692482294</v>
      </c>
      <c r="L79" s="498">
        <v>320</v>
      </c>
      <c r="M79" s="539">
        <f t="shared" si="22"/>
        <v>4497.4310399362021</v>
      </c>
      <c r="N79" s="497">
        <f t="shared" si="24"/>
        <v>1439177.9327795845</v>
      </c>
      <c r="O79" s="497">
        <v>0</v>
      </c>
      <c r="P79" s="498">
        <v>1195</v>
      </c>
      <c r="Q79" s="515">
        <v>1147</v>
      </c>
      <c r="R79" s="499">
        <f t="shared" si="7"/>
        <v>48</v>
      </c>
      <c r="S79" s="497">
        <f t="shared" si="25"/>
        <v>288000</v>
      </c>
      <c r="T79" s="497">
        <f t="shared" si="23"/>
        <v>29582852.574738123</v>
      </c>
      <c r="U79" s="497">
        <f t="shared" si="26"/>
        <v>14791426.287369061</v>
      </c>
    </row>
    <row r="80" spans="1:21" ht="15.4" x14ac:dyDescent="0.45">
      <c r="A80" s="480"/>
      <c r="B80" s="77" t="s">
        <v>158</v>
      </c>
      <c r="C80" s="310">
        <v>302</v>
      </c>
      <c r="D80" s="78" t="s">
        <v>160</v>
      </c>
      <c r="E80" s="544">
        <v>1.1116135618035334</v>
      </c>
      <c r="F80" s="552">
        <v>45340443</v>
      </c>
      <c r="G80" s="553">
        <v>3276155</v>
      </c>
      <c r="H80" s="553">
        <v>1080000</v>
      </c>
      <c r="I80" s="554">
        <v>870000</v>
      </c>
      <c r="J80" s="548">
        <f t="shared" si="21"/>
        <v>50566598</v>
      </c>
      <c r="K80" s="497">
        <v>1164984.4055340444</v>
      </c>
      <c r="L80" s="498">
        <v>667</v>
      </c>
      <c r="M80" s="539">
        <f t="shared" si="22"/>
        <v>4446.4542472141338</v>
      </c>
      <c r="N80" s="497">
        <f t="shared" si="24"/>
        <v>2965784.9828918274</v>
      </c>
      <c r="O80" s="497">
        <v>541146</v>
      </c>
      <c r="P80" s="498">
        <v>1734.5</v>
      </c>
      <c r="Q80" s="515">
        <v>1671</v>
      </c>
      <c r="R80" s="499">
        <f t="shared" si="7"/>
        <v>63.5</v>
      </c>
      <c r="S80" s="497">
        <f t="shared" si="25"/>
        <v>381000</v>
      </c>
      <c r="T80" s="497">
        <f t="shared" si="23"/>
        <v>45513682.611574128</v>
      </c>
      <c r="U80" s="497">
        <f t="shared" si="26"/>
        <v>22756841.305787064</v>
      </c>
    </row>
    <row r="81" spans="1:21" ht="15.4" x14ac:dyDescent="0.45">
      <c r="A81" s="480"/>
      <c r="B81" s="77" t="s">
        <v>158</v>
      </c>
      <c r="C81" s="310">
        <v>303</v>
      </c>
      <c r="D81" s="78" t="s">
        <v>161</v>
      </c>
      <c r="E81" s="544">
        <v>1.0870826162281</v>
      </c>
      <c r="F81" s="552">
        <v>28978865</v>
      </c>
      <c r="G81" s="553">
        <v>3394072.1428571432</v>
      </c>
      <c r="H81" s="553">
        <v>48000</v>
      </c>
      <c r="I81" s="554">
        <v>800000</v>
      </c>
      <c r="J81" s="548">
        <f t="shared" ref="J81:J112" si="27">SUM(F81:I81)</f>
        <v>33220937.142857142</v>
      </c>
      <c r="K81" s="497">
        <v>892342.77804640483</v>
      </c>
      <c r="L81" s="498">
        <v>597</v>
      </c>
      <c r="M81" s="539">
        <f t="shared" si="22"/>
        <v>4348.3304649124002</v>
      </c>
      <c r="N81" s="497">
        <f t="shared" si="24"/>
        <v>2595953.2875527027</v>
      </c>
      <c r="O81" s="497">
        <v>295000</v>
      </c>
      <c r="P81" s="498">
        <v>1104</v>
      </c>
      <c r="Q81" s="515">
        <v>1321.5</v>
      </c>
      <c r="R81" s="499">
        <f t="shared" si="7"/>
        <v>-217.5</v>
      </c>
      <c r="S81" s="497">
        <f t="shared" si="25"/>
        <v>-1305000</v>
      </c>
      <c r="T81" s="497">
        <f t="shared" si="23"/>
        <v>30742641.077258036</v>
      </c>
      <c r="U81" s="497">
        <f t="shared" si="26"/>
        <v>15371320.538629018</v>
      </c>
    </row>
    <row r="82" spans="1:21" ht="15.4" x14ac:dyDescent="0.45">
      <c r="A82" s="480"/>
      <c r="B82" s="77" t="s">
        <v>158</v>
      </c>
      <c r="C82" s="310">
        <v>304</v>
      </c>
      <c r="D82" s="78" t="s">
        <v>162</v>
      </c>
      <c r="E82" s="544">
        <v>1.1488887055594839</v>
      </c>
      <c r="F82" s="552">
        <v>46317601</v>
      </c>
      <c r="G82" s="553">
        <v>4508831</v>
      </c>
      <c r="H82" s="553">
        <v>216000</v>
      </c>
      <c r="I82" s="554">
        <v>540000</v>
      </c>
      <c r="J82" s="548">
        <f t="shared" si="27"/>
        <v>51582432</v>
      </c>
      <c r="K82" s="497">
        <v>516723.447327842</v>
      </c>
      <c r="L82" s="498">
        <v>803</v>
      </c>
      <c r="M82" s="539">
        <f t="shared" si="22"/>
        <v>4595.5548222379357</v>
      </c>
      <c r="N82" s="497">
        <f t="shared" si="24"/>
        <v>3690230.5222570621</v>
      </c>
      <c r="O82" s="497">
        <v>0</v>
      </c>
      <c r="P82" s="498">
        <v>1488</v>
      </c>
      <c r="Q82" s="515">
        <v>1832.5</v>
      </c>
      <c r="R82" s="499">
        <f t="shared" ref="R82:R145" si="28">P82-Q82</f>
        <v>-344.5</v>
      </c>
      <c r="S82" s="497">
        <f t="shared" si="25"/>
        <v>-2067000</v>
      </c>
      <c r="T82" s="497">
        <f t="shared" si="23"/>
        <v>49442478.030415095</v>
      </c>
      <c r="U82" s="497">
        <f t="shared" si="26"/>
        <v>24721239.015207548</v>
      </c>
    </row>
    <row r="83" spans="1:21" ht="15.4" x14ac:dyDescent="0.45">
      <c r="A83" s="480"/>
      <c r="B83" s="77" t="s">
        <v>158</v>
      </c>
      <c r="C83" s="310">
        <v>305</v>
      </c>
      <c r="D83" s="78" t="s">
        <v>163</v>
      </c>
      <c r="E83" s="544">
        <v>1.0870826162281</v>
      </c>
      <c r="F83" s="552">
        <v>39950260</v>
      </c>
      <c r="G83" s="553">
        <v>6901450.5714285709</v>
      </c>
      <c r="H83" s="553">
        <v>582000</v>
      </c>
      <c r="I83" s="554">
        <v>400000</v>
      </c>
      <c r="J83" s="548">
        <f t="shared" si="27"/>
        <v>47833710.571428567</v>
      </c>
      <c r="K83" s="497">
        <v>1538545.0192534071</v>
      </c>
      <c r="L83" s="498">
        <v>827.5</v>
      </c>
      <c r="M83" s="539">
        <f t="shared" si="22"/>
        <v>4348.3304649124002</v>
      </c>
      <c r="N83" s="497">
        <f t="shared" si="24"/>
        <v>3598243.4597150111</v>
      </c>
      <c r="O83" s="497">
        <v>700000</v>
      </c>
      <c r="P83" s="498">
        <v>1732</v>
      </c>
      <c r="Q83" s="515">
        <v>1651.5</v>
      </c>
      <c r="R83" s="499">
        <f t="shared" si="28"/>
        <v>80.5</v>
      </c>
      <c r="S83" s="497">
        <f t="shared" si="25"/>
        <v>483000</v>
      </c>
      <c r="T83" s="497">
        <f t="shared" si="23"/>
        <v>41513922.092460148</v>
      </c>
      <c r="U83" s="497">
        <f t="shared" si="26"/>
        <v>20756961.046230074</v>
      </c>
    </row>
    <row r="84" spans="1:21" ht="15.4" x14ac:dyDescent="0.45">
      <c r="A84" s="480"/>
      <c r="B84" s="77" t="s">
        <v>158</v>
      </c>
      <c r="C84" s="310">
        <v>306</v>
      </c>
      <c r="D84" s="78" t="s">
        <v>164</v>
      </c>
      <c r="E84" s="544">
        <v>1.0870826162281</v>
      </c>
      <c r="F84" s="552">
        <v>60708073.350000001</v>
      </c>
      <c r="G84" s="553">
        <v>2370998</v>
      </c>
      <c r="H84" s="553">
        <v>296000</v>
      </c>
      <c r="I84" s="554">
        <v>600000</v>
      </c>
      <c r="J84" s="548">
        <f t="shared" si="27"/>
        <v>63975071.350000001</v>
      </c>
      <c r="K84" s="497">
        <v>1241508.511936096</v>
      </c>
      <c r="L84" s="498">
        <v>1104</v>
      </c>
      <c r="M84" s="539">
        <f t="shared" si="22"/>
        <v>4348.3304649124002</v>
      </c>
      <c r="N84" s="497">
        <f t="shared" si="24"/>
        <v>4800556.8332632901</v>
      </c>
      <c r="O84" s="497">
        <v>385000</v>
      </c>
      <c r="P84" s="498">
        <v>1882.5</v>
      </c>
      <c r="Q84" s="515">
        <v>2155.5</v>
      </c>
      <c r="R84" s="499">
        <f t="shared" si="28"/>
        <v>-273</v>
      </c>
      <c r="S84" s="497">
        <f t="shared" si="25"/>
        <v>-1638000</v>
      </c>
      <c r="T84" s="497">
        <f t="shared" si="23"/>
        <v>59186006.00480061</v>
      </c>
      <c r="U84" s="497">
        <f t="shared" si="26"/>
        <v>29593003.002400305</v>
      </c>
    </row>
    <row r="85" spans="1:21" ht="15.4" x14ac:dyDescent="0.45">
      <c r="A85" s="480"/>
      <c r="B85" s="77" t="s">
        <v>158</v>
      </c>
      <c r="C85" s="310">
        <v>307</v>
      </c>
      <c r="D85" s="78" t="s">
        <v>165</v>
      </c>
      <c r="E85" s="544">
        <v>1.1488887055594839</v>
      </c>
      <c r="F85" s="552">
        <v>54459915</v>
      </c>
      <c r="G85" s="553">
        <v>124498.71428571429</v>
      </c>
      <c r="H85" s="553">
        <v>0</v>
      </c>
      <c r="I85" s="554">
        <v>1275000</v>
      </c>
      <c r="J85" s="548">
        <f t="shared" si="27"/>
        <v>55859413.714285716</v>
      </c>
      <c r="K85" s="497">
        <v>586684.19229520555</v>
      </c>
      <c r="L85" s="498">
        <v>857</v>
      </c>
      <c r="M85" s="539">
        <f t="shared" si="22"/>
        <v>4595.5548222379357</v>
      </c>
      <c r="N85" s="497">
        <f t="shared" si="24"/>
        <v>3938390.4826579108</v>
      </c>
      <c r="O85" s="497">
        <v>0</v>
      </c>
      <c r="P85" s="498">
        <v>1547</v>
      </c>
      <c r="Q85" s="515">
        <v>1724.5</v>
      </c>
      <c r="R85" s="499">
        <f t="shared" si="28"/>
        <v>-177.5</v>
      </c>
      <c r="S85" s="497">
        <f t="shared" si="25"/>
        <v>-1065000</v>
      </c>
      <c r="T85" s="497">
        <f t="shared" si="23"/>
        <v>52399339.039332598</v>
      </c>
      <c r="U85" s="497">
        <f t="shared" si="26"/>
        <v>26199669.519666299</v>
      </c>
    </row>
    <row r="86" spans="1:21" ht="15.4" x14ac:dyDescent="0.45">
      <c r="A86" s="480"/>
      <c r="B86" s="77" t="s">
        <v>158</v>
      </c>
      <c r="C86" s="310">
        <v>308</v>
      </c>
      <c r="D86" s="78" t="s">
        <v>166</v>
      </c>
      <c r="E86" s="544">
        <v>1.0870826162281</v>
      </c>
      <c r="F86" s="552">
        <v>42003809</v>
      </c>
      <c r="G86" s="553">
        <v>464653.71428571432</v>
      </c>
      <c r="H86" s="553">
        <v>210000</v>
      </c>
      <c r="I86" s="554">
        <v>680000</v>
      </c>
      <c r="J86" s="548">
        <f t="shared" si="27"/>
        <v>43358462.714285716</v>
      </c>
      <c r="K86" s="497">
        <v>456895.36640643538</v>
      </c>
      <c r="L86" s="498">
        <v>764.5</v>
      </c>
      <c r="M86" s="539">
        <f t="shared" si="22"/>
        <v>4348.3304649124002</v>
      </c>
      <c r="N86" s="497">
        <f t="shared" si="24"/>
        <v>3324298.6404255298</v>
      </c>
      <c r="O86" s="497">
        <v>388850</v>
      </c>
      <c r="P86" s="498">
        <v>1457.5</v>
      </c>
      <c r="Q86" s="515">
        <v>1718.5</v>
      </c>
      <c r="R86" s="499">
        <f t="shared" si="28"/>
        <v>-261</v>
      </c>
      <c r="S86" s="497">
        <f t="shared" si="25"/>
        <v>-1566000</v>
      </c>
      <c r="T86" s="497">
        <f t="shared" si="23"/>
        <v>40754418.70745375</v>
      </c>
      <c r="U86" s="497">
        <f t="shared" si="26"/>
        <v>20377209.353726875</v>
      </c>
    </row>
    <row r="87" spans="1:21" ht="15.4" x14ac:dyDescent="0.45">
      <c r="A87" s="480"/>
      <c r="B87" s="77" t="s">
        <v>158</v>
      </c>
      <c r="C87" s="310">
        <v>203</v>
      </c>
      <c r="D87" s="78" t="s">
        <v>167</v>
      </c>
      <c r="E87" s="544">
        <v>1.205632878027378</v>
      </c>
      <c r="F87" s="552">
        <v>39662091.710000001</v>
      </c>
      <c r="G87" s="553">
        <v>5464111.7999999998</v>
      </c>
      <c r="H87" s="553">
        <v>0</v>
      </c>
      <c r="I87" s="554">
        <v>1370000</v>
      </c>
      <c r="J87" s="548">
        <f t="shared" si="27"/>
        <v>46496203.509999998</v>
      </c>
      <c r="K87" s="497">
        <v>1230942.9700020035</v>
      </c>
      <c r="L87" s="498">
        <v>533</v>
      </c>
      <c r="M87" s="539">
        <f t="shared" si="22"/>
        <v>4822.5315121095118</v>
      </c>
      <c r="N87" s="497">
        <f t="shared" si="24"/>
        <v>2570409.2959543699</v>
      </c>
      <c r="O87" s="497">
        <v>463431</v>
      </c>
      <c r="P87" s="498">
        <v>1324</v>
      </c>
      <c r="Q87" s="515">
        <v>1323</v>
      </c>
      <c r="R87" s="499">
        <f t="shared" si="28"/>
        <v>1</v>
      </c>
      <c r="S87" s="497">
        <f t="shared" si="25"/>
        <v>6000</v>
      </c>
      <c r="T87" s="497">
        <f t="shared" si="23"/>
        <v>42225420.244043626</v>
      </c>
      <c r="U87" s="497">
        <f t="shared" si="26"/>
        <v>21112710.122021813</v>
      </c>
    </row>
    <row r="88" spans="1:21" ht="15.4" x14ac:dyDescent="0.45">
      <c r="A88" s="480"/>
      <c r="B88" s="77" t="s">
        <v>158</v>
      </c>
      <c r="C88" s="310">
        <v>310</v>
      </c>
      <c r="D88" s="78" t="s">
        <v>168</v>
      </c>
      <c r="E88" s="544">
        <v>1.1116135618035334</v>
      </c>
      <c r="F88" s="552">
        <v>31577947</v>
      </c>
      <c r="G88" s="553">
        <v>1169165</v>
      </c>
      <c r="H88" s="553">
        <v>1188000</v>
      </c>
      <c r="I88" s="554">
        <v>730000</v>
      </c>
      <c r="J88" s="548">
        <f t="shared" si="27"/>
        <v>34665112</v>
      </c>
      <c r="K88" s="497">
        <v>508789.12820416875</v>
      </c>
      <c r="L88" s="498">
        <v>533</v>
      </c>
      <c r="M88" s="539">
        <f t="shared" si="22"/>
        <v>4446.4542472141338</v>
      </c>
      <c r="N88" s="497">
        <f t="shared" si="24"/>
        <v>2369960.1137651335</v>
      </c>
      <c r="O88" s="497">
        <v>92000</v>
      </c>
      <c r="P88" s="498">
        <v>1014</v>
      </c>
      <c r="Q88" s="515">
        <v>1260.5</v>
      </c>
      <c r="R88" s="499">
        <f t="shared" si="28"/>
        <v>-246.5</v>
      </c>
      <c r="S88" s="497">
        <f t="shared" si="25"/>
        <v>-1479000</v>
      </c>
      <c r="T88" s="497">
        <f t="shared" si="23"/>
        <v>33173362.758030698</v>
      </c>
      <c r="U88" s="497">
        <f t="shared" si="26"/>
        <v>16586681.379015349</v>
      </c>
    </row>
    <row r="89" spans="1:21" ht="15.4" x14ac:dyDescent="0.45">
      <c r="A89" s="480"/>
      <c r="B89" s="77" t="s">
        <v>158</v>
      </c>
      <c r="C89" s="310">
        <v>311</v>
      </c>
      <c r="D89" s="78" t="s">
        <v>169</v>
      </c>
      <c r="E89" s="544">
        <v>1.0870826162281</v>
      </c>
      <c r="F89" s="552">
        <v>19523881</v>
      </c>
      <c r="G89" s="553">
        <v>2776337</v>
      </c>
      <c r="H89" s="553">
        <v>804000</v>
      </c>
      <c r="I89" s="554">
        <v>660000</v>
      </c>
      <c r="J89" s="548">
        <f t="shared" si="27"/>
        <v>23764218</v>
      </c>
      <c r="K89" s="497">
        <v>321457.20888650371</v>
      </c>
      <c r="L89" s="498">
        <v>343</v>
      </c>
      <c r="M89" s="539">
        <f t="shared" si="22"/>
        <v>4348.3304649124002</v>
      </c>
      <c r="N89" s="497">
        <f t="shared" si="24"/>
        <v>1491477.3494649532</v>
      </c>
      <c r="O89" s="497">
        <v>78150</v>
      </c>
      <c r="P89" s="498">
        <v>1066</v>
      </c>
      <c r="Q89" s="515">
        <v>1152</v>
      </c>
      <c r="R89" s="499">
        <f t="shared" si="28"/>
        <v>-86</v>
      </c>
      <c r="S89" s="497">
        <f t="shared" si="25"/>
        <v>-516000</v>
      </c>
      <c r="T89" s="497">
        <f t="shared" si="23"/>
        <v>22389133.441648543</v>
      </c>
      <c r="U89" s="497">
        <f t="shared" si="26"/>
        <v>11194566.720824271</v>
      </c>
    </row>
    <row r="90" spans="1:21" ht="15.4" x14ac:dyDescent="0.45">
      <c r="A90" s="480"/>
      <c r="B90" s="77" t="s">
        <v>158</v>
      </c>
      <c r="C90" s="310">
        <v>312</v>
      </c>
      <c r="D90" s="78" t="s">
        <v>170</v>
      </c>
      <c r="E90" s="544">
        <v>1.1116135618035334</v>
      </c>
      <c r="F90" s="552">
        <v>33713856</v>
      </c>
      <c r="G90" s="553">
        <v>3891654</v>
      </c>
      <c r="H90" s="553">
        <v>296000</v>
      </c>
      <c r="I90" s="554">
        <v>660000</v>
      </c>
      <c r="J90" s="548">
        <f t="shared" si="27"/>
        <v>38561510</v>
      </c>
      <c r="K90" s="497">
        <v>581675.21295163117</v>
      </c>
      <c r="L90" s="498">
        <v>720.5</v>
      </c>
      <c r="M90" s="539">
        <f t="shared" si="22"/>
        <v>4446.4542472141338</v>
      </c>
      <c r="N90" s="497">
        <f t="shared" si="24"/>
        <v>3203670.2851177836</v>
      </c>
      <c r="O90" s="497">
        <v>75000</v>
      </c>
      <c r="P90" s="498">
        <v>1825</v>
      </c>
      <c r="Q90" s="515">
        <v>1662</v>
      </c>
      <c r="R90" s="499">
        <f t="shared" si="28"/>
        <v>163</v>
      </c>
      <c r="S90" s="497">
        <f t="shared" si="25"/>
        <v>978000</v>
      </c>
      <c r="T90" s="497">
        <f t="shared" si="23"/>
        <v>33723164.501930587</v>
      </c>
      <c r="U90" s="497">
        <f t="shared" si="26"/>
        <v>16861582.250965293</v>
      </c>
    </row>
    <row r="91" spans="1:21" ht="15.4" x14ac:dyDescent="0.45">
      <c r="A91" s="480"/>
      <c r="B91" s="77" t="s">
        <v>158</v>
      </c>
      <c r="C91" s="310">
        <v>313</v>
      </c>
      <c r="D91" s="78" t="s">
        <v>171</v>
      </c>
      <c r="E91" s="544">
        <v>1.1116135618035334</v>
      </c>
      <c r="F91" s="552">
        <v>41933266</v>
      </c>
      <c r="G91" s="553">
        <v>1151996</v>
      </c>
      <c r="H91" s="553">
        <v>884000</v>
      </c>
      <c r="I91" s="554">
        <v>2120000</v>
      </c>
      <c r="J91" s="548">
        <f t="shared" si="27"/>
        <v>46089262</v>
      </c>
      <c r="K91" s="497">
        <v>1405042.976745863</v>
      </c>
      <c r="L91" s="498">
        <v>648</v>
      </c>
      <c r="M91" s="539">
        <f t="shared" si="22"/>
        <v>4446.4542472141338</v>
      </c>
      <c r="N91" s="497">
        <f t="shared" si="24"/>
        <v>2881302.3521947586</v>
      </c>
      <c r="O91" s="497">
        <v>1160000</v>
      </c>
      <c r="P91" s="498">
        <v>1427.5</v>
      </c>
      <c r="Q91" s="515">
        <v>1599</v>
      </c>
      <c r="R91" s="499">
        <f t="shared" si="28"/>
        <v>-171.5</v>
      </c>
      <c r="S91" s="497">
        <f t="shared" si="25"/>
        <v>-1029000</v>
      </c>
      <c r="T91" s="497">
        <f t="shared" si="23"/>
        <v>41671916.671059377</v>
      </c>
      <c r="U91" s="497">
        <f t="shared" si="26"/>
        <v>20835958.335529689</v>
      </c>
    </row>
    <row r="92" spans="1:21" ht="15.4" x14ac:dyDescent="0.45">
      <c r="A92" s="480"/>
      <c r="B92" s="77" t="s">
        <v>158</v>
      </c>
      <c r="C92" s="310">
        <v>314</v>
      </c>
      <c r="D92" s="78" t="s">
        <v>172</v>
      </c>
      <c r="E92" s="544">
        <v>1.1116135618035334</v>
      </c>
      <c r="F92" s="552">
        <v>20127465.199999999</v>
      </c>
      <c r="G92" s="553">
        <v>4080163</v>
      </c>
      <c r="H92" s="553">
        <v>180000</v>
      </c>
      <c r="I92" s="554">
        <v>781700</v>
      </c>
      <c r="J92" s="548">
        <f t="shared" si="27"/>
        <v>25169328.199999999</v>
      </c>
      <c r="K92" s="497">
        <v>640333.59919178672</v>
      </c>
      <c r="L92" s="498">
        <v>458.5</v>
      </c>
      <c r="M92" s="539">
        <f t="shared" si="22"/>
        <v>4446.4542472141338</v>
      </c>
      <c r="N92" s="497">
        <f t="shared" si="24"/>
        <v>2038699.2723476803</v>
      </c>
      <c r="O92" s="497">
        <v>0</v>
      </c>
      <c r="P92" s="498">
        <v>1015</v>
      </c>
      <c r="Q92" s="515">
        <v>787</v>
      </c>
      <c r="R92" s="499">
        <f t="shared" si="28"/>
        <v>228</v>
      </c>
      <c r="S92" s="497">
        <f t="shared" si="25"/>
        <v>1368000</v>
      </c>
      <c r="T92" s="497">
        <f t="shared" si="23"/>
        <v>21122295.328460529</v>
      </c>
      <c r="U92" s="497">
        <f t="shared" si="26"/>
        <v>10561147.664230265</v>
      </c>
    </row>
    <row r="93" spans="1:21" ht="15.4" x14ac:dyDescent="0.45">
      <c r="A93" s="480"/>
      <c r="B93" s="77" t="s">
        <v>158</v>
      </c>
      <c r="C93" s="310">
        <v>315</v>
      </c>
      <c r="D93" s="78" t="s">
        <v>173</v>
      </c>
      <c r="E93" s="544">
        <v>1.1488887055594839</v>
      </c>
      <c r="F93" s="552">
        <v>32668172</v>
      </c>
      <c r="G93" s="553">
        <v>262835</v>
      </c>
      <c r="H93" s="553">
        <v>0</v>
      </c>
      <c r="I93" s="554">
        <v>1020000</v>
      </c>
      <c r="J93" s="548">
        <f t="shared" si="27"/>
        <v>33951007</v>
      </c>
      <c r="K93" s="497">
        <v>542044.37921417505</v>
      </c>
      <c r="L93" s="498">
        <v>448</v>
      </c>
      <c r="M93" s="539">
        <f t="shared" si="22"/>
        <v>4595.5548222379357</v>
      </c>
      <c r="N93" s="497">
        <f t="shared" si="24"/>
        <v>2058808.5603625951</v>
      </c>
      <c r="O93" s="497">
        <v>50000</v>
      </c>
      <c r="P93" s="498">
        <v>915</v>
      </c>
      <c r="Q93" s="515">
        <v>1111</v>
      </c>
      <c r="R93" s="499">
        <f t="shared" si="28"/>
        <v>-196</v>
      </c>
      <c r="S93" s="497">
        <f t="shared" si="25"/>
        <v>-1176000</v>
      </c>
      <c r="T93" s="497">
        <f t="shared" si="23"/>
        <v>32476154.060423229</v>
      </c>
      <c r="U93" s="497">
        <f t="shared" si="26"/>
        <v>16238077.030211614</v>
      </c>
    </row>
    <row r="94" spans="1:21" ht="15.4" x14ac:dyDescent="0.45">
      <c r="A94" s="480"/>
      <c r="B94" s="77" t="s">
        <v>158</v>
      </c>
      <c r="C94" s="310">
        <v>317</v>
      </c>
      <c r="D94" s="78" t="s">
        <v>174</v>
      </c>
      <c r="E94" s="544">
        <v>1.0870826162281</v>
      </c>
      <c r="F94" s="552">
        <v>41246049</v>
      </c>
      <c r="G94" s="553">
        <v>1856296.4</v>
      </c>
      <c r="H94" s="553">
        <v>74000</v>
      </c>
      <c r="I94" s="554">
        <v>870000</v>
      </c>
      <c r="J94" s="548">
        <f t="shared" si="27"/>
        <v>44046345.399999999</v>
      </c>
      <c r="K94" s="497">
        <v>593713.49516613921</v>
      </c>
      <c r="L94" s="498">
        <v>574</v>
      </c>
      <c r="M94" s="539">
        <f t="shared" si="22"/>
        <v>4348.3304649124002</v>
      </c>
      <c r="N94" s="497">
        <f t="shared" si="24"/>
        <v>2495941.6868597176</v>
      </c>
      <c r="O94" s="497">
        <v>0</v>
      </c>
      <c r="P94" s="498">
        <v>1312</v>
      </c>
      <c r="Q94" s="515">
        <v>1558.5</v>
      </c>
      <c r="R94" s="499">
        <f t="shared" si="28"/>
        <v>-246.5</v>
      </c>
      <c r="S94" s="497">
        <f t="shared" si="25"/>
        <v>-1479000</v>
      </c>
      <c r="T94" s="497">
        <f t="shared" si="23"/>
        <v>42435690.217974141</v>
      </c>
      <c r="U94" s="497">
        <f t="shared" si="26"/>
        <v>21217845.108987071</v>
      </c>
    </row>
    <row r="95" spans="1:21" ht="15.4" x14ac:dyDescent="0.45">
      <c r="A95" s="480"/>
      <c r="B95" s="77" t="s">
        <v>158</v>
      </c>
      <c r="C95" s="310">
        <v>318</v>
      </c>
      <c r="D95" s="78" t="s">
        <v>175</v>
      </c>
      <c r="E95" s="544">
        <v>1.1116135618035334</v>
      </c>
      <c r="F95" s="552">
        <v>24199216.940000001</v>
      </c>
      <c r="G95" s="553">
        <v>2467829</v>
      </c>
      <c r="H95" s="553">
        <v>498000</v>
      </c>
      <c r="I95" s="554">
        <v>890000</v>
      </c>
      <c r="J95" s="548">
        <f t="shared" si="27"/>
        <v>28055045.940000001</v>
      </c>
      <c r="K95" s="497">
        <v>456458.3677747075</v>
      </c>
      <c r="L95" s="498">
        <v>370.5</v>
      </c>
      <c r="M95" s="539">
        <f t="shared" si="22"/>
        <v>4446.4542472141338</v>
      </c>
      <c r="N95" s="497">
        <f t="shared" si="24"/>
        <v>1647411.2985928366</v>
      </c>
      <c r="O95" s="497">
        <v>0</v>
      </c>
      <c r="P95" s="498">
        <v>966</v>
      </c>
      <c r="Q95" s="515">
        <v>913</v>
      </c>
      <c r="R95" s="499">
        <f t="shared" si="28"/>
        <v>53</v>
      </c>
      <c r="S95" s="497">
        <f t="shared" si="25"/>
        <v>318000</v>
      </c>
      <c r="T95" s="497">
        <f t="shared" si="23"/>
        <v>25633176.273632459</v>
      </c>
      <c r="U95" s="497">
        <f t="shared" si="26"/>
        <v>12816588.13681623</v>
      </c>
    </row>
    <row r="96" spans="1:21" ht="15.4" x14ac:dyDescent="0.45">
      <c r="A96" s="480"/>
      <c r="B96" s="77" t="s">
        <v>158</v>
      </c>
      <c r="C96" s="310">
        <v>319</v>
      </c>
      <c r="D96" s="78" t="s">
        <v>176</v>
      </c>
      <c r="E96" s="544">
        <v>1.1116135618035334</v>
      </c>
      <c r="F96" s="552">
        <v>30282610</v>
      </c>
      <c r="G96" s="553">
        <v>5404480.2000000002</v>
      </c>
      <c r="H96" s="553">
        <v>210000</v>
      </c>
      <c r="I96" s="554">
        <v>1460000</v>
      </c>
      <c r="J96" s="548">
        <f t="shared" si="27"/>
        <v>37357090.200000003</v>
      </c>
      <c r="K96" s="497">
        <v>1444505.6403291493</v>
      </c>
      <c r="L96" s="498">
        <v>560.5</v>
      </c>
      <c r="M96" s="539">
        <f t="shared" si="22"/>
        <v>4446.4542472141338</v>
      </c>
      <c r="N96" s="497">
        <f t="shared" si="24"/>
        <v>2492237.6055635219</v>
      </c>
      <c r="O96" s="497">
        <v>266000</v>
      </c>
      <c r="P96" s="498">
        <v>1106</v>
      </c>
      <c r="Q96" s="515">
        <v>1103</v>
      </c>
      <c r="R96" s="499">
        <f t="shared" si="28"/>
        <v>3</v>
      </c>
      <c r="S96" s="497">
        <f t="shared" si="25"/>
        <v>18000</v>
      </c>
      <c r="T96" s="497">
        <f t="shared" si="23"/>
        <v>33136346.954107329</v>
      </c>
      <c r="U96" s="497">
        <f t="shared" si="26"/>
        <v>16568173.477053665</v>
      </c>
    </row>
    <row r="97" spans="1:21" ht="15.4" x14ac:dyDescent="0.45">
      <c r="A97" s="480"/>
      <c r="B97" s="77" t="s">
        <v>158</v>
      </c>
      <c r="C97" s="310">
        <v>320</v>
      </c>
      <c r="D97" s="78" t="s">
        <v>177</v>
      </c>
      <c r="E97" s="544">
        <v>1.0870826162281</v>
      </c>
      <c r="F97" s="552">
        <v>29094347.880000003</v>
      </c>
      <c r="G97" s="553">
        <v>7875157</v>
      </c>
      <c r="H97" s="553">
        <v>458000</v>
      </c>
      <c r="I97" s="554">
        <v>950000</v>
      </c>
      <c r="J97" s="548">
        <f t="shared" si="27"/>
        <v>38377504.880000003</v>
      </c>
      <c r="K97" s="497">
        <v>725471.47924791754</v>
      </c>
      <c r="L97" s="498">
        <v>750</v>
      </c>
      <c r="M97" s="539">
        <f t="shared" si="22"/>
        <v>4348.3304649124002</v>
      </c>
      <c r="N97" s="497">
        <f t="shared" si="24"/>
        <v>3261247.8486843002</v>
      </c>
      <c r="O97" s="497">
        <v>363000</v>
      </c>
      <c r="P97" s="498">
        <v>1534</v>
      </c>
      <c r="Q97" s="515">
        <v>1466.5</v>
      </c>
      <c r="R97" s="499">
        <f t="shared" si="28"/>
        <v>67.5</v>
      </c>
      <c r="S97" s="497">
        <f t="shared" si="25"/>
        <v>405000</v>
      </c>
      <c r="T97" s="497">
        <f t="shared" si="23"/>
        <v>33622785.552067779</v>
      </c>
      <c r="U97" s="497">
        <f t="shared" si="26"/>
        <v>16811392.77603389</v>
      </c>
    </row>
    <row r="98" spans="1:21" ht="15.4" x14ac:dyDescent="0.45">
      <c r="A98" s="480"/>
      <c r="B98" s="77" t="s">
        <v>178</v>
      </c>
      <c r="C98" s="310">
        <v>867</v>
      </c>
      <c r="D98" s="78" t="s">
        <v>179</v>
      </c>
      <c r="E98" s="544">
        <v>1.0744343550114952</v>
      </c>
      <c r="F98" s="552">
        <v>13997300</v>
      </c>
      <c r="G98" s="553">
        <v>123503</v>
      </c>
      <c r="H98" s="553">
        <v>258000</v>
      </c>
      <c r="I98" s="554">
        <v>380000</v>
      </c>
      <c r="J98" s="548">
        <f t="shared" si="27"/>
        <v>14758803</v>
      </c>
      <c r="K98" s="497">
        <v>175451.91710609454</v>
      </c>
      <c r="L98" s="498">
        <v>209</v>
      </c>
      <c r="M98" s="539">
        <f t="shared" si="22"/>
        <v>4297.7374200459808</v>
      </c>
      <c r="N98" s="497">
        <f t="shared" si="24"/>
        <v>898227.12078960997</v>
      </c>
      <c r="O98" s="497">
        <v>20000</v>
      </c>
      <c r="P98" s="498">
        <v>465</v>
      </c>
      <c r="Q98" s="515">
        <v>537</v>
      </c>
      <c r="R98" s="499">
        <f t="shared" si="28"/>
        <v>-72</v>
      </c>
      <c r="S98" s="497">
        <f t="shared" si="25"/>
        <v>-432000</v>
      </c>
      <c r="T98" s="497">
        <f t="shared" si="23"/>
        <v>14097123.962104296</v>
      </c>
      <c r="U98" s="497">
        <f t="shared" si="26"/>
        <v>7048561.9810521482</v>
      </c>
    </row>
    <row r="99" spans="1:21" ht="15.4" x14ac:dyDescent="0.45">
      <c r="A99" s="480"/>
      <c r="B99" s="77" t="s">
        <v>178</v>
      </c>
      <c r="C99" s="310">
        <v>846</v>
      </c>
      <c r="D99" s="78" t="s">
        <v>180</v>
      </c>
      <c r="E99" s="544">
        <v>1.0025438138502634</v>
      </c>
      <c r="F99" s="552">
        <v>24281722</v>
      </c>
      <c r="G99" s="553">
        <v>0</v>
      </c>
      <c r="H99" s="553">
        <v>108000</v>
      </c>
      <c r="I99" s="554">
        <v>550000</v>
      </c>
      <c r="J99" s="548">
        <f t="shared" si="27"/>
        <v>24939722</v>
      </c>
      <c r="K99" s="497">
        <v>262623.08538437728</v>
      </c>
      <c r="L99" s="498">
        <v>478</v>
      </c>
      <c r="M99" s="539">
        <f t="shared" si="22"/>
        <v>4010.1752554010536</v>
      </c>
      <c r="N99" s="497">
        <f t="shared" si="24"/>
        <v>1916863.7720817036</v>
      </c>
      <c r="O99" s="497">
        <v>0</v>
      </c>
      <c r="P99" s="498">
        <v>946</v>
      </c>
      <c r="Q99" s="515">
        <v>994.5</v>
      </c>
      <c r="R99" s="499">
        <f t="shared" si="28"/>
        <v>-48.5</v>
      </c>
      <c r="S99" s="497">
        <f t="shared" si="25"/>
        <v>-291000</v>
      </c>
      <c r="T99" s="497">
        <f t="shared" si="23"/>
        <v>23051235.142533921</v>
      </c>
      <c r="U99" s="497">
        <f t="shared" si="26"/>
        <v>11525617.57126696</v>
      </c>
    </row>
    <row r="100" spans="1:21" ht="15.4" x14ac:dyDescent="0.45">
      <c r="A100" s="480"/>
      <c r="B100" s="77" t="s">
        <v>178</v>
      </c>
      <c r="C100" s="310">
        <v>825</v>
      </c>
      <c r="D100" s="78" t="s">
        <v>181</v>
      </c>
      <c r="E100" s="544">
        <v>1.0480374594349251</v>
      </c>
      <c r="F100" s="552">
        <v>73678004.530000001</v>
      </c>
      <c r="G100" s="553">
        <v>4396002.5714285709</v>
      </c>
      <c r="H100" s="553">
        <v>642000</v>
      </c>
      <c r="I100" s="554">
        <v>1520000</v>
      </c>
      <c r="J100" s="548">
        <f t="shared" si="27"/>
        <v>80236007.101428568</v>
      </c>
      <c r="K100" s="497">
        <v>953568.09279727156</v>
      </c>
      <c r="L100" s="498">
        <v>1492</v>
      </c>
      <c r="M100" s="539">
        <f t="shared" si="22"/>
        <v>4192.1498377397002</v>
      </c>
      <c r="N100" s="497">
        <f t="shared" si="24"/>
        <v>6254687.5579076326</v>
      </c>
      <c r="O100" s="497">
        <v>237490</v>
      </c>
      <c r="P100" s="498">
        <v>2706</v>
      </c>
      <c r="Q100" s="515">
        <v>2941</v>
      </c>
      <c r="R100" s="499">
        <f t="shared" si="28"/>
        <v>-235</v>
      </c>
      <c r="S100" s="497">
        <f t="shared" si="25"/>
        <v>-1410000</v>
      </c>
      <c r="T100" s="497">
        <f t="shared" si="23"/>
        <v>74200261.450723678</v>
      </c>
      <c r="U100" s="497">
        <f t="shared" si="26"/>
        <v>37100130.725361839</v>
      </c>
    </row>
    <row r="101" spans="1:21" ht="15.4" x14ac:dyDescent="0.45">
      <c r="A101" s="480"/>
      <c r="B101" s="77" t="s">
        <v>178</v>
      </c>
      <c r="C101" s="310">
        <v>845</v>
      </c>
      <c r="D101" s="78" t="s">
        <v>182</v>
      </c>
      <c r="E101" s="544">
        <v>1.0025438138502634</v>
      </c>
      <c r="F101" s="552">
        <v>37890350</v>
      </c>
      <c r="G101" s="553">
        <v>9938666</v>
      </c>
      <c r="H101" s="553">
        <v>984000</v>
      </c>
      <c r="I101" s="554">
        <v>620000</v>
      </c>
      <c r="J101" s="548">
        <f t="shared" si="27"/>
        <v>49433016</v>
      </c>
      <c r="K101" s="497">
        <v>549709.53760675387</v>
      </c>
      <c r="L101" s="498">
        <v>1068.5</v>
      </c>
      <c r="M101" s="539">
        <f t="shared" si="22"/>
        <v>4010.1752554010536</v>
      </c>
      <c r="N101" s="497">
        <f t="shared" si="24"/>
        <v>4284872.2603960261</v>
      </c>
      <c r="O101" s="497">
        <v>0</v>
      </c>
      <c r="P101" s="498">
        <v>2202.5</v>
      </c>
      <c r="Q101" s="515">
        <v>2310.5</v>
      </c>
      <c r="R101" s="499">
        <f t="shared" si="28"/>
        <v>-108</v>
      </c>
      <c r="S101" s="497">
        <f t="shared" si="25"/>
        <v>-648000</v>
      </c>
      <c r="T101" s="497">
        <f t="shared" si="23"/>
        <v>45246434.201997221</v>
      </c>
      <c r="U101" s="497">
        <f t="shared" si="26"/>
        <v>22623217.10099861</v>
      </c>
    </row>
    <row r="102" spans="1:21" ht="15.4" x14ac:dyDescent="0.45">
      <c r="A102" s="480"/>
      <c r="B102" s="77" t="s">
        <v>178</v>
      </c>
      <c r="C102" s="310">
        <v>850</v>
      </c>
      <c r="D102" s="78" t="s">
        <v>183</v>
      </c>
      <c r="E102" s="544">
        <v>1.0213260495386489</v>
      </c>
      <c r="F102" s="552">
        <v>103988609</v>
      </c>
      <c r="G102" s="553">
        <v>5418006</v>
      </c>
      <c r="H102" s="553">
        <v>2736000</v>
      </c>
      <c r="I102" s="554">
        <v>5946287</v>
      </c>
      <c r="J102" s="548">
        <f t="shared" si="27"/>
        <v>118088902</v>
      </c>
      <c r="K102" s="497">
        <v>2093529.8004539716</v>
      </c>
      <c r="L102" s="498">
        <v>2965.5</v>
      </c>
      <c r="M102" s="539">
        <f t="shared" si="22"/>
        <v>4085.3041981545957</v>
      </c>
      <c r="N102" s="497">
        <f t="shared" si="24"/>
        <v>12114969.599627454</v>
      </c>
      <c r="O102" s="497">
        <v>2773000</v>
      </c>
      <c r="P102" s="498">
        <v>5675</v>
      </c>
      <c r="Q102" s="515">
        <v>5892.5</v>
      </c>
      <c r="R102" s="499">
        <f t="shared" si="28"/>
        <v>-217.5</v>
      </c>
      <c r="S102" s="497">
        <f t="shared" si="25"/>
        <v>-1305000</v>
      </c>
      <c r="T102" s="497">
        <f t="shared" si="23"/>
        <v>102412402.59991857</v>
      </c>
      <c r="U102" s="497">
        <f t="shared" si="26"/>
        <v>51206201.299959287</v>
      </c>
    </row>
    <row r="103" spans="1:21" ht="15.4" x14ac:dyDescent="0.45">
      <c r="A103" s="480"/>
      <c r="B103" s="77" t="s">
        <v>178</v>
      </c>
      <c r="C103" s="310">
        <v>921</v>
      </c>
      <c r="D103" s="78" t="s">
        <v>184</v>
      </c>
      <c r="E103" s="544">
        <v>1.0213260495386489</v>
      </c>
      <c r="F103" s="552">
        <v>13953330</v>
      </c>
      <c r="G103" s="553">
        <v>200000</v>
      </c>
      <c r="H103" s="553">
        <v>972000</v>
      </c>
      <c r="I103" s="554">
        <v>240000</v>
      </c>
      <c r="J103" s="548">
        <f t="shared" si="27"/>
        <v>15365330</v>
      </c>
      <c r="K103" s="497">
        <v>187083.39616744313</v>
      </c>
      <c r="L103" s="498">
        <v>258.5</v>
      </c>
      <c r="M103" s="539">
        <f t="shared" si="22"/>
        <v>4085.3041981545957</v>
      </c>
      <c r="N103" s="497">
        <f t="shared" si="24"/>
        <v>1056051.1352229631</v>
      </c>
      <c r="O103" s="497">
        <v>12000</v>
      </c>
      <c r="P103" s="498">
        <v>765</v>
      </c>
      <c r="Q103" s="515">
        <v>795.5</v>
      </c>
      <c r="R103" s="499">
        <f t="shared" si="28"/>
        <v>-30.5</v>
      </c>
      <c r="S103" s="497">
        <f t="shared" si="25"/>
        <v>-183000</v>
      </c>
      <c r="T103" s="497">
        <f t="shared" si="23"/>
        <v>14293195.468609594</v>
      </c>
      <c r="U103" s="497">
        <f t="shared" si="26"/>
        <v>7146597.7343047969</v>
      </c>
    </row>
    <row r="104" spans="1:21" ht="15.4" x14ac:dyDescent="0.45">
      <c r="A104" s="480"/>
      <c r="B104" s="77" t="s">
        <v>178</v>
      </c>
      <c r="C104" s="310">
        <v>886</v>
      </c>
      <c r="D104" s="78" t="s">
        <v>185</v>
      </c>
      <c r="E104" s="544">
        <v>1.0077014294588473</v>
      </c>
      <c r="F104" s="552">
        <v>189729820</v>
      </c>
      <c r="G104" s="553">
        <v>7112148</v>
      </c>
      <c r="H104" s="553">
        <v>4478000</v>
      </c>
      <c r="I104" s="554">
        <v>5180000</v>
      </c>
      <c r="J104" s="548">
        <f t="shared" si="27"/>
        <v>206499968</v>
      </c>
      <c r="K104" s="497">
        <v>3674610.8919223817</v>
      </c>
      <c r="L104" s="498">
        <v>4475</v>
      </c>
      <c r="M104" s="539">
        <f t="shared" si="22"/>
        <v>4030.8057178353893</v>
      </c>
      <c r="N104" s="497">
        <f t="shared" si="24"/>
        <v>18037855.587313365</v>
      </c>
      <c r="O104" s="497">
        <v>2972754</v>
      </c>
      <c r="P104" s="498">
        <v>7559</v>
      </c>
      <c r="Q104" s="515">
        <v>7828.5</v>
      </c>
      <c r="R104" s="499">
        <f t="shared" si="28"/>
        <v>-269.5</v>
      </c>
      <c r="S104" s="497">
        <f t="shared" si="25"/>
        <v>-1617000</v>
      </c>
      <c r="T104" s="497">
        <f t="shared" si="23"/>
        <v>183431747.52076426</v>
      </c>
      <c r="U104" s="497">
        <f t="shared" si="26"/>
        <v>91715873.760382131</v>
      </c>
    </row>
    <row r="105" spans="1:21" ht="15.4" x14ac:dyDescent="0.45">
      <c r="A105" s="480"/>
      <c r="B105" s="77" t="s">
        <v>178</v>
      </c>
      <c r="C105" s="310">
        <v>887</v>
      </c>
      <c r="D105" s="78" t="s">
        <v>186</v>
      </c>
      <c r="E105" s="544">
        <v>1.0010615758871764</v>
      </c>
      <c r="F105" s="552">
        <v>26836048</v>
      </c>
      <c r="G105" s="553">
        <v>10410978</v>
      </c>
      <c r="H105" s="553">
        <v>690000</v>
      </c>
      <c r="I105" s="554">
        <v>70000</v>
      </c>
      <c r="J105" s="548">
        <f t="shared" si="27"/>
        <v>38007026</v>
      </c>
      <c r="K105" s="497">
        <v>1658373.3355208421</v>
      </c>
      <c r="L105" s="498">
        <v>842.5</v>
      </c>
      <c r="M105" s="539">
        <f t="shared" si="22"/>
        <v>4004.2463035487053</v>
      </c>
      <c r="N105" s="497">
        <f t="shared" si="24"/>
        <v>3373577.5107397842</v>
      </c>
      <c r="O105" s="497">
        <v>0</v>
      </c>
      <c r="P105" s="498">
        <v>1303</v>
      </c>
      <c r="Q105" s="515">
        <v>1263</v>
      </c>
      <c r="R105" s="499">
        <f t="shared" si="28"/>
        <v>40</v>
      </c>
      <c r="S105" s="497">
        <f t="shared" si="25"/>
        <v>240000</v>
      </c>
      <c r="T105" s="497">
        <f t="shared" si="23"/>
        <v>32735075.153739374</v>
      </c>
      <c r="U105" s="497">
        <f t="shared" si="26"/>
        <v>16367537.576869687</v>
      </c>
    </row>
    <row r="106" spans="1:21" ht="15.4" x14ac:dyDescent="0.45">
      <c r="A106" s="480"/>
      <c r="B106" s="77" t="s">
        <v>178</v>
      </c>
      <c r="C106" s="310">
        <v>826</v>
      </c>
      <c r="D106" s="78" t="s">
        <v>187</v>
      </c>
      <c r="E106" s="544">
        <v>1.0431206446350318</v>
      </c>
      <c r="F106" s="552">
        <v>32197352</v>
      </c>
      <c r="G106" s="553">
        <v>3366326</v>
      </c>
      <c r="H106" s="553">
        <v>750000</v>
      </c>
      <c r="I106" s="554">
        <v>710000</v>
      </c>
      <c r="J106" s="548">
        <f t="shared" si="27"/>
        <v>37023678</v>
      </c>
      <c r="K106" s="497">
        <v>510611.8656989641</v>
      </c>
      <c r="L106" s="498">
        <v>845</v>
      </c>
      <c r="M106" s="539">
        <f t="shared" si="22"/>
        <v>4172.4825785401272</v>
      </c>
      <c r="N106" s="497">
        <f t="shared" si="24"/>
        <v>3525747.7788664075</v>
      </c>
      <c r="O106" s="497">
        <v>0</v>
      </c>
      <c r="P106" s="498">
        <v>1464</v>
      </c>
      <c r="Q106" s="515">
        <v>1470</v>
      </c>
      <c r="R106" s="499">
        <f t="shared" si="28"/>
        <v>-6</v>
      </c>
      <c r="S106" s="497">
        <f t="shared" si="25"/>
        <v>-36000</v>
      </c>
      <c r="T106" s="497">
        <f t="shared" si="23"/>
        <v>33023318.35543463</v>
      </c>
      <c r="U106" s="497">
        <f t="shared" si="26"/>
        <v>16511659.177717315</v>
      </c>
    </row>
    <row r="107" spans="1:21" ht="15.4" x14ac:dyDescent="0.45">
      <c r="A107" s="480"/>
      <c r="B107" s="77" t="s">
        <v>178</v>
      </c>
      <c r="C107" s="310">
        <v>931</v>
      </c>
      <c r="D107" s="78" t="s">
        <v>188</v>
      </c>
      <c r="E107" s="544">
        <v>1.0333689168320959</v>
      </c>
      <c r="F107" s="552">
        <v>51550055</v>
      </c>
      <c r="G107" s="553">
        <v>6222668</v>
      </c>
      <c r="H107" s="553">
        <v>2994000</v>
      </c>
      <c r="I107" s="554">
        <v>340000</v>
      </c>
      <c r="J107" s="548">
        <f t="shared" si="27"/>
        <v>61106723</v>
      </c>
      <c r="K107" s="497">
        <v>579232.0845799332</v>
      </c>
      <c r="L107" s="498">
        <v>1178</v>
      </c>
      <c r="M107" s="539">
        <f t="shared" si="22"/>
        <v>4133.4756673283837</v>
      </c>
      <c r="N107" s="497">
        <f t="shared" si="24"/>
        <v>4869234.3361128364</v>
      </c>
      <c r="O107" s="497">
        <v>1607000</v>
      </c>
      <c r="P107" s="498">
        <v>2649</v>
      </c>
      <c r="Q107" s="515">
        <v>2458</v>
      </c>
      <c r="R107" s="499">
        <f t="shared" si="28"/>
        <v>191</v>
      </c>
      <c r="S107" s="497">
        <f t="shared" si="25"/>
        <v>1146000</v>
      </c>
      <c r="T107" s="497">
        <f t="shared" si="23"/>
        <v>52905256.579307236</v>
      </c>
      <c r="U107" s="497">
        <f t="shared" si="26"/>
        <v>26452628.289653618</v>
      </c>
    </row>
    <row r="108" spans="1:21" ht="15.4" x14ac:dyDescent="0.45">
      <c r="A108" s="480"/>
      <c r="B108" s="77" t="s">
        <v>178</v>
      </c>
      <c r="C108" s="310">
        <v>851</v>
      </c>
      <c r="D108" s="78" t="s">
        <v>189</v>
      </c>
      <c r="E108" s="544">
        <v>1.0213260495386489</v>
      </c>
      <c r="F108" s="552">
        <v>13722405</v>
      </c>
      <c r="G108" s="553">
        <v>4224997.4285714291</v>
      </c>
      <c r="H108" s="553">
        <v>290000</v>
      </c>
      <c r="I108" s="554">
        <v>595800</v>
      </c>
      <c r="J108" s="548">
        <f t="shared" si="27"/>
        <v>18833202.428571429</v>
      </c>
      <c r="K108" s="497">
        <v>285608.0858518515</v>
      </c>
      <c r="L108" s="498">
        <v>536.5</v>
      </c>
      <c r="M108" s="539">
        <f t="shared" si="22"/>
        <v>4085.3041981545957</v>
      </c>
      <c r="N108" s="497">
        <f t="shared" si="24"/>
        <v>2191765.7023099405</v>
      </c>
      <c r="O108" s="497">
        <v>660000</v>
      </c>
      <c r="P108" s="498">
        <v>1043.5</v>
      </c>
      <c r="Q108" s="515">
        <v>1049</v>
      </c>
      <c r="R108" s="499">
        <f t="shared" si="28"/>
        <v>-5.5</v>
      </c>
      <c r="S108" s="497">
        <f t="shared" si="25"/>
        <v>-33000</v>
      </c>
      <c r="T108" s="497">
        <f t="shared" si="23"/>
        <v>15728828.640409637</v>
      </c>
      <c r="U108" s="497">
        <f t="shared" si="26"/>
        <v>7864414.3202048186</v>
      </c>
    </row>
    <row r="109" spans="1:21" ht="15.4" x14ac:dyDescent="0.45">
      <c r="A109" s="480"/>
      <c r="B109" s="77" t="s">
        <v>178</v>
      </c>
      <c r="C109" s="310">
        <v>870</v>
      </c>
      <c r="D109" s="78" t="s">
        <v>190</v>
      </c>
      <c r="E109" s="544">
        <v>1.0522356053683966</v>
      </c>
      <c r="F109" s="552">
        <v>18495658</v>
      </c>
      <c r="G109" s="553">
        <v>1668000</v>
      </c>
      <c r="H109" s="553">
        <v>0</v>
      </c>
      <c r="I109" s="554">
        <v>595700</v>
      </c>
      <c r="J109" s="548">
        <f t="shared" si="27"/>
        <v>20759358</v>
      </c>
      <c r="K109" s="497">
        <v>378890.64054719941</v>
      </c>
      <c r="L109" s="498">
        <v>256</v>
      </c>
      <c r="M109" s="539">
        <f t="shared" si="22"/>
        <v>4208.9424214735864</v>
      </c>
      <c r="N109" s="497">
        <f t="shared" si="24"/>
        <v>1077489.2598972381</v>
      </c>
      <c r="O109" s="497">
        <v>181000</v>
      </c>
      <c r="P109" s="498">
        <v>437</v>
      </c>
      <c r="Q109" s="515">
        <v>788</v>
      </c>
      <c r="R109" s="499">
        <f t="shared" si="28"/>
        <v>-351</v>
      </c>
      <c r="S109" s="497">
        <f t="shared" si="25"/>
        <v>-2106000</v>
      </c>
      <c r="T109" s="497">
        <f t="shared" si="23"/>
        <v>21227978.099555559</v>
      </c>
      <c r="U109" s="497">
        <f t="shared" si="26"/>
        <v>10613989.04977778</v>
      </c>
    </row>
    <row r="110" spans="1:21" ht="15.4" x14ac:dyDescent="0.45">
      <c r="A110" s="480"/>
      <c r="B110" s="77" t="s">
        <v>178</v>
      </c>
      <c r="C110" s="310">
        <v>871</v>
      </c>
      <c r="D110" s="78" t="s">
        <v>191</v>
      </c>
      <c r="E110" s="544">
        <v>1.0744343550114952</v>
      </c>
      <c r="F110" s="552">
        <v>21201502</v>
      </c>
      <c r="G110" s="553">
        <v>3690660</v>
      </c>
      <c r="H110" s="553">
        <v>396000</v>
      </c>
      <c r="I110" s="554">
        <v>940000</v>
      </c>
      <c r="J110" s="548">
        <f t="shared" si="27"/>
        <v>26228162</v>
      </c>
      <c r="K110" s="497">
        <v>927918.82957875764</v>
      </c>
      <c r="L110" s="498">
        <v>322</v>
      </c>
      <c r="M110" s="539">
        <f t="shared" si="22"/>
        <v>4297.7374200459808</v>
      </c>
      <c r="N110" s="497">
        <f t="shared" si="24"/>
        <v>1383871.4492548059</v>
      </c>
      <c r="O110" s="497">
        <v>120000</v>
      </c>
      <c r="P110" s="498">
        <v>937</v>
      </c>
      <c r="Q110" s="515">
        <v>975</v>
      </c>
      <c r="R110" s="499">
        <f t="shared" si="28"/>
        <v>-38</v>
      </c>
      <c r="S110" s="497">
        <f t="shared" si="25"/>
        <v>-228000</v>
      </c>
      <c r="T110" s="497">
        <f t="shared" si="23"/>
        <v>24024371.721166436</v>
      </c>
      <c r="U110" s="497">
        <f t="shared" si="26"/>
        <v>12012185.860583218</v>
      </c>
    </row>
    <row r="111" spans="1:21" ht="15.4" x14ac:dyDescent="0.45">
      <c r="A111" s="480"/>
      <c r="B111" s="77" t="s">
        <v>178</v>
      </c>
      <c r="C111" s="310">
        <v>852</v>
      </c>
      <c r="D111" s="78" t="s">
        <v>192</v>
      </c>
      <c r="E111" s="544">
        <v>1.0213260495386489</v>
      </c>
      <c r="F111" s="552">
        <v>22758070.289999999</v>
      </c>
      <c r="G111" s="553">
        <v>2012888</v>
      </c>
      <c r="H111" s="553">
        <v>342000</v>
      </c>
      <c r="I111" s="554">
        <v>270000</v>
      </c>
      <c r="J111" s="548">
        <f t="shared" si="27"/>
        <v>25382958.289999999</v>
      </c>
      <c r="K111" s="497">
        <v>128107.90828008438</v>
      </c>
      <c r="L111" s="498">
        <v>570</v>
      </c>
      <c r="M111" s="539">
        <f t="shared" si="22"/>
        <v>4085.3041981545957</v>
      </c>
      <c r="N111" s="497">
        <f t="shared" si="24"/>
        <v>2328623.3929481194</v>
      </c>
      <c r="O111" s="497">
        <v>0</v>
      </c>
      <c r="P111" s="498">
        <v>1099</v>
      </c>
      <c r="Q111" s="515">
        <v>1130</v>
      </c>
      <c r="R111" s="499">
        <f t="shared" si="28"/>
        <v>-31</v>
      </c>
      <c r="S111" s="497">
        <f t="shared" si="25"/>
        <v>-186000</v>
      </c>
      <c r="T111" s="497">
        <f t="shared" si="23"/>
        <v>23112226.988771793</v>
      </c>
      <c r="U111" s="497">
        <f t="shared" si="26"/>
        <v>11556113.494385896</v>
      </c>
    </row>
    <row r="112" spans="1:21" ht="15.4" x14ac:dyDescent="0.45">
      <c r="A112" s="480"/>
      <c r="B112" s="77" t="s">
        <v>178</v>
      </c>
      <c r="C112" s="310">
        <v>936</v>
      </c>
      <c r="D112" s="78" t="s">
        <v>193</v>
      </c>
      <c r="E112" s="544">
        <v>1.0744343550114952</v>
      </c>
      <c r="F112" s="552">
        <v>135411259</v>
      </c>
      <c r="G112" s="553">
        <v>9350090.0571428575</v>
      </c>
      <c r="H112" s="553">
        <v>2294000</v>
      </c>
      <c r="I112" s="554">
        <v>3396700</v>
      </c>
      <c r="J112" s="548">
        <f t="shared" si="27"/>
        <v>150452049.05714285</v>
      </c>
      <c r="K112" s="497">
        <v>2602419.425808995</v>
      </c>
      <c r="L112" s="498">
        <v>2697.5</v>
      </c>
      <c r="M112" s="539">
        <f t="shared" si="22"/>
        <v>4297.7374200459808</v>
      </c>
      <c r="N112" s="497">
        <f t="shared" si="24"/>
        <v>11593146.690574033</v>
      </c>
      <c r="O112" s="497">
        <v>634000</v>
      </c>
      <c r="P112" s="498">
        <v>5617.5</v>
      </c>
      <c r="Q112" s="515">
        <v>5720</v>
      </c>
      <c r="R112" s="499">
        <f t="shared" si="28"/>
        <v>-102.5</v>
      </c>
      <c r="S112" s="497">
        <f t="shared" si="25"/>
        <v>-615000</v>
      </c>
      <c r="T112" s="497">
        <f t="shared" si="23"/>
        <v>136237482.94075984</v>
      </c>
      <c r="U112" s="497">
        <f t="shared" si="26"/>
        <v>68118741.470379919</v>
      </c>
    </row>
    <row r="113" spans="1:21" ht="15.4" x14ac:dyDescent="0.45">
      <c r="A113" s="480"/>
      <c r="B113" s="77" t="s">
        <v>178</v>
      </c>
      <c r="C113" s="310">
        <v>869</v>
      </c>
      <c r="D113" s="78" t="s">
        <v>194</v>
      </c>
      <c r="E113" s="544">
        <v>1.0522356053683966</v>
      </c>
      <c r="F113" s="552">
        <v>18054683</v>
      </c>
      <c r="G113" s="553">
        <v>986664</v>
      </c>
      <c r="H113" s="553">
        <v>570000</v>
      </c>
      <c r="I113" s="554">
        <v>350000</v>
      </c>
      <c r="J113" s="548">
        <f t="shared" ref="J113:J144" si="29">SUM(F113:I113)</f>
        <v>19961347</v>
      </c>
      <c r="K113" s="497">
        <v>548007.61759583943</v>
      </c>
      <c r="L113" s="498">
        <v>429</v>
      </c>
      <c r="M113" s="539">
        <f t="shared" si="22"/>
        <v>4208.9424214735864</v>
      </c>
      <c r="N113" s="497">
        <f t="shared" si="24"/>
        <v>1805636.2988121687</v>
      </c>
      <c r="O113" s="497">
        <v>45000</v>
      </c>
      <c r="P113" s="498">
        <v>867</v>
      </c>
      <c r="Q113" s="515">
        <v>739</v>
      </c>
      <c r="R113" s="499">
        <f t="shared" si="28"/>
        <v>128</v>
      </c>
      <c r="S113" s="497">
        <f t="shared" si="25"/>
        <v>768000</v>
      </c>
      <c r="T113" s="497">
        <f t="shared" si="23"/>
        <v>16794703.08359199</v>
      </c>
      <c r="U113" s="497">
        <f t="shared" si="26"/>
        <v>8397351.5417959951</v>
      </c>
    </row>
    <row r="114" spans="1:21" ht="15.4" x14ac:dyDescent="0.45">
      <c r="A114" s="480"/>
      <c r="B114" s="77" t="s">
        <v>178</v>
      </c>
      <c r="C114" s="310">
        <v>938</v>
      </c>
      <c r="D114" s="78" t="s">
        <v>195</v>
      </c>
      <c r="E114" s="544">
        <v>1.0111639788232589</v>
      </c>
      <c r="F114" s="552">
        <v>73257988</v>
      </c>
      <c r="G114" s="553">
        <v>1603833</v>
      </c>
      <c r="H114" s="553">
        <v>802000</v>
      </c>
      <c r="I114" s="554">
        <v>2380000</v>
      </c>
      <c r="J114" s="548">
        <f t="shared" si="29"/>
        <v>78043821</v>
      </c>
      <c r="K114" s="497">
        <v>1336101.5975757418</v>
      </c>
      <c r="L114" s="498">
        <v>1901</v>
      </c>
      <c r="M114" s="539">
        <f t="shared" si="22"/>
        <v>4044.6559152930358</v>
      </c>
      <c r="N114" s="497">
        <f t="shared" si="24"/>
        <v>7688890.8949720608</v>
      </c>
      <c r="O114" s="497">
        <v>529100</v>
      </c>
      <c r="P114" s="498">
        <v>3415</v>
      </c>
      <c r="Q114" s="515">
        <v>3592</v>
      </c>
      <c r="R114" s="499">
        <f t="shared" si="28"/>
        <v>-177</v>
      </c>
      <c r="S114" s="497">
        <f t="shared" si="25"/>
        <v>-1062000</v>
      </c>
      <c r="T114" s="497">
        <f t="shared" si="23"/>
        <v>69551728.507452205</v>
      </c>
      <c r="U114" s="497">
        <f t="shared" si="26"/>
        <v>34775864.253726102</v>
      </c>
    </row>
    <row r="115" spans="1:21" ht="15.4" x14ac:dyDescent="0.45">
      <c r="A115" s="480"/>
      <c r="B115" s="77" t="s">
        <v>178</v>
      </c>
      <c r="C115" s="310">
        <v>868</v>
      </c>
      <c r="D115" s="78" t="s">
        <v>196</v>
      </c>
      <c r="E115" s="544">
        <v>1.0744343550114952</v>
      </c>
      <c r="F115" s="552">
        <v>18429130</v>
      </c>
      <c r="G115" s="553">
        <v>415833</v>
      </c>
      <c r="H115" s="553">
        <v>492000</v>
      </c>
      <c r="I115" s="554">
        <v>320000</v>
      </c>
      <c r="J115" s="548">
        <f t="shared" si="29"/>
        <v>19656963</v>
      </c>
      <c r="K115" s="497">
        <v>226427.81189704058</v>
      </c>
      <c r="L115" s="498">
        <v>320</v>
      </c>
      <c r="M115" s="539">
        <f t="shared" si="22"/>
        <v>4297.7374200459808</v>
      </c>
      <c r="N115" s="497">
        <f t="shared" si="24"/>
        <v>1375275.9744147139</v>
      </c>
      <c r="O115" s="497">
        <v>32700</v>
      </c>
      <c r="P115" s="498">
        <v>765</v>
      </c>
      <c r="Q115" s="515">
        <v>619</v>
      </c>
      <c r="R115" s="499">
        <f t="shared" si="28"/>
        <v>146</v>
      </c>
      <c r="S115" s="497">
        <f t="shared" si="25"/>
        <v>876000</v>
      </c>
      <c r="T115" s="497">
        <f t="shared" si="23"/>
        <v>17146559.213688247</v>
      </c>
      <c r="U115" s="497">
        <f t="shared" si="26"/>
        <v>8573279.6068441235</v>
      </c>
    </row>
    <row r="116" spans="1:21" ht="15.4" x14ac:dyDescent="0.45">
      <c r="A116" s="480"/>
      <c r="B116" s="77" t="s">
        <v>178</v>
      </c>
      <c r="C116" s="310">
        <v>872</v>
      </c>
      <c r="D116" s="78" t="s">
        <v>197</v>
      </c>
      <c r="E116" s="544">
        <v>1.0522356053683966</v>
      </c>
      <c r="F116" s="552">
        <v>18374041</v>
      </c>
      <c r="G116" s="553">
        <v>932000</v>
      </c>
      <c r="H116" s="553">
        <v>0</v>
      </c>
      <c r="I116" s="554">
        <v>780000</v>
      </c>
      <c r="J116" s="548">
        <f t="shared" si="29"/>
        <v>20086041</v>
      </c>
      <c r="K116" s="497">
        <v>263710.77786043065</v>
      </c>
      <c r="L116" s="498">
        <v>310</v>
      </c>
      <c r="M116" s="539">
        <f t="shared" si="22"/>
        <v>4208.9424214735864</v>
      </c>
      <c r="N116" s="497">
        <f t="shared" si="24"/>
        <v>1304772.1506568117</v>
      </c>
      <c r="O116" s="497">
        <v>220000</v>
      </c>
      <c r="P116" s="498">
        <v>631</v>
      </c>
      <c r="Q116" s="515">
        <v>730</v>
      </c>
      <c r="R116" s="499">
        <f t="shared" si="28"/>
        <v>-99</v>
      </c>
      <c r="S116" s="497">
        <f t="shared" si="25"/>
        <v>-594000</v>
      </c>
      <c r="T116" s="497">
        <f t="shared" si="23"/>
        <v>18891558.071482759</v>
      </c>
      <c r="U116" s="497">
        <f t="shared" si="26"/>
        <v>9445779.0357413795</v>
      </c>
    </row>
    <row r="117" spans="1:21" ht="15.4" x14ac:dyDescent="0.45">
      <c r="A117" s="480"/>
      <c r="B117" s="77" t="s">
        <v>198</v>
      </c>
      <c r="C117" s="310">
        <v>800</v>
      </c>
      <c r="D117" s="78" t="s">
        <v>199</v>
      </c>
      <c r="E117" s="544">
        <v>1.021975426906069</v>
      </c>
      <c r="F117" s="552">
        <v>20060850</v>
      </c>
      <c r="G117" s="553">
        <v>4572815</v>
      </c>
      <c r="H117" s="553">
        <v>520000</v>
      </c>
      <c r="I117" s="554">
        <v>60000</v>
      </c>
      <c r="J117" s="548">
        <f t="shared" si="29"/>
        <v>25213665</v>
      </c>
      <c r="K117" s="497">
        <v>131208.26762753667</v>
      </c>
      <c r="L117" s="498">
        <v>501</v>
      </c>
      <c r="M117" s="539">
        <f t="shared" si="22"/>
        <v>4087.9017076242762</v>
      </c>
      <c r="N117" s="497">
        <f t="shared" si="24"/>
        <v>2048038.7555197624</v>
      </c>
      <c r="O117" s="497">
        <v>308000</v>
      </c>
      <c r="P117" s="498">
        <v>1099.5</v>
      </c>
      <c r="Q117" s="515">
        <v>1017.5</v>
      </c>
      <c r="R117" s="499">
        <f t="shared" si="28"/>
        <v>82</v>
      </c>
      <c r="S117" s="497">
        <f t="shared" si="25"/>
        <v>492000</v>
      </c>
      <c r="T117" s="497">
        <f t="shared" si="23"/>
        <v>22234417.9768527</v>
      </c>
      <c r="U117" s="497">
        <f t="shared" si="26"/>
        <v>11117208.98842635</v>
      </c>
    </row>
    <row r="118" spans="1:21" ht="17.649999999999999" x14ac:dyDescent="0.45">
      <c r="A118" s="480"/>
      <c r="B118" s="520" t="s">
        <v>198</v>
      </c>
      <c r="C118" s="540">
        <v>839</v>
      </c>
      <c r="D118" s="558" t="s">
        <v>449</v>
      </c>
      <c r="E118" s="544">
        <v>1</v>
      </c>
      <c r="F118" s="580"/>
      <c r="G118" s="581" t="s">
        <v>410</v>
      </c>
      <c r="H118" s="581" t="s">
        <v>410</v>
      </c>
      <c r="I118" s="582" t="s">
        <v>410</v>
      </c>
      <c r="J118" s="548">
        <v>39392424.440330267</v>
      </c>
      <c r="K118" s="497">
        <v>104746</v>
      </c>
      <c r="L118" s="498">
        <v>730</v>
      </c>
      <c r="M118" s="539">
        <f t="shared" si="22"/>
        <v>4000</v>
      </c>
      <c r="N118" s="497">
        <f t="shared" si="24"/>
        <v>2920000</v>
      </c>
      <c r="O118" s="497">
        <v>906000</v>
      </c>
      <c r="P118" s="498">
        <v>1308.5</v>
      </c>
      <c r="Q118" s="515">
        <v>1556</v>
      </c>
      <c r="R118" s="499">
        <f t="shared" si="28"/>
        <v>-247.5</v>
      </c>
      <c r="S118" s="497">
        <f t="shared" si="25"/>
        <v>-1485000</v>
      </c>
      <c r="T118" s="497">
        <f t="shared" si="23"/>
        <v>36946678.440330267</v>
      </c>
      <c r="U118" s="497">
        <f t="shared" si="26"/>
        <v>18473339.220165133</v>
      </c>
    </row>
    <row r="119" spans="1:21" ht="15.4" x14ac:dyDescent="0.45">
      <c r="A119" s="480"/>
      <c r="B119" s="520" t="s">
        <v>198</v>
      </c>
      <c r="C119" s="540">
        <v>801</v>
      </c>
      <c r="D119" s="558" t="s">
        <v>200</v>
      </c>
      <c r="E119" s="544">
        <v>1.021975426906069</v>
      </c>
      <c r="F119" s="552">
        <v>47505134.719999999</v>
      </c>
      <c r="G119" s="553">
        <v>4224409</v>
      </c>
      <c r="H119" s="553">
        <v>2894000</v>
      </c>
      <c r="I119" s="554">
        <v>160000</v>
      </c>
      <c r="J119" s="548">
        <f t="shared" si="29"/>
        <v>54783543.719999999</v>
      </c>
      <c r="K119" s="497">
        <v>997239.24013789243</v>
      </c>
      <c r="L119" s="498">
        <v>868.5</v>
      </c>
      <c r="M119" s="539">
        <f t="shared" si="22"/>
        <v>4087.9017076242762</v>
      </c>
      <c r="N119" s="497">
        <f t="shared" si="24"/>
        <v>3550342.6330716838</v>
      </c>
      <c r="O119" s="497">
        <v>2005710</v>
      </c>
      <c r="P119" s="498">
        <v>2192.5</v>
      </c>
      <c r="Q119" s="515">
        <v>2174</v>
      </c>
      <c r="R119" s="499">
        <f t="shared" si="28"/>
        <v>18.5</v>
      </c>
      <c r="S119" s="497">
        <f t="shared" si="25"/>
        <v>111000</v>
      </c>
      <c r="T119" s="497">
        <f t="shared" si="23"/>
        <v>48119251.846790425</v>
      </c>
      <c r="U119" s="497">
        <f t="shared" si="26"/>
        <v>24059625.923395213</v>
      </c>
    </row>
    <row r="120" spans="1:21" ht="15.4" x14ac:dyDescent="0.45">
      <c r="A120" s="480"/>
      <c r="B120" s="520" t="s">
        <v>198</v>
      </c>
      <c r="C120" s="540">
        <v>908</v>
      </c>
      <c r="D120" s="558" t="s">
        <v>201</v>
      </c>
      <c r="E120" s="544">
        <v>1</v>
      </c>
      <c r="F120" s="552">
        <v>30476836</v>
      </c>
      <c r="G120" s="553">
        <v>9083847.1428571418</v>
      </c>
      <c r="H120" s="553">
        <v>2530000</v>
      </c>
      <c r="I120" s="554">
        <v>720000</v>
      </c>
      <c r="J120" s="548">
        <f t="shared" si="29"/>
        <v>42810683.142857142</v>
      </c>
      <c r="K120" s="497">
        <v>1046572.6709775293</v>
      </c>
      <c r="L120" s="498">
        <v>479</v>
      </c>
      <c r="M120" s="539">
        <f t="shared" si="22"/>
        <v>4000</v>
      </c>
      <c r="N120" s="497">
        <f t="shared" si="24"/>
        <v>1916000</v>
      </c>
      <c r="O120" s="497">
        <v>894000</v>
      </c>
      <c r="P120" s="498">
        <v>1683</v>
      </c>
      <c r="Q120" s="515">
        <v>1676</v>
      </c>
      <c r="R120" s="499">
        <f t="shared" si="28"/>
        <v>7</v>
      </c>
      <c r="S120" s="497">
        <f t="shared" si="25"/>
        <v>42000</v>
      </c>
      <c r="T120" s="497">
        <f t="shared" si="23"/>
        <v>38912110.471879609</v>
      </c>
      <c r="U120" s="497">
        <f t="shared" si="26"/>
        <v>19456055.235939804</v>
      </c>
    </row>
    <row r="121" spans="1:21" ht="15.4" x14ac:dyDescent="0.45">
      <c r="A121" s="480"/>
      <c r="B121" s="520" t="s">
        <v>198</v>
      </c>
      <c r="C121" s="540">
        <v>878</v>
      </c>
      <c r="D121" s="558" t="s">
        <v>202</v>
      </c>
      <c r="E121" s="544">
        <v>1</v>
      </c>
      <c r="F121" s="552">
        <v>64376653</v>
      </c>
      <c r="G121" s="553">
        <v>3672505</v>
      </c>
      <c r="H121" s="553">
        <v>1386000</v>
      </c>
      <c r="I121" s="554">
        <v>420000</v>
      </c>
      <c r="J121" s="548">
        <f t="shared" si="29"/>
        <v>69855158</v>
      </c>
      <c r="K121" s="497">
        <v>356112.68446020212</v>
      </c>
      <c r="L121" s="498">
        <v>1251</v>
      </c>
      <c r="M121" s="539">
        <f t="shared" si="22"/>
        <v>4000</v>
      </c>
      <c r="N121" s="497">
        <f t="shared" si="24"/>
        <v>5004000</v>
      </c>
      <c r="O121" s="497">
        <v>1912000.0000000002</v>
      </c>
      <c r="P121" s="498">
        <v>3401</v>
      </c>
      <c r="Q121" s="515">
        <v>3760.5</v>
      </c>
      <c r="R121" s="499">
        <f t="shared" si="28"/>
        <v>-359.5</v>
      </c>
      <c r="S121" s="497">
        <f t="shared" si="25"/>
        <v>-2157000</v>
      </c>
      <c r="T121" s="497">
        <f t="shared" si="23"/>
        <v>64740045.315539792</v>
      </c>
      <c r="U121" s="497">
        <f t="shared" si="26"/>
        <v>32370022.657769896</v>
      </c>
    </row>
    <row r="122" spans="1:21" ht="17.649999999999999" x14ac:dyDescent="0.45">
      <c r="A122" s="480"/>
      <c r="B122" s="520" t="s">
        <v>198</v>
      </c>
      <c r="C122" s="541">
        <v>838</v>
      </c>
      <c r="D122" s="558" t="s">
        <v>450</v>
      </c>
      <c r="E122" s="544">
        <v>1</v>
      </c>
      <c r="F122" s="580"/>
      <c r="G122" s="581" t="s">
        <v>410</v>
      </c>
      <c r="H122" s="581" t="s">
        <v>410</v>
      </c>
      <c r="I122" s="582" t="s">
        <v>410</v>
      </c>
      <c r="J122" s="548">
        <v>40913552.302526869</v>
      </c>
      <c r="K122" s="497">
        <v>578695</v>
      </c>
      <c r="L122" s="498">
        <v>729.5</v>
      </c>
      <c r="M122" s="539">
        <f t="shared" si="22"/>
        <v>4000</v>
      </c>
      <c r="N122" s="497">
        <f t="shared" si="24"/>
        <v>2918000</v>
      </c>
      <c r="O122" s="497">
        <v>0</v>
      </c>
      <c r="P122" s="498">
        <v>1444.5</v>
      </c>
      <c r="Q122" s="515">
        <v>1435.5</v>
      </c>
      <c r="R122" s="499">
        <f t="shared" si="28"/>
        <v>9</v>
      </c>
      <c r="S122" s="497">
        <f t="shared" si="25"/>
        <v>54000</v>
      </c>
      <c r="T122" s="497">
        <f t="shared" si="23"/>
        <v>37362857.302526869</v>
      </c>
      <c r="U122" s="497">
        <f t="shared" si="26"/>
        <v>18681428.651263434</v>
      </c>
    </row>
    <row r="123" spans="1:21" ht="15.4" x14ac:dyDescent="0.45">
      <c r="A123" s="480"/>
      <c r="B123" s="77" t="s">
        <v>198</v>
      </c>
      <c r="C123" s="310">
        <v>916</v>
      </c>
      <c r="D123" s="78" t="s">
        <v>204</v>
      </c>
      <c r="E123" s="544">
        <v>1.0094696081392127</v>
      </c>
      <c r="F123" s="552">
        <v>55819869.270000003</v>
      </c>
      <c r="G123" s="553">
        <v>1190998</v>
      </c>
      <c r="H123" s="553">
        <v>1878000</v>
      </c>
      <c r="I123" s="554">
        <v>500000</v>
      </c>
      <c r="J123" s="548">
        <f t="shared" si="29"/>
        <v>59388867.270000003</v>
      </c>
      <c r="K123" s="497">
        <v>276695.28558154788</v>
      </c>
      <c r="L123" s="498">
        <v>1196</v>
      </c>
      <c r="M123" s="539">
        <f t="shared" si="22"/>
        <v>4037.8784325568508</v>
      </c>
      <c r="N123" s="497">
        <f t="shared" si="24"/>
        <v>4829302.6053379932</v>
      </c>
      <c r="O123" s="497">
        <v>1676183.3886031068</v>
      </c>
      <c r="P123" s="498">
        <v>2726</v>
      </c>
      <c r="Q123" s="515">
        <v>2849</v>
      </c>
      <c r="R123" s="499">
        <f t="shared" si="28"/>
        <v>-123</v>
      </c>
      <c r="S123" s="497">
        <f t="shared" si="25"/>
        <v>-738000</v>
      </c>
      <c r="T123" s="497">
        <f t="shared" si="23"/>
        <v>53344685.990477353</v>
      </c>
      <c r="U123" s="497">
        <f t="shared" si="26"/>
        <v>26672342.995238677</v>
      </c>
    </row>
    <row r="124" spans="1:21" ht="15.4" x14ac:dyDescent="0.45">
      <c r="A124" s="480"/>
      <c r="B124" s="77" t="s">
        <v>198</v>
      </c>
      <c r="C124" s="310">
        <v>802</v>
      </c>
      <c r="D124" s="78" t="s">
        <v>205</v>
      </c>
      <c r="E124" s="544">
        <v>1.021975426906069</v>
      </c>
      <c r="F124" s="552">
        <v>20646641</v>
      </c>
      <c r="G124" s="553">
        <v>144000</v>
      </c>
      <c r="H124" s="553">
        <v>2838000</v>
      </c>
      <c r="I124" s="554">
        <v>310000</v>
      </c>
      <c r="J124" s="548">
        <f t="shared" si="29"/>
        <v>23938641</v>
      </c>
      <c r="K124" s="497">
        <v>90871.958231121302</v>
      </c>
      <c r="L124" s="498">
        <v>357</v>
      </c>
      <c r="M124" s="539">
        <f t="shared" si="22"/>
        <v>4087.9017076242762</v>
      </c>
      <c r="N124" s="497">
        <f t="shared" si="24"/>
        <v>1459380.9096218667</v>
      </c>
      <c r="O124" s="497">
        <v>0</v>
      </c>
      <c r="P124" s="498">
        <v>1167.5</v>
      </c>
      <c r="Q124" s="515">
        <v>1161.5</v>
      </c>
      <c r="R124" s="499">
        <f t="shared" si="28"/>
        <v>6</v>
      </c>
      <c r="S124" s="497">
        <f t="shared" si="25"/>
        <v>36000</v>
      </c>
      <c r="T124" s="497">
        <f t="shared" si="23"/>
        <v>22352388.13214701</v>
      </c>
      <c r="U124" s="497">
        <f t="shared" si="26"/>
        <v>11176194.066073505</v>
      </c>
    </row>
    <row r="125" spans="1:21" ht="15.4" x14ac:dyDescent="0.45">
      <c r="A125" s="480"/>
      <c r="B125" s="77" t="s">
        <v>198</v>
      </c>
      <c r="C125" s="310">
        <v>879</v>
      </c>
      <c r="D125" s="78" t="s">
        <v>206</v>
      </c>
      <c r="E125" s="544">
        <v>1</v>
      </c>
      <c r="F125" s="552">
        <v>23405480</v>
      </c>
      <c r="G125" s="553">
        <v>5544608</v>
      </c>
      <c r="H125" s="553">
        <v>1090000</v>
      </c>
      <c r="I125" s="554">
        <v>150000</v>
      </c>
      <c r="J125" s="548">
        <f t="shared" si="29"/>
        <v>30190088</v>
      </c>
      <c r="K125" s="497">
        <v>523688.74204949103</v>
      </c>
      <c r="L125" s="498">
        <v>652</v>
      </c>
      <c r="M125" s="539">
        <f t="shared" si="22"/>
        <v>4000</v>
      </c>
      <c r="N125" s="497">
        <f t="shared" si="24"/>
        <v>2608000</v>
      </c>
      <c r="O125" s="497">
        <v>626000</v>
      </c>
      <c r="P125" s="498">
        <v>1467</v>
      </c>
      <c r="Q125" s="515">
        <v>1409</v>
      </c>
      <c r="R125" s="499">
        <f t="shared" si="28"/>
        <v>58</v>
      </c>
      <c r="S125" s="497">
        <f t="shared" si="25"/>
        <v>348000</v>
      </c>
      <c r="T125" s="497">
        <f t="shared" si="23"/>
        <v>26084399.257950507</v>
      </c>
      <c r="U125" s="497">
        <f t="shared" si="26"/>
        <v>13042199.628975254</v>
      </c>
    </row>
    <row r="126" spans="1:21" ht="15.4" x14ac:dyDescent="0.45">
      <c r="A126" s="480"/>
      <c r="B126" s="77" t="s">
        <v>198</v>
      </c>
      <c r="C126" s="310">
        <v>933</v>
      </c>
      <c r="D126" s="78" t="s">
        <v>207</v>
      </c>
      <c r="E126" s="544">
        <v>1</v>
      </c>
      <c r="F126" s="552">
        <v>49348555</v>
      </c>
      <c r="G126" s="553">
        <v>540004</v>
      </c>
      <c r="H126" s="553">
        <v>2292000</v>
      </c>
      <c r="I126" s="554">
        <v>270000</v>
      </c>
      <c r="J126" s="548">
        <f t="shared" si="29"/>
        <v>52450559</v>
      </c>
      <c r="K126" s="497">
        <v>256924.57672702218</v>
      </c>
      <c r="L126" s="498">
        <v>675</v>
      </c>
      <c r="M126" s="539">
        <f t="shared" si="22"/>
        <v>4000</v>
      </c>
      <c r="N126" s="497">
        <f t="shared" si="24"/>
        <v>2700000</v>
      </c>
      <c r="O126" s="497">
        <v>2105800.0000000005</v>
      </c>
      <c r="P126" s="498">
        <v>2403.5</v>
      </c>
      <c r="Q126" s="515">
        <v>2551.5</v>
      </c>
      <c r="R126" s="499">
        <f t="shared" si="28"/>
        <v>-148</v>
      </c>
      <c r="S126" s="497">
        <f t="shared" si="25"/>
        <v>-888000</v>
      </c>
      <c r="T126" s="497">
        <f t="shared" si="23"/>
        <v>48275834.423272975</v>
      </c>
      <c r="U126" s="497">
        <f t="shared" si="26"/>
        <v>24137917.211636487</v>
      </c>
    </row>
    <row r="127" spans="1:21" ht="15.4" x14ac:dyDescent="0.45">
      <c r="A127" s="480"/>
      <c r="B127" s="77" t="s">
        <v>198</v>
      </c>
      <c r="C127" s="310">
        <v>803</v>
      </c>
      <c r="D127" s="78" t="s">
        <v>208</v>
      </c>
      <c r="E127" s="544">
        <v>1.021975426906069</v>
      </c>
      <c r="F127" s="552">
        <v>33442882</v>
      </c>
      <c r="G127" s="553">
        <v>1113165</v>
      </c>
      <c r="H127" s="553">
        <v>1352000</v>
      </c>
      <c r="I127" s="554">
        <v>600000</v>
      </c>
      <c r="J127" s="548">
        <f t="shared" si="29"/>
        <v>36508047</v>
      </c>
      <c r="K127" s="497">
        <v>539349.06618078216</v>
      </c>
      <c r="L127" s="498">
        <v>485</v>
      </c>
      <c r="M127" s="539">
        <f t="shared" si="22"/>
        <v>4087.9017076242762</v>
      </c>
      <c r="N127" s="497">
        <f t="shared" si="24"/>
        <v>1982632.328197774</v>
      </c>
      <c r="O127" s="497">
        <v>10000</v>
      </c>
      <c r="P127" s="498">
        <v>1349</v>
      </c>
      <c r="Q127" s="515">
        <v>1361</v>
      </c>
      <c r="R127" s="499">
        <f t="shared" si="28"/>
        <v>-12</v>
      </c>
      <c r="S127" s="497">
        <f t="shared" si="25"/>
        <v>-72000</v>
      </c>
      <c r="T127" s="497">
        <f t="shared" si="23"/>
        <v>34048065.605621442</v>
      </c>
      <c r="U127" s="497">
        <f t="shared" si="26"/>
        <v>17024032.802810721</v>
      </c>
    </row>
    <row r="128" spans="1:21" ht="15.4" x14ac:dyDescent="0.45">
      <c r="A128" s="480"/>
      <c r="B128" s="77" t="s">
        <v>198</v>
      </c>
      <c r="C128" s="310">
        <v>866</v>
      </c>
      <c r="D128" s="78" t="s">
        <v>209</v>
      </c>
      <c r="E128" s="544">
        <v>1.0107827425534024</v>
      </c>
      <c r="F128" s="552">
        <v>26889412</v>
      </c>
      <c r="G128" s="553">
        <v>1636998</v>
      </c>
      <c r="H128" s="553">
        <v>1588000</v>
      </c>
      <c r="I128" s="554">
        <v>560000</v>
      </c>
      <c r="J128" s="548">
        <f t="shared" si="29"/>
        <v>30674410</v>
      </c>
      <c r="K128" s="497">
        <v>699685.45100388629</v>
      </c>
      <c r="L128" s="498">
        <v>612</v>
      </c>
      <c r="M128" s="539">
        <f t="shared" si="22"/>
        <v>4043.1309702136095</v>
      </c>
      <c r="N128" s="497">
        <f t="shared" si="24"/>
        <v>2474396.153770729</v>
      </c>
      <c r="O128" s="497">
        <v>468000</v>
      </c>
      <c r="P128" s="498">
        <v>1441.5</v>
      </c>
      <c r="Q128" s="515">
        <v>1499</v>
      </c>
      <c r="R128" s="499">
        <f t="shared" si="28"/>
        <v>-57.5</v>
      </c>
      <c r="S128" s="497">
        <f t="shared" si="25"/>
        <v>-345000</v>
      </c>
      <c r="T128" s="497">
        <f t="shared" si="23"/>
        <v>27377328.395225383</v>
      </c>
      <c r="U128" s="497">
        <f t="shared" si="26"/>
        <v>13688664.197612692</v>
      </c>
    </row>
    <row r="129" spans="1:21" ht="15.4" x14ac:dyDescent="0.45">
      <c r="A129" s="480"/>
      <c r="B129" s="77" t="s">
        <v>198</v>
      </c>
      <c r="C129" s="310">
        <v>880</v>
      </c>
      <c r="D129" s="78" t="s">
        <v>210</v>
      </c>
      <c r="E129" s="544">
        <v>1</v>
      </c>
      <c r="F129" s="552">
        <v>13781546</v>
      </c>
      <c r="G129" s="553">
        <v>4033842</v>
      </c>
      <c r="H129" s="553">
        <v>1084000</v>
      </c>
      <c r="I129" s="554">
        <v>140000</v>
      </c>
      <c r="J129" s="548">
        <f t="shared" si="29"/>
        <v>19039388</v>
      </c>
      <c r="K129" s="497">
        <v>246081.91024885024</v>
      </c>
      <c r="L129" s="498">
        <v>548</v>
      </c>
      <c r="M129" s="539">
        <f t="shared" si="22"/>
        <v>4000</v>
      </c>
      <c r="N129" s="497">
        <f t="shared" si="24"/>
        <v>2192000</v>
      </c>
      <c r="O129" s="497">
        <v>65000</v>
      </c>
      <c r="P129" s="498">
        <v>1104</v>
      </c>
      <c r="Q129" s="515">
        <v>1015</v>
      </c>
      <c r="R129" s="499">
        <f t="shared" si="28"/>
        <v>89</v>
      </c>
      <c r="S129" s="497">
        <f t="shared" si="25"/>
        <v>534000</v>
      </c>
      <c r="T129" s="497">
        <f t="shared" si="23"/>
        <v>16002306.08975115</v>
      </c>
      <c r="U129" s="497">
        <f t="shared" si="26"/>
        <v>8001153.0448755752</v>
      </c>
    </row>
    <row r="130" spans="1:21" ht="15.4" x14ac:dyDescent="0.45">
      <c r="A130" s="480"/>
      <c r="B130" s="77" t="s">
        <v>198</v>
      </c>
      <c r="C130" s="310">
        <v>865</v>
      </c>
      <c r="D130" s="78" t="s">
        <v>211</v>
      </c>
      <c r="E130" s="544">
        <v>1.0107827425534024</v>
      </c>
      <c r="F130" s="552">
        <v>36952146.75</v>
      </c>
      <c r="G130" s="553">
        <v>6165332</v>
      </c>
      <c r="H130" s="553">
        <v>1592000</v>
      </c>
      <c r="I130" s="554">
        <v>2060000</v>
      </c>
      <c r="J130" s="548">
        <f t="shared" si="29"/>
        <v>46769478.75</v>
      </c>
      <c r="K130" s="497">
        <v>2364913.7865305021</v>
      </c>
      <c r="L130" s="498">
        <v>726.5</v>
      </c>
      <c r="M130" s="539">
        <f t="shared" si="22"/>
        <v>4043.1309702136095</v>
      </c>
      <c r="N130" s="497">
        <f t="shared" si="24"/>
        <v>2937334.6498601874</v>
      </c>
      <c r="O130" s="497">
        <v>653000</v>
      </c>
      <c r="P130" s="498">
        <v>2226.5</v>
      </c>
      <c r="Q130" s="515">
        <v>2470.5</v>
      </c>
      <c r="R130" s="499">
        <f t="shared" si="28"/>
        <v>-244</v>
      </c>
      <c r="S130" s="497">
        <f t="shared" si="25"/>
        <v>-1464000</v>
      </c>
      <c r="T130" s="497">
        <f t="shared" si="23"/>
        <v>42278230.313609309</v>
      </c>
      <c r="U130" s="497">
        <f t="shared" si="26"/>
        <v>21139115.156804655</v>
      </c>
    </row>
    <row r="131" spans="1:21" ht="15.4" x14ac:dyDescent="0.45">
      <c r="A131" s="480"/>
      <c r="B131" s="77" t="s">
        <v>212</v>
      </c>
      <c r="C131" s="310">
        <v>330</v>
      </c>
      <c r="D131" s="78" t="s">
        <v>213</v>
      </c>
      <c r="E131" s="544">
        <v>1.0050794999200126</v>
      </c>
      <c r="F131" s="552">
        <v>130452284</v>
      </c>
      <c r="G131" s="553">
        <v>24423136.285714284</v>
      </c>
      <c r="H131" s="553">
        <v>1776000</v>
      </c>
      <c r="I131" s="554">
        <v>1920000</v>
      </c>
      <c r="J131" s="548">
        <f t="shared" si="29"/>
        <v>158571420.28571427</v>
      </c>
      <c r="K131" s="497">
        <v>3058544.3719227025</v>
      </c>
      <c r="L131" s="498">
        <v>4558.5</v>
      </c>
      <c r="M131" s="539">
        <f t="shared" si="22"/>
        <v>4020.3179996800504</v>
      </c>
      <c r="N131" s="497">
        <f t="shared" si="24"/>
        <v>18326619.601541512</v>
      </c>
      <c r="O131" s="497">
        <v>4887000</v>
      </c>
      <c r="P131" s="498">
        <v>5728.5</v>
      </c>
      <c r="Q131" s="515">
        <v>6191.5</v>
      </c>
      <c r="R131" s="499">
        <f t="shared" si="28"/>
        <v>-463</v>
      </c>
      <c r="S131" s="497">
        <f t="shared" si="25"/>
        <v>-2778000</v>
      </c>
      <c r="T131" s="497">
        <f t="shared" si="23"/>
        <v>135077256.31225005</v>
      </c>
      <c r="U131" s="497">
        <f t="shared" si="26"/>
        <v>67538628.156125024</v>
      </c>
    </row>
    <row r="132" spans="1:21" ht="15.4" x14ac:dyDescent="0.45">
      <c r="A132" s="480"/>
      <c r="B132" s="77" t="s">
        <v>212</v>
      </c>
      <c r="C132" s="310">
        <v>331</v>
      </c>
      <c r="D132" s="78" t="s">
        <v>214</v>
      </c>
      <c r="E132" s="544">
        <v>1.0050794999200126</v>
      </c>
      <c r="F132" s="552">
        <v>30597906</v>
      </c>
      <c r="G132" s="553">
        <v>2572334</v>
      </c>
      <c r="H132" s="553">
        <v>1736000</v>
      </c>
      <c r="I132" s="554">
        <v>285000</v>
      </c>
      <c r="J132" s="548">
        <f t="shared" si="29"/>
        <v>35191240</v>
      </c>
      <c r="K132" s="497">
        <v>233365.10221901583</v>
      </c>
      <c r="L132" s="498">
        <v>913</v>
      </c>
      <c r="M132" s="539">
        <f t="shared" si="22"/>
        <v>4020.3179996800504</v>
      </c>
      <c r="N132" s="497">
        <f t="shared" si="24"/>
        <v>3670550.3337078858</v>
      </c>
      <c r="O132" s="497">
        <v>493000</v>
      </c>
      <c r="P132" s="498">
        <v>1752</v>
      </c>
      <c r="Q132" s="515">
        <v>1639</v>
      </c>
      <c r="R132" s="499">
        <f t="shared" si="28"/>
        <v>113</v>
      </c>
      <c r="S132" s="497">
        <f t="shared" si="25"/>
        <v>678000</v>
      </c>
      <c r="T132" s="497">
        <f t="shared" si="23"/>
        <v>30116324.564073101</v>
      </c>
      <c r="U132" s="497">
        <f t="shared" si="26"/>
        <v>15058162.28203655</v>
      </c>
    </row>
    <row r="133" spans="1:21" ht="15.4" x14ac:dyDescent="0.45">
      <c r="A133" s="480"/>
      <c r="B133" s="77" t="s">
        <v>212</v>
      </c>
      <c r="C133" s="310">
        <v>332</v>
      </c>
      <c r="D133" s="78" t="s">
        <v>215</v>
      </c>
      <c r="E133" s="544">
        <v>1.0050794999200126</v>
      </c>
      <c r="F133" s="552">
        <v>30095033</v>
      </c>
      <c r="G133" s="553">
        <v>210334</v>
      </c>
      <c r="H133" s="553">
        <v>384000</v>
      </c>
      <c r="I133" s="554">
        <v>280000</v>
      </c>
      <c r="J133" s="548">
        <f t="shared" si="29"/>
        <v>30969367</v>
      </c>
      <c r="K133" s="497">
        <v>182330.52932004677</v>
      </c>
      <c r="L133" s="498">
        <v>876</v>
      </c>
      <c r="M133" s="539">
        <f t="shared" si="22"/>
        <v>4020.3179996800504</v>
      </c>
      <c r="N133" s="497">
        <f t="shared" si="24"/>
        <v>3521798.567719724</v>
      </c>
      <c r="O133" s="497">
        <v>1231000</v>
      </c>
      <c r="P133" s="498">
        <v>1300</v>
      </c>
      <c r="Q133" s="515">
        <v>1275</v>
      </c>
      <c r="R133" s="499">
        <f t="shared" si="28"/>
        <v>25</v>
      </c>
      <c r="S133" s="497">
        <f t="shared" si="25"/>
        <v>150000</v>
      </c>
      <c r="T133" s="497">
        <f t="shared" si="23"/>
        <v>25884237.90296023</v>
      </c>
      <c r="U133" s="497">
        <f t="shared" si="26"/>
        <v>12942118.951480115</v>
      </c>
    </row>
    <row r="134" spans="1:21" ht="15.4" x14ac:dyDescent="0.45">
      <c r="A134" s="480"/>
      <c r="B134" s="77" t="s">
        <v>212</v>
      </c>
      <c r="C134" s="310">
        <v>884</v>
      </c>
      <c r="D134" s="78" t="s">
        <v>523</v>
      </c>
      <c r="E134" s="544">
        <v>1</v>
      </c>
      <c r="F134" s="552">
        <v>13230967</v>
      </c>
      <c r="G134" s="553">
        <v>1929486</v>
      </c>
      <c r="H134" s="553">
        <v>68000</v>
      </c>
      <c r="I134" s="554">
        <v>390000</v>
      </c>
      <c r="J134" s="548">
        <f t="shared" si="29"/>
        <v>15618453</v>
      </c>
      <c r="K134" s="497">
        <v>127758.84399797698</v>
      </c>
      <c r="L134" s="498">
        <v>339</v>
      </c>
      <c r="M134" s="539">
        <f t="shared" si="22"/>
        <v>4000</v>
      </c>
      <c r="N134" s="497">
        <f t="shared" si="24"/>
        <v>1356000</v>
      </c>
      <c r="O134" s="497">
        <v>278000</v>
      </c>
      <c r="P134" s="498">
        <v>751.5</v>
      </c>
      <c r="Q134" s="515">
        <v>786</v>
      </c>
      <c r="R134" s="499">
        <f t="shared" si="28"/>
        <v>-34.5</v>
      </c>
      <c r="S134" s="497">
        <f t="shared" si="25"/>
        <v>-207000</v>
      </c>
      <c r="T134" s="497">
        <f t="shared" si="23"/>
        <v>14063694.156002022</v>
      </c>
      <c r="U134" s="497">
        <f t="shared" si="26"/>
        <v>7031847.0780010112</v>
      </c>
    </row>
    <row r="135" spans="1:21" ht="15.4" x14ac:dyDescent="0.45">
      <c r="A135" s="480"/>
      <c r="B135" s="77" t="s">
        <v>212</v>
      </c>
      <c r="C135" s="310">
        <v>333</v>
      </c>
      <c r="D135" s="78" t="s">
        <v>216</v>
      </c>
      <c r="E135" s="544">
        <v>1.0050794999200126</v>
      </c>
      <c r="F135" s="552">
        <v>36994395.049999997</v>
      </c>
      <c r="G135" s="553">
        <v>733996</v>
      </c>
      <c r="H135" s="553">
        <v>464000</v>
      </c>
      <c r="I135" s="554">
        <v>1470000</v>
      </c>
      <c r="J135" s="548">
        <f t="shared" si="29"/>
        <v>39662391.049999997</v>
      </c>
      <c r="K135" s="497">
        <v>956496.16492051468</v>
      </c>
      <c r="L135" s="498">
        <v>586</v>
      </c>
      <c r="M135" s="539">
        <f t="shared" si="22"/>
        <v>4020.3179996800504</v>
      </c>
      <c r="N135" s="497">
        <f t="shared" si="24"/>
        <v>2355906.3478125096</v>
      </c>
      <c r="O135" s="497">
        <v>984000</v>
      </c>
      <c r="P135" s="498">
        <v>1607</v>
      </c>
      <c r="Q135" s="515">
        <v>1703</v>
      </c>
      <c r="R135" s="499">
        <f t="shared" si="28"/>
        <v>-96</v>
      </c>
      <c r="S135" s="497">
        <f t="shared" si="25"/>
        <v>-576000</v>
      </c>
      <c r="T135" s="497">
        <f t="shared" si="23"/>
        <v>35941988.53726697</v>
      </c>
      <c r="U135" s="497">
        <f t="shared" si="26"/>
        <v>17970994.268633485</v>
      </c>
    </row>
    <row r="136" spans="1:21" ht="15.4" x14ac:dyDescent="0.45">
      <c r="A136" s="480"/>
      <c r="B136" s="77" t="s">
        <v>212</v>
      </c>
      <c r="C136" s="310">
        <v>893</v>
      </c>
      <c r="D136" s="78" t="s">
        <v>217</v>
      </c>
      <c r="E136" s="544">
        <v>1</v>
      </c>
      <c r="F136" s="552">
        <v>20788098</v>
      </c>
      <c r="G136" s="553">
        <v>4238004</v>
      </c>
      <c r="H136" s="553">
        <v>516000</v>
      </c>
      <c r="I136" s="554">
        <v>150000</v>
      </c>
      <c r="J136" s="548">
        <f t="shared" si="29"/>
        <v>25692102</v>
      </c>
      <c r="K136" s="497">
        <v>51599.524907632731</v>
      </c>
      <c r="L136" s="498">
        <v>463</v>
      </c>
      <c r="M136" s="539">
        <f t="shared" si="22"/>
        <v>4000</v>
      </c>
      <c r="N136" s="497">
        <f t="shared" si="24"/>
        <v>1852000</v>
      </c>
      <c r="O136" s="497">
        <v>105000</v>
      </c>
      <c r="P136" s="498">
        <v>1350</v>
      </c>
      <c r="Q136" s="515">
        <v>1484</v>
      </c>
      <c r="R136" s="499">
        <f t="shared" si="28"/>
        <v>-134</v>
      </c>
      <c r="S136" s="497">
        <f t="shared" si="25"/>
        <v>-804000</v>
      </c>
      <c r="T136" s="497">
        <f t="shared" si="23"/>
        <v>24487502.475092366</v>
      </c>
      <c r="U136" s="497">
        <f t="shared" si="26"/>
        <v>12243751.237546183</v>
      </c>
    </row>
    <row r="137" spans="1:21" ht="15.4" x14ac:dyDescent="0.45">
      <c r="A137" s="480"/>
      <c r="B137" s="77" t="s">
        <v>212</v>
      </c>
      <c r="C137" s="310">
        <v>334</v>
      </c>
      <c r="D137" s="78" t="s">
        <v>218</v>
      </c>
      <c r="E137" s="544">
        <v>1.0050794999200126</v>
      </c>
      <c r="F137" s="552">
        <v>25453841</v>
      </c>
      <c r="G137" s="553">
        <v>1716167</v>
      </c>
      <c r="H137" s="553">
        <v>342000</v>
      </c>
      <c r="I137" s="554">
        <v>510000</v>
      </c>
      <c r="J137" s="548">
        <f t="shared" si="29"/>
        <v>28022008</v>
      </c>
      <c r="K137" s="497">
        <v>379132.66928367037</v>
      </c>
      <c r="L137" s="498">
        <v>732</v>
      </c>
      <c r="M137" s="539">
        <f t="shared" si="22"/>
        <v>4020.3179996800504</v>
      </c>
      <c r="N137" s="497">
        <f t="shared" si="24"/>
        <v>2942872.7757657971</v>
      </c>
      <c r="O137" s="497">
        <v>0</v>
      </c>
      <c r="P137" s="498">
        <v>1064</v>
      </c>
      <c r="Q137" s="515">
        <v>1033</v>
      </c>
      <c r="R137" s="499">
        <f t="shared" si="28"/>
        <v>31</v>
      </c>
      <c r="S137" s="497">
        <f t="shared" si="25"/>
        <v>186000</v>
      </c>
      <c r="T137" s="497">
        <f t="shared" si="23"/>
        <v>24514002.554950535</v>
      </c>
      <c r="U137" s="497">
        <f t="shared" si="26"/>
        <v>12257001.277475268</v>
      </c>
    </row>
    <row r="138" spans="1:21" ht="15.4" x14ac:dyDescent="0.45">
      <c r="A138" s="480"/>
      <c r="B138" s="77" t="s">
        <v>212</v>
      </c>
      <c r="C138" s="310">
        <v>860</v>
      </c>
      <c r="D138" s="78" t="s">
        <v>219</v>
      </c>
      <c r="E138" s="544">
        <v>1</v>
      </c>
      <c r="F138" s="552">
        <v>64903330</v>
      </c>
      <c r="G138" s="553">
        <v>9464304</v>
      </c>
      <c r="H138" s="553">
        <v>1342000</v>
      </c>
      <c r="I138" s="554">
        <v>360000</v>
      </c>
      <c r="J138" s="548">
        <f t="shared" si="29"/>
        <v>76069634</v>
      </c>
      <c r="K138" s="497">
        <v>129722.94396348135</v>
      </c>
      <c r="L138" s="498">
        <v>2588</v>
      </c>
      <c r="M138" s="539">
        <f t="shared" ref="M138:M159" si="30">4000*E138</f>
        <v>4000</v>
      </c>
      <c r="N138" s="497">
        <f t="shared" si="24"/>
        <v>10352000</v>
      </c>
      <c r="O138" s="497">
        <v>333999.99999999994</v>
      </c>
      <c r="P138" s="498">
        <v>3930.5</v>
      </c>
      <c r="Q138" s="515">
        <v>3723.5</v>
      </c>
      <c r="R138" s="499">
        <f t="shared" si="28"/>
        <v>207</v>
      </c>
      <c r="S138" s="497">
        <f t="shared" si="25"/>
        <v>1242000</v>
      </c>
      <c r="T138" s="497">
        <f t="shared" ref="T138:T159" si="31">J138-K138-N138-O138-S138</f>
        <v>64011911.056036517</v>
      </c>
      <c r="U138" s="497">
        <f t="shared" si="26"/>
        <v>32005955.528018259</v>
      </c>
    </row>
    <row r="139" spans="1:21" ht="17.649999999999999" x14ac:dyDescent="0.45">
      <c r="A139" s="480"/>
      <c r="B139" s="77" t="s">
        <v>212</v>
      </c>
      <c r="C139" s="310">
        <v>861</v>
      </c>
      <c r="D139" s="78" t="s">
        <v>460</v>
      </c>
      <c r="E139" s="544">
        <v>1</v>
      </c>
      <c r="F139" s="552">
        <v>35397084.25</v>
      </c>
      <c r="G139" s="553">
        <v>82000</v>
      </c>
      <c r="H139" s="553">
        <v>420000</v>
      </c>
      <c r="I139" s="554">
        <v>340000</v>
      </c>
      <c r="J139" s="548">
        <f t="shared" si="29"/>
        <v>36239084.25</v>
      </c>
      <c r="K139" s="497">
        <v>0</v>
      </c>
      <c r="L139" s="498">
        <v>765</v>
      </c>
      <c r="M139" s="539">
        <f t="shared" si="30"/>
        <v>4000</v>
      </c>
      <c r="N139" s="497">
        <f t="shared" ref="N139:N159" si="32">L139*M139</f>
        <v>3060000</v>
      </c>
      <c r="O139" s="497">
        <v>182550</v>
      </c>
      <c r="P139" s="498">
        <v>1377</v>
      </c>
      <c r="Q139" s="515">
        <v>1545</v>
      </c>
      <c r="R139" s="499">
        <f t="shared" si="28"/>
        <v>-168</v>
      </c>
      <c r="S139" s="497">
        <f t="shared" ref="S139:S159" si="33">R139*6000</f>
        <v>-1008000</v>
      </c>
      <c r="T139" s="497">
        <f t="shared" si="31"/>
        <v>34004534.25</v>
      </c>
      <c r="U139" s="497">
        <f t="shared" ref="U139:U159" si="34">T139/2</f>
        <v>17002267.125</v>
      </c>
    </row>
    <row r="140" spans="1:21" ht="15.4" x14ac:dyDescent="0.45">
      <c r="A140" s="480"/>
      <c r="B140" s="77" t="s">
        <v>212</v>
      </c>
      <c r="C140" s="310">
        <v>894</v>
      </c>
      <c r="D140" s="78" t="s">
        <v>221</v>
      </c>
      <c r="E140" s="544">
        <v>1</v>
      </c>
      <c r="F140" s="552">
        <v>20107635</v>
      </c>
      <c r="G140" s="553">
        <v>549996</v>
      </c>
      <c r="H140" s="553">
        <v>540000</v>
      </c>
      <c r="I140" s="554">
        <v>740000</v>
      </c>
      <c r="J140" s="548">
        <f t="shared" si="29"/>
        <v>21937631</v>
      </c>
      <c r="K140" s="497">
        <v>275016.12712351792</v>
      </c>
      <c r="L140" s="498">
        <v>582</v>
      </c>
      <c r="M140" s="539">
        <f t="shared" si="30"/>
        <v>4000</v>
      </c>
      <c r="N140" s="497">
        <f t="shared" si="32"/>
        <v>2328000</v>
      </c>
      <c r="O140" s="497">
        <v>20066</v>
      </c>
      <c r="P140" s="498">
        <v>1099</v>
      </c>
      <c r="Q140" s="515">
        <v>1102</v>
      </c>
      <c r="R140" s="499">
        <f t="shared" si="28"/>
        <v>-3</v>
      </c>
      <c r="S140" s="497">
        <f t="shared" si="33"/>
        <v>-18000</v>
      </c>
      <c r="T140" s="497">
        <f t="shared" si="31"/>
        <v>19332548.87287648</v>
      </c>
      <c r="U140" s="497">
        <f t="shared" si="34"/>
        <v>9666274.4364382401</v>
      </c>
    </row>
    <row r="141" spans="1:21" ht="15.4" x14ac:dyDescent="0.45">
      <c r="A141" s="480"/>
      <c r="B141" s="77" t="s">
        <v>212</v>
      </c>
      <c r="C141" s="310">
        <v>335</v>
      </c>
      <c r="D141" s="78" t="s">
        <v>222</v>
      </c>
      <c r="E141" s="544">
        <v>1.0050794999200126</v>
      </c>
      <c r="F141" s="552">
        <v>28096927</v>
      </c>
      <c r="G141" s="553">
        <v>765169</v>
      </c>
      <c r="H141" s="553">
        <v>438000</v>
      </c>
      <c r="I141" s="554">
        <v>630000</v>
      </c>
      <c r="J141" s="548">
        <f t="shared" si="29"/>
        <v>29930096</v>
      </c>
      <c r="K141" s="497">
        <v>360529.82493455464</v>
      </c>
      <c r="L141" s="498">
        <v>675</v>
      </c>
      <c r="M141" s="539">
        <f t="shared" si="30"/>
        <v>4020.3179996800504</v>
      </c>
      <c r="N141" s="497">
        <f t="shared" si="32"/>
        <v>2713714.6497840341</v>
      </c>
      <c r="O141" s="497">
        <v>0</v>
      </c>
      <c r="P141" s="498">
        <v>1460</v>
      </c>
      <c r="Q141" s="515">
        <v>1457</v>
      </c>
      <c r="R141" s="499">
        <f t="shared" si="28"/>
        <v>3</v>
      </c>
      <c r="S141" s="497">
        <f t="shared" si="33"/>
        <v>18000</v>
      </c>
      <c r="T141" s="497">
        <f t="shared" si="31"/>
        <v>26837851.525281414</v>
      </c>
      <c r="U141" s="497">
        <f t="shared" si="34"/>
        <v>13418925.762640707</v>
      </c>
    </row>
    <row r="142" spans="1:21" ht="15.4" x14ac:dyDescent="0.45">
      <c r="A142" s="480"/>
      <c r="B142" s="77" t="s">
        <v>212</v>
      </c>
      <c r="C142" s="310">
        <v>937</v>
      </c>
      <c r="D142" s="78" t="s">
        <v>223</v>
      </c>
      <c r="E142" s="544">
        <v>1.0105351699887246</v>
      </c>
      <c r="F142" s="552">
        <v>54502704</v>
      </c>
      <c r="G142" s="553">
        <v>4742605.2857142854</v>
      </c>
      <c r="H142" s="553">
        <v>1246000</v>
      </c>
      <c r="I142" s="554">
        <v>400000</v>
      </c>
      <c r="J142" s="548">
        <f t="shared" si="29"/>
        <v>60891309.285714284</v>
      </c>
      <c r="K142" s="497">
        <v>49785.215758428443</v>
      </c>
      <c r="L142" s="498">
        <v>1596</v>
      </c>
      <c r="M142" s="539">
        <f t="shared" si="30"/>
        <v>4042.1406799548986</v>
      </c>
      <c r="N142" s="497">
        <f t="shared" si="32"/>
        <v>6451256.5252080178</v>
      </c>
      <c r="O142" s="497">
        <v>103272.92529045421</v>
      </c>
      <c r="P142" s="498">
        <v>2450</v>
      </c>
      <c r="Q142" s="515">
        <v>2484</v>
      </c>
      <c r="R142" s="499">
        <f t="shared" si="28"/>
        <v>-34</v>
      </c>
      <c r="S142" s="497">
        <f t="shared" si="33"/>
        <v>-204000</v>
      </c>
      <c r="T142" s="497">
        <f t="shared" si="31"/>
        <v>54490994.619457379</v>
      </c>
      <c r="U142" s="497">
        <f t="shared" si="34"/>
        <v>27245497.309728689</v>
      </c>
    </row>
    <row r="143" spans="1:21" ht="15.4" x14ac:dyDescent="0.45">
      <c r="A143" s="480"/>
      <c r="B143" s="77" t="s">
        <v>212</v>
      </c>
      <c r="C143" s="310">
        <v>336</v>
      </c>
      <c r="D143" s="78" t="s">
        <v>224</v>
      </c>
      <c r="E143" s="544">
        <v>1.0050794999200126</v>
      </c>
      <c r="F143" s="552">
        <v>25275880.420000002</v>
      </c>
      <c r="G143" s="553">
        <v>4328855</v>
      </c>
      <c r="H143" s="553">
        <v>1620000</v>
      </c>
      <c r="I143" s="554">
        <v>450000</v>
      </c>
      <c r="J143" s="548">
        <f t="shared" si="29"/>
        <v>31674735.420000002</v>
      </c>
      <c r="K143" s="497">
        <v>536352.07979333925</v>
      </c>
      <c r="L143" s="498">
        <v>824</v>
      </c>
      <c r="M143" s="539">
        <f t="shared" si="30"/>
        <v>4020.3179996800504</v>
      </c>
      <c r="N143" s="497">
        <f t="shared" si="32"/>
        <v>3312742.0317363613</v>
      </c>
      <c r="O143" s="497">
        <v>437000</v>
      </c>
      <c r="P143" s="498">
        <v>1402</v>
      </c>
      <c r="Q143" s="515">
        <v>1361</v>
      </c>
      <c r="R143" s="499">
        <f t="shared" si="28"/>
        <v>41</v>
      </c>
      <c r="S143" s="497">
        <f t="shared" si="33"/>
        <v>246000</v>
      </c>
      <c r="T143" s="497">
        <f t="shared" si="31"/>
        <v>27142641.308470301</v>
      </c>
      <c r="U143" s="497">
        <f t="shared" si="34"/>
        <v>13571320.654235151</v>
      </c>
    </row>
    <row r="144" spans="1:21" ht="15.4" x14ac:dyDescent="0.45">
      <c r="A144" s="480"/>
      <c r="B144" s="77" t="s">
        <v>212</v>
      </c>
      <c r="C144" s="310">
        <v>885</v>
      </c>
      <c r="D144" s="78" t="s">
        <v>225</v>
      </c>
      <c r="E144" s="544">
        <v>1</v>
      </c>
      <c r="F144" s="552">
        <v>42642093</v>
      </c>
      <c r="G144" s="553">
        <v>6689001.1999999993</v>
      </c>
      <c r="H144" s="553">
        <v>1114000</v>
      </c>
      <c r="I144" s="554">
        <v>1130000</v>
      </c>
      <c r="J144" s="548">
        <f t="shared" si="29"/>
        <v>51575094.200000003</v>
      </c>
      <c r="K144" s="497">
        <v>726969.95299938356</v>
      </c>
      <c r="L144" s="498">
        <v>1449.5</v>
      </c>
      <c r="M144" s="539">
        <f t="shared" si="30"/>
        <v>4000</v>
      </c>
      <c r="N144" s="497">
        <f t="shared" si="32"/>
        <v>5798000</v>
      </c>
      <c r="O144" s="497">
        <v>559000</v>
      </c>
      <c r="P144" s="498">
        <v>2222</v>
      </c>
      <c r="Q144" s="515">
        <v>2396</v>
      </c>
      <c r="R144" s="499">
        <f t="shared" si="28"/>
        <v>-174</v>
      </c>
      <c r="S144" s="497">
        <f t="shared" si="33"/>
        <v>-1044000</v>
      </c>
      <c r="T144" s="497">
        <f t="shared" si="31"/>
        <v>45535124.24700062</v>
      </c>
      <c r="U144" s="497">
        <f t="shared" si="34"/>
        <v>22767562.12350031</v>
      </c>
    </row>
    <row r="145" spans="1:21" ht="15.4" x14ac:dyDescent="0.45">
      <c r="A145" s="480"/>
      <c r="B145" s="77" t="s">
        <v>226</v>
      </c>
      <c r="C145" s="310">
        <v>370</v>
      </c>
      <c r="D145" s="78" t="s">
        <v>227</v>
      </c>
      <c r="E145" s="544">
        <v>1</v>
      </c>
      <c r="F145" s="552">
        <v>17911983</v>
      </c>
      <c r="G145" s="553">
        <v>5683336</v>
      </c>
      <c r="H145" s="553">
        <v>2184000</v>
      </c>
      <c r="I145" s="554">
        <v>320000</v>
      </c>
      <c r="J145" s="548">
        <f t="shared" ref="J145:J159" si="35">SUM(F145:I145)</f>
        <v>26099319</v>
      </c>
      <c r="K145" s="497">
        <v>330254.691463758</v>
      </c>
      <c r="L145" s="498">
        <v>459</v>
      </c>
      <c r="M145" s="539">
        <f t="shared" si="30"/>
        <v>4000</v>
      </c>
      <c r="N145" s="497">
        <f t="shared" si="32"/>
        <v>1836000</v>
      </c>
      <c r="O145" s="497">
        <v>0</v>
      </c>
      <c r="P145" s="498">
        <v>1472</v>
      </c>
      <c r="Q145" s="515">
        <v>1537.5</v>
      </c>
      <c r="R145" s="499">
        <f t="shared" si="28"/>
        <v>-65.5</v>
      </c>
      <c r="S145" s="497">
        <f t="shared" si="33"/>
        <v>-393000</v>
      </c>
      <c r="T145" s="497">
        <f t="shared" si="31"/>
        <v>24326064.308536243</v>
      </c>
      <c r="U145" s="497">
        <f t="shared" si="34"/>
        <v>12163032.154268121</v>
      </c>
    </row>
    <row r="146" spans="1:21" ht="15.4" x14ac:dyDescent="0.45">
      <c r="A146" s="480"/>
      <c r="B146" s="77" t="s">
        <v>226</v>
      </c>
      <c r="C146" s="310">
        <v>380</v>
      </c>
      <c r="D146" s="78" t="s">
        <v>228</v>
      </c>
      <c r="E146" s="544">
        <v>1.0002429734488885</v>
      </c>
      <c r="F146" s="552">
        <v>52215244.720000006</v>
      </c>
      <c r="G146" s="553">
        <v>6155300</v>
      </c>
      <c r="H146" s="553">
        <v>1516000</v>
      </c>
      <c r="I146" s="554">
        <v>2050000</v>
      </c>
      <c r="J146" s="548">
        <f t="shared" si="35"/>
        <v>61936544.720000006</v>
      </c>
      <c r="K146" s="497">
        <v>1172668.397269144</v>
      </c>
      <c r="L146" s="498">
        <v>1164</v>
      </c>
      <c r="M146" s="539">
        <f t="shared" si="30"/>
        <v>4000.971893795554</v>
      </c>
      <c r="N146" s="497">
        <f t="shared" si="32"/>
        <v>4657131.2843780247</v>
      </c>
      <c r="O146" s="497">
        <v>1644000</v>
      </c>
      <c r="P146" s="498">
        <v>2808</v>
      </c>
      <c r="Q146" s="515">
        <v>2969</v>
      </c>
      <c r="R146" s="499">
        <f t="shared" ref="R146:R159" si="36">P146-Q146</f>
        <v>-161</v>
      </c>
      <c r="S146" s="497">
        <f t="shared" si="33"/>
        <v>-966000</v>
      </c>
      <c r="T146" s="497">
        <f t="shared" si="31"/>
        <v>55428745.03835284</v>
      </c>
      <c r="U146" s="497">
        <f t="shared" si="34"/>
        <v>27714372.51917642</v>
      </c>
    </row>
    <row r="147" spans="1:21" ht="15.4" x14ac:dyDescent="0.45">
      <c r="A147" s="480"/>
      <c r="B147" s="77" t="s">
        <v>226</v>
      </c>
      <c r="C147" s="310">
        <v>381</v>
      </c>
      <c r="D147" s="78" t="s">
        <v>229</v>
      </c>
      <c r="E147" s="544">
        <v>1.0002429734488885</v>
      </c>
      <c r="F147" s="552">
        <v>16763930</v>
      </c>
      <c r="G147" s="553">
        <v>182000</v>
      </c>
      <c r="H147" s="553">
        <v>344000</v>
      </c>
      <c r="I147" s="554">
        <v>200000</v>
      </c>
      <c r="J147" s="548">
        <f t="shared" si="35"/>
        <v>17489930</v>
      </c>
      <c r="K147" s="497">
        <v>88070.317362427246</v>
      </c>
      <c r="L147" s="498">
        <v>346</v>
      </c>
      <c r="M147" s="539">
        <f t="shared" si="30"/>
        <v>4000.971893795554</v>
      </c>
      <c r="N147" s="497">
        <f t="shared" si="32"/>
        <v>1384336.2752532617</v>
      </c>
      <c r="O147" s="497">
        <v>0</v>
      </c>
      <c r="P147" s="498">
        <v>875</v>
      </c>
      <c r="Q147" s="515">
        <v>905</v>
      </c>
      <c r="R147" s="499">
        <f t="shared" si="36"/>
        <v>-30</v>
      </c>
      <c r="S147" s="497">
        <f t="shared" si="33"/>
        <v>-180000</v>
      </c>
      <c r="T147" s="497">
        <f t="shared" si="31"/>
        <v>16197523.40738431</v>
      </c>
      <c r="U147" s="497">
        <f t="shared" si="34"/>
        <v>8098761.703692155</v>
      </c>
    </row>
    <row r="148" spans="1:21" ht="15.4" x14ac:dyDescent="0.45">
      <c r="A148" s="480"/>
      <c r="B148" s="77" t="s">
        <v>226</v>
      </c>
      <c r="C148" s="310">
        <v>371</v>
      </c>
      <c r="D148" s="78" t="s">
        <v>230</v>
      </c>
      <c r="E148" s="544">
        <v>1</v>
      </c>
      <c r="F148" s="552">
        <v>26166658</v>
      </c>
      <c r="G148" s="553">
        <v>1914334</v>
      </c>
      <c r="H148" s="553">
        <v>338000</v>
      </c>
      <c r="I148" s="554">
        <v>120000</v>
      </c>
      <c r="J148" s="548">
        <f t="shared" si="35"/>
        <v>28538992</v>
      </c>
      <c r="K148" s="497">
        <v>59441.022309022257</v>
      </c>
      <c r="L148" s="498">
        <v>614</v>
      </c>
      <c r="M148" s="539">
        <f t="shared" si="30"/>
        <v>4000</v>
      </c>
      <c r="N148" s="497">
        <f t="shared" si="32"/>
        <v>2456000</v>
      </c>
      <c r="O148" s="497">
        <v>256000</v>
      </c>
      <c r="P148" s="498">
        <v>1194.5</v>
      </c>
      <c r="Q148" s="515">
        <v>1238</v>
      </c>
      <c r="R148" s="499">
        <f t="shared" si="36"/>
        <v>-43.5</v>
      </c>
      <c r="S148" s="497">
        <f t="shared" si="33"/>
        <v>-261000</v>
      </c>
      <c r="T148" s="497">
        <f t="shared" si="31"/>
        <v>26028550.977690976</v>
      </c>
      <c r="U148" s="497">
        <f t="shared" si="34"/>
        <v>13014275.488845488</v>
      </c>
    </row>
    <row r="149" spans="1:21" ht="15.4" x14ac:dyDescent="0.45">
      <c r="A149" s="480"/>
      <c r="B149" s="77" t="s">
        <v>226</v>
      </c>
      <c r="C149" s="310">
        <v>811</v>
      </c>
      <c r="D149" s="78" t="s">
        <v>231</v>
      </c>
      <c r="E149" s="544">
        <v>1</v>
      </c>
      <c r="F149" s="552">
        <v>21620508</v>
      </c>
      <c r="G149" s="553">
        <v>59499</v>
      </c>
      <c r="H149" s="553">
        <v>210000</v>
      </c>
      <c r="I149" s="554">
        <v>280000</v>
      </c>
      <c r="J149" s="548">
        <f t="shared" si="35"/>
        <v>22170007</v>
      </c>
      <c r="K149" s="497">
        <v>0</v>
      </c>
      <c r="L149" s="498">
        <v>397</v>
      </c>
      <c r="M149" s="539">
        <f t="shared" si="30"/>
        <v>4000</v>
      </c>
      <c r="N149" s="497">
        <f t="shared" si="32"/>
        <v>1588000</v>
      </c>
      <c r="O149" s="497">
        <v>0</v>
      </c>
      <c r="P149" s="498">
        <v>1103.5</v>
      </c>
      <c r="Q149" s="515">
        <v>1175</v>
      </c>
      <c r="R149" s="499">
        <f t="shared" si="36"/>
        <v>-71.5</v>
      </c>
      <c r="S149" s="497">
        <f t="shared" si="33"/>
        <v>-429000</v>
      </c>
      <c r="T149" s="497">
        <f t="shared" si="31"/>
        <v>21011007</v>
      </c>
      <c r="U149" s="497">
        <f t="shared" si="34"/>
        <v>10505503.5</v>
      </c>
    </row>
    <row r="150" spans="1:21" ht="15.4" x14ac:dyDescent="0.45">
      <c r="A150" s="480"/>
      <c r="B150" s="77" t="s">
        <v>226</v>
      </c>
      <c r="C150" s="310">
        <v>810</v>
      </c>
      <c r="D150" s="78" t="s">
        <v>232</v>
      </c>
      <c r="E150" s="544">
        <v>1</v>
      </c>
      <c r="F150" s="552">
        <v>23603439</v>
      </c>
      <c r="G150" s="553">
        <v>5680649</v>
      </c>
      <c r="H150" s="553">
        <v>168000</v>
      </c>
      <c r="I150" s="554">
        <v>0</v>
      </c>
      <c r="J150" s="548">
        <f t="shared" si="35"/>
        <v>29452088</v>
      </c>
      <c r="K150" s="497">
        <v>0</v>
      </c>
      <c r="L150" s="498">
        <v>625</v>
      </c>
      <c r="M150" s="539">
        <f t="shared" si="30"/>
        <v>4000</v>
      </c>
      <c r="N150" s="497">
        <f t="shared" si="32"/>
        <v>2500000</v>
      </c>
      <c r="O150" s="497">
        <v>0</v>
      </c>
      <c r="P150" s="498">
        <v>1158</v>
      </c>
      <c r="Q150" s="515">
        <v>1130</v>
      </c>
      <c r="R150" s="499">
        <f t="shared" si="36"/>
        <v>28</v>
      </c>
      <c r="S150" s="497">
        <f t="shared" si="33"/>
        <v>168000</v>
      </c>
      <c r="T150" s="497">
        <f t="shared" si="31"/>
        <v>26784088</v>
      </c>
      <c r="U150" s="497">
        <f t="shared" si="34"/>
        <v>13392044</v>
      </c>
    </row>
    <row r="151" spans="1:21" ht="15.4" x14ac:dyDescent="0.45">
      <c r="A151" s="480"/>
      <c r="B151" s="77" t="s">
        <v>226</v>
      </c>
      <c r="C151" s="310">
        <v>382</v>
      </c>
      <c r="D151" s="78" t="s">
        <v>233</v>
      </c>
      <c r="E151" s="544">
        <v>1.0002429734488885</v>
      </c>
      <c r="F151" s="552">
        <v>34782760</v>
      </c>
      <c r="G151" s="553">
        <v>2101002</v>
      </c>
      <c r="H151" s="553">
        <v>1476000</v>
      </c>
      <c r="I151" s="554">
        <v>1090000</v>
      </c>
      <c r="J151" s="548">
        <f t="shared" si="35"/>
        <v>39449762</v>
      </c>
      <c r="K151" s="497">
        <v>773463.38328220346</v>
      </c>
      <c r="L151" s="498">
        <v>778</v>
      </c>
      <c r="M151" s="539">
        <f t="shared" si="30"/>
        <v>4000.971893795554</v>
      </c>
      <c r="N151" s="497">
        <f t="shared" si="32"/>
        <v>3112756.1333729411</v>
      </c>
      <c r="O151" s="497">
        <v>0</v>
      </c>
      <c r="P151" s="498">
        <v>2034</v>
      </c>
      <c r="Q151" s="515">
        <v>2099</v>
      </c>
      <c r="R151" s="499">
        <f t="shared" si="36"/>
        <v>-65</v>
      </c>
      <c r="S151" s="497">
        <f t="shared" si="33"/>
        <v>-390000</v>
      </c>
      <c r="T151" s="497">
        <f t="shared" si="31"/>
        <v>35953542.483344853</v>
      </c>
      <c r="U151" s="497">
        <f t="shared" si="34"/>
        <v>17976771.241672426</v>
      </c>
    </row>
    <row r="152" spans="1:21" ht="15.4" x14ac:dyDescent="0.45">
      <c r="A152" s="480"/>
      <c r="B152" s="77" t="s">
        <v>226</v>
      </c>
      <c r="C152" s="310">
        <v>383</v>
      </c>
      <c r="D152" s="78" t="s">
        <v>234</v>
      </c>
      <c r="E152" s="544">
        <v>1.0002429734488885</v>
      </c>
      <c r="F152" s="552">
        <v>57889759</v>
      </c>
      <c r="G152" s="553">
        <v>2490141.8571428573</v>
      </c>
      <c r="H152" s="553">
        <v>2586000</v>
      </c>
      <c r="I152" s="554">
        <v>4053334</v>
      </c>
      <c r="J152" s="548">
        <f t="shared" si="35"/>
        <v>67019234.857142858</v>
      </c>
      <c r="K152" s="497">
        <v>829696.54910799465</v>
      </c>
      <c r="L152" s="498">
        <v>1314</v>
      </c>
      <c r="M152" s="539">
        <f t="shared" si="30"/>
        <v>4000.971893795554</v>
      </c>
      <c r="N152" s="497">
        <f t="shared" si="32"/>
        <v>5257277.068447358</v>
      </c>
      <c r="O152" s="497">
        <v>987500</v>
      </c>
      <c r="P152" s="498">
        <v>3436.5</v>
      </c>
      <c r="Q152" s="515">
        <v>3443.5</v>
      </c>
      <c r="R152" s="499">
        <f t="shared" si="36"/>
        <v>-7</v>
      </c>
      <c r="S152" s="497">
        <f t="shared" si="33"/>
        <v>-42000</v>
      </c>
      <c r="T152" s="497">
        <f t="shared" si="31"/>
        <v>59986761.239587508</v>
      </c>
      <c r="U152" s="497">
        <f t="shared" si="34"/>
        <v>29993380.619793754</v>
      </c>
    </row>
    <row r="153" spans="1:21" ht="15.4" x14ac:dyDescent="0.45">
      <c r="A153" s="480"/>
      <c r="B153" s="77" t="s">
        <v>226</v>
      </c>
      <c r="C153" s="310">
        <v>812</v>
      </c>
      <c r="D153" s="78" t="s">
        <v>235</v>
      </c>
      <c r="E153" s="544">
        <v>1</v>
      </c>
      <c r="F153" s="552">
        <v>12476267</v>
      </c>
      <c r="G153" s="553">
        <v>4888340</v>
      </c>
      <c r="H153" s="553">
        <v>644000</v>
      </c>
      <c r="I153" s="554">
        <v>0</v>
      </c>
      <c r="J153" s="548">
        <f t="shared" si="35"/>
        <v>18008607</v>
      </c>
      <c r="K153" s="497">
        <v>0</v>
      </c>
      <c r="L153" s="498">
        <v>370</v>
      </c>
      <c r="M153" s="539">
        <f t="shared" si="30"/>
        <v>4000</v>
      </c>
      <c r="N153" s="497">
        <f t="shared" si="32"/>
        <v>1480000</v>
      </c>
      <c r="O153" s="497">
        <v>0</v>
      </c>
      <c r="P153" s="498">
        <v>568.5</v>
      </c>
      <c r="Q153" s="515">
        <v>571.5</v>
      </c>
      <c r="R153" s="499">
        <f t="shared" si="36"/>
        <v>-3</v>
      </c>
      <c r="S153" s="497">
        <f t="shared" si="33"/>
        <v>-18000</v>
      </c>
      <c r="T153" s="497">
        <f t="shared" si="31"/>
        <v>16546607</v>
      </c>
      <c r="U153" s="497">
        <f t="shared" si="34"/>
        <v>8273303.5</v>
      </c>
    </row>
    <row r="154" spans="1:21" ht="15.4" x14ac:dyDescent="0.45">
      <c r="A154" s="480"/>
      <c r="B154" s="77" t="s">
        <v>226</v>
      </c>
      <c r="C154" s="310">
        <v>813</v>
      </c>
      <c r="D154" s="78" t="s">
        <v>236</v>
      </c>
      <c r="E154" s="544">
        <v>1</v>
      </c>
      <c r="F154" s="552">
        <v>15895090.620000001</v>
      </c>
      <c r="G154" s="553">
        <v>200000</v>
      </c>
      <c r="H154" s="553">
        <v>556000</v>
      </c>
      <c r="I154" s="554">
        <v>0</v>
      </c>
      <c r="J154" s="548">
        <f t="shared" si="35"/>
        <v>16651090.620000001</v>
      </c>
      <c r="K154" s="497">
        <v>0</v>
      </c>
      <c r="L154" s="498">
        <v>347</v>
      </c>
      <c r="M154" s="539">
        <f t="shared" si="30"/>
        <v>4000</v>
      </c>
      <c r="N154" s="497">
        <f t="shared" si="32"/>
        <v>1388000</v>
      </c>
      <c r="O154" s="497">
        <v>0</v>
      </c>
      <c r="P154" s="498">
        <v>589</v>
      </c>
      <c r="Q154" s="515">
        <v>664.5</v>
      </c>
      <c r="R154" s="499">
        <f t="shared" si="36"/>
        <v>-75.5</v>
      </c>
      <c r="S154" s="497">
        <f t="shared" si="33"/>
        <v>-453000</v>
      </c>
      <c r="T154" s="497">
        <f t="shared" si="31"/>
        <v>15716090.620000001</v>
      </c>
      <c r="U154" s="497">
        <f t="shared" si="34"/>
        <v>7858045.3100000005</v>
      </c>
    </row>
    <row r="155" spans="1:21" ht="15.4" x14ac:dyDescent="0.45">
      <c r="A155" s="480"/>
      <c r="B155" s="77" t="s">
        <v>226</v>
      </c>
      <c r="C155" s="310">
        <v>815</v>
      </c>
      <c r="D155" s="78" t="s">
        <v>237</v>
      </c>
      <c r="E155" s="544">
        <v>1</v>
      </c>
      <c r="F155" s="552">
        <v>49537351</v>
      </c>
      <c r="G155" s="553">
        <v>1000000</v>
      </c>
      <c r="H155" s="553">
        <v>914000</v>
      </c>
      <c r="I155" s="554">
        <v>0</v>
      </c>
      <c r="J155" s="548">
        <f t="shared" si="35"/>
        <v>51451351</v>
      </c>
      <c r="K155" s="497">
        <v>0</v>
      </c>
      <c r="L155" s="498">
        <v>897</v>
      </c>
      <c r="M155" s="539">
        <f t="shared" si="30"/>
        <v>4000</v>
      </c>
      <c r="N155" s="497">
        <f t="shared" si="32"/>
        <v>3588000</v>
      </c>
      <c r="O155" s="497">
        <v>100000</v>
      </c>
      <c r="P155" s="498">
        <v>1928.5</v>
      </c>
      <c r="Q155" s="515">
        <v>2136.5</v>
      </c>
      <c r="R155" s="499">
        <f t="shared" si="36"/>
        <v>-208</v>
      </c>
      <c r="S155" s="497">
        <f t="shared" si="33"/>
        <v>-1248000</v>
      </c>
      <c r="T155" s="497">
        <f t="shared" si="31"/>
        <v>49011351</v>
      </c>
      <c r="U155" s="497">
        <f t="shared" si="34"/>
        <v>24505675.5</v>
      </c>
    </row>
    <row r="156" spans="1:21" ht="15.4" x14ac:dyDescent="0.45">
      <c r="A156" s="480"/>
      <c r="B156" s="77" t="s">
        <v>226</v>
      </c>
      <c r="C156" s="310">
        <v>372</v>
      </c>
      <c r="D156" s="78" t="s">
        <v>238</v>
      </c>
      <c r="E156" s="544">
        <v>1</v>
      </c>
      <c r="F156" s="552">
        <v>28733015</v>
      </c>
      <c r="G156" s="553">
        <v>3446658.5714285714</v>
      </c>
      <c r="H156" s="553">
        <v>1070000</v>
      </c>
      <c r="I156" s="554">
        <v>150000</v>
      </c>
      <c r="J156" s="548">
        <f t="shared" si="35"/>
        <v>33399673.571428571</v>
      </c>
      <c r="K156" s="497">
        <v>253368.25474926585</v>
      </c>
      <c r="L156" s="498">
        <v>736</v>
      </c>
      <c r="M156" s="539">
        <f t="shared" si="30"/>
        <v>4000</v>
      </c>
      <c r="N156" s="497">
        <f t="shared" si="32"/>
        <v>2944000</v>
      </c>
      <c r="O156" s="497">
        <v>0</v>
      </c>
      <c r="P156" s="498">
        <v>1253.5</v>
      </c>
      <c r="Q156" s="515">
        <v>1204</v>
      </c>
      <c r="R156" s="499">
        <f t="shared" si="36"/>
        <v>49.5</v>
      </c>
      <c r="S156" s="497">
        <f t="shared" si="33"/>
        <v>297000</v>
      </c>
      <c r="T156" s="497">
        <f t="shared" si="31"/>
        <v>29905305.316679306</v>
      </c>
      <c r="U156" s="497">
        <f t="shared" si="34"/>
        <v>14952652.658339653</v>
      </c>
    </row>
    <row r="157" spans="1:21" ht="15.4" x14ac:dyDescent="0.45">
      <c r="A157" s="480"/>
      <c r="B157" s="77" t="s">
        <v>226</v>
      </c>
      <c r="C157" s="310">
        <v>373</v>
      </c>
      <c r="D157" s="78" t="s">
        <v>239</v>
      </c>
      <c r="E157" s="544">
        <v>1</v>
      </c>
      <c r="F157" s="552">
        <v>49704952</v>
      </c>
      <c r="G157" s="553">
        <v>1202509</v>
      </c>
      <c r="H157" s="553">
        <v>1860000</v>
      </c>
      <c r="I157" s="554">
        <v>730000</v>
      </c>
      <c r="J157" s="548">
        <f t="shared" si="35"/>
        <v>53497461</v>
      </c>
      <c r="K157" s="497">
        <v>660770.669033602</v>
      </c>
      <c r="L157" s="498">
        <v>1128</v>
      </c>
      <c r="M157" s="539">
        <f t="shared" si="30"/>
        <v>4000</v>
      </c>
      <c r="N157" s="497">
        <f t="shared" si="32"/>
        <v>4512000</v>
      </c>
      <c r="O157" s="497">
        <v>1567000</v>
      </c>
      <c r="P157" s="498">
        <v>1906</v>
      </c>
      <c r="Q157" s="515">
        <v>1925</v>
      </c>
      <c r="R157" s="499">
        <f t="shared" si="36"/>
        <v>-19</v>
      </c>
      <c r="S157" s="497">
        <f t="shared" si="33"/>
        <v>-114000</v>
      </c>
      <c r="T157" s="497">
        <f t="shared" si="31"/>
        <v>46871690.330966398</v>
      </c>
      <c r="U157" s="497">
        <f t="shared" si="34"/>
        <v>23435845.165483199</v>
      </c>
    </row>
    <row r="158" spans="1:21" ht="15.4" x14ac:dyDescent="0.45">
      <c r="A158" s="480"/>
      <c r="B158" s="77" t="s">
        <v>226</v>
      </c>
      <c r="C158" s="310">
        <v>384</v>
      </c>
      <c r="D158" s="78" t="s">
        <v>240</v>
      </c>
      <c r="E158" s="544">
        <v>1.0002429734488885</v>
      </c>
      <c r="F158" s="552">
        <v>28523913</v>
      </c>
      <c r="G158" s="553">
        <v>722835</v>
      </c>
      <c r="H158" s="553">
        <v>1052000</v>
      </c>
      <c r="I158" s="554">
        <v>0</v>
      </c>
      <c r="J158" s="548">
        <f t="shared" si="35"/>
        <v>30298748</v>
      </c>
      <c r="K158" s="497">
        <v>311602.6173565191</v>
      </c>
      <c r="L158" s="498">
        <v>515.5</v>
      </c>
      <c r="M158" s="539">
        <f t="shared" si="30"/>
        <v>4000.971893795554</v>
      </c>
      <c r="N158" s="497">
        <f t="shared" si="32"/>
        <v>2062501.0112516081</v>
      </c>
      <c r="O158" s="497">
        <v>681878</v>
      </c>
      <c r="P158" s="498">
        <v>1466</v>
      </c>
      <c r="Q158" s="515">
        <v>1476</v>
      </c>
      <c r="R158" s="499">
        <f t="shared" si="36"/>
        <v>-10</v>
      </c>
      <c r="S158" s="497">
        <f t="shared" si="33"/>
        <v>-60000</v>
      </c>
      <c r="T158" s="497">
        <f t="shared" si="31"/>
        <v>27302766.37139187</v>
      </c>
      <c r="U158" s="497">
        <f t="shared" si="34"/>
        <v>13651383.185695935</v>
      </c>
    </row>
    <row r="159" spans="1:21" ht="15.75" thickBot="1" x14ac:dyDescent="0.5">
      <c r="A159" s="480"/>
      <c r="B159" s="90" t="s">
        <v>226</v>
      </c>
      <c r="C159" s="172">
        <v>816</v>
      </c>
      <c r="D159" s="92" t="s">
        <v>241</v>
      </c>
      <c r="E159" s="546">
        <v>1</v>
      </c>
      <c r="F159" s="555">
        <v>17200382</v>
      </c>
      <c r="G159" s="556">
        <v>330998.57142857142</v>
      </c>
      <c r="H159" s="556">
        <v>1180000</v>
      </c>
      <c r="I159" s="557">
        <v>260000</v>
      </c>
      <c r="J159" s="562">
        <f t="shared" si="35"/>
        <v>18971380.571428571</v>
      </c>
      <c r="K159" s="500">
        <v>133356.36200172931</v>
      </c>
      <c r="L159" s="501">
        <v>258</v>
      </c>
      <c r="M159" s="542">
        <f t="shared" si="30"/>
        <v>4000</v>
      </c>
      <c r="N159" s="500">
        <f t="shared" si="32"/>
        <v>1032000</v>
      </c>
      <c r="O159" s="500">
        <v>216225</v>
      </c>
      <c r="P159" s="501">
        <v>816.5</v>
      </c>
      <c r="Q159" s="502">
        <v>603.5</v>
      </c>
      <c r="R159" s="503">
        <f t="shared" si="36"/>
        <v>213</v>
      </c>
      <c r="S159" s="500">
        <f t="shared" si="33"/>
        <v>1278000</v>
      </c>
      <c r="T159" s="500">
        <f t="shared" si="31"/>
        <v>16311799.209426843</v>
      </c>
      <c r="U159" s="500">
        <f t="shared" si="34"/>
        <v>8155899.6047134213</v>
      </c>
    </row>
    <row r="161" spans="2:2" ht="15.4" x14ac:dyDescent="0.45">
      <c r="B161" s="310" t="s">
        <v>448</v>
      </c>
    </row>
    <row r="162" spans="2:2" ht="15.4" x14ac:dyDescent="0.45">
      <c r="B162" s="540" t="s">
        <v>447</v>
      </c>
    </row>
    <row r="163" spans="2:2" ht="15.4" x14ac:dyDescent="0.45">
      <c r="B163" s="540" t="s">
        <v>470</v>
      </c>
    </row>
  </sheetData>
  <pageMargins left="0.7" right="0.7" top="0.75" bottom="0.75" header="0.3" footer="0.3"/>
  <pageSetup paperSize="9" orientation="portrait" r:id="rId1"/>
  <ignoredErrors>
    <ignoredError sqref="J9:J14 J45 J17:J43 J46:J15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9E486-1AC3-4748-B294-ABE14BF65DD8}">
  <sheetPr codeName="Sheet40">
    <tabColor theme="5"/>
  </sheetPr>
  <dimension ref="A1:V159"/>
  <sheetViews>
    <sheetView showGridLines="0" zoomScale="70" zoomScaleNormal="70" workbookViewId="0"/>
  </sheetViews>
  <sheetFormatPr defaultColWidth="9" defaultRowHeight="14.25" x14ac:dyDescent="0.45"/>
  <cols>
    <col min="1" max="1" width="3.86328125" customWidth="1"/>
    <col min="2" max="2" width="34.265625" customWidth="1"/>
    <col min="4" max="4" width="33.59765625" bestFit="1" customWidth="1"/>
    <col min="5" max="9" width="21.265625" customWidth="1"/>
    <col min="10" max="10" width="29" customWidth="1"/>
    <col min="11" max="11" width="20.59765625" customWidth="1"/>
    <col min="12" max="12" width="22.265625" customWidth="1"/>
    <col min="13" max="13" width="21.265625" customWidth="1"/>
    <col min="14" max="15" width="20.59765625" customWidth="1"/>
    <col min="16" max="16" width="27" customWidth="1"/>
    <col min="17" max="17" width="24.73046875" customWidth="1"/>
  </cols>
  <sheetData>
    <row r="1" spans="1:17" ht="25.15" x14ac:dyDescent="0.65">
      <c r="A1" s="34"/>
      <c r="B1" s="33" t="s">
        <v>311</v>
      </c>
      <c r="C1" s="34"/>
      <c r="D1" s="34"/>
      <c r="H1" s="174"/>
      <c r="I1" s="175"/>
      <c r="N1" s="174"/>
      <c r="O1" s="174"/>
    </row>
    <row r="2" spans="1:17" ht="16.899999999999999" customHeight="1" x14ac:dyDescent="0.7">
      <c r="A2" s="34"/>
      <c r="B2" s="35"/>
      <c r="C2" s="34"/>
      <c r="D2" s="34"/>
      <c r="O2" s="466"/>
    </row>
    <row r="3" spans="1:17" ht="24.75" x14ac:dyDescent="0.65">
      <c r="A3" s="34"/>
      <c r="B3" s="34" t="s">
        <v>312</v>
      </c>
      <c r="C3" s="34"/>
      <c r="D3" s="34"/>
    </row>
    <row r="4" spans="1:17" ht="15.75" thickBot="1" x14ac:dyDescent="0.5">
      <c r="A4" s="162"/>
      <c r="B4" s="162"/>
      <c r="C4" s="162"/>
      <c r="D4" s="162"/>
    </row>
    <row r="5" spans="1:17" ht="66" customHeight="1" thickBot="1" x14ac:dyDescent="0.5">
      <c r="A5" s="176"/>
      <c r="B5" s="53" t="s">
        <v>309</v>
      </c>
      <c r="C5" s="54"/>
      <c r="D5" s="55"/>
      <c r="E5" s="410" t="s">
        <v>379</v>
      </c>
      <c r="F5" s="411"/>
      <c r="G5" s="412"/>
      <c r="H5" s="413" t="s">
        <v>540</v>
      </c>
      <c r="I5" s="412"/>
      <c r="J5" s="177"/>
      <c r="K5" s="410" t="s">
        <v>385</v>
      </c>
      <c r="L5" s="411"/>
      <c r="M5" s="412"/>
      <c r="N5" s="410" t="s">
        <v>392</v>
      </c>
      <c r="O5" s="412"/>
      <c r="P5" s="178"/>
      <c r="Q5" s="179"/>
    </row>
    <row r="6" spans="1:17" ht="16.5" customHeight="1" x14ac:dyDescent="0.45">
      <c r="A6" s="176"/>
      <c r="B6" s="351"/>
      <c r="C6" s="353"/>
      <c r="D6" s="355"/>
      <c r="E6" s="384"/>
      <c r="F6" s="384"/>
      <c r="G6" s="384"/>
      <c r="H6" s="385"/>
      <c r="I6" s="385"/>
      <c r="J6" s="384"/>
      <c r="K6" s="384"/>
      <c r="L6" s="384"/>
      <c r="M6" s="384"/>
      <c r="N6" s="384"/>
      <c r="O6" s="385"/>
      <c r="P6" s="384"/>
      <c r="Q6" s="384"/>
    </row>
    <row r="7" spans="1:17" ht="147" customHeight="1" thickBot="1" x14ac:dyDescent="0.5">
      <c r="A7" s="180"/>
      <c r="B7" s="611" t="s">
        <v>246</v>
      </c>
      <c r="C7" s="613" t="s">
        <v>247</v>
      </c>
      <c r="D7" s="612" t="s">
        <v>310</v>
      </c>
      <c r="E7" s="380" t="s">
        <v>382</v>
      </c>
      <c r="F7" s="380" t="s">
        <v>380</v>
      </c>
      <c r="G7" s="380" t="s">
        <v>381</v>
      </c>
      <c r="H7" s="614" t="s">
        <v>383</v>
      </c>
      <c r="I7" s="614" t="s">
        <v>384</v>
      </c>
      <c r="J7" s="380" t="s">
        <v>313</v>
      </c>
      <c r="K7" s="380" t="s">
        <v>386</v>
      </c>
      <c r="L7" s="380" t="s">
        <v>387</v>
      </c>
      <c r="M7" s="380" t="s">
        <v>388</v>
      </c>
      <c r="N7" s="380" t="s">
        <v>314</v>
      </c>
      <c r="O7" s="614" t="s">
        <v>393</v>
      </c>
      <c r="P7" s="380" t="s">
        <v>315</v>
      </c>
      <c r="Q7" s="380" t="s">
        <v>316</v>
      </c>
    </row>
    <row r="8" spans="1:17" ht="15.75" thickBot="1" x14ac:dyDescent="0.5">
      <c r="A8" s="181"/>
      <c r="B8" s="65" t="s">
        <v>86</v>
      </c>
      <c r="C8" s="163"/>
      <c r="D8" s="67"/>
      <c r="E8" s="472">
        <f t="shared" ref="E8:M8" si="0">SUM(E9:E159)</f>
        <v>133485</v>
      </c>
      <c r="F8" s="472">
        <f t="shared" si="0"/>
        <v>161979.5</v>
      </c>
      <c r="G8" s="472">
        <f t="shared" si="0"/>
        <v>32796</v>
      </c>
      <c r="H8" s="472">
        <f t="shared" si="0"/>
        <v>3836.75</v>
      </c>
      <c r="I8" s="566">
        <f t="shared" si="0"/>
        <v>7706.5</v>
      </c>
      <c r="J8" s="453">
        <f t="shared" si="0"/>
        <v>339803.75</v>
      </c>
      <c r="K8" s="472">
        <f t="shared" si="0"/>
        <v>133487</v>
      </c>
      <c r="L8" s="472">
        <f t="shared" si="0"/>
        <v>161982.5</v>
      </c>
      <c r="M8" s="472">
        <f t="shared" si="0"/>
        <v>32798</v>
      </c>
      <c r="N8" s="473">
        <f>H8</f>
        <v>3836.75</v>
      </c>
      <c r="O8" s="598">
        <f>I8</f>
        <v>7706.5</v>
      </c>
      <c r="P8" s="453">
        <f>SUM(P9:P159)</f>
        <v>339810.75</v>
      </c>
      <c r="Q8" s="314"/>
    </row>
    <row r="9" spans="1:17" ht="15.4" x14ac:dyDescent="0.45">
      <c r="A9" s="162"/>
      <c r="B9" s="165" t="s">
        <v>88</v>
      </c>
      <c r="C9" s="166">
        <v>831</v>
      </c>
      <c r="D9" s="167" t="s">
        <v>89</v>
      </c>
      <c r="E9" s="83">
        <v>772.5</v>
      </c>
      <c r="F9" s="182">
        <v>619</v>
      </c>
      <c r="G9" s="182">
        <v>198</v>
      </c>
      <c r="H9" s="182">
        <v>53.5</v>
      </c>
      <c r="I9" s="183">
        <v>11</v>
      </c>
      <c r="J9" s="184">
        <f t="shared" ref="J9:J40" si="1">SUM(E9:I9)</f>
        <v>1654</v>
      </c>
      <c r="K9" s="83">
        <v>761.5</v>
      </c>
      <c r="L9" s="182">
        <v>620</v>
      </c>
      <c r="M9" s="182">
        <v>400</v>
      </c>
      <c r="N9" s="85">
        <v>0</v>
      </c>
      <c r="O9" s="183">
        <v>0</v>
      </c>
      <c r="P9" s="184">
        <f t="shared" ref="P9:P40" si="2">SUM(K9:O9)</f>
        <v>1781.5</v>
      </c>
      <c r="Q9" s="184">
        <f t="shared" ref="Q9:Q40" si="3">P9 - J9</f>
        <v>127.5</v>
      </c>
    </row>
    <row r="10" spans="1:17" ht="15.4" x14ac:dyDescent="0.45">
      <c r="A10" s="162"/>
      <c r="B10" s="77" t="s">
        <v>88</v>
      </c>
      <c r="C10" s="162">
        <v>830</v>
      </c>
      <c r="D10" s="78" t="s">
        <v>90</v>
      </c>
      <c r="E10" s="80">
        <v>1170.5</v>
      </c>
      <c r="F10" s="85">
        <v>2787.5</v>
      </c>
      <c r="G10" s="85">
        <v>383</v>
      </c>
      <c r="H10" s="85">
        <v>32</v>
      </c>
      <c r="I10" s="82">
        <v>49</v>
      </c>
      <c r="J10" s="185">
        <f t="shared" si="1"/>
        <v>4422</v>
      </c>
      <c r="K10" s="80">
        <v>1070</v>
      </c>
      <c r="L10" s="85">
        <v>2768.5</v>
      </c>
      <c r="M10" s="85">
        <v>128</v>
      </c>
      <c r="N10" s="85">
        <v>0</v>
      </c>
      <c r="O10" s="82">
        <v>0</v>
      </c>
      <c r="P10" s="185">
        <f t="shared" si="2"/>
        <v>3966.5</v>
      </c>
      <c r="Q10" s="185">
        <f t="shared" si="3"/>
        <v>-455.5</v>
      </c>
    </row>
    <row r="11" spans="1:17" ht="15.4" x14ac:dyDescent="0.45">
      <c r="A11" s="162"/>
      <c r="B11" s="77" t="s">
        <v>88</v>
      </c>
      <c r="C11" s="162">
        <v>856</v>
      </c>
      <c r="D11" s="78" t="s">
        <v>91</v>
      </c>
      <c r="E11" s="80">
        <v>1044</v>
      </c>
      <c r="F11" s="85">
        <v>1302</v>
      </c>
      <c r="G11" s="85">
        <v>102</v>
      </c>
      <c r="H11" s="85">
        <v>8</v>
      </c>
      <c r="I11" s="82">
        <v>69</v>
      </c>
      <c r="J11" s="185">
        <f t="shared" si="1"/>
        <v>2525</v>
      </c>
      <c r="K11" s="80">
        <v>1089</v>
      </c>
      <c r="L11" s="85">
        <v>1250</v>
      </c>
      <c r="M11" s="85">
        <v>95</v>
      </c>
      <c r="N11" s="85">
        <v>0</v>
      </c>
      <c r="O11" s="82">
        <v>0</v>
      </c>
      <c r="P11" s="185">
        <f t="shared" si="2"/>
        <v>2434</v>
      </c>
      <c r="Q11" s="185">
        <f t="shared" si="3"/>
        <v>-91</v>
      </c>
    </row>
    <row r="12" spans="1:17" ht="15.4" x14ac:dyDescent="0.45">
      <c r="A12" s="162"/>
      <c r="B12" s="77" t="s">
        <v>88</v>
      </c>
      <c r="C12" s="162">
        <v>855</v>
      </c>
      <c r="D12" s="78" t="s">
        <v>92</v>
      </c>
      <c r="E12" s="80">
        <v>1515</v>
      </c>
      <c r="F12" s="85">
        <v>2521</v>
      </c>
      <c r="G12" s="85">
        <v>149.5</v>
      </c>
      <c r="H12" s="85">
        <v>8</v>
      </c>
      <c r="I12" s="82">
        <v>128.5</v>
      </c>
      <c r="J12" s="185">
        <f t="shared" si="1"/>
        <v>4322</v>
      </c>
      <c r="K12" s="80">
        <v>1489</v>
      </c>
      <c r="L12" s="85">
        <v>2563</v>
      </c>
      <c r="M12" s="85">
        <v>89</v>
      </c>
      <c r="N12" s="85">
        <v>0</v>
      </c>
      <c r="O12" s="82">
        <v>0</v>
      </c>
      <c r="P12" s="185">
        <f t="shared" si="2"/>
        <v>4141</v>
      </c>
      <c r="Q12" s="185">
        <f t="shared" si="3"/>
        <v>-181</v>
      </c>
    </row>
    <row r="13" spans="1:17" ht="15.4" x14ac:dyDescent="0.45">
      <c r="A13" s="162"/>
      <c r="B13" s="77" t="s">
        <v>88</v>
      </c>
      <c r="C13" s="162">
        <v>925</v>
      </c>
      <c r="D13" s="78" t="s">
        <v>93</v>
      </c>
      <c r="E13" s="80">
        <v>1983</v>
      </c>
      <c r="F13" s="85">
        <v>2318</v>
      </c>
      <c r="G13" s="85">
        <v>451</v>
      </c>
      <c r="H13" s="85">
        <v>14</v>
      </c>
      <c r="I13" s="82">
        <v>100</v>
      </c>
      <c r="J13" s="185">
        <f t="shared" si="1"/>
        <v>4866</v>
      </c>
      <c r="K13" s="80">
        <v>1989.5</v>
      </c>
      <c r="L13" s="85">
        <v>2310</v>
      </c>
      <c r="M13" s="85">
        <v>355</v>
      </c>
      <c r="N13" s="85">
        <v>0</v>
      </c>
      <c r="O13" s="82">
        <v>0</v>
      </c>
      <c r="P13" s="185">
        <f t="shared" si="2"/>
        <v>4654.5</v>
      </c>
      <c r="Q13" s="185">
        <f t="shared" si="3"/>
        <v>-211.5</v>
      </c>
    </row>
    <row r="14" spans="1:17" ht="15.4" x14ac:dyDescent="0.45">
      <c r="A14" s="162"/>
      <c r="B14" s="77" t="s">
        <v>88</v>
      </c>
      <c r="C14" s="162">
        <v>940</v>
      </c>
      <c r="D14" s="78" t="s">
        <v>358</v>
      </c>
      <c r="E14" s="80">
        <v>1097.5</v>
      </c>
      <c r="F14" s="85">
        <v>857</v>
      </c>
      <c r="G14" s="85">
        <v>168</v>
      </c>
      <c r="H14" s="85">
        <v>2</v>
      </c>
      <c r="I14" s="82">
        <v>19</v>
      </c>
      <c r="J14" s="185">
        <f t="shared" si="1"/>
        <v>2143.5</v>
      </c>
      <c r="K14" s="80">
        <v>1035.5</v>
      </c>
      <c r="L14" s="85">
        <v>839</v>
      </c>
      <c r="M14" s="85">
        <v>0</v>
      </c>
      <c r="N14" s="85">
        <v>0</v>
      </c>
      <c r="O14" s="82">
        <v>0</v>
      </c>
      <c r="P14" s="185">
        <f t="shared" si="2"/>
        <v>1874.5</v>
      </c>
      <c r="Q14" s="185">
        <f t="shared" si="3"/>
        <v>-269</v>
      </c>
    </row>
    <row r="15" spans="1:17" ht="15.4" x14ac:dyDescent="0.45">
      <c r="A15" s="162"/>
      <c r="B15" s="77" t="s">
        <v>88</v>
      </c>
      <c r="C15" s="162">
        <v>892</v>
      </c>
      <c r="D15" s="78" t="s">
        <v>95</v>
      </c>
      <c r="E15" s="80">
        <v>579</v>
      </c>
      <c r="F15" s="85">
        <v>867</v>
      </c>
      <c r="G15" s="85">
        <v>100</v>
      </c>
      <c r="H15" s="85">
        <v>20</v>
      </c>
      <c r="I15" s="82">
        <v>19</v>
      </c>
      <c r="J15" s="185">
        <f t="shared" si="1"/>
        <v>1585</v>
      </c>
      <c r="K15" s="80">
        <v>618</v>
      </c>
      <c r="L15" s="85">
        <v>832</v>
      </c>
      <c r="M15" s="85">
        <v>152</v>
      </c>
      <c r="N15" s="85">
        <v>0</v>
      </c>
      <c r="O15" s="82">
        <v>0</v>
      </c>
      <c r="P15" s="185">
        <f t="shared" si="2"/>
        <v>1602</v>
      </c>
      <c r="Q15" s="185">
        <f t="shared" si="3"/>
        <v>17</v>
      </c>
    </row>
    <row r="16" spans="1:17" ht="15.4" x14ac:dyDescent="0.45">
      <c r="A16" s="162"/>
      <c r="B16" s="77" t="s">
        <v>88</v>
      </c>
      <c r="C16" s="162">
        <v>891</v>
      </c>
      <c r="D16" s="78" t="s">
        <v>96</v>
      </c>
      <c r="E16" s="80">
        <v>1209</v>
      </c>
      <c r="F16" s="85">
        <v>2233</v>
      </c>
      <c r="G16" s="85">
        <v>265</v>
      </c>
      <c r="H16" s="85">
        <v>73</v>
      </c>
      <c r="I16" s="82">
        <v>199</v>
      </c>
      <c r="J16" s="185">
        <f t="shared" si="1"/>
        <v>3979</v>
      </c>
      <c r="K16" s="80">
        <v>1125</v>
      </c>
      <c r="L16" s="85">
        <v>2278</v>
      </c>
      <c r="M16" s="85">
        <v>187</v>
      </c>
      <c r="N16" s="85">
        <v>0</v>
      </c>
      <c r="O16" s="82">
        <v>0</v>
      </c>
      <c r="P16" s="185">
        <f t="shared" si="2"/>
        <v>3590</v>
      </c>
      <c r="Q16" s="185">
        <f t="shared" si="3"/>
        <v>-389</v>
      </c>
    </row>
    <row r="17" spans="1:17" ht="15.4" x14ac:dyDescent="0.45">
      <c r="A17" s="162"/>
      <c r="B17" s="77" t="s">
        <v>88</v>
      </c>
      <c r="C17" s="162">
        <v>857</v>
      </c>
      <c r="D17" s="78" t="s">
        <v>97</v>
      </c>
      <c r="E17" s="80">
        <v>47</v>
      </c>
      <c r="F17" s="85">
        <v>140</v>
      </c>
      <c r="G17" s="85">
        <v>26</v>
      </c>
      <c r="H17" s="85">
        <v>1</v>
      </c>
      <c r="I17" s="82">
        <v>2</v>
      </c>
      <c r="J17" s="185">
        <f t="shared" si="1"/>
        <v>216</v>
      </c>
      <c r="K17" s="80">
        <v>9</v>
      </c>
      <c r="L17" s="85">
        <v>161</v>
      </c>
      <c r="M17" s="85">
        <v>0</v>
      </c>
      <c r="N17" s="85">
        <v>0</v>
      </c>
      <c r="O17" s="82">
        <v>0</v>
      </c>
      <c r="P17" s="185">
        <f t="shared" si="2"/>
        <v>170</v>
      </c>
      <c r="Q17" s="185">
        <f t="shared" si="3"/>
        <v>-46</v>
      </c>
    </row>
    <row r="18" spans="1:17" ht="15.4" x14ac:dyDescent="0.45">
      <c r="A18" s="162"/>
      <c r="B18" s="77" t="s">
        <v>88</v>
      </c>
      <c r="C18" s="162">
        <v>941</v>
      </c>
      <c r="D18" s="78" t="s">
        <v>359</v>
      </c>
      <c r="E18" s="80">
        <v>1066</v>
      </c>
      <c r="F18" s="85">
        <v>775</v>
      </c>
      <c r="G18" s="85">
        <v>253</v>
      </c>
      <c r="H18" s="85">
        <v>15</v>
      </c>
      <c r="I18" s="82">
        <v>19</v>
      </c>
      <c r="J18" s="185">
        <f t="shared" si="1"/>
        <v>2128</v>
      </c>
      <c r="K18" s="80">
        <v>1080</v>
      </c>
      <c r="L18" s="85">
        <v>774</v>
      </c>
      <c r="M18" s="85">
        <v>375</v>
      </c>
      <c r="N18" s="85">
        <v>0</v>
      </c>
      <c r="O18" s="82">
        <v>0</v>
      </c>
      <c r="P18" s="185">
        <f t="shared" si="2"/>
        <v>2229</v>
      </c>
      <c r="Q18" s="185">
        <f t="shared" si="3"/>
        <v>101</v>
      </c>
    </row>
    <row r="19" spans="1:17" ht="15.4" x14ac:dyDescent="0.45">
      <c r="A19" s="162"/>
      <c r="B19" s="77" t="s">
        <v>98</v>
      </c>
      <c r="C19" s="162">
        <v>822</v>
      </c>
      <c r="D19" s="78" t="s">
        <v>520</v>
      </c>
      <c r="E19" s="80">
        <v>361</v>
      </c>
      <c r="F19" s="85">
        <v>596</v>
      </c>
      <c r="G19" s="85">
        <v>110</v>
      </c>
      <c r="H19" s="85">
        <v>1</v>
      </c>
      <c r="I19" s="82">
        <v>5</v>
      </c>
      <c r="J19" s="185">
        <f t="shared" si="1"/>
        <v>1073</v>
      </c>
      <c r="K19" s="80">
        <v>371</v>
      </c>
      <c r="L19" s="85">
        <v>607</v>
      </c>
      <c r="M19" s="85">
        <v>180</v>
      </c>
      <c r="N19" s="85">
        <v>0</v>
      </c>
      <c r="O19" s="82">
        <v>0</v>
      </c>
      <c r="P19" s="185">
        <f t="shared" si="2"/>
        <v>1158</v>
      </c>
      <c r="Q19" s="185">
        <f t="shared" si="3"/>
        <v>85</v>
      </c>
    </row>
    <row r="20" spans="1:17" ht="15.4" x14ac:dyDescent="0.45">
      <c r="A20" s="162"/>
      <c r="B20" s="77" t="s">
        <v>98</v>
      </c>
      <c r="C20" s="162">
        <v>873</v>
      </c>
      <c r="D20" s="78" t="s">
        <v>99</v>
      </c>
      <c r="E20" s="80">
        <v>1399</v>
      </c>
      <c r="F20" s="85">
        <v>1919</v>
      </c>
      <c r="G20" s="85">
        <v>615.5</v>
      </c>
      <c r="H20" s="85">
        <v>9</v>
      </c>
      <c r="I20" s="82">
        <v>18</v>
      </c>
      <c r="J20" s="185">
        <f t="shared" si="1"/>
        <v>3960.5</v>
      </c>
      <c r="K20" s="80">
        <v>1464.5</v>
      </c>
      <c r="L20" s="85">
        <v>1916</v>
      </c>
      <c r="M20" s="85">
        <v>495.5</v>
      </c>
      <c r="N20" s="85">
        <v>0</v>
      </c>
      <c r="O20" s="82">
        <v>0</v>
      </c>
      <c r="P20" s="185">
        <f t="shared" si="2"/>
        <v>3876</v>
      </c>
      <c r="Q20" s="185">
        <f t="shared" si="3"/>
        <v>-84.5</v>
      </c>
    </row>
    <row r="21" spans="1:17" ht="15.4" x14ac:dyDescent="0.45">
      <c r="A21" s="162"/>
      <c r="B21" s="77" t="s">
        <v>98</v>
      </c>
      <c r="C21" s="162">
        <v>823</v>
      </c>
      <c r="D21" s="78" t="s">
        <v>100</v>
      </c>
      <c r="E21" s="80">
        <v>649</v>
      </c>
      <c r="F21" s="85">
        <v>984</v>
      </c>
      <c r="G21" s="85">
        <v>159</v>
      </c>
      <c r="H21" s="85">
        <v>1</v>
      </c>
      <c r="I21" s="82">
        <v>13</v>
      </c>
      <c r="J21" s="185">
        <f t="shared" si="1"/>
        <v>1806</v>
      </c>
      <c r="K21" s="80">
        <v>716</v>
      </c>
      <c r="L21" s="85">
        <v>995</v>
      </c>
      <c r="M21" s="85">
        <v>147</v>
      </c>
      <c r="N21" s="85">
        <v>0</v>
      </c>
      <c r="O21" s="82">
        <v>0</v>
      </c>
      <c r="P21" s="185">
        <f t="shared" si="2"/>
        <v>1858</v>
      </c>
      <c r="Q21" s="185">
        <f t="shared" si="3"/>
        <v>52</v>
      </c>
    </row>
    <row r="22" spans="1:17" ht="15.4" x14ac:dyDescent="0.45">
      <c r="A22" s="162"/>
      <c r="B22" s="77" t="s">
        <v>98</v>
      </c>
      <c r="C22" s="162">
        <v>881</v>
      </c>
      <c r="D22" s="78" t="s">
        <v>101</v>
      </c>
      <c r="E22" s="80">
        <v>3355.5</v>
      </c>
      <c r="F22" s="85">
        <v>4446</v>
      </c>
      <c r="G22" s="85">
        <v>540</v>
      </c>
      <c r="H22" s="85">
        <v>42</v>
      </c>
      <c r="I22" s="82">
        <v>29</v>
      </c>
      <c r="J22" s="185">
        <f t="shared" si="1"/>
        <v>8412.5</v>
      </c>
      <c r="K22" s="80">
        <v>3215.5</v>
      </c>
      <c r="L22" s="85">
        <v>4430</v>
      </c>
      <c r="M22" s="85">
        <v>460</v>
      </c>
      <c r="N22" s="85">
        <v>0</v>
      </c>
      <c r="O22" s="82">
        <v>0</v>
      </c>
      <c r="P22" s="185">
        <f t="shared" si="2"/>
        <v>8105.5</v>
      </c>
      <c r="Q22" s="185">
        <f t="shared" si="3"/>
        <v>-307</v>
      </c>
    </row>
    <row r="23" spans="1:17" ht="15.4" x14ac:dyDescent="0.45">
      <c r="A23" s="162"/>
      <c r="B23" s="77" t="s">
        <v>98</v>
      </c>
      <c r="C23" s="162">
        <v>919</v>
      </c>
      <c r="D23" s="78" t="s">
        <v>102</v>
      </c>
      <c r="E23" s="80">
        <v>2551</v>
      </c>
      <c r="F23" s="85">
        <v>2262</v>
      </c>
      <c r="G23" s="85">
        <v>531</v>
      </c>
      <c r="H23" s="85">
        <v>24</v>
      </c>
      <c r="I23" s="82">
        <v>36</v>
      </c>
      <c r="J23" s="185">
        <f t="shared" si="1"/>
        <v>5404</v>
      </c>
      <c r="K23" s="80">
        <v>2596</v>
      </c>
      <c r="L23" s="85">
        <v>2274</v>
      </c>
      <c r="M23" s="85">
        <v>701</v>
      </c>
      <c r="N23" s="85">
        <v>0</v>
      </c>
      <c r="O23" s="82">
        <v>0</v>
      </c>
      <c r="P23" s="185">
        <f t="shared" si="2"/>
        <v>5571</v>
      </c>
      <c r="Q23" s="185">
        <f t="shared" si="3"/>
        <v>167</v>
      </c>
    </row>
    <row r="24" spans="1:17" ht="15.4" x14ac:dyDescent="0.45">
      <c r="A24" s="162"/>
      <c r="B24" s="77" t="s">
        <v>98</v>
      </c>
      <c r="C24" s="162">
        <v>821</v>
      </c>
      <c r="D24" s="78" t="s">
        <v>103</v>
      </c>
      <c r="E24" s="80">
        <v>717.5</v>
      </c>
      <c r="F24" s="85">
        <v>713</v>
      </c>
      <c r="G24" s="85">
        <v>150</v>
      </c>
      <c r="H24" s="85">
        <v>3</v>
      </c>
      <c r="I24" s="82">
        <v>9</v>
      </c>
      <c r="J24" s="185">
        <f t="shared" si="1"/>
        <v>1592.5</v>
      </c>
      <c r="K24" s="80">
        <v>646.5</v>
      </c>
      <c r="L24" s="85">
        <v>698</v>
      </c>
      <c r="M24" s="85">
        <v>20</v>
      </c>
      <c r="N24" s="85">
        <v>0</v>
      </c>
      <c r="O24" s="82">
        <v>0</v>
      </c>
      <c r="P24" s="185">
        <f t="shared" si="2"/>
        <v>1364.5</v>
      </c>
      <c r="Q24" s="185">
        <f t="shared" si="3"/>
        <v>-228</v>
      </c>
    </row>
    <row r="25" spans="1:17" ht="15.4" x14ac:dyDescent="0.45">
      <c r="A25" s="162"/>
      <c r="B25" s="77" t="s">
        <v>98</v>
      </c>
      <c r="C25" s="162">
        <v>926</v>
      </c>
      <c r="D25" s="78" t="s">
        <v>104</v>
      </c>
      <c r="E25" s="80">
        <v>1683</v>
      </c>
      <c r="F25" s="85">
        <v>1729.5</v>
      </c>
      <c r="G25" s="85">
        <v>582</v>
      </c>
      <c r="H25" s="85">
        <v>3</v>
      </c>
      <c r="I25" s="82">
        <v>43</v>
      </c>
      <c r="J25" s="185">
        <f t="shared" si="1"/>
        <v>4040.5</v>
      </c>
      <c r="K25" s="80">
        <v>1612</v>
      </c>
      <c r="L25" s="85">
        <v>1724.5</v>
      </c>
      <c r="M25" s="85">
        <v>606</v>
      </c>
      <c r="N25" s="85">
        <v>0</v>
      </c>
      <c r="O25" s="82">
        <v>0</v>
      </c>
      <c r="P25" s="185">
        <f t="shared" si="2"/>
        <v>3942.5</v>
      </c>
      <c r="Q25" s="185">
        <f t="shared" si="3"/>
        <v>-98</v>
      </c>
    </row>
    <row r="26" spans="1:17" ht="15.4" x14ac:dyDescent="0.45">
      <c r="A26" s="162"/>
      <c r="B26" s="77" t="s">
        <v>98</v>
      </c>
      <c r="C26" s="162">
        <v>874</v>
      </c>
      <c r="D26" s="78" t="s">
        <v>105</v>
      </c>
      <c r="E26" s="80">
        <v>634</v>
      </c>
      <c r="F26" s="85">
        <v>563</v>
      </c>
      <c r="G26" s="85">
        <v>219</v>
      </c>
      <c r="H26" s="85">
        <v>1</v>
      </c>
      <c r="I26" s="82">
        <v>5</v>
      </c>
      <c r="J26" s="185">
        <f t="shared" si="1"/>
        <v>1422</v>
      </c>
      <c r="K26" s="80">
        <v>688</v>
      </c>
      <c r="L26" s="85">
        <v>588</v>
      </c>
      <c r="M26" s="85">
        <v>385</v>
      </c>
      <c r="N26" s="85">
        <v>0</v>
      </c>
      <c r="O26" s="82">
        <v>0</v>
      </c>
      <c r="P26" s="185">
        <f t="shared" si="2"/>
        <v>1661</v>
      </c>
      <c r="Q26" s="185">
        <f t="shared" si="3"/>
        <v>239</v>
      </c>
    </row>
    <row r="27" spans="1:17" ht="15.4" x14ac:dyDescent="0.45">
      <c r="A27" s="162"/>
      <c r="B27" s="77" t="s">
        <v>98</v>
      </c>
      <c r="C27" s="162">
        <v>882</v>
      </c>
      <c r="D27" s="78" t="s">
        <v>106</v>
      </c>
      <c r="E27" s="80">
        <v>552.5</v>
      </c>
      <c r="F27" s="85">
        <v>539</v>
      </c>
      <c r="G27" s="85">
        <v>71</v>
      </c>
      <c r="H27" s="85">
        <v>3</v>
      </c>
      <c r="I27" s="82">
        <v>3</v>
      </c>
      <c r="J27" s="185">
        <f t="shared" si="1"/>
        <v>1168.5</v>
      </c>
      <c r="K27" s="80">
        <v>594.5</v>
      </c>
      <c r="L27" s="85">
        <v>513</v>
      </c>
      <c r="M27" s="85">
        <v>120</v>
      </c>
      <c r="N27" s="85">
        <v>0</v>
      </c>
      <c r="O27" s="82">
        <v>0</v>
      </c>
      <c r="P27" s="185">
        <f t="shared" si="2"/>
        <v>1227.5</v>
      </c>
      <c r="Q27" s="185">
        <f t="shared" si="3"/>
        <v>59</v>
      </c>
    </row>
    <row r="28" spans="1:17" ht="15.4" x14ac:dyDescent="0.45">
      <c r="A28" s="162"/>
      <c r="B28" s="77" t="s">
        <v>98</v>
      </c>
      <c r="C28" s="162">
        <v>935</v>
      </c>
      <c r="D28" s="78" t="s">
        <v>107</v>
      </c>
      <c r="E28" s="80">
        <v>1292.5</v>
      </c>
      <c r="F28" s="85">
        <v>2934</v>
      </c>
      <c r="G28" s="85">
        <v>553</v>
      </c>
      <c r="H28" s="85">
        <v>10</v>
      </c>
      <c r="I28" s="82">
        <v>12</v>
      </c>
      <c r="J28" s="185">
        <f t="shared" si="1"/>
        <v>4801.5</v>
      </c>
      <c r="K28" s="80">
        <v>1298.5</v>
      </c>
      <c r="L28" s="85">
        <v>2950</v>
      </c>
      <c r="M28" s="85">
        <v>630</v>
      </c>
      <c r="N28" s="85">
        <v>0</v>
      </c>
      <c r="O28" s="82">
        <v>0</v>
      </c>
      <c r="P28" s="185">
        <f t="shared" si="2"/>
        <v>4878.5</v>
      </c>
      <c r="Q28" s="185">
        <f t="shared" si="3"/>
        <v>77</v>
      </c>
    </row>
    <row r="29" spans="1:17" ht="15.4" x14ac:dyDescent="0.45">
      <c r="A29" s="162"/>
      <c r="B29" s="77" t="s">
        <v>98</v>
      </c>
      <c r="C29" s="162">
        <v>883</v>
      </c>
      <c r="D29" s="78" t="s">
        <v>108</v>
      </c>
      <c r="E29" s="80">
        <v>397</v>
      </c>
      <c r="F29" s="85">
        <v>836</v>
      </c>
      <c r="G29" s="85">
        <v>78</v>
      </c>
      <c r="H29" s="85">
        <v>4</v>
      </c>
      <c r="I29" s="82">
        <v>3</v>
      </c>
      <c r="J29" s="185">
        <f t="shared" si="1"/>
        <v>1318</v>
      </c>
      <c r="K29" s="80">
        <v>386</v>
      </c>
      <c r="L29" s="85">
        <v>808</v>
      </c>
      <c r="M29" s="85">
        <v>12</v>
      </c>
      <c r="N29" s="85">
        <v>0</v>
      </c>
      <c r="O29" s="82">
        <v>0</v>
      </c>
      <c r="P29" s="185">
        <f t="shared" si="2"/>
        <v>1206</v>
      </c>
      <c r="Q29" s="185">
        <f t="shared" si="3"/>
        <v>-112</v>
      </c>
    </row>
    <row r="30" spans="1:17" ht="15.4" x14ac:dyDescent="0.45">
      <c r="A30" s="162"/>
      <c r="B30" s="77" t="s">
        <v>109</v>
      </c>
      <c r="C30" s="310">
        <v>202</v>
      </c>
      <c r="D30" s="78" t="s">
        <v>110</v>
      </c>
      <c r="E30" s="80">
        <v>317</v>
      </c>
      <c r="F30" s="290">
        <v>1259</v>
      </c>
      <c r="G30" s="290">
        <v>102</v>
      </c>
      <c r="H30" s="290">
        <v>9</v>
      </c>
      <c r="I30" s="82">
        <v>21</v>
      </c>
      <c r="J30" s="185">
        <f t="shared" si="1"/>
        <v>1708</v>
      </c>
      <c r="K30" s="80">
        <v>326</v>
      </c>
      <c r="L30" s="290">
        <v>1258</v>
      </c>
      <c r="M30" s="290">
        <v>400</v>
      </c>
      <c r="N30" s="85">
        <v>0</v>
      </c>
      <c r="O30" s="82">
        <v>0</v>
      </c>
      <c r="P30" s="185">
        <f t="shared" si="2"/>
        <v>1984</v>
      </c>
      <c r="Q30" s="185">
        <f t="shared" si="3"/>
        <v>276</v>
      </c>
    </row>
    <row r="31" spans="1:17" ht="15.4" x14ac:dyDescent="0.45">
      <c r="A31" s="162"/>
      <c r="B31" s="77" t="s">
        <v>109</v>
      </c>
      <c r="C31" s="162">
        <v>204</v>
      </c>
      <c r="D31" s="78" t="s">
        <v>111</v>
      </c>
      <c r="E31" s="80">
        <v>455</v>
      </c>
      <c r="F31" s="85">
        <v>1259</v>
      </c>
      <c r="G31" s="85">
        <v>178</v>
      </c>
      <c r="H31" s="85">
        <v>10</v>
      </c>
      <c r="I31" s="82">
        <v>26</v>
      </c>
      <c r="J31" s="185">
        <f t="shared" si="1"/>
        <v>1928</v>
      </c>
      <c r="K31" s="80">
        <v>416</v>
      </c>
      <c r="L31" s="85">
        <v>1295</v>
      </c>
      <c r="M31" s="85">
        <v>67</v>
      </c>
      <c r="N31" s="85">
        <v>0</v>
      </c>
      <c r="O31" s="82">
        <v>0</v>
      </c>
      <c r="P31" s="185">
        <f t="shared" si="2"/>
        <v>1778</v>
      </c>
      <c r="Q31" s="185">
        <f t="shared" si="3"/>
        <v>-150</v>
      </c>
    </row>
    <row r="32" spans="1:17" ht="15.4" x14ac:dyDescent="0.45">
      <c r="A32" s="162"/>
      <c r="B32" s="77" t="s">
        <v>109</v>
      </c>
      <c r="C32" s="162">
        <v>205</v>
      </c>
      <c r="D32" s="78" t="s">
        <v>112</v>
      </c>
      <c r="E32" s="80">
        <v>311</v>
      </c>
      <c r="F32" s="85">
        <v>574</v>
      </c>
      <c r="G32" s="85">
        <v>73</v>
      </c>
      <c r="H32" s="85">
        <v>12</v>
      </c>
      <c r="I32" s="82">
        <v>28</v>
      </c>
      <c r="J32" s="185">
        <f t="shared" si="1"/>
        <v>998</v>
      </c>
      <c r="K32" s="80">
        <v>545</v>
      </c>
      <c r="L32" s="85">
        <v>609</v>
      </c>
      <c r="M32" s="85">
        <v>289</v>
      </c>
      <c r="N32" s="85">
        <v>0</v>
      </c>
      <c r="O32" s="82">
        <v>0</v>
      </c>
      <c r="P32" s="185">
        <f t="shared" si="2"/>
        <v>1443</v>
      </c>
      <c r="Q32" s="185">
        <f t="shared" si="3"/>
        <v>445</v>
      </c>
    </row>
    <row r="33" spans="1:17" ht="15.4" x14ac:dyDescent="0.45">
      <c r="A33" s="162"/>
      <c r="B33" s="77" t="s">
        <v>109</v>
      </c>
      <c r="C33" s="162">
        <v>309</v>
      </c>
      <c r="D33" s="78" t="s">
        <v>113</v>
      </c>
      <c r="E33" s="80">
        <v>496.5</v>
      </c>
      <c r="F33" s="85">
        <v>862</v>
      </c>
      <c r="G33" s="85">
        <v>245</v>
      </c>
      <c r="H33" s="85">
        <v>8</v>
      </c>
      <c r="I33" s="82">
        <v>28</v>
      </c>
      <c r="J33" s="185">
        <f t="shared" si="1"/>
        <v>1639.5</v>
      </c>
      <c r="K33" s="80">
        <v>522.5</v>
      </c>
      <c r="L33" s="85">
        <v>907</v>
      </c>
      <c r="M33" s="85">
        <v>172</v>
      </c>
      <c r="N33" s="85">
        <v>0</v>
      </c>
      <c r="O33" s="82">
        <v>0</v>
      </c>
      <c r="P33" s="185">
        <f t="shared" si="2"/>
        <v>1601.5</v>
      </c>
      <c r="Q33" s="185">
        <f t="shared" si="3"/>
        <v>-38</v>
      </c>
    </row>
    <row r="34" spans="1:17" ht="15.4" x14ac:dyDescent="0.45">
      <c r="A34" s="162"/>
      <c r="B34" s="77" t="s">
        <v>109</v>
      </c>
      <c r="C34" s="162">
        <v>206</v>
      </c>
      <c r="D34" s="78" t="s">
        <v>114</v>
      </c>
      <c r="E34" s="80">
        <v>441</v>
      </c>
      <c r="F34" s="85">
        <v>627.5</v>
      </c>
      <c r="G34" s="85">
        <v>96</v>
      </c>
      <c r="H34" s="85">
        <v>4</v>
      </c>
      <c r="I34" s="82">
        <v>21</v>
      </c>
      <c r="J34" s="185">
        <f t="shared" si="1"/>
        <v>1189.5</v>
      </c>
      <c r="K34" s="80">
        <v>527</v>
      </c>
      <c r="L34" s="85">
        <v>644.5</v>
      </c>
      <c r="M34" s="85">
        <v>0</v>
      </c>
      <c r="N34" s="85">
        <v>0</v>
      </c>
      <c r="O34" s="82">
        <v>0</v>
      </c>
      <c r="P34" s="185">
        <f t="shared" si="2"/>
        <v>1171.5</v>
      </c>
      <c r="Q34" s="185">
        <f t="shared" si="3"/>
        <v>-18</v>
      </c>
    </row>
    <row r="35" spans="1:17" ht="15.4" x14ac:dyDescent="0.45">
      <c r="A35" s="162"/>
      <c r="B35" s="77" t="s">
        <v>109</v>
      </c>
      <c r="C35" s="162">
        <v>207</v>
      </c>
      <c r="D35" s="78" t="s">
        <v>115</v>
      </c>
      <c r="E35" s="80">
        <v>126</v>
      </c>
      <c r="F35" s="85">
        <v>315.5</v>
      </c>
      <c r="G35" s="85">
        <v>35</v>
      </c>
      <c r="H35" s="85">
        <v>13</v>
      </c>
      <c r="I35" s="82">
        <v>9</v>
      </c>
      <c r="J35" s="185">
        <f t="shared" si="1"/>
        <v>498.5</v>
      </c>
      <c r="K35" s="80">
        <v>113</v>
      </c>
      <c r="L35" s="85">
        <v>493.5</v>
      </c>
      <c r="M35" s="85">
        <v>39</v>
      </c>
      <c r="N35" s="85">
        <v>0</v>
      </c>
      <c r="O35" s="82">
        <v>0</v>
      </c>
      <c r="P35" s="185">
        <f t="shared" si="2"/>
        <v>645.5</v>
      </c>
      <c r="Q35" s="185">
        <f t="shared" si="3"/>
        <v>147</v>
      </c>
    </row>
    <row r="36" spans="1:17" ht="15.4" x14ac:dyDescent="0.45">
      <c r="A36" s="162"/>
      <c r="B36" s="77" t="s">
        <v>109</v>
      </c>
      <c r="C36" s="162">
        <v>208</v>
      </c>
      <c r="D36" s="78" t="s">
        <v>116</v>
      </c>
      <c r="E36" s="80">
        <v>658</v>
      </c>
      <c r="F36" s="85">
        <v>1261</v>
      </c>
      <c r="G36" s="85">
        <v>209</v>
      </c>
      <c r="H36" s="85">
        <v>12</v>
      </c>
      <c r="I36" s="82">
        <v>117</v>
      </c>
      <c r="J36" s="185">
        <f t="shared" si="1"/>
        <v>2257</v>
      </c>
      <c r="K36" s="80">
        <v>615</v>
      </c>
      <c r="L36" s="85">
        <v>1232</v>
      </c>
      <c r="M36" s="85">
        <v>243</v>
      </c>
      <c r="N36" s="85">
        <v>0</v>
      </c>
      <c r="O36" s="82">
        <v>0</v>
      </c>
      <c r="P36" s="185">
        <f t="shared" si="2"/>
        <v>2090</v>
      </c>
      <c r="Q36" s="185">
        <f t="shared" si="3"/>
        <v>-167</v>
      </c>
    </row>
    <row r="37" spans="1:17" ht="15.4" x14ac:dyDescent="0.45">
      <c r="A37" s="162"/>
      <c r="B37" s="77" t="s">
        <v>109</v>
      </c>
      <c r="C37" s="162">
        <v>209</v>
      </c>
      <c r="D37" s="78" t="s">
        <v>117</v>
      </c>
      <c r="E37" s="80">
        <v>739.5</v>
      </c>
      <c r="F37" s="85">
        <v>1002</v>
      </c>
      <c r="G37" s="85">
        <v>200</v>
      </c>
      <c r="H37" s="85">
        <v>4</v>
      </c>
      <c r="I37" s="82">
        <v>151</v>
      </c>
      <c r="J37" s="185">
        <f t="shared" si="1"/>
        <v>2096.5</v>
      </c>
      <c r="K37" s="80">
        <v>727.5</v>
      </c>
      <c r="L37" s="85">
        <v>907.5</v>
      </c>
      <c r="M37" s="85">
        <v>48</v>
      </c>
      <c r="N37" s="85">
        <v>0</v>
      </c>
      <c r="O37" s="82">
        <v>0</v>
      </c>
      <c r="P37" s="185">
        <f t="shared" si="2"/>
        <v>1683</v>
      </c>
      <c r="Q37" s="185">
        <f t="shared" si="3"/>
        <v>-413.5</v>
      </c>
    </row>
    <row r="38" spans="1:17" ht="15.4" x14ac:dyDescent="0.45">
      <c r="A38" s="162"/>
      <c r="B38" s="77" t="s">
        <v>109</v>
      </c>
      <c r="C38" s="162">
        <v>316</v>
      </c>
      <c r="D38" s="78" t="s">
        <v>118</v>
      </c>
      <c r="E38" s="80">
        <v>244.5</v>
      </c>
      <c r="F38" s="85">
        <v>1906.5</v>
      </c>
      <c r="G38" s="85">
        <v>237</v>
      </c>
      <c r="H38" s="85">
        <v>22</v>
      </c>
      <c r="I38" s="82">
        <v>6</v>
      </c>
      <c r="J38" s="185">
        <f t="shared" si="1"/>
        <v>2416</v>
      </c>
      <c r="K38" s="80">
        <v>182.5</v>
      </c>
      <c r="L38" s="85">
        <v>1925.5</v>
      </c>
      <c r="M38" s="85">
        <v>224</v>
      </c>
      <c r="N38" s="85">
        <v>0</v>
      </c>
      <c r="O38" s="82">
        <v>0</v>
      </c>
      <c r="P38" s="185">
        <f t="shared" si="2"/>
        <v>2332</v>
      </c>
      <c r="Q38" s="185">
        <f t="shared" si="3"/>
        <v>-84</v>
      </c>
    </row>
    <row r="39" spans="1:17" ht="15.4" x14ac:dyDescent="0.45">
      <c r="A39" s="162"/>
      <c r="B39" s="77" t="s">
        <v>109</v>
      </c>
      <c r="C39" s="162">
        <v>210</v>
      </c>
      <c r="D39" s="78" t="s">
        <v>119</v>
      </c>
      <c r="E39" s="80">
        <v>669</v>
      </c>
      <c r="F39" s="85">
        <v>967</v>
      </c>
      <c r="G39" s="85">
        <v>132</v>
      </c>
      <c r="H39" s="85">
        <v>21</v>
      </c>
      <c r="I39" s="82">
        <v>203</v>
      </c>
      <c r="J39" s="185">
        <f t="shared" si="1"/>
        <v>1992</v>
      </c>
      <c r="K39" s="80">
        <v>630</v>
      </c>
      <c r="L39" s="85">
        <v>1022</v>
      </c>
      <c r="M39" s="85">
        <v>27</v>
      </c>
      <c r="N39" s="85">
        <v>0</v>
      </c>
      <c r="O39" s="82">
        <v>0</v>
      </c>
      <c r="P39" s="185">
        <f t="shared" si="2"/>
        <v>1679</v>
      </c>
      <c r="Q39" s="185">
        <f t="shared" si="3"/>
        <v>-313</v>
      </c>
    </row>
    <row r="40" spans="1:17" ht="15.4" x14ac:dyDescent="0.45">
      <c r="A40" s="162"/>
      <c r="B40" s="77" t="s">
        <v>109</v>
      </c>
      <c r="C40" s="162">
        <v>211</v>
      </c>
      <c r="D40" s="78" t="s">
        <v>120</v>
      </c>
      <c r="E40" s="80">
        <v>695</v>
      </c>
      <c r="F40" s="85">
        <v>1596</v>
      </c>
      <c r="G40" s="85">
        <v>210</v>
      </c>
      <c r="H40" s="85">
        <v>17</v>
      </c>
      <c r="I40" s="82">
        <v>28</v>
      </c>
      <c r="J40" s="185">
        <f t="shared" si="1"/>
        <v>2546</v>
      </c>
      <c r="K40" s="80">
        <v>723</v>
      </c>
      <c r="L40" s="85">
        <v>1583</v>
      </c>
      <c r="M40" s="85">
        <v>643</v>
      </c>
      <c r="N40" s="85">
        <v>0</v>
      </c>
      <c r="O40" s="82">
        <v>0</v>
      </c>
      <c r="P40" s="185">
        <f t="shared" si="2"/>
        <v>2949</v>
      </c>
      <c r="Q40" s="185">
        <f t="shared" si="3"/>
        <v>403</v>
      </c>
    </row>
    <row r="41" spans="1:17" ht="15.4" x14ac:dyDescent="0.45">
      <c r="A41" s="162"/>
      <c r="B41" s="77" t="s">
        <v>109</v>
      </c>
      <c r="C41" s="162">
        <v>212</v>
      </c>
      <c r="D41" s="78" t="s">
        <v>121</v>
      </c>
      <c r="E41" s="80">
        <v>582</v>
      </c>
      <c r="F41" s="85">
        <v>1079</v>
      </c>
      <c r="G41" s="85">
        <v>58.5</v>
      </c>
      <c r="H41" s="85">
        <v>14</v>
      </c>
      <c r="I41" s="82">
        <v>134.5</v>
      </c>
      <c r="J41" s="185">
        <f t="shared" ref="J41:J72" si="4">SUM(E41:I41)</f>
        <v>1868</v>
      </c>
      <c r="K41" s="80">
        <v>875.5</v>
      </c>
      <c r="L41" s="85">
        <v>1102</v>
      </c>
      <c r="M41" s="85">
        <v>30</v>
      </c>
      <c r="N41" s="85">
        <v>0</v>
      </c>
      <c r="O41" s="82">
        <v>0</v>
      </c>
      <c r="P41" s="185">
        <f t="shared" ref="P41:P72" si="5">SUM(K41:O41)</f>
        <v>2007.5</v>
      </c>
      <c r="Q41" s="185">
        <f t="shared" ref="Q41:Q72" si="6">P41 - J41</f>
        <v>139.5</v>
      </c>
    </row>
    <row r="42" spans="1:17" ht="15.4" x14ac:dyDescent="0.45">
      <c r="A42" s="162"/>
      <c r="B42" s="77" t="s">
        <v>109</v>
      </c>
      <c r="C42" s="162">
        <v>213</v>
      </c>
      <c r="D42" s="78" t="s">
        <v>122</v>
      </c>
      <c r="E42" s="80">
        <v>275</v>
      </c>
      <c r="F42" s="85">
        <v>514.5</v>
      </c>
      <c r="G42" s="85">
        <v>81</v>
      </c>
      <c r="H42" s="85">
        <v>14</v>
      </c>
      <c r="I42" s="82">
        <v>10</v>
      </c>
      <c r="J42" s="185">
        <f t="shared" si="4"/>
        <v>894.5</v>
      </c>
      <c r="K42" s="80">
        <v>239</v>
      </c>
      <c r="L42" s="85">
        <v>551.5</v>
      </c>
      <c r="M42" s="85">
        <v>35</v>
      </c>
      <c r="N42" s="85">
        <v>0</v>
      </c>
      <c r="O42" s="82">
        <v>0</v>
      </c>
      <c r="P42" s="185">
        <f t="shared" si="5"/>
        <v>825.5</v>
      </c>
      <c r="Q42" s="185">
        <f t="shared" si="6"/>
        <v>-69</v>
      </c>
    </row>
    <row r="43" spans="1:17" ht="15.4" x14ac:dyDescent="0.45">
      <c r="A43" s="162"/>
      <c r="B43" s="77" t="s">
        <v>123</v>
      </c>
      <c r="C43" s="162">
        <v>840</v>
      </c>
      <c r="D43" s="78" t="s">
        <v>521</v>
      </c>
      <c r="E43" s="80">
        <v>1548</v>
      </c>
      <c r="F43" s="85">
        <v>987</v>
      </c>
      <c r="G43" s="85">
        <v>211</v>
      </c>
      <c r="H43" s="85">
        <v>37</v>
      </c>
      <c r="I43" s="82">
        <v>42</v>
      </c>
      <c r="J43" s="185">
        <f t="shared" ref="J43" si="7">SUM(E43:I43)</f>
        <v>2825</v>
      </c>
      <c r="K43" s="80">
        <v>1494</v>
      </c>
      <c r="L43" s="85">
        <v>972</v>
      </c>
      <c r="M43" s="85">
        <v>207</v>
      </c>
      <c r="N43" s="85">
        <v>0</v>
      </c>
      <c r="O43" s="82">
        <v>0</v>
      </c>
      <c r="P43" s="185">
        <f t="shared" ref="P43" si="8">SUM(K43:O43)</f>
        <v>2673</v>
      </c>
      <c r="Q43" s="185">
        <f t="shared" ref="Q43" si="9">P43 - J43</f>
        <v>-152</v>
      </c>
    </row>
    <row r="44" spans="1:17" ht="15.4" x14ac:dyDescent="0.45">
      <c r="A44" s="162"/>
      <c r="B44" s="77" t="s">
        <v>123</v>
      </c>
      <c r="C44" s="162">
        <v>841</v>
      </c>
      <c r="D44" s="78" t="s">
        <v>124</v>
      </c>
      <c r="E44" s="80">
        <v>274</v>
      </c>
      <c r="F44" s="85">
        <v>280</v>
      </c>
      <c r="G44" s="85">
        <v>74</v>
      </c>
      <c r="H44" s="85">
        <v>4</v>
      </c>
      <c r="I44" s="82">
        <v>18</v>
      </c>
      <c r="J44" s="185">
        <f t="shared" si="4"/>
        <v>650</v>
      </c>
      <c r="K44" s="80">
        <v>305</v>
      </c>
      <c r="L44" s="85">
        <v>275</v>
      </c>
      <c r="M44" s="85">
        <v>109</v>
      </c>
      <c r="N44" s="85">
        <v>0</v>
      </c>
      <c r="O44" s="82">
        <v>0</v>
      </c>
      <c r="P44" s="185">
        <f t="shared" si="5"/>
        <v>689</v>
      </c>
      <c r="Q44" s="185">
        <f t="shared" si="6"/>
        <v>39</v>
      </c>
    </row>
    <row r="45" spans="1:17" ht="15.4" x14ac:dyDescent="0.45">
      <c r="A45" s="162"/>
      <c r="B45" s="77" t="s">
        <v>123</v>
      </c>
      <c r="C45" s="162">
        <v>390</v>
      </c>
      <c r="D45" s="78" t="s">
        <v>125</v>
      </c>
      <c r="E45" s="80">
        <v>651.5</v>
      </c>
      <c r="F45" s="85">
        <v>380.5</v>
      </c>
      <c r="G45" s="85">
        <v>49</v>
      </c>
      <c r="H45" s="85">
        <v>24</v>
      </c>
      <c r="I45" s="82">
        <v>26</v>
      </c>
      <c r="J45" s="185">
        <f t="shared" si="4"/>
        <v>1131</v>
      </c>
      <c r="K45" s="80">
        <v>678.5</v>
      </c>
      <c r="L45" s="85">
        <v>387.5</v>
      </c>
      <c r="M45" s="85">
        <v>72</v>
      </c>
      <c r="N45" s="85">
        <v>0</v>
      </c>
      <c r="O45" s="82">
        <v>0</v>
      </c>
      <c r="P45" s="185">
        <f t="shared" si="5"/>
        <v>1138</v>
      </c>
      <c r="Q45" s="185">
        <f t="shared" si="6"/>
        <v>7</v>
      </c>
    </row>
    <row r="46" spans="1:17" ht="15.4" x14ac:dyDescent="0.45">
      <c r="A46" s="162"/>
      <c r="B46" s="77" t="s">
        <v>123</v>
      </c>
      <c r="C46" s="162">
        <v>805</v>
      </c>
      <c r="D46" s="78" t="s">
        <v>126</v>
      </c>
      <c r="E46" s="80">
        <v>272</v>
      </c>
      <c r="F46" s="85">
        <v>420</v>
      </c>
      <c r="G46" s="85">
        <v>63</v>
      </c>
      <c r="H46" s="85">
        <v>5</v>
      </c>
      <c r="I46" s="82">
        <v>43</v>
      </c>
      <c r="J46" s="185">
        <f t="shared" si="4"/>
        <v>803</v>
      </c>
      <c r="K46" s="80">
        <v>273</v>
      </c>
      <c r="L46" s="85">
        <v>417</v>
      </c>
      <c r="M46" s="85">
        <v>58</v>
      </c>
      <c r="N46" s="85">
        <v>0</v>
      </c>
      <c r="O46" s="82">
        <v>0</v>
      </c>
      <c r="P46" s="185">
        <f t="shared" si="5"/>
        <v>748</v>
      </c>
      <c r="Q46" s="185">
        <f t="shared" si="6"/>
        <v>-55</v>
      </c>
    </row>
    <row r="47" spans="1:17" ht="15.4" x14ac:dyDescent="0.45">
      <c r="A47" s="162"/>
      <c r="B47" s="77" t="s">
        <v>123</v>
      </c>
      <c r="C47" s="162">
        <v>806</v>
      </c>
      <c r="D47" s="78" t="s">
        <v>127</v>
      </c>
      <c r="E47" s="80">
        <v>529</v>
      </c>
      <c r="F47" s="85">
        <v>621</v>
      </c>
      <c r="G47" s="85">
        <v>144.5</v>
      </c>
      <c r="H47" s="85">
        <v>5</v>
      </c>
      <c r="I47" s="82">
        <v>16</v>
      </c>
      <c r="J47" s="185">
        <f t="shared" si="4"/>
        <v>1315.5</v>
      </c>
      <c r="K47" s="80">
        <v>560.5</v>
      </c>
      <c r="L47" s="85">
        <v>643</v>
      </c>
      <c r="M47" s="85">
        <v>185.5</v>
      </c>
      <c r="N47" s="85">
        <v>0</v>
      </c>
      <c r="O47" s="82">
        <v>0</v>
      </c>
      <c r="P47" s="185">
        <f t="shared" si="5"/>
        <v>1389</v>
      </c>
      <c r="Q47" s="185">
        <f t="shared" si="6"/>
        <v>73.5</v>
      </c>
    </row>
    <row r="48" spans="1:17" ht="15.4" x14ac:dyDescent="0.45">
      <c r="A48" s="162"/>
      <c r="B48" s="77" t="s">
        <v>123</v>
      </c>
      <c r="C48" s="162">
        <v>391</v>
      </c>
      <c r="D48" s="78" t="s">
        <v>128</v>
      </c>
      <c r="E48" s="80">
        <v>768.5</v>
      </c>
      <c r="F48" s="85">
        <v>626</v>
      </c>
      <c r="G48" s="85">
        <v>52</v>
      </c>
      <c r="H48" s="85">
        <v>96.5</v>
      </c>
      <c r="I48" s="82">
        <v>69</v>
      </c>
      <c r="J48" s="185">
        <f t="shared" si="4"/>
        <v>1612</v>
      </c>
      <c r="K48" s="80">
        <v>774.5</v>
      </c>
      <c r="L48" s="85">
        <v>625</v>
      </c>
      <c r="M48" s="85">
        <v>25</v>
      </c>
      <c r="N48" s="85">
        <v>0</v>
      </c>
      <c r="O48" s="82">
        <v>0</v>
      </c>
      <c r="P48" s="185">
        <f t="shared" si="5"/>
        <v>1424.5</v>
      </c>
      <c r="Q48" s="185">
        <f t="shared" si="6"/>
        <v>-187.5</v>
      </c>
    </row>
    <row r="49" spans="1:17" ht="15.4" x14ac:dyDescent="0.45">
      <c r="A49" s="162"/>
      <c r="B49" s="77" t="s">
        <v>123</v>
      </c>
      <c r="C49" s="162">
        <v>392</v>
      </c>
      <c r="D49" s="78" t="s">
        <v>129</v>
      </c>
      <c r="E49" s="80">
        <v>689.5</v>
      </c>
      <c r="F49" s="85">
        <v>463.5</v>
      </c>
      <c r="G49" s="85">
        <v>59</v>
      </c>
      <c r="H49" s="85">
        <v>29</v>
      </c>
      <c r="I49" s="82">
        <v>44</v>
      </c>
      <c r="J49" s="185">
        <f t="shared" si="4"/>
        <v>1285</v>
      </c>
      <c r="K49" s="80">
        <v>693.5</v>
      </c>
      <c r="L49" s="85">
        <v>461.5</v>
      </c>
      <c r="M49" s="85">
        <v>21</v>
      </c>
      <c r="N49" s="85">
        <v>0</v>
      </c>
      <c r="O49" s="82">
        <v>0</v>
      </c>
      <c r="P49" s="185">
        <f t="shared" si="5"/>
        <v>1176</v>
      </c>
      <c r="Q49" s="185">
        <f t="shared" si="6"/>
        <v>-109</v>
      </c>
    </row>
    <row r="50" spans="1:17" ht="15.4" x14ac:dyDescent="0.45">
      <c r="A50" s="162"/>
      <c r="B50" s="77" t="s">
        <v>123</v>
      </c>
      <c r="C50" s="162">
        <v>929</v>
      </c>
      <c r="D50" s="78" t="s">
        <v>130</v>
      </c>
      <c r="E50" s="80">
        <v>1011.5</v>
      </c>
      <c r="F50" s="85">
        <v>692.5</v>
      </c>
      <c r="G50" s="85">
        <v>56</v>
      </c>
      <c r="H50" s="85">
        <v>92</v>
      </c>
      <c r="I50" s="82">
        <v>51</v>
      </c>
      <c r="J50" s="185">
        <f t="shared" si="4"/>
        <v>1903</v>
      </c>
      <c r="K50" s="80">
        <v>1010.5</v>
      </c>
      <c r="L50" s="85">
        <v>691</v>
      </c>
      <c r="M50" s="85">
        <v>23</v>
      </c>
      <c r="N50" s="85">
        <v>0</v>
      </c>
      <c r="O50" s="82">
        <v>0</v>
      </c>
      <c r="P50" s="185">
        <f t="shared" si="5"/>
        <v>1724.5</v>
      </c>
      <c r="Q50" s="185">
        <f t="shared" si="6"/>
        <v>-178.5</v>
      </c>
    </row>
    <row r="51" spans="1:17" ht="15.4" x14ac:dyDescent="0.45">
      <c r="A51" s="162"/>
      <c r="B51" s="77" t="s">
        <v>123</v>
      </c>
      <c r="C51" s="162">
        <v>807</v>
      </c>
      <c r="D51" s="78" t="s">
        <v>131</v>
      </c>
      <c r="E51" s="80">
        <v>424.5</v>
      </c>
      <c r="F51" s="85">
        <v>494</v>
      </c>
      <c r="G51" s="85">
        <v>152</v>
      </c>
      <c r="H51" s="85">
        <v>6</v>
      </c>
      <c r="I51" s="82">
        <v>3</v>
      </c>
      <c r="J51" s="185">
        <f t="shared" si="4"/>
        <v>1079.5</v>
      </c>
      <c r="K51" s="80">
        <v>399</v>
      </c>
      <c r="L51" s="85">
        <v>502</v>
      </c>
      <c r="M51" s="85">
        <v>85</v>
      </c>
      <c r="N51" s="85">
        <v>0</v>
      </c>
      <c r="O51" s="82">
        <v>0</v>
      </c>
      <c r="P51" s="185">
        <f t="shared" si="5"/>
        <v>986</v>
      </c>
      <c r="Q51" s="185">
        <f t="shared" si="6"/>
        <v>-93.5</v>
      </c>
    </row>
    <row r="52" spans="1:17" ht="15.4" x14ac:dyDescent="0.45">
      <c r="A52" s="162"/>
      <c r="B52" s="77" t="s">
        <v>123</v>
      </c>
      <c r="C52" s="162">
        <v>393</v>
      </c>
      <c r="D52" s="78" t="s">
        <v>132</v>
      </c>
      <c r="E52" s="80">
        <v>568</v>
      </c>
      <c r="F52" s="85">
        <v>277</v>
      </c>
      <c r="G52" s="85">
        <v>35</v>
      </c>
      <c r="H52" s="85">
        <v>41</v>
      </c>
      <c r="I52" s="82">
        <v>56</v>
      </c>
      <c r="J52" s="185">
        <f t="shared" si="4"/>
        <v>977</v>
      </c>
      <c r="K52" s="80">
        <v>573</v>
      </c>
      <c r="L52" s="85">
        <v>274</v>
      </c>
      <c r="M52" s="85">
        <v>118</v>
      </c>
      <c r="N52" s="85">
        <v>0</v>
      </c>
      <c r="O52" s="82">
        <v>0</v>
      </c>
      <c r="P52" s="185">
        <f t="shared" si="5"/>
        <v>965</v>
      </c>
      <c r="Q52" s="185">
        <f t="shared" si="6"/>
        <v>-12</v>
      </c>
    </row>
    <row r="53" spans="1:17" ht="15.4" x14ac:dyDescent="0.45">
      <c r="A53" s="162"/>
      <c r="B53" s="77" t="s">
        <v>123</v>
      </c>
      <c r="C53" s="162">
        <v>808</v>
      </c>
      <c r="D53" s="78" t="s">
        <v>133</v>
      </c>
      <c r="E53" s="80">
        <v>631</v>
      </c>
      <c r="F53" s="85">
        <v>736</v>
      </c>
      <c r="G53" s="85">
        <v>180</v>
      </c>
      <c r="H53" s="85">
        <v>13</v>
      </c>
      <c r="I53" s="82">
        <v>31</v>
      </c>
      <c r="J53" s="185">
        <f t="shared" si="4"/>
        <v>1591</v>
      </c>
      <c r="K53" s="80">
        <v>607</v>
      </c>
      <c r="L53" s="85">
        <v>722</v>
      </c>
      <c r="M53" s="85">
        <v>192</v>
      </c>
      <c r="N53" s="85">
        <v>0</v>
      </c>
      <c r="O53" s="82">
        <v>0</v>
      </c>
      <c r="P53" s="185">
        <f t="shared" si="5"/>
        <v>1521</v>
      </c>
      <c r="Q53" s="185">
        <f t="shared" si="6"/>
        <v>-70</v>
      </c>
    </row>
    <row r="54" spans="1:17" ht="15.4" x14ac:dyDescent="0.45">
      <c r="A54" s="162"/>
      <c r="B54" s="77" t="s">
        <v>123</v>
      </c>
      <c r="C54" s="162">
        <v>394</v>
      </c>
      <c r="D54" s="78" t="s">
        <v>134</v>
      </c>
      <c r="E54" s="80">
        <v>802.5</v>
      </c>
      <c r="F54" s="85">
        <v>541.5</v>
      </c>
      <c r="G54" s="85">
        <v>102</v>
      </c>
      <c r="H54" s="85">
        <v>26</v>
      </c>
      <c r="I54" s="82">
        <v>37</v>
      </c>
      <c r="J54" s="185">
        <f t="shared" si="4"/>
        <v>1509</v>
      </c>
      <c r="K54" s="80">
        <v>805.5</v>
      </c>
      <c r="L54" s="85">
        <v>542.5</v>
      </c>
      <c r="M54" s="85">
        <v>88</v>
      </c>
      <c r="N54" s="85">
        <v>0</v>
      </c>
      <c r="O54" s="82">
        <v>0</v>
      </c>
      <c r="P54" s="185">
        <f t="shared" si="5"/>
        <v>1436</v>
      </c>
      <c r="Q54" s="185">
        <f t="shared" si="6"/>
        <v>-73</v>
      </c>
    </row>
    <row r="55" spans="1:17" ht="15.4" x14ac:dyDescent="0.45">
      <c r="A55" s="162"/>
      <c r="B55" s="77" t="s">
        <v>135</v>
      </c>
      <c r="C55" s="162">
        <v>889</v>
      </c>
      <c r="D55" s="78" t="s">
        <v>136</v>
      </c>
      <c r="E55" s="80">
        <v>313</v>
      </c>
      <c r="F55" s="85">
        <v>637.5</v>
      </c>
      <c r="G55" s="85">
        <v>70</v>
      </c>
      <c r="H55" s="85">
        <v>4</v>
      </c>
      <c r="I55" s="82">
        <v>6</v>
      </c>
      <c r="J55" s="185">
        <f t="shared" si="4"/>
        <v>1030.5</v>
      </c>
      <c r="K55" s="80">
        <v>299.5</v>
      </c>
      <c r="L55" s="85">
        <v>632.5</v>
      </c>
      <c r="M55" s="85">
        <v>121</v>
      </c>
      <c r="N55" s="85">
        <v>0</v>
      </c>
      <c r="O55" s="82">
        <v>0</v>
      </c>
      <c r="P55" s="185">
        <f t="shared" si="5"/>
        <v>1053</v>
      </c>
      <c r="Q55" s="185">
        <f t="shared" si="6"/>
        <v>22.5</v>
      </c>
    </row>
    <row r="56" spans="1:17" ht="15.4" x14ac:dyDescent="0.45">
      <c r="A56" s="162"/>
      <c r="B56" s="77" t="s">
        <v>135</v>
      </c>
      <c r="C56" s="162">
        <v>890</v>
      </c>
      <c r="D56" s="78" t="s">
        <v>137</v>
      </c>
      <c r="E56" s="80">
        <v>521</v>
      </c>
      <c r="F56" s="85">
        <v>255</v>
      </c>
      <c r="G56" s="85">
        <v>133</v>
      </c>
      <c r="H56" s="85">
        <v>0</v>
      </c>
      <c r="I56" s="82">
        <v>30</v>
      </c>
      <c r="J56" s="185">
        <f t="shared" si="4"/>
        <v>939</v>
      </c>
      <c r="K56" s="80">
        <v>546</v>
      </c>
      <c r="L56" s="85">
        <v>246</v>
      </c>
      <c r="M56" s="85">
        <v>183</v>
      </c>
      <c r="N56" s="85">
        <v>0</v>
      </c>
      <c r="O56" s="82">
        <v>0</v>
      </c>
      <c r="P56" s="185">
        <f t="shared" si="5"/>
        <v>975</v>
      </c>
      <c r="Q56" s="185">
        <f t="shared" si="6"/>
        <v>36</v>
      </c>
    </row>
    <row r="57" spans="1:17" ht="15.4" x14ac:dyDescent="0.45">
      <c r="A57" s="162"/>
      <c r="B57" s="77" t="s">
        <v>135</v>
      </c>
      <c r="C57" s="162">
        <v>350</v>
      </c>
      <c r="D57" s="78" t="s">
        <v>138</v>
      </c>
      <c r="E57" s="80">
        <v>872.5</v>
      </c>
      <c r="F57" s="85">
        <v>1023</v>
      </c>
      <c r="G57" s="85">
        <v>180</v>
      </c>
      <c r="H57" s="85">
        <v>40.25</v>
      </c>
      <c r="I57" s="82">
        <v>89</v>
      </c>
      <c r="J57" s="185">
        <f t="shared" si="4"/>
        <v>2204.75</v>
      </c>
      <c r="K57" s="80">
        <v>899</v>
      </c>
      <c r="L57" s="85">
        <v>1039</v>
      </c>
      <c r="M57" s="85">
        <v>156</v>
      </c>
      <c r="N57" s="85">
        <v>0</v>
      </c>
      <c r="O57" s="82">
        <v>0</v>
      </c>
      <c r="P57" s="185">
        <f t="shared" si="5"/>
        <v>2094</v>
      </c>
      <c r="Q57" s="185">
        <f t="shared" si="6"/>
        <v>-110.75</v>
      </c>
    </row>
    <row r="58" spans="1:17" ht="15.4" x14ac:dyDescent="0.45">
      <c r="A58" s="162"/>
      <c r="B58" s="77" t="s">
        <v>135</v>
      </c>
      <c r="C58" s="162">
        <v>351</v>
      </c>
      <c r="D58" s="78" t="s">
        <v>139</v>
      </c>
      <c r="E58" s="80">
        <v>437</v>
      </c>
      <c r="F58" s="85">
        <v>700.5</v>
      </c>
      <c r="G58" s="85">
        <v>122</v>
      </c>
      <c r="H58" s="85">
        <v>17</v>
      </c>
      <c r="I58" s="82">
        <v>13</v>
      </c>
      <c r="J58" s="185">
        <f t="shared" si="4"/>
        <v>1289.5</v>
      </c>
      <c r="K58" s="80">
        <v>437.5</v>
      </c>
      <c r="L58" s="85">
        <v>697.5</v>
      </c>
      <c r="M58" s="85">
        <v>156</v>
      </c>
      <c r="N58" s="85">
        <v>0</v>
      </c>
      <c r="O58" s="82">
        <v>0</v>
      </c>
      <c r="P58" s="185">
        <f t="shared" si="5"/>
        <v>1291</v>
      </c>
      <c r="Q58" s="185">
        <f t="shared" si="6"/>
        <v>1.5</v>
      </c>
    </row>
    <row r="59" spans="1:17" ht="15.4" x14ac:dyDescent="0.45">
      <c r="A59" s="162"/>
      <c r="B59" s="77" t="s">
        <v>135</v>
      </c>
      <c r="C59" s="162">
        <v>895</v>
      </c>
      <c r="D59" s="78" t="s">
        <v>140</v>
      </c>
      <c r="E59" s="80">
        <v>649</v>
      </c>
      <c r="F59" s="85">
        <v>1303</v>
      </c>
      <c r="G59" s="85">
        <v>255</v>
      </c>
      <c r="H59" s="85">
        <v>46</v>
      </c>
      <c r="I59" s="82">
        <v>27</v>
      </c>
      <c r="J59" s="185">
        <f t="shared" si="4"/>
        <v>2280</v>
      </c>
      <c r="K59" s="80">
        <v>483</v>
      </c>
      <c r="L59" s="85">
        <v>1315</v>
      </c>
      <c r="M59" s="85">
        <v>528</v>
      </c>
      <c r="N59" s="85">
        <v>0</v>
      </c>
      <c r="O59" s="82">
        <v>0</v>
      </c>
      <c r="P59" s="185">
        <f t="shared" si="5"/>
        <v>2326</v>
      </c>
      <c r="Q59" s="185">
        <f t="shared" si="6"/>
        <v>46</v>
      </c>
    </row>
    <row r="60" spans="1:17" ht="15.4" x14ac:dyDescent="0.45">
      <c r="A60" s="162"/>
      <c r="B60" s="77" t="s">
        <v>135</v>
      </c>
      <c r="C60" s="162">
        <v>896</v>
      </c>
      <c r="D60" s="78" t="s">
        <v>141</v>
      </c>
      <c r="E60" s="80">
        <v>927</v>
      </c>
      <c r="F60" s="85">
        <v>1102</v>
      </c>
      <c r="G60" s="85">
        <v>187</v>
      </c>
      <c r="H60" s="85">
        <v>17</v>
      </c>
      <c r="I60" s="82">
        <v>8</v>
      </c>
      <c r="J60" s="185">
        <f t="shared" si="4"/>
        <v>2241</v>
      </c>
      <c r="K60" s="80">
        <v>1046</v>
      </c>
      <c r="L60" s="85">
        <v>1135</v>
      </c>
      <c r="M60" s="85">
        <v>15</v>
      </c>
      <c r="N60" s="85">
        <v>0</v>
      </c>
      <c r="O60" s="82">
        <v>0</v>
      </c>
      <c r="P60" s="185">
        <f t="shared" si="5"/>
        <v>2196</v>
      </c>
      <c r="Q60" s="185">
        <f t="shared" si="6"/>
        <v>-45</v>
      </c>
    </row>
    <row r="61" spans="1:17" ht="15.4" x14ac:dyDescent="0.45">
      <c r="A61" s="162"/>
      <c r="B61" s="77" t="s">
        <v>135</v>
      </c>
      <c r="C61" s="162">
        <v>909</v>
      </c>
      <c r="D61" s="78" t="s">
        <v>142</v>
      </c>
      <c r="E61" s="80">
        <v>616.5</v>
      </c>
      <c r="F61" s="85">
        <v>1763</v>
      </c>
      <c r="G61" s="85">
        <v>115</v>
      </c>
      <c r="H61" s="85">
        <v>9</v>
      </c>
      <c r="I61" s="82">
        <v>119</v>
      </c>
      <c r="J61" s="185">
        <f t="shared" si="4"/>
        <v>2622.5</v>
      </c>
      <c r="K61" s="80">
        <v>611.5</v>
      </c>
      <c r="L61" s="85">
        <v>1786.5</v>
      </c>
      <c r="M61" s="85">
        <v>110</v>
      </c>
      <c r="N61" s="85">
        <v>0</v>
      </c>
      <c r="O61" s="82">
        <v>0</v>
      </c>
      <c r="P61" s="185">
        <f t="shared" si="5"/>
        <v>2508</v>
      </c>
      <c r="Q61" s="185">
        <f t="shared" si="6"/>
        <v>-114.5</v>
      </c>
    </row>
    <row r="62" spans="1:17" ht="15.4" x14ac:dyDescent="0.45">
      <c r="A62" s="162"/>
      <c r="B62" s="77" t="s">
        <v>135</v>
      </c>
      <c r="C62" s="162">
        <v>876</v>
      </c>
      <c r="D62" s="78" t="s">
        <v>143</v>
      </c>
      <c r="E62" s="80">
        <v>401</v>
      </c>
      <c r="F62" s="85">
        <v>343</v>
      </c>
      <c r="G62" s="85">
        <v>106</v>
      </c>
      <c r="H62" s="85">
        <v>24</v>
      </c>
      <c r="I62" s="82">
        <v>7</v>
      </c>
      <c r="J62" s="185">
        <f t="shared" si="4"/>
        <v>881</v>
      </c>
      <c r="K62" s="80">
        <v>399</v>
      </c>
      <c r="L62" s="85">
        <v>321</v>
      </c>
      <c r="M62" s="85">
        <v>133</v>
      </c>
      <c r="N62" s="85">
        <v>0</v>
      </c>
      <c r="O62" s="82">
        <v>0</v>
      </c>
      <c r="P62" s="185">
        <f t="shared" si="5"/>
        <v>853</v>
      </c>
      <c r="Q62" s="185">
        <f t="shared" si="6"/>
        <v>-28</v>
      </c>
    </row>
    <row r="63" spans="1:17" ht="15.4" x14ac:dyDescent="0.45">
      <c r="A63" s="162"/>
      <c r="B63" s="77" t="s">
        <v>135</v>
      </c>
      <c r="C63" s="162">
        <v>340</v>
      </c>
      <c r="D63" s="78" t="s">
        <v>144</v>
      </c>
      <c r="E63" s="80">
        <v>603.5</v>
      </c>
      <c r="F63" s="85">
        <v>443</v>
      </c>
      <c r="G63" s="85">
        <v>117</v>
      </c>
      <c r="H63" s="85">
        <v>16</v>
      </c>
      <c r="I63" s="82">
        <v>19</v>
      </c>
      <c r="J63" s="185">
        <f t="shared" si="4"/>
        <v>1198.5</v>
      </c>
      <c r="K63" s="80">
        <v>604.5</v>
      </c>
      <c r="L63" s="85">
        <v>402</v>
      </c>
      <c r="M63" s="85">
        <v>0</v>
      </c>
      <c r="N63" s="85">
        <v>0</v>
      </c>
      <c r="O63" s="82">
        <v>0</v>
      </c>
      <c r="P63" s="185">
        <f t="shared" si="5"/>
        <v>1006.5</v>
      </c>
      <c r="Q63" s="185">
        <f t="shared" si="6"/>
        <v>-192</v>
      </c>
    </row>
    <row r="64" spans="1:17" ht="15.4" x14ac:dyDescent="0.45">
      <c r="A64" s="162"/>
      <c r="B64" s="77" t="s">
        <v>135</v>
      </c>
      <c r="C64" s="162">
        <v>888</v>
      </c>
      <c r="D64" s="78" t="s">
        <v>145</v>
      </c>
      <c r="E64" s="80">
        <v>3200.5</v>
      </c>
      <c r="F64" s="85">
        <v>2386.5</v>
      </c>
      <c r="G64" s="85">
        <v>859.5</v>
      </c>
      <c r="H64" s="85">
        <v>25</v>
      </c>
      <c r="I64" s="82">
        <v>125.5</v>
      </c>
      <c r="J64" s="185">
        <f t="shared" si="4"/>
        <v>6597</v>
      </c>
      <c r="K64" s="80">
        <v>3171</v>
      </c>
      <c r="L64" s="85">
        <v>2367.5</v>
      </c>
      <c r="M64" s="85">
        <v>800</v>
      </c>
      <c r="N64" s="85">
        <v>0</v>
      </c>
      <c r="O64" s="82">
        <v>0</v>
      </c>
      <c r="P64" s="185">
        <f t="shared" si="5"/>
        <v>6338.5</v>
      </c>
      <c r="Q64" s="185">
        <f t="shared" si="6"/>
        <v>-258.5</v>
      </c>
    </row>
    <row r="65" spans="1:17" ht="15.4" x14ac:dyDescent="0.45">
      <c r="A65" s="162"/>
      <c r="B65" s="77" t="s">
        <v>135</v>
      </c>
      <c r="C65" s="162">
        <v>341</v>
      </c>
      <c r="D65" s="78" t="s">
        <v>146</v>
      </c>
      <c r="E65" s="80">
        <v>1525</v>
      </c>
      <c r="F65" s="85">
        <v>638</v>
      </c>
      <c r="G65" s="85">
        <v>110</v>
      </c>
      <c r="H65" s="85">
        <v>82</v>
      </c>
      <c r="I65" s="82">
        <v>20</v>
      </c>
      <c r="J65" s="185">
        <f t="shared" si="4"/>
        <v>2375</v>
      </c>
      <c r="K65" s="80">
        <v>1535</v>
      </c>
      <c r="L65" s="85">
        <v>645</v>
      </c>
      <c r="M65" s="85">
        <v>103</v>
      </c>
      <c r="N65" s="85">
        <v>0</v>
      </c>
      <c r="O65" s="82">
        <v>0</v>
      </c>
      <c r="P65" s="185">
        <f t="shared" si="5"/>
        <v>2283</v>
      </c>
      <c r="Q65" s="185">
        <f t="shared" si="6"/>
        <v>-92</v>
      </c>
    </row>
    <row r="66" spans="1:17" ht="15.4" x14ac:dyDescent="0.45">
      <c r="A66" s="162"/>
      <c r="B66" s="77" t="s">
        <v>135</v>
      </c>
      <c r="C66" s="162">
        <v>352</v>
      </c>
      <c r="D66" s="78" t="s">
        <v>147</v>
      </c>
      <c r="E66" s="80">
        <v>1868</v>
      </c>
      <c r="F66" s="85">
        <v>1901</v>
      </c>
      <c r="G66" s="85">
        <v>471.5</v>
      </c>
      <c r="H66" s="85">
        <v>53</v>
      </c>
      <c r="I66" s="82">
        <v>78</v>
      </c>
      <c r="J66" s="185">
        <f t="shared" si="4"/>
        <v>4371.5</v>
      </c>
      <c r="K66" s="80">
        <v>1822</v>
      </c>
      <c r="L66" s="85">
        <v>1895.5</v>
      </c>
      <c r="M66" s="85">
        <v>574.5</v>
      </c>
      <c r="N66" s="85">
        <v>0</v>
      </c>
      <c r="O66" s="82">
        <v>0</v>
      </c>
      <c r="P66" s="185">
        <f t="shared" si="5"/>
        <v>4292</v>
      </c>
      <c r="Q66" s="185">
        <f t="shared" si="6"/>
        <v>-79.5</v>
      </c>
    </row>
    <row r="67" spans="1:17" ht="15.4" x14ac:dyDescent="0.45">
      <c r="A67" s="162"/>
      <c r="B67" s="77" t="s">
        <v>135</v>
      </c>
      <c r="C67" s="162">
        <v>353</v>
      </c>
      <c r="D67" s="78" t="s">
        <v>148</v>
      </c>
      <c r="E67" s="80">
        <v>912</v>
      </c>
      <c r="F67" s="85">
        <v>840.5</v>
      </c>
      <c r="G67" s="85">
        <v>251</v>
      </c>
      <c r="H67" s="85">
        <v>12</v>
      </c>
      <c r="I67" s="82">
        <v>20</v>
      </c>
      <c r="J67" s="185">
        <f t="shared" si="4"/>
        <v>2035.5</v>
      </c>
      <c r="K67" s="80">
        <v>1038.5</v>
      </c>
      <c r="L67" s="85">
        <v>853</v>
      </c>
      <c r="M67" s="85">
        <v>269</v>
      </c>
      <c r="N67" s="85">
        <v>0</v>
      </c>
      <c r="O67" s="82">
        <v>0</v>
      </c>
      <c r="P67" s="185">
        <f t="shared" si="5"/>
        <v>2160.5</v>
      </c>
      <c r="Q67" s="185">
        <f t="shared" si="6"/>
        <v>125</v>
      </c>
    </row>
    <row r="68" spans="1:17" ht="15.4" x14ac:dyDescent="0.45">
      <c r="A68" s="162"/>
      <c r="B68" s="77" t="s">
        <v>135</v>
      </c>
      <c r="C68" s="162">
        <v>354</v>
      </c>
      <c r="D68" s="78" t="s">
        <v>149</v>
      </c>
      <c r="E68" s="80">
        <v>688</v>
      </c>
      <c r="F68" s="85">
        <v>842</v>
      </c>
      <c r="G68" s="85">
        <v>137</v>
      </c>
      <c r="H68" s="85">
        <v>13</v>
      </c>
      <c r="I68" s="82">
        <v>7</v>
      </c>
      <c r="J68" s="185">
        <f t="shared" si="4"/>
        <v>1687</v>
      </c>
      <c r="K68" s="80">
        <v>648</v>
      </c>
      <c r="L68" s="85">
        <v>820</v>
      </c>
      <c r="M68" s="85">
        <v>125</v>
      </c>
      <c r="N68" s="85">
        <v>0</v>
      </c>
      <c r="O68" s="82">
        <v>0</v>
      </c>
      <c r="P68" s="185">
        <f t="shared" si="5"/>
        <v>1593</v>
      </c>
      <c r="Q68" s="185">
        <f t="shared" si="6"/>
        <v>-94</v>
      </c>
    </row>
    <row r="69" spans="1:17" ht="15.4" x14ac:dyDescent="0.45">
      <c r="A69" s="162"/>
      <c r="B69" s="77" t="s">
        <v>135</v>
      </c>
      <c r="C69" s="162">
        <v>355</v>
      </c>
      <c r="D69" s="78" t="s">
        <v>150</v>
      </c>
      <c r="E69" s="80">
        <v>845</v>
      </c>
      <c r="F69" s="85">
        <v>849</v>
      </c>
      <c r="G69" s="85">
        <v>102</v>
      </c>
      <c r="H69" s="85">
        <v>51</v>
      </c>
      <c r="I69" s="82">
        <v>30</v>
      </c>
      <c r="J69" s="185">
        <f t="shared" si="4"/>
        <v>1877</v>
      </c>
      <c r="K69" s="80">
        <v>836</v>
      </c>
      <c r="L69" s="85">
        <v>843</v>
      </c>
      <c r="M69" s="85">
        <v>133</v>
      </c>
      <c r="N69" s="85">
        <v>0</v>
      </c>
      <c r="O69" s="82">
        <v>0</v>
      </c>
      <c r="P69" s="185">
        <f t="shared" si="5"/>
        <v>1812</v>
      </c>
      <c r="Q69" s="185">
        <f t="shared" si="6"/>
        <v>-65</v>
      </c>
    </row>
    <row r="70" spans="1:17" ht="15.4" x14ac:dyDescent="0.45">
      <c r="A70" s="162"/>
      <c r="B70" s="77" t="s">
        <v>135</v>
      </c>
      <c r="C70" s="162">
        <v>343</v>
      </c>
      <c r="D70" s="78" t="s">
        <v>151</v>
      </c>
      <c r="E70" s="80">
        <v>665</v>
      </c>
      <c r="F70" s="85">
        <v>841</v>
      </c>
      <c r="G70" s="85">
        <v>51</v>
      </c>
      <c r="H70" s="85">
        <v>63</v>
      </c>
      <c r="I70" s="82">
        <v>15</v>
      </c>
      <c r="J70" s="185">
        <f t="shared" si="4"/>
        <v>1635</v>
      </c>
      <c r="K70" s="80">
        <v>680</v>
      </c>
      <c r="L70" s="85">
        <v>879</v>
      </c>
      <c r="M70" s="85">
        <v>35</v>
      </c>
      <c r="N70" s="85">
        <v>0</v>
      </c>
      <c r="O70" s="82">
        <v>0</v>
      </c>
      <c r="P70" s="185">
        <f t="shared" si="5"/>
        <v>1594</v>
      </c>
      <c r="Q70" s="185">
        <f t="shared" si="6"/>
        <v>-41</v>
      </c>
    </row>
    <row r="71" spans="1:17" ht="15.4" x14ac:dyDescent="0.45">
      <c r="A71" s="162"/>
      <c r="B71" s="77" t="s">
        <v>135</v>
      </c>
      <c r="C71" s="162">
        <v>342</v>
      </c>
      <c r="D71" s="78" t="s">
        <v>522</v>
      </c>
      <c r="E71" s="80">
        <v>394</v>
      </c>
      <c r="F71" s="85">
        <v>800.5</v>
      </c>
      <c r="G71" s="85">
        <v>83</v>
      </c>
      <c r="H71" s="85">
        <v>25.5</v>
      </c>
      <c r="I71" s="82">
        <v>24</v>
      </c>
      <c r="J71" s="185">
        <f t="shared" si="4"/>
        <v>1327</v>
      </c>
      <c r="K71" s="80">
        <v>377</v>
      </c>
      <c r="L71" s="85">
        <v>811.5</v>
      </c>
      <c r="M71" s="85">
        <v>168</v>
      </c>
      <c r="N71" s="85">
        <v>0</v>
      </c>
      <c r="O71" s="82">
        <v>0</v>
      </c>
      <c r="P71" s="185">
        <f t="shared" si="5"/>
        <v>1356.5</v>
      </c>
      <c r="Q71" s="185">
        <f t="shared" si="6"/>
        <v>29.5</v>
      </c>
    </row>
    <row r="72" spans="1:17" ht="15.4" x14ac:dyDescent="0.45">
      <c r="A72" s="162"/>
      <c r="B72" s="77" t="s">
        <v>135</v>
      </c>
      <c r="C72" s="162">
        <v>356</v>
      </c>
      <c r="D72" s="78" t="s">
        <v>152</v>
      </c>
      <c r="E72" s="80">
        <v>705</v>
      </c>
      <c r="F72" s="85">
        <v>967</v>
      </c>
      <c r="G72" s="85">
        <v>159</v>
      </c>
      <c r="H72" s="85">
        <v>46</v>
      </c>
      <c r="I72" s="82">
        <v>35</v>
      </c>
      <c r="J72" s="185">
        <f t="shared" si="4"/>
        <v>1912</v>
      </c>
      <c r="K72" s="80">
        <v>693</v>
      </c>
      <c r="L72" s="85">
        <v>978</v>
      </c>
      <c r="M72" s="85">
        <v>106</v>
      </c>
      <c r="N72" s="85">
        <v>0</v>
      </c>
      <c r="O72" s="82">
        <v>0</v>
      </c>
      <c r="P72" s="185">
        <f t="shared" si="5"/>
        <v>1777</v>
      </c>
      <c r="Q72" s="185">
        <f t="shared" si="6"/>
        <v>-135</v>
      </c>
    </row>
    <row r="73" spans="1:17" ht="15.4" x14ac:dyDescent="0.45">
      <c r="A73" s="162"/>
      <c r="B73" s="77" t="s">
        <v>135</v>
      </c>
      <c r="C73" s="162">
        <v>357</v>
      </c>
      <c r="D73" s="78" t="s">
        <v>153</v>
      </c>
      <c r="E73" s="80">
        <v>690.5</v>
      </c>
      <c r="F73" s="85">
        <v>614</v>
      </c>
      <c r="G73" s="85">
        <v>108</v>
      </c>
      <c r="H73" s="85">
        <v>12</v>
      </c>
      <c r="I73" s="82">
        <v>46</v>
      </c>
      <c r="J73" s="185">
        <f t="shared" ref="J73:J104" si="10">SUM(E73:I73)</f>
        <v>1470.5</v>
      </c>
      <c r="K73" s="80">
        <v>643</v>
      </c>
      <c r="L73" s="85">
        <v>622</v>
      </c>
      <c r="M73" s="85">
        <v>78</v>
      </c>
      <c r="N73" s="85">
        <v>0</v>
      </c>
      <c r="O73" s="82">
        <v>0</v>
      </c>
      <c r="P73" s="185">
        <f t="shared" ref="P73:P104" si="11">SUM(K73:O73)</f>
        <v>1343</v>
      </c>
      <c r="Q73" s="185">
        <f t="shared" ref="Q73:Q104" si="12">P73 - J73</f>
        <v>-127.5</v>
      </c>
    </row>
    <row r="74" spans="1:17" ht="15.4" x14ac:dyDescent="0.45">
      <c r="A74" s="162"/>
      <c r="B74" s="77" t="s">
        <v>135</v>
      </c>
      <c r="C74" s="162">
        <v>358</v>
      </c>
      <c r="D74" s="78" t="s">
        <v>154</v>
      </c>
      <c r="E74" s="80">
        <v>674</v>
      </c>
      <c r="F74" s="85">
        <v>814</v>
      </c>
      <c r="G74" s="85">
        <v>99</v>
      </c>
      <c r="H74" s="85">
        <v>40</v>
      </c>
      <c r="I74" s="82">
        <v>29</v>
      </c>
      <c r="J74" s="185">
        <f t="shared" si="10"/>
        <v>1656</v>
      </c>
      <c r="K74" s="80">
        <v>749</v>
      </c>
      <c r="L74" s="85">
        <v>804</v>
      </c>
      <c r="M74" s="85">
        <v>35</v>
      </c>
      <c r="N74" s="85">
        <v>0</v>
      </c>
      <c r="O74" s="82">
        <v>0</v>
      </c>
      <c r="P74" s="185">
        <f t="shared" si="11"/>
        <v>1588</v>
      </c>
      <c r="Q74" s="185">
        <f t="shared" si="12"/>
        <v>-68</v>
      </c>
    </row>
    <row r="75" spans="1:17" ht="15.4" x14ac:dyDescent="0.45">
      <c r="A75" s="162"/>
      <c r="B75" s="77" t="s">
        <v>135</v>
      </c>
      <c r="C75" s="162">
        <v>877</v>
      </c>
      <c r="D75" s="78" t="s">
        <v>155</v>
      </c>
      <c r="E75" s="80">
        <v>385</v>
      </c>
      <c r="F75" s="85">
        <v>638</v>
      </c>
      <c r="G75" s="85">
        <v>200</v>
      </c>
      <c r="H75" s="85">
        <v>21</v>
      </c>
      <c r="I75" s="82">
        <v>14</v>
      </c>
      <c r="J75" s="185">
        <f t="shared" si="10"/>
        <v>1258</v>
      </c>
      <c r="K75" s="80">
        <v>374</v>
      </c>
      <c r="L75" s="85">
        <v>654</v>
      </c>
      <c r="M75" s="85">
        <v>148</v>
      </c>
      <c r="N75" s="85">
        <v>0</v>
      </c>
      <c r="O75" s="82">
        <v>0</v>
      </c>
      <c r="P75" s="185">
        <f t="shared" si="11"/>
        <v>1176</v>
      </c>
      <c r="Q75" s="185">
        <f t="shared" si="12"/>
        <v>-82</v>
      </c>
    </row>
    <row r="76" spans="1:17" ht="15.4" x14ac:dyDescent="0.45">
      <c r="A76" s="162"/>
      <c r="B76" s="77" t="s">
        <v>135</v>
      </c>
      <c r="C76" s="162">
        <v>359</v>
      </c>
      <c r="D76" s="78" t="s">
        <v>156</v>
      </c>
      <c r="E76" s="80">
        <v>877</v>
      </c>
      <c r="F76" s="85">
        <v>976</v>
      </c>
      <c r="G76" s="85">
        <v>211</v>
      </c>
      <c r="H76" s="85">
        <v>15</v>
      </c>
      <c r="I76" s="82">
        <v>113</v>
      </c>
      <c r="J76" s="185">
        <f t="shared" si="10"/>
        <v>2192</v>
      </c>
      <c r="K76" s="80">
        <v>857</v>
      </c>
      <c r="L76" s="85">
        <v>979</v>
      </c>
      <c r="M76" s="85">
        <v>205.5</v>
      </c>
      <c r="N76" s="85">
        <v>0</v>
      </c>
      <c r="O76" s="82">
        <v>0</v>
      </c>
      <c r="P76" s="185">
        <f t="shared" si="11"/>
        <v>2041.5</v>
      </c>
      <c r="Q76" s="185">
        <f t="shared" si="12"/>
        <v>-150.5</v>
      </c>
    </row>
    <row r="77" spans="1:17" ht="15.4" x14ac:dyDescent="0.45">
      <c r="A77" s="162"/>
      <c r="B77" s="77" t="s">
        <v>135</v>
      </c>
      <c r="C77" s="162">
        <v>344</v>
      </c>
      <c r="D77" s="78" t="s">
        <v>157</v>
      </c>
      <c r="E77" s="80">
        <v>1142</v>
      </c>
      <c r="F77" s="85">
        <v>1115</v>
      </c>
      <c r="G77" s="85">
        <v>210</v>
      </c>
      <c r="H77" s="85">
        <v>52</v>
      </c>
      <c r="I77" s="82">
        <v>7</v>
      </c>
      <c r="J77" s="185">
        <f t="shared" si="10"/>
        <v>2526</v>
      </c>
      <c r="K77" s="80">
        <v>1151</v>
      </c>
      <c r="L77" s="85">
        <v>1088</v>
      </c>
      <c r="M77" s="85">
        <v>191</v>
      </c>
      <c r="N77" s="85">
        <v>0</v>
      </c>
      <c r="O77" s="82">
        <v>0</v>
      </c>
      <c r="P77" s="185">
        <f t="shared" si="11"/>
        <v>2430</v>
      </c>
      <c r="Q77" s="185">
        <f t="shared" si="12"/>
        <v>-96</v>
      </c>
    </row>
    <row r="78" spans="1:17" ht="15.4" x14ac:dyDescent="0.45">
      <c r="A78" s="162"/>
      <c r="B78" s="77" t="s">
        <v>158</v>
      </c>
      <c r="C78" s="310">
        <v>301</v>
      </c>
      <c r="D78" s="78" t="s">
        <v>159</v>
      </c>
      <c r="E78" s="80">
        <v>520</v>
      </c>
      <c r="F78" s="290">
        <v>1247</v>
      </c>
      <c r="G78" s="290">
        <v>202</v>
      </c>
      <c r="H78" s="290">
        <v>11</v>
      </c>
      <c r="I78" s="82">
        <v>2</v>
      </c>
      <c r="J78" s="185">
        <f t="shared" si="10"/>
        <v>1982</v>
      </c>
      <c r="K78" s="80">
        <v>485</v>
      </c>
      <c r="L78" s="290">
        <v>1225</v>
      </c>
      <c r="M78" s="290">
        <v>316.5</v>
      </c>
      <c r="N78" s="290">
        <v>0</v>
      </c>
      <c r="O78" s="82">
        <v>0</v>
      </c>
      <c r="P78" s="185">
        <f t="shared" si="11"/>
        <v>2026.5</v>
      </c>
      <c r="Q78" s="185">
        <f t="shared" si="12"/>
        <v>44.5</v>
      </c>
    </row>
    <row r="79" spans="1:17" ht="15.4" x14ac:dyDescent="0.45">
      <c r="A79" s="162"/>
      <c r="B79" s="77" t="s">
        <v>158</v>
      </c>
      <c r="C79" s="310">
        <v>302</v>
      </c>
      <c r="D79" s="78" t="s">
        <v>160</v>
      </c>
      <c r="E79" s="80">
        <v>669</v>
      </c>
      <c r="F79" s="290">
        <v>1313</v>
      </c>
      <c r="G79" s="290">
        <v>196</v>
      </c>
      <c r="H79" s="290">
        <v>13</v>
      </c>
      <c r="I79" s="82">
        <v>57</v>
      </c>
      <c r="J79" s="185">
        <f t="shared" si="10"/>
        <v>2248</v>
      </c>
      <c r="K79" s="80">
        <v>665</v>
      </c>
      <c r="L79" s="290">
        <v>1398</v>
      </c>
      <c r="M79" s="290">
        <v>260</v>
      </c>
      <c r="N79" s="85">
        <v>0</v>
      </c>
      <c r="O79" s="82">
        <v>0</v>
      </c>
      <c r="P79" s="185">
        <f t="shared" si="11"/>
        <v>2323</v>
      </c>
      <c r="Q79" s="185">
        <f t="shared" si="12"/>
        <v>75</v>
      </c>
    </row>
    <row r="80" spans="1:17" ht="15.4" x14ac:dyDescent="0.45">
      <c r="A80" s="162"/>
      <c r="B80" s="77" t="s">
        <v>158</v>
      </c>
      <c r="C80" s="162">
        <v>303</v>
      </c>
      <c r="D80" s="78" t="s">
        <v>161</v>
      </c>
      <c r="E80" s="80">
        <v>641.5</v>
      </c>
      <c r="F80" s="85">
        <v>885</v>
      </c>
      <c r="G80" s="85">
        <v>198</v>
      </c>
      <c r="H80" s="85">
        <v>7</v>
      </c>
      <c r="I80" s="82">
        <v>15</v>
      </c>
      <c r="J80" s="185">
        <f t="shared" si="10"/>
        <v>1746.5</v>
      </c>
      <c r="K80" s="80">
        <v>585.5</v>
      </c>
      <c r="L80" s="85">
        <v>880</v>
      </c>
      <c r="M80" s="85">
        <v>30</v>
      </c>
      <c r="N80" s="85">
        <v>0</v>
      </c>
      <c r="O80" s="82">
        <v>0</v>
      </c>
      <c r="P80" s="185">
        <f t="shared" si="11"/>
        <v>1495.5</v>
      </c>
      <c r="Q80" s="185">
        <f t="shared" si="12"/>
        <v>-251</v>
      </c>
    </row>
    <row r="81" spans="1:17" ht="15.4" x14ac:dyDescent="0.45">
      <c r="A81" s="162"/>
      <c r="B81" s="77" t="s">
        <v>158</v>
      </c>
      <c r="C81" s="162">
        <v>304</v>
      </c>
      <c r="D81" s="78" t="s">
        <v>162</v>
      </c>
      <c r="E81" s="80">
        <v>878</v>
      </c>
      <c r="F81" s="85">
        <v>1148</v>
      </c>
      <c r="G81" s="85">
        <v>169</v>
      </c>
      <c r="H81" s="85">
        <v>26</v>
      </c>
      <c r="I81" s="82">
        <v>14</v>
      </c>
      <c r="J81" s="185">
        <f t="shared" si="10"/>
        <v>2235</v>
      </c>
      <c r="K81" s="80">
        <v>774</v>
      </c>
      <c r="L81" s="85">
        <v>1024</v>
      </c>
      <c r="M81" s="85">
        <v>0</v>
      </c>
      <c r="N81" s="85">
        <v>0</v>
      </c>
      <c r="O81" s="82">
        <v>0</v>
      </c>
      <c r="P81" s="185">
        <f t="shared" si="11"/>
        <v>1798</v>
      </c>
      <c r="Q81" s="185">
        <f t="shared" si="12"/>
        <v>-437</v>
      </c>
    </row>
    <row r="82" spans="1:17" ht="15.4" x14ac:dyDescent="0.45">
      <c r="A82" s="162"/>
      <c r="B82" s="77" t="s">
        <v>158</v>
      </c>
      <c r="C82" s="162">
        <v>305</v>
      </c>
      <c r="D82" s="78" t="s">
        <v>163</v>
      </c>
      <c r="E82" s="80">
        <v>797</v>
      </c>
      <c r="F82" s="85">
        <v>1020</v>
      </c>
      <c r="G82" s="85">
        <v>246</v>
      </c>
      <c r="H82" s="85">
        <v>30</v>
      </c>
      <c r="I82" s="82">
        <v>43</v>
      </c>
      <c r="J82" s="185">
        <f t="shared" si="10"/>
        <v>2136</v>
      </c>
      <c r="K82" s="80">
        <v>789.5</v>
      </c>
      <c r="L82" s="85">
        <v>1023</v>
      </c>
      <c r="M82" s="85">
        <v>516</v>
      </c>
      <c r="N82" s="85">
        <v>0</v>
      </c>
      <c r="O82" s="82">
        <v>0</v>
      </c>
      <c r="P82" s="185">
        <f t="shared" si="11"/>
        <v>2328.5</v>
      </c>
      <c r="Q82" s="185">
        <f t="shared" si="12"/>
        <v>192.5</v>
      </c>
    </row>
    <row r="83" spans="1:17" ht="15.4" x14ac:dyDescent="0.45">
      <c r="A83" s="162"/>
      <c r="B83" s="77" t="s">
        <v>158</v>
      </c>
      <c r="C83" s="162">
        <v>306</v>
      </c>
      <c r="D83" s="78" t="s">
        <v>164</v>
      </c>
      <c r="E83" s="80">
        <v>1231.5</v>
      </c>
      <c r="F83" s="85">
        <v>1210</v>
      </c>
      <c r="G83" s="85">
        <v>224</v>
      </c>
      <c r="H83" s="85">
        <v>17</v>
      </c>
      <c r="I83" s="82">
        <v>172</v>
      </c>
      <c r="J83" s="185">
        <f t="shared" si="10"/>
        <v>2854.5</v>
      </c>
      <c r="K83" s="80">
        <v>1143</v>
      </c>
      <c r="L83" s="85">
        <v>1164</v>
      </c>
      <c r="M83" s="85">
        <v>149</v>
      </c>
      <c r="N83" s="85">
        <v>0</v>
      </c>
      <c r="O83" s="82">
        <v>0</v>
      </c>
      <c r="P83" s="185">
        <f t="shared" si="11"/>
        <v>2456</v>
      </c>
      <c r="Q83" s="185">
        <f t="shared" si="12"/>
        <v>-398.5</v>
      </c>
    </row>
    <row r="84" spans="1:17" ht="15.4" x14ac:dyDescent="0.45">
      <c r="A84" s="162"/>
      <c r="B84" s="77" t="s">
        <v>158</v>
      </c>
      <c r="C84" s="162">
        <v>307</v>
      </c>
      <c r="D84" s="78" t="s">
        <v>165</v>
      </c>
      <c r="E84" s="80">
        <v>901</v>
      </c>
      <c r="F84" s="85">
        <v>1372</v>
      </c>
      <c r="G84" s="85">
        <v>250</v>
      </c>
      <c r="H84" s="85">
        <v>14</v>
      </c>
      <c r="I84" s="82">
        <v>37</v>
      </c>
      <c r="J84" s="185">
        <f t="shared" si="10"/>
        <v>2574</v>
      </c>
      <c r="K84" s="80">
        <v>887</v>
      </c>
      <c r="L84" s="85">
        <v>1356</v>
      </c>
      <c r="M84" s="85">
        <v>0</v>
      </c>
      <c r="N84" s="85">
        <v>0</v>
      </c>
      <c r="O84" s="82">
        <v>0</v>
      </c>
      <c r="P84" s="185">
        <f t="shared" si="11"/>
        <v>2243</v>
      </c>
      <c r="Q84" s="185">
        <f t="shared" si="12"/>
        <v>-331</v>
      </c>
    </row>
    <row r="85" spans="1:17" ht="15.4" x14ac:dyDescent="0.45">
      <c r="A85" s="162"/>
      <c r="B85" s="77" t="s">
        <v>158</v>
      </c>
      <c r="C85" s="162">
        <v>308</v>
      </c>
      <c r="D85" s="78" t="s">
        <v>166</v>
      </c>
      <c r="E85" s="80">
        <v>1008</v>
      </c>
      <c r="F85" s="85">
        <v>1324</v>
      </c>
      <c r="G85" s="85">
        <v>275</v>
      </c>
      <c r="H85" s="85">
        <v>31</v>
      </c>
      <c r="I85" s="82">
        <v>6</v>
      </c>
      <c r="J85" s="185">
        <f t="shared" si="10"/>
        <v>2644</v>
      </c>
      <c r="K85" s="80">
        <v>965</v>
      </c>
      <c r="L85" s="85">
        <v>1214</v>
      </c>
      <c r="M85" s="85">
        <v>225.5</v>
      </c>
      <c r="N85" s="85">
        <v>0</v>
      </c>
      <c r="O85" s="82">
        <v>0</v>
      </c>
      <c r="P85" s="185">
        <f t="shared" si="11"/>
        <v>2404.5</v>
      </c>
      <c r="Q85" s="185">
        <f t="shared" si="12"/>
        <v>-239.5</v>
      </c>
    </row>
    <row r="86" spans="1:17" ht="15.4" x14ac:dyDescent="0.45">
      <c r="A86" s="162"/>
      <c r="B86" s="77" t="s">
        <v>158</v>
      </c>
      <c r="C86" s="162">
        <v>203</v>
      </c>
      <c r="D86" s="78" t="s">
        <v>167</v>
      </c>
      <c r="E86" s="80">
        <v>552</v>
      </c>
      <c r="F86" s="85">
        <v>857</v>
      </c>
      <c r="G86" s="85">
        <v>229.5</v>
      </c>
      <c r="H86" s="85">
        <v>9</v>
      </c>
      <c r="I86" s="82">
        <v>60.5</v>
      </c>
      <c r="J86" s="185">
        <f t="shared" si="10"/>
        <v>1708</v>
      </c>
      <c r="K86" s="80">
        <v>537.5</v>
      </c>
      <c r="L86" s="85">
        <v>910.5</v>
      </c>
      <c r="M86" s="85">
        <v>285</v>
      </c>
      <c r="N86" s="85">
        <v>0</v>
      </c>
      <c r="O86" s="82">
        <v>0</v>
      </c>
      <c r="P86" s="185">
        <f t="shared" si="11"/>
        <v>1733</v>
      </c>
      <c r="Q86" s="185">
        <f t="shared" si="12"/>
        <v>25</v>
      </c>
    </row>
    <row r="87" spans="1:17" ht="15.4" x14ac:dyDescent="0.45">
      <c r="A87" s="162"/>
      <c r="B87" s="77" t="s">
        <v>158</v>
      </c>
      <c r="C87" s="162">
        <v>310</v>
      </c>
      <c r="D87" s="78" t="s">
        <v>168</v>
      </c>
      <c r="E87" s="80">
        <v>531</v>
      </c>
      <c r="F87" s="85">
        <v>760</v>
      </c>
      <c r="G87" s="85">
        <v>193</v>
      </c>
      <c r="H87" s="85">
        <v>19</v>
      </c>
      <c r="I87" s="82">
        <v>13</v>
      </c>
      <c r="J87" s="185">
        <f t="shared" si="10"/>
        <v>1516</v>
      </c>
      <c r="K87" s="80">
        <v>481</v>
      </c>
      <c r="L87" s="85">
        <v>742</v>
      </c>
      <c r="M87" s="85">
        <v>31</v>
      </c>
      <c r="N87" s="85">
        <v>0</v>
      </c>
      <c r="O87" s="82">
        <v>0</v>
      </c>
      <c r="P87" s="185">
        <f t="shared" si="11"/>
        <v>1254</v>
      </c>
      <c r="Q87" s="185">
        <f t="shared" si="12"/>
        <v>-262</v>
      </c>
    </row>
    <row r="88" spans="1:17" ht="15.4" x14ac:dyDescent="0.45">
      <c r="A88" s="162"/>
      <c r="B88" s="77" t="s">
        <v>158</v>
      </c>
      <c r="C88" s="162">
        <v>311</v>
      </c>
      <c r="D88" s="78" t="s">
        <v>169</v>
      </c>
      <c r="E88" s="80">
        <v>379</v>
      </c>
      <c r="F88" s="85">
        <v>970</v>
      </c>
      <c r="G88" s="85">
        <v>195</v>
      </c>
      <c r="H88" s="85">
        <v>11</v>
      </c>
      <c r="I88" s="82">
        <v>7</v>
      </c>
      <c r="J88" s="185">
        <f t="shared" si="10"/>
        <v>1562</v>
      </c>
      <c r="K88" s="80">
        <v>367</v>
      </c>
      <c r="L88" s="85">
        <v>966</v>
      </c>
      <c r="M88" s="85">
        <v>0</v>
      </c>
      <c r="N88" s="85">
        <v>0</v>
      </c>
      <c r="O88" s="82">
        <v>0</v>
      </c>
      <c r="P88" s="185">
        <f t="shared" si="11"/>
        <v>1333</v>
      </c>
      <c r="Q88" s="185">
        <f t="shared" si="12"/>
        <v>-229</v>
      </c>
    </row>
    <row r="89" spans="1:17" ht="15.4" x14ac:dyDescent="0.45">
      <c r="A89" s="162"/>
      <c r="B89" s="77" t="s">
        <v>158</v>
      </c>
      <c r="C89" s="162">
        <v>312</v>
      </c>
      <c r="D89" s="78" t="s">
        <v>170</v>
      </c>
      <c r="E89" s="80">
        <v>812</v>
      </c>
      <c r="F89" s="85">
        <v>995</v>
      </c>
      <c r="G89" s="85">
        <v>181</v>
      </c>
      <c r="H89" s="85">
        <v>100</v>
      </c>
      <c r="I89" s="82">
        <v>66</v>
      </c>
      <c r="J89" s="185">
        <f t="shared" si="10"/>
        <v>2154</v>
      </c>
      <c r="K89" s="80">
        <v>893</v>
      </c>
      <c r="L89" s="85">
        <v>997</v>
      </c>
      <c r="M89" s="85">
        <v>457</v>
      </c>
      <c r="N89" s="85">
        <v>0</v>
      </c>
      <c r="O89" s="82">
        <v>0</v>
      </c>
      <c r="P89" s="185">
        <f t="shared" si="11"/>
        <v>2347</v>
      </c>
      <c r="Q89" s="185">
        <f t="shared" si="12"/>
        <v>193</v>
      </c>
    </row>
    <row r="90" spans="1:17" ht="15.4" x14ac:dyDescent="0.45">
      <c r="A90" s="162"/>
      <c r="B90" s="77" t="s">
        <v>158</v>
      </c>
      <c r="C90" s="162">
        <v>313</v>
      </c>
      <c r="D90" s="78" t="s">
        <v>171</v>
      </c>
      <c r="E90" s="80">
        <v>918</v>
      </c>
      <c r="F90" s="85">
        <v>976</v>
      </c>
      <c r="G90" s="85">
        <v>213</v>
      </c>
      <c r="H90" s="85">
        <v>21</v>
      </c>
      <c r="I90" s="82">
        <v>77</v>
      </c>
      <c r="J90" s="185">
        <f t="shared" si="10"/>
        <v>2205</v>
      </c>
      <c r="K90" s="80">
        <v>861</v>
      </c>
      <c r="L90" s="85">
        <v>933</v>
      </c>
      <c r="M90" s="85">
        <v>226</v>
      </c>
      <c r="N90" s="85">
        <v>0</v>
      </c>
      <c r="O90" s="82">
        <v>0</v>
      </c>
      <c r="P90" s="185">
        <f t="shared" si="11"/>
        <v>2020</v>
      </c>
      <c r="Q90" s="185">
        <f t="shared" si="12"/>
        <v>-185</v>
      </c>
    </row>
    <row r="91" spans="1:17" ht="15.4" x14ac:dyDescent="0.45">
      <c r="A91" s="162"/>
      <c r="B91" s="77" t="s">
        <v>158</v>
      </c>
      <c r="C91" s="162">
        <v>314</v>
      </c>
      <c r="D91" s="78" t="s">
        <v>172</v>
      </c>
      <c r="E91" s="80">
        <v>355</v>
      </c>
      <c r="F91" s="85">
        <v>544.5</v>
      </c>
      <c r="G91" s="85">
        <v>36.5</v>
      </c>
      <c r="H91" s="85">
        <v>26</v>
      </c>
      <c r="I91" s="82">
        <v>73.5</v>
      </c>
      <c r="J91" s="185">
        <f t="shared" si="10"/>
        <v>1035.5</v>
      </c>
      <c r="K91" s="80">
        <v>426</v>
      </c>
      <c r="L91" s="85">
        <v>542.5</v>
      </c>
      <c r="M91" s="85">
        <v>1</v>
      </c>
      <c r="N91" s="85">
        <v>0</v>
      </c>
      <c r="O91" s="82">
        <v>0</v>
      </c>
      <c r="P91" s="185">
        <f t="shared" si="11"/>
        <v>969.5</v>
      </c>
      <c r="Q91" s="185">
        <f t="shared" si="12"/>
        <v>-66</v>
      </c>
    </row>
    <row r="92" spans="1:17" ht="15.4" x14ac:dyDescent="0.45">
      <c r="A92" s="162"/>
      <c r="B92" s="77" t="s">
        <v>158</v>
      </c>
      <c r="C92" s="162">
        <v>315</v>
      </c>
      <c r="D92" s="78" t="s">
        <v>173</v>
      </c>
      <c r="E92" s="80">
        <v>514</v>
      </c>
      <c r="F92" s="85">
        <v>858</v>
      </c>
      <c r="G92" s="85">
        <v>36</v>
      </c>
      <c r="H92" s="85">
        <v>14</v>
      </c>
      <c r="I92" s="82">
        <v>154</v>
      </c>
      <c r="J92" s="185">
        <f t="shared" si="10"/>
        <v>1576</v>
      </c>
      <c r="K92" s="80">
        <v>411</v>
      </c>
      <c r="L92" s="85">
        <v>805</v>
      </c>
      <c r="M92" s="85">
        <v>0</v>
      </c>
      <c r="N92" s="85">
        <v>0</v>
      </c>
      <c r="O92" s="82">
        <v>0</v>
      </c>
      <c r="P92" s="185">
        <f t="shared" si="11"/>
        <v>1216</v>
      </c>
      <c r="Q92" s="185">
        <f t="shared" si="12"/>
        <v>-360</v>
      </c>
    </row>
    <row r="93" spans="1:17" ht="15.4" x14ac:dyDescent="0.45">
      <c r="A93" s="162"/>
      <c r="B93" s="77" t="s">
        <v>158</v>
      </c>
      <c r="C93" s="162">
        <v>317</v>
      </c>
      <c r="D93" s="78" t="s">
        <v>174</v>
      </c>
      <c r="E93" s="80">
        <v>591</v>
      </c>
      <c r="F93" s="85">
        <v>1038</v>
      </c>
      <c r="G93" s="85">
        <v>254</v>
      </c>
      <c r="H93" s="85">
        <v>54</v>
      </c>
      <c r="I93" s="82">
        <v>25</v>
      </c>
      <c r="J93" s="185">
        <f t="shared" si="10"/>
        <v>1962</v>
      </c>
      <c r="K93" s="80">
        <v>603</v>
      </c>
      <c r="L93" s="85">
        <v>1049</v>
      </c>
      <c r="M93" s="85">
        <v>0</v>
      </c>
      <c r="N93" s="85">
        <v>0</v>
      </c>
      <c r="O93" s="82">
        <v>0</v>
      </c>
      <c r="P93" s="185">
        <f t="shared" si="11"/>
        <v>1652</v>
      </c>
      <c r="Q93" s="185">
        <f t="shared" si="12"/>
        <v>-310</v>
      </c>
    </row>
    <row r="94" spans="1:17" ht="15.4" x14ac:dyDescent="0.45">
      <c r="A94" s="162"/>
      <c r="B94" s="77" t="s">
        <v>158</v>
      </c>
      <c r="C94" s="162">
        <v>318</v>
      </c>
      <c r="D94" s="78" t="s">
        <v>175</v>
      </c>
      <c r="E94" s="80">
        <v>276</v>
      </c>
      <c r="F94" s="85">
        <v>611.5</v>
      </c>
      <c r="G94" s="85">
        <v>86</v>
      </c>
      <c r="H94" s="85">
        <v>21</v>
      </c>
      <c r="I94" s="82">
        <v>59</v>
      </c>
      <c r="J94" s="185">
        <f t="shared" si="10"/>
        <v>1053.5</v>
      </c>
      <c r="K94" s="80">
        <v>287</v>
      </c>
      <c r="L94" s="85">
        <v>700.5</v>
      </c>
      <c r="M94" s="85">
        <v>107</v>
      </c>
      <c r="N94" s="85">
        <v>0</v>
      </c>
      <c r="O94" s="82">
        <v>0</v>
      </c>
      <c r="P94" s="185">
        <f t="shared" si="11"/>
        <v>1094.5</v>
      </c>
      <c r="Q94" s="185">
        <f t="shared" si="12"/>
        <v>41</v>
      </c>
    </row>
    <row r="95" spans="1:17" ht="15.4" x14ac:dyDescent="0.45">
      <c r="A95" s="162"/>
      <c r="B95" s="77" t="s">
        <v>158</v>
      </c>
      <c r="C95" s="162">
        <v>319</v>
      </c>
      <c r="D95" s="78" t="s">
        <v>176</v>
      </c>
      <c r="E95" s="80">
        <v>461.5</v>
      </c>
      <c r="F95" s="85">
        <v>707.5</v>
      </c>
      <c r="G95" s="85">
        <v>57</v>
      </c>
      <c r="H95" s="85">
        <v>12</v>
      </c>
      <c r="I95" s="82">
        <v>132</v>
      </c>
      <c r="J95" s="185">
        <f t="shared" si="10"/>
        <v>1370</v>
      </c>
      <c r="K95" s="80">
        <v>595.5</v>
      </c>
      <c r="L95" s="85">
        <v>716.5</v>
      </c>
      <c r="M95" s="85">
        <v>37</v>
      </c>
      <c r="N95" s="85">
        <v>0</v>
      </c>
      <c r="O95" s="82">
        <v>0</v>
      </c>
      <c r="P95" s="185">
        <f t="shared" si="11"/>
        <v>1349</v>
      </c>
      <c r="Q95" s="185">
        <f t="shared" si="12"/>
        <v>-21</v>
      </c>
    </row>
    <row r="96" spans="1:17" ht="15.4" x14ac:dyDescent="0.45">
      <c r="A96" s="162"/>
      <c r="B96" s="77" t="s">
        <v>158</v>
      </c>
      <c r="C96" s="162">
        <v>320</v>
      </c>
      <c r="D96" s="78" t="s">
        <v>177</v>
      </c>
      <c r="E96" s="80">
        <v>675</v>
      </c>
      <c r="F96" s="85">
        <v>1037</v>
      </c>
      <c r="G96" s="85">
        <v>148</v>
      </c>
      <c r="H96" s="85">
        <v>15</v>
      </c>
      <c r="I96" s="82">
        <v>22</v>
      </c>
      <c r="J96" s="185">
        <f t="shared" si="10"/>
        <v>1897</v>
      </c>
      <c r="K96" s="80">
        <v>780</v>
      </c>
      <c r="L96" s="85">
        <v>1025</v>
      </c>
      <c r="M96" s="85">
        <v>212.5</v>
      </c>
      <c r="N96" s="85">
        <v>0</v>
      </c>
      <c r="O96" s="82">
        <v>0</v>
      </c>
      <c r="P96" s="185">
        <f t="shared" si="11"/>
        <v>2017.5</v>
      </c>
      <c r="Q96" s="185">
        <f t="shared" si="12"/>
        <v>120.5</v>
      </c>
    </row>
    <row r="97" spans="1:17" ht="15.4" x14ac:dyDescent="0.45">
      <c r="A97" s="181"/>
      <c r="B97" s="77" t="s">
        <v>178</v>
      </c>
      <c r="C97" s="162">
        <v>867</v>
      </c>
      <c r="D97" s="78" t="s">
        <v>179</v>
      </c>
      <c r="E97" s="80">
        <v>252</v>
      </c>
      <c r="F97" s="85">
        <v>388</v>
      </c>
      <c r="G97" s="85">
        <v>70</v>
      </c>
      <c r="H97" s="85">
        <v>35</v>
      </c>
      <c r="I97" s="82">
        <v>1</v>
      </c>
      <c r="J97" s="185">
        <f t="shared" si="10"/>
        <v>746</v>
      </c>
      <c r="K97" s="80">
        <v>196</v>
      </c>
      <c r="L97" s="85">
        <v>382</v>
      </c>
      <c r="M97" s="85">
        <v>0</v>
      </c>
      <c r="N97" s="85">
        <v>0</v>
      </c>
      <c r="O97" s="82">
        <v>0</v>
      </c>
      <c r="P97" s="185">
        <f t="shared" si="11"/>
        <v>578</v>
      </c>
      <c r="Q97" s="185">
        <f t="shared" si="12"/>
        <v>-168</v>
      </c>
    </row>
    <row r="98" spans="1:17" ht="15.4" x14ac:dyDescent="0.45">
      <c r="A98" s="187"/>
      <c r="B98" s="77" t="s">
        <v>178</v>
      </c>
      <c r="C98" s="162">
        <v>846</v>
      </c>
      <c r="D98" s="78" t="s">
        <v>180</v>
      </c>
      <c r="E98" s="80">
        <v>425</v>
      </c>
      <c r="F98" s="85">
        <v>692</v>
      </c>
      <c r="G98" s="85">
        <v>84</v>
      </c>
      <c r="H98" s="85">
        <v>17</v>
      </c>
      <c r="I98" s="82">
        <v>57</v>
      </c>
      <c r="J98" s="185">
        <f t="shared" si="10"/>
        <v>1275</v>
      </c>
      <c r="K98" s="80">
        <v>442</v>
      </c>
      <c r="L98" s="85">
        <v>715</v>
      </c>
      <c r="M98" s="85">
        <v>45</v>
      </c>
      <c r="N98" s="85">
        <v>0</v>
      </c>
      <c r="O98" s="82">
        <v>0</v>
      </c>
      <c r="P98" s="185">
        <f t="shared" si="11"/>
        <v>1202</v>
      </c>
      <c r="Q98" s="185">
        <f t="shared" si="12"/>
        <v>-73</v>
      </c>
    </row>
    <row r="99" spans="1:17" ht="15.4" x14ac:dyDescent="0.45">
      <c r="A99" s="162"/>
      <c r="B99" s="77" t="s">
        <v>178</v>
      </c>
      <c r="C99" s="162">
        <v>825</v>
      </c>
      <c r="D99" s="78" t="s">
        <v>181</v>
      </c>
      <c r="E99" s="80">
        <v>1542</v>
      </c>
      <c r="F99" s="85">
        <v>1854</v>
      </c>
      <c r="G99" s="85">
        <v>328</v>
      </c>
      <c r="H99" s="85">
        <v>47</v>
      </c>
      <c r="I99" s="82">
        <v>55</v>
      </c>
      <c r="J99" s="185">
        <f t="shared" si="10"/>
        <v>3826</v>
      </c>
      <c r="K99" s="80">
        <v>1513</v>
      </c>
      <c r="L99" s="85">
        <v>1794</v>
      </c>
      <c r="M99" s="85">
        <v>206</v>
      </c>
      <c r="N99" s="85">
        <v>0</v>
      </c>
      <c r="O99" s="290">
        <v>0</v>
      </c>
      <c r="P99" s="185">
        <f t="shared" si="11"/>
        <v>3513</v>
      </c>
      <c r="Q99" s="185">
        <f t="shared" si="12"/>
        <v>-313</v>
      </c>
    </row>
    <row r="100" spans="1:17" ht="15.4" x14ac:dyDescent="0.45">
      <c r="A100" s="162"/>
      <c r="B100" s="77" t="s">
        <v>178</v>
      </c>
      <c r="C100" s="162">
        <v>845</v>
      </c>
      <c r="D100" s="78" t="s">
        <v>182</v>
      </c>
      <c r="E100" s="80">
        <v>1163</v>
      </c>
      <c r="F100" s="85">
        <v>1034</v>
      </c>
      <c r="G100" s="85">
        <v>181</v>
      </c>
      <c r="H100" s="85">
        <v>125</v>
      </c>
      <c r="I100" s="82">
        <v>32</v>
      </c>
      <c r="J100" s="185">
        <f t="shared" si="10"/>
        <v>2535</v>
      </c>
      <c r="K100" s="80">
        <v>1111</v>
      </c>
      <c r="L100" s="85">
        <v>1010</v>
      </c>
      <c r="M100" s="85">
        <v>183</v>
      </c>
      <c r="N100" s="85">
        <v>0</v>
      </c>
      <c r="O100" s="82">
        <v>0</v>
      </c>
      <c r="P100" s="185">
        <f t="shared" si="11"/>
        <v>2304</v>
      </c>
      <c r="Q100" s="185">
        <f t="shared" si="12"/>
        <v>-231</v>
      </c>
    </row>
    <row r="101" spans="1:17" ht="15.4" x14ac:dyDescent="0.45">
      <c r="A101" s="162"/>
      <c r="B101" s="77" t="s">
        <v>178</v>
      </c>
      <c r="C101" s="162">
        <v>850</v>
      </c>
      <c r="D101" s="78" t="s">
        <v>183</v>
      </c>
      <c r="E101" s="80">
        <v>3180.5</v>
      </c>
      <c r="F101" s="85">
        <v>3378</v>
      </c>
      <c r="G101" s="85">
        <v>934</v>
      </c>
      <c r="H101" s="85">
        <v>71</v>
      </c>
      <c r="I101" s="82">
        <v>155</v>
      </c>
      <c r="J101" s="185">
        <f t="shared" si="10"/>
        <v>7718.5</v>
      </c>
      <c r="K101" s="80">
        <v>3048.5</v>
      </c>
      <c r="L101" s="85">
        <v>3388.5</v>
      </c>
      <c r="M101" s="85">
        <v>998.5</v>
      </c>
      <c r="N101" s="85">
        <v>0</v>
      </c>
      <c r="O101" s="82">
        <v>0</v>
      </c>
      <c r="P101" s="185">
        <f t="shared" si="11"/>
        <v>7435.5</v>
      </c>
      <c r="Q101" s="185">
        <f t="shared" si="12"/>
        <v>-283</v>
      </c>
    </row>
    <row r="102" spans="1:17" ht="15.4" x14ac:dyDescent="0.45">
      <c r="B102" s="77" t="s">
        <v>178</v>
      </c>
      <c r="C102" s="162">
        <v>921</v>
      </c>
      <c r="D102" s="78" t="s">
        <v>184</v>
      </c>
      <c r="E102" s="80">
        <v>284.5</v>
      </c>
      <c r="F102" s="85">
        <v>481</v>
      </c>
      <c r="G102" s="85">
        <v>199</v>
      </c>
      <c r="H102" s="85">
        <v>52</v>
      </c>
      <c r="I102" s="82">
        <v>8</v>
      </c>
      <c r="J102" s="185">
        <f t="shared" si="10"/>
        <v>1024.5</v>
      </c>
      <c r="K102" s="80">
        <v>283.5</v>
      </c>
      <c r="L102" s="85">
        <v>481</v>
      </c>
      <c r="M102" s="85">
        <v>200</v>
      </c>
      <c r="N102" s="85">
        <v>0</v>
      </c>
      <c r="O102" s="82">
        <v>0</v>
      </c>
      <c r="P102" s="185">
        <f t="shared" si="11"/>
        <v>964.5</v>
      </c>
      <c r="Q102" s="185">
        <f t="shared" si="12"/>
        <v>-60</v>
      </c>
    </row>
    <row r="103" spans="1:17" ht="15.4" x14ac:dyDescent="0.45">
      <c r="A103" s="162"/>
      <c r="B103" s="77" t="s">
        <v>178</v>
      </c>
      <c r="C103" s="162">
        <v>886</v>
      </c>
      <c r="D103" s="78" t="s">
        <v>185</v>
      </c>
      <c r="E103" s="80">
        <v>5255.5</v>
      </c>
      <c r="F103" s="85">
        <v>3921</v>
      </c>
      <c r="G103" s="85">
        <v>917</v>
      </c>
      <c r="H103" s="85">
        <v>154</v>
      </c>
      <c r="I103" s="82">
        <v>365</v>
      </c>
      <c r="J103" s="185">
        <f t="shared" si="10"/>
        <v>10612.5</v>
      </c>
      <c r="K103" s="80">
        <v>5193.5</v>
      </c>
      <c r="L103" s="85">
        <v>3924</v>
      </c>
      <c r="M103" s="85">
        <v>894</v>
      </c>
      <c r="N103" s="85">
        <v>0</v>
      </c>
      <c r="O103" s="82">
        <v>0</v>
      </c>
      <c r="P103" s="185">
        <f t="shared" si="11"/>
        <v>10011.5</v>
      </c>
      <c r="Q103" s="185">
        <f t="shared" si="12"/>
        <v>-601</v>
      </c>
    </row>
    <row r="104" spans="1:17" ht="15.4" x14ac:dyDescent="0.45">
      <c r="B104" s="77" t="s">
        <v>178</v>
      </c>
      <c r="C104" s="162">
        <v>887</v>
      </c>
      <c r="D104" s="78" t="s">
        <v>186</v>
      </c>
      <c r="E104" s="80">
        <v>946.5</v>
      </c>
      <c r="F104" s="85">
        <v>389.5</v>
      </c>
      <c r="G104" s="85">
        <v>126</v>
      </c>
      <c r="H104" s="85">
        <v>15</v>
      </c>
      <c r="I104" s="82">
        <v>70</v>
      </c>
      <c r="J104" s="185">
        <f t="shared" si="10"/>
        <v>1547</v>
      </c>
      <c r="K104" s="80">
        <v>925.5</v>
      </c>
      <c r="L104" s="85">
        <v>373.5</v>
      </c>
      <c r="M104" s="85">
        <v>145</v>
      </c>
      <c r="N104" s="85">
        <v>0</v>
      </c>
      <c r="O104" s="82">
        <v>0</v>
      </c>
      <c r="P104" s="185">
        <f t="shared" si="11"/>
        <v>1444</v>
      </c>
      <c r="Q104" s="185">
        <f t="shared" si="12"/>
        <v>-103</v>
      </c>
    </row>
    <row r="105" spans="1:17" ht="15.4" x14ac:dyDescent="0.45">
      <c r="A105" s="162"/>
      <c r="B105" s="77" t="s">
        <v>178</v>
      </c>
      <c r="C105" s="162">
        <v>826</v>
      </c>
      <c r="D105" s="78" t="s">
        <v>187</v>
      </c>
      <c r="E105" s="80">
        <v>824.5</v>
      </c>
      <c r="F105" s="85">
        <v>692</v>
      </c>
      <c r="G105" s="85">
        <v>171</v>
      </c>
      <c r="H105" s="85">
        <v>5</v>
      </c>
      <c r="I105" s="82">
        <v>2</v>
      </c>
      <c r="J105" s="185">
        <f t="shared" ref="J105:J136" si="13">SUM(E105:I105)</f>
        <v>1694.5</v>
      </c>
      <c r="K105" s="80">
        <v>846.5</v>
      </c>
      <c r="L105" s="85">
        <v>672</v>
      </c>
      <c r="M105" s="85">
        <v>188</v>
      </c>
      <c r="N105" s="85">
        <v>0</v>
      </c>
      <c r="O105" s="82">
        <v>0</v>
      </c>
      <c r="P105" s="185">
        <f t="shared" ref="P105:P136" si="14">SUM(K105:O105)</f>
        <v>1706.5</v>
      </c>
      <c r="Q105" s="185">
        <f t="shared" ref="Q105:Q136" si="15">P105 - J105</f>
        <v>12</v>
      </c>
    </row>
    <row r="106" spans="1:17" ht="15.4" x14ac:dyDescent="0.45">
      <c r="A106" s="162"/>
      <c r="B106" s="77" t="s">
        <v>178</v>
      </c>
      <c r="C106" s="162">
        <v>931</v>
      </c>
      <c r="D106" s="78" t="s">
        <v>188</v>
      </c>
      <c r="E106" s="80">
        <v>1279</v>
      </c>
      <c r="F106" s="85">
        <v>1386.5</v>
      </c>
      <c r="G106" s="85">
        <v>450</v>
      </c>
      <c r="H106" s="85">
        <v>42</v>
      </c>
      <c r="I106" s="82">
        <v>37</v>
      </c>
      <c r="J106" s="185">
        <f t="shared" si="13"/>
        <v>3194.5</v>
      </c>
      <c r="K106" s="80">
        <v>1274</v>
      </c>
      <c r="L106" s="85">
        <v>1411.5</v>
      </c>
      <c r="M106" s="85">
        <v>854</v>
      </c>
      <c r="N106" s="85">
        <v>0</v>
      </c>
      <c r="O106" s="82">
        <v>0</v>
      </c>
      <c r="P106" s="185">
        <f t="shared" si="14"/>
        <v>3539.5</v>
      </c>
      <c r="Q106" s="185">
        <f t="shared" si="15"/>
        <v>345</v>
      </c>
    </row>
    <row r="107" spans="1:17" ht="15.4" x14ac:dyDescent="0.45">
      <c r="A107" s="162"/>
      <c r="B107" s="77" t="s">
        <v>178</v>
      </c>
      <c r="C107" s="162">
        <v>851</v>
      </c>
      <c r="D107" s="78" t="s">
        <v>189</v>
      </c>
      <c r="E107" s="80">
        <v>591.5</v>
      </c>
      <c r="F107" s="85">
        <v>587.5</v>
      </c>
      <c r="G107" s="85">
        <v>135</v>
      </c>
      <c r="H107" s="85">
        <v>4</v>
      </c>
      <c r="I107" s="82">
        <v>0</v>
      </c>
      <c r="J107" s="185">
        <f t="shared" si="13"/>
        <v>1318</v>
      </c>
      <c r="K107" s="80">
        <v>618.5</v>
      </c>
      <c r="L107" s="85">
        <v>567</v>
      </c>
      <c r="M107" s="85">
        <v>163</v>
      </c>
      <c r="N107" s="85">
        <v>0</v>
      </c>
      <c r="O107" s="82">
        <v>0</v>
      </c>
      <c r="P107" s="185">
        <f t="shared" si="14"/>
        <v>1348.5</v>
      </c>
      <c r="Q107" s="185">
        <f t="shared" si="15"/>
        <v>30.5</v>
      </c>
    </row>
    <row r="108" spans="1:17" ht="15.4" x14ac:dyDescent="0.45">
      <c r="A108" s="162"/>
      <c r="B108" s="77" t="s">
        <v>178</v>
      </c>
      <c r="C108" s="162">
        <v>870</v>
      </c>
      <c r="D108" s="78" t="s">
        <v>190</v>
      </c>
      <c r="E108" s="80">
        <v>412</v>
      </c>
      <c r="F108" s="85">
        <v>516</v>
      </c>
      <c r="G108" s="85">
        <v>113</v>
      </c>
      <c r="H108" s="85">
        <v>7</v>
      </c>
      <c r="I108" s="82">
        <v>4</v>
      </c>
      <c r="J108" s="185">
        <f t="shared" si="13"/>
        <v>1052</v>
      </c>
      <c r="K108" s="80">
        <v>293</v>
      </c>
      <c r="L108" s="85">
        <v>433</v>
      </c>
      <c r="M108" s="85">
        <v>0</v>
      </c>
      <c r="N108" s="85">
        <v>0</v>
      </c>
      <c r="O108" s="82">
        <v>0</v>
      </c>
      <c r="P108" s="185">
        <f t="shared" si="14"/>
        <v>726</v>
      </c>
      <c r="Q108" s="185">
        <f t="shared" si="15"/>
        <v>-326</v>
      </c>
    </row>
    <row r="109" spans="1:17" ht="15.4" x14ac:dyDescent="0.45">
      <c r="A109" s="162"/>
      <c r="B109" s="77" t="s">
        <v>178</v>
      </c>
      <c r="C109" s="162">
        <v>871</v>
      </c>
      <c r="D109" s="78" t="s">
        <v>191</v>
      </c>
      <c r="E109" s="80">
        <v>386</v>
      </c>
      <c r="F109" s="85">
        <v>770</v>
      </c>
      <c r="G109" s="85">
        <v>104</v>
      </c>
      <c r="H109" s="85">
        <v>10</v>
      </c>
      <c r="I109" s="82">
        <v>12</v>
      </c>
      <c r="J109" s="185">
        <f t="shared" si="13"/>
        <v>1282</v>
      </c>
      <c r="K109" s="80">
        <v>356</v>
      </c>
      <c r="L109" s="85">
        <v>740</v>
      </c>
      <c r="M109" s="85">
        <v>99</v>
      </c>
      <c r="N109" s="85">
        <v>0</v>
      </c>
      <c r="O109" s="82">
        <v>0</v>
      </c>
      <c r="P109" s="185">
        <f t="shared" si="14"/>
        <v>1195</v>
      </c>
      <c r="Q109" s="185">
        <f t="shared" si="15"/>
        <v>-87</v>
      </c>
    </row>
    <row r="110" spans="1:17" ht="15.4" x14ac:dyDescent="0.45">
      <c r="A110" s="162"/>
      <c r="B110" s="77" t="s">
        <v>178</v>
      </c>
      <c r="C110" s="162">
        <v>852</v>
      </c>
      <c r="D110" s="78" t="s">
        <v>192</v>
      </c>
      <c r="E110" s="80">
        <v>726</v>
      </c>
      <c r="F110" s="85">
        <v>683</v>
      </c>
      <c r="G110" s="85">
        <v>114</v>
      </c>
      <c r="H110" s="85">
        <v>7</v>
      </c>
      <c r="I110" s="82">
        <v>59</v>
      </c>
      <c r="J110" s="185">
        <f t="shared" si="13"/>
        <v>1589</v>
      </c>
      <c r="K110" s="80">
        <v>766</v>
      </c>
      <c r="L110" s="85">
        <v>658</v>
      </c>
      <c r="M110" s="85">
        <v>126.5</v>
      </c>
      <c r="N110" s="85">
        <v>0</v>
      </c>
      <c r="O110" s="82">
        <v>0</v>
      </c>
      <c r="P110" s="185">
        <f t="shared" si="14"/>
        <v>1550.5</v>
      </c>
      <c r="Q110" s="185">
        <f t="shared" si="15"/>
        <v>-38.5</v>
      </c>
    </row>
    <row r="111" spans="1:17" ht="15.4" x14ac:dyDescent="0.45">
      <c r="A111" s="162"/>
      <c r="B111" s="77" t="s">
        <v>178</v>
      </c>
      <c r="C111" s="162">
        <v>936</v>
      </c>
      <c r="D111" s="78" t="s">
        <v>193</v>
      </c>
      <c r="E111" s="80">
        <v>2725.5</v>
      </c>
      <c r="F111" s="85">
        <v>4187</v>
      </c>
      <c r="G111" s="85">
        <v>566.5</v>
      </c>
      <c r="H111" s="85">
        <v>305.5</v>
      </c>
      <c r="I111" s="82">
        <v>96.5</v>
      </c>
      <c r="J111" s="185">
        <f t="shared" si="13"/>
        <v>7881</v>
      </c>
      <c r="K111" s="80">
        <v>2683.5</v>
      </c>
      <c r="L111" s="85">
        <v>4224</v>
      </c>
      <c r="M111" s="85">
        <v>472.5</v>
      </c>
      <c r="N111" s="85">
        <v>0</v>
      </c>
      <c r="O111" s="82">
        <v>0</v>
      </c>
      <c r="P111" s="185">
        <f t="shared" si="14"/>
        <v>7380</v>
      </c>
      <c r="Q111" s="185">
        <f t="shared" si="15"/>
        <v>-501</v>
      </c>
    </row>
    <row r="112" spans="1:17" ht="15.4" x14ac:dyDescent="0.45">
      <c r="A112" s="162"/>
      <c r="B112" s="77" t="s">
        <v>178</v>
      </c>
      <c r="C112" s="162">
        <v>869</v>
      </c>
      <c r="D112" s="78" t="s">
        <v>194</v>
      </c>
      <c r="E112" s="80">
        <v>291</v>
      </c>
      <c r="F112" s="85">
        <v>416</v>
      </c>
      <c r="G112" s="85">
        <v>99</v>
      </c>
      <c r="H112" s="85">
        <v>27</v>
      </c>
      <c r="I112" s="82">
        <v>7</v>
      </c>
      <c r="J112" s="185">
        <f t="shared" si="13"/>
        <v>840</v>
      </c>
      <c r="K112" s="80">
        <v>390</v>
      </c>
      <c r="L112" s="85">
        <v>440</v>
      </c>
      <c r="M112" s="85">
        <v>134</v>
      </c>
      <c r="N112" s="85">
        <v>0</v>
      </c>
      <c r="O112" s="82">
        <v>0</v>
      </c>
      <c r="P112" s="185">
        <f t="shared" si="14"/>
        <v>964</v>
      </c>
      <c r="Q112" s="185">
        <f t="shared" si="15"/>
        <v>124</v>
      </c>
    </row>
    <row r="113" spans="1:22" ht="15.4" x14ac:dyDescent="0.45">
      <c r="A113" s="162"/>
      <c r="B113" s="77" t="s">
        <v>178</v>
      </c>
      <c r="C113" s="162">
        <v>938</v>
      </c>
      <c r="D113" s="78" t="s">
        <v>195</v>
      </c>
      <c r="E113" s="80">
        <v>1853</v>
      </c>
      <c r="F113" s="85">
        <v>1998</v>
      </c>
      <c r="G113" s="85">
        <v>91</v>
      </c>
      <c r="H113" s="85">
        <v>176</v>
      </c>
      <c r="I113" s="82">
        <v>63</v>
      </c>
      <c r="J113" s="185">
        <f t="shared" si="13"/>
        <v>4181</v>
      </c>
      <c r="K113" s="80">
        <v>1900</v>
      </c>
      <c r="L113" s="85">
        <v>1999</v>
      </c>
      <c r="M113" s="85">
        <v>106</v>
      </c>
      <c r="N113" s="85">
        <v>0</v>
      </c>
      <c r="O113" s="82">
        <v>0</v>
      </c>
      <c r="P113" s="185">
        <f t="shared" si="14"/>
        <v>4005</v>
      </c>
      <c r="Q113" s="185">
        <f t="shared" si="15"/>
        <v>-176</v>
      </c>
    </row>
    <row r="114" spans="1:22" ht="15.4" x14ac:dyDescent="0.45">
      <c r="A114" s="162"/>
      <c r="B114" s="77" t="s">
        <v>178</v>
      </c>
      <c r="C114" s="162">
        <v>868</v>
      </c>
      <c r="D114" s="78" t="s">
        <v>196</v>
      </c>
      <c r="E114" s="80">
        <v>233</v>
      </c>
      <c r="F114" s="85">
        <v>419</v>
      </c>
      <c r="G114" s="85">
        <v>98</v>
      </c>
      <c r="H114" s="85">
        <v>27</v>
      </c>
      <c r="I114" s="82">
        <v>14</v>
      </c>
      <c r="J114" s="185">
        <f t="shared" si="13"/>
        <v>791</v>
      </c>
      <c r="K114" s="80">
        <v>358</v>
      </c>
      <c r="L114" s="85">
        <v>471</v>
      </c>
      <c r="M114" s="85">
        <v>261</v>
      </c>
      <c r="N114" s="85">
        <v>0</v>
      </c>
      <c r="O114" s="82">
        <v>0</v>
      </c>
      <c r="P114" s="185">
        <f t="shared" si="14"/>
        <v>1090</v>
      </c>
      <c r="Q114" s="185">
        <f t="shared" si="15"/>
        <v>299</v>
      </c>
    </row>
    <row r="115" spans="1:22" ht="15.4" x14ac:dyDescent="0.45">
      <c r="A115" s="162"/>
      <c r="B115" s="77" t="s">
        <v>178</v>
      </c>
      <c r="C115" s="162">
        <v>872</v>
      </c>
      <c r="D115" s="78" t="s">
        <v>197</v>
      </c>
      <c r="E115" s="80">
        <v>290</v>
      </c>
      <c r="F115" s="85">
        <v>468</v>
      </c>
      <c r="G115" s="85">
        <v>83</v>
      </c>
      <c r="H115" s="85">
        <v>34</v>
      </c>
      <c r="I115" s="82">
        <v>10</v>
      </c>
      <c r="J115" s="185">
        <f t="shared" si="13"/>
        <v>885</v>
      </c>
      <c r="K115" s="80">
        <v>278</v>
      </c>
      <c r="L115" s="85">
        <v>502</v>
      </c>
      <c r="M115" s="85">
        <v>0</v>
      </c>
      <c r="N115" s="85">
        <v>0</v>
      </c>
      <c r="O115" s="82">
        <v>0</v>
      </c>
      <c r="P115" s="185">
        <f t="shared" si="14"/>
        <v>780</v>
      </c>
      <c r="Q115" s="185">
        <f t="shared" si="15"/>
        <v>-105</v>
      </c>
    </row>
    <row r="116" spans="1:22" ht="15.4" x14ac:dyDescent="0.45">
      <c r="A116" s="162"/>
      <c r="B116" s="77" t="s">
        <v>198</v>
      </c>
      <c r="C116" s="162">
        <v>800</v>
      </c>
      <c r="D116" s="78" t="s">
        <v>199</v>
      </c>
      <c r="E116" s="80">
        <v>502</v>
      </c>
      <c r="F116" s="85">
        <v>633</v>
      </c>
      <c r="G116" s="85">
        <v>178</v>
      </c>
      <c r="H116" s="85">
        <v>6</v>
      </c>
      <c r="I116" s="82">
        <v>25</v>
      </c>
      <c r="J116" s="185">
        <f t="shared" si="13"/>
        <v>1344</v>
      </c>
      <c r="K116" s="80">
        <v>499</v>
      </c>
      <c r="L116" s="85">
        <v>670</v>
      </c>
      <c r="M116" s="85">
        <v>203</v>
      </c>
      <c r="N116" s="85">
        <v>0</v>
      </c>
      <c r="O116" s="82">
        <v>0</v>
      </c>
      <c r="P116" s="185">
        <f t="shared" si="14"/>
        <v>1372</v>
      </c>
      <c r="Q116" s="185">
        <f t="shared" si="15"/>
        <v>28</v>
      </c>
    </row>
    <row r="117" spans="1:22" ht="15.4" x14ac:dyDescent="0.45">
      <c r="A117" s="162"/>
      <c r="B117" s="77" t="s">
        <v>198</v>
      </c>
      <c r="C117" s="162">
        <v>839</v>
      </c>
      <c r="D117" s="186" t="s">
        <v>317</v>
      </c>
      <c r="E117" s="80">
        <v>804</v>
      </c>
      <c r="F117" s="85">
        <v>749</v>
      </c>
      <c r="G117" s="85">
        <v>179</v>
      </c>
      <c r="H117" s="85">
        <v>154</v>
      </c>
      <c r="I117" s="82">
        <v>55.5</v>
      </c>
      <c r="J117" s="185">
        <f t="shared" si="13"/>
        <v>1941.5</v>
      </c>
      <c r="K117" s="80">
        <v>831</v>
      </c>
      <c r="L117" s="85">
        <v>739</v>
      </c>
      <c r="M117" s="85">
        <v>159.5</v>
      </c>
      <c r="N117" s="85">
        <v>0</v>
      </c>
      <c r="O117" s="82">
        <v>0</v>
      </c>
      <c r="P117" s="185">
        <f t="shared" si="14"/>
        <v>1729.5</v>
      </c>
      <c r="Q117" s="185">
        <f t="shared" si="15"/>
        <v>-212</v>
      </c>
    </row>
    <row r="118" spans="1:22" ht="15.4" x14ac:dyDescent="0.45">
      <c r="A118" s="162"/>
      <c r="B118" s="77" t="s">
        <v>198</v>
      </c>
      <c r="C118" s="162">
        <v>801</v>
      </c>
      <c r="D118" s="78" t="s">
        <v>200</v>
      </c>
      <c r="E118" s="80">
        <v>1015</v>
      </c>
      <c r="F118" s="85">
        <v>1500</v>
      </c>
      <c r="G118" s="85">
        <v>619</v>
      </c>
      <c r="H118" s="85">
        <v>3</v>
      </c>
      <c r="I118" s="82">
        <v>23</v>
      </c>
      <c r="J118" s="185">
        <f t="shared" si="13"/>
        <v>3160</v>
      </c>
      <c r="K118" s="80">
        <v>1130</v>
      </c>
      <c r="L118" s="85">
        <v>1485</v>
      </c>
      <c r="M118" s="85">
        <v>662</v>
      </c>
      <c r="N118" s="85">
        <v>0</v>
      </c>
      <c r="O118" s="82">
        <v>0</v>
      </c>
      <c r="P118" s="185">
        <f t="shared" si="14"/>
        <v>3277</v>
      </c>
      <c r="Q118" s="185">
        <f t="shared" si="15"/>
        <v>117</v>
      </c>
    </row>
    <row r="119" spans="1:22" ht="15.4" x14ac:dyDescent="0.45">
      <c r="A119" s="162"/>
      <c r="B119" s="77" t="s">
        <v>198</v>
      </c>
      <c r="C119" s="162">
        <v>908</v>
      </c>
      <c r="D119" s="78" t="s">
        <v>201</v>
      </c>
      <c r="E119" s="80">
        <v>456</v>
      </c>
      <c r="F119" s="85">
        <v>1415</v>
      </c>
      <c r="G119" s="85">
        <v>479</v>
      </c>
      <c r="H119" s="85">
        <v>7</v>
      </c>
      <c r="I119" s="82">
        <v>31</v>
      </c>
      <c r="J119" s="185">
        <f t="shared" si="13"/>
        <v>2388</v>
      </c>
      <c r="K119" s="80">
        <v>431</v>
      </c>
      <c r="L119" s="85">
        <v>1412</v>
      </c>
      <c r="M119" s="85">
        <v>544</v>
      </c>
      <c r="N119" s="85">
        <v>0</v>
      </c>
      <c r="O119" s="82">
        <v>0</v>
      </c>
      <c r="P119" s="185">
        <f t="shared" si="14"/>
        <v>2387</v>
      </c>
      <c r="Q119" s="185">
        <f t="shared" si="15"/>
        <v>-1</v>
      </c>
    </row>
    <row r="120" spans="1:22" s="189" customFormat="1" ht="15.4" x14ac:dyDescent="0.45">
      <c r="A120" s="162"/>
      <c r="B120" s="77" t="s">
        <v>198</v>
      </c>
      <c r="C120" s="162">
        <v>878</v>
      </c>
      <c r="D120" s="78" t="s">
        <v>202</v>
      </c>
      <c r="E120" s="80">
        <v>1543</v>
      </c>
      <c r="F120" s="85">
        <v>3064</v>
      </c>
      <c r="G120" s="85">
        <v>669</v>
      </c>
      <c r="H120" s="85">
        <v>25</v>
      </c>
      <c r="I120" s="82">
        <v>156</v>
      </c>
      <c r="J120" s="185">
        <f t="shared" si="13"/>
        <v>5457</v>
      </c>
      <c r="K120" s="80">
        <v>1427</v>
      </c>
      <c r="L120" s="85">
        <v>3025</v>
      </c>
      <c r="M120" s="85">
        <v>496</v>
      </c>
      <c r="N120" s="85">
        <v>0</v>
      </c>
      <c r="O120" s="82">
        <v>0</v>
      </c>
      <c r="P120" s="185">
        <f t="shared" si="14"/>
        <v>4948</v>
      </c>
      <c r="Q120" s="185">
        <f t="shared" si="15"/>
        <v>-509</v>
      </c>
      <c r="S120"/>
      <c r="T120"/>
      <c r="U120"/>
      <c r="V120"/>
    </row>
    <row r="121" spans="1:22" ht="15.4" x14ac:dyDescent="0.45">
      <c r="A121" s="162"/>
      <c r="B121" s="188" t="s">
        <v>198</v>
      </c>
      <c r="C121" s="265">
        <v>838</v>
      </c>
      <c r="D121" s="266" t="s">
        <v>203</v>
      </c>
      <c r="E121" s="80">
        <v>740</v>
      </c>
      <c r="F121" s="85">
        <v>1053</v>
      </c>
      <c r="G121" s="85">
        <v>284.5</v>
      </c>
      <c r="H121" s="85">
        <v>41</v>
      </c>
      <c r="I121" s="82">
        <v>79.5</v>
      </c>
      <c r="J121" s="185">
        <f t="shared" si="13"/>
        <v>2198</v>
      </c>
      <c r="K121" s="80">
        <v>758</v>
      </c>
      <c r="L121" s="85">
        <v>1089</v>
      </c>
      <c r="M121" s="85">
        <v>244</v>
      </c>
      <c r="N121" s="85">
        <v>0</v>
      </c>
      <c r="O121" s="471">
        <v>0</v>
      </c>
      <c r="P121" s="185">
        <f t="shared" si="14"/>
        <v>2091</v>
      </c>
      <c r="Q121" s="267">
        <f t="shared" si="15"/>
        <v>-107</v>
      </c>
    </row>
    <row r="122" spans="1:22" ht="15.4" x14ac:dyDescent="0.45">
      <c r="A122" s="162"/>
      <c r="B122" s="77" t="s">
        <v>198</v>
      </c>
      <c r="C122" s="162">
        <v>916</v>
      </c>
      <c r="D122" s="78" t="s">
        <v>204</v>
      </c>
      <c r="E122" s="80">
        <v>1237</v>
      </c>
      <c r="F122" s="85">
        <v>1788.5</v>
      </c>
      <c r="G122" s="85">
        <v>395.5</v>
      </c>
      <c r="H122" s="85">
        <v>48</v>
      </c>
      <c r="I122" s="82">
        <v>79</v>
      </c>
      <c r="J122" s="185">
        <f t="shared" si="13"/>
        <v>3548</v>
      </c>
      <c r="K122" s="80">
        <v>1287</v>
      </c>
      <c r="L122" s="85">
        <v>1810.5</v>
      </c>
      <c r="M122" s="85">
        <v>260.5</v>
      </c>
      <c r="N122" s="85">
        <v>0</v>
      </c>
      <c r="O122" s="82">
        <v>0</v>
      </c>
      <c r="P122" s="185">
        <f t="shared" si="14"/>
        <v>3358</v>
      </c>
      <c r="Q122" s="185">
        <f t="shared" si="15"/>
        <v>-190</v>
      </c>
    </row>
    <row r="123" spans="1:22" ht="15.4" x14ac:dyDescent="0.45">
      <c r="A123" s="162"/>
      <c r="B123" s="77" t="s">
        <v>198</v>
      </c>
      <c r="C123" s="162">
        <v>802</v>
      </c>
      <c r="D123" s="78" t="s">
        <v>205</v>
      </c>
      <c r="E123" s="80">
        <v>426</v>
      </c>
      <c r="F123" s="85">
        <v>717</v>
      </c>
      <c r="G123" s="85">
        <v>369</v>
      </c>
      <c r="H123" s="85">
        <v>4</v>
      </c>
      <c r="I123" s="82">
        <v>17</v>
      </c>
      <c r="J123" s="185">
        <f t="shared" si="13"/>
        <v>1533</v>
      </c>
      <c r="K123" s="80">
        <v>382</v>
      </c>
      <c r="L123" s="85">
        <v>711</v>
      </c>
      <c r="M123" s="85">
        <v>392</v>
      </c>
      <c r="N123" s="85">
        <v>0</v>
      </c>
      <c r="O123" s="82">
        <v>0</v>
      </c>
      <c r="P123" s="185">
        <f t="shared" si="14"/>
        <v>1485</v>
      </c>
      <c r="Q123" s="185">
        <f t="shared" si="15"/>
        <v>-48</v>
      </c>
    </row>
    <row r="124" spans="1:22" ht="15.4" x14ac:dyDescent="0.45">
      <c r="A124" s="162"/>
      <c r="B124" s="77" t="s">
        <v>198</v>
      </c>
      <c r="C124" s="162">
        <v>879</v>
      </c>
      <c r="D124" s="78" t="s">
        <v>206</v>
      </c>
      <c r="E124" s="80">
        <v>637</v>
      </c>
      <c r="F124" s="85">
        <v>658</v>
      </c>
      <c r="G124" s="85">
        <v>179</v>
      </c>
      <c r="H124" s="85">
        <v>1</v>
      </c>
      <c r="I124" s="82">
        <v>49</v>
      </c>
      <c r="J124" s="185">
        <f t="shared" si="13"/>
        <v>1524</v>
      </c>
      <c r="K124" s="80">
        <v>706</v>
      </c>
      <c r="L124" s="85">
        <v>677</v>
      </c>
      <c r="M124" s="85">
        <v>211</v>
      </c>
      <c r="N124" s="85">
        <v>0</v>
      </c>
      <c r="O124" s="82">
        <v>0</v>
      </c>
      <c r="P124" s="185">
        <f t="shared" si="14"/>
        <v>1594</v>
      </c>
      <c r="Q124" s="185">
        <f t="shared" si="15"/>
        <v>70</v>
      </c>
    </row>
    <row r="125" spans="1:22" ht="15.4" x14ac:dyDescent="0.45">
      <c r="A125" s="162"/>
      <c r="B125" s="77" t="s">
        <v>198</v>
      </c>
      <c r="C125" s="162">
        <v>933</v>
      </c>
      <c r="D125" s="78" t="s">
        <v>207</v>
      </c>
      <c r="E125" s="80">
        <v>829</v>
      </c>
      <c r="F125" s="85">
        <v>1766</v>
      </c>
      <c r="G125" s="85">
        <v>430</v>
      </c>
      <c r="H125" s="85">
        <v>11</v>
      </c>
      <c r="I125" s="82">
        <v>48</v>
      </c>
      <c r="J125" s="185">
        <f t="shared" si="13"/>
        <v>3084</v>
      </c>
      <c r="K125" s="80">
        <v>845</v>
      </c>
      <c r="L125" s="85">
        <v>1750</v>
      </c>
      <c r="M125" s="85">
        <v>376</v>
      </c>
      <c r="N125" s="85">
        <v>0</v>
      </c>
      <c r="O125" s="82">
        <v>0</v>
      </c>
      <c r="P125" s="185">
        <f t="shared" si="14"/>
        <v>2971</v>
      </c>
      <c r="Q125" s="185">
        <f t="shared" si="15"/>
        <v>-113</v>
      </c>
    </row>
    <row r="126" spans="1:22" ht="15.4" x14ac:dyDescent="0.45">
      <c r="A126" s="162"/>
      <c r="B126" s="77" t="s">
        <v>198</v>
      </c>
      <c r="C126" s="162">
        <v>803</v>
      </c>
      <c r="D126" s="78" t="s">
        <v>208</v>
      </c>
      <c r="E126" s="80">
        <v>573</v>
      </c>
      <c r="F126" s="85">
        <v>928</v>
      </c>
      <c r="G126" s="85">
        <v>248.5</v>
      </c>
      <c r="H126" s="85">
        <v>8</v>
      </c>
      <c r="I126" s="82">
        <v>38.5</v>
      </c>
      <c r="J126" s="185">
        <f t="shared" si="13"/>
        <v>1796</v>
      </c>
      <c r="K126" s="80">
        <v>548</v>
      </c>
      <c r="L126" s="85">
        <v>920</v>
      </c>
      <c r="M126" s="85">
        <v>306.5</v>
      </c>
      <c r="N126" s="85">
        <v>0</v>
      </c>
      <c r="O126" s="82">
        <v>0</v>
      </c>
      <c r="P126" s="185">
        <f t="shared" si="14"/>
        <v>1774.5</v>
      </c>
      <c r="Q126" s="185">
        <f t="shared" si="15"/>
        <v>-21.5</v>
      </c>
    </row>
    <row r="127" spans="1:22" ht="15.4" x14ac:dyDescent="0.45">
      <c r="A127" s="162"/>
      <c r="B127" s="77" t="s">
        <v>198</v>
      </c>
      <c r="C127" s="162">
        <v>866</v>
      </c>
      <c r="D127" s="78" t="s">
        <v>209</v>
      </c>
      <c r="E127" s="80">
        <v>710.5</v>
      </c>
      <c r="F127" s="85">
        <v>864.5</v>
      </c>
      <c r="G127" s="85">
        <v>216</v>
      </c>
      <c r="H127" s="85">
        <v>9</v>
      </c>
      <c r="I127" s="82">
        <v>69</v>
      </c>
      <c r="J127" s="185">
        <f t="shared" si="13"/>
        <v>1869</v>
      </c>
      <c r="K127" s="80">
        <v>723.5</v>
      </c>
      <c r="L127" s="85">
        <v>849.5</v>
      </c>
      <c r="M127" s="85">
        <v>228</v>
      </c>
      <c r="N127" s="85">
        <v>0</v>
      </c>
      <c r="O127" s="82">
        <v>0</v>
      </c>
      <c r="P127" s="185">
        <f t="shared" si="14"/>
        <v>1801</v>
      </c>
      <c r="Q127" s="185">
        <f t="shared" si="15"/>
        <v>-68</v>
      </c>
    </row>
    <row r="128" spans="1:22" ht="15.4" x14ac:dyDescent="0.45">
      <c r="A128" s="162"/>
      <c r="B128" s="77" t="s">
        <v>198</v>
      </c>
      <c r="C128" s="162">
        <v>880</v>
      </c>
      <c r="D128" s="78" t="s">
        <v>210</v>
      </c>
      <c r="E128" s="80">
        <v>505</v>
      </c>
      <c r="F128" s="85">
        <v>478</v>
      </c>
      <c r="G128" s="85">
        <v>145</v>
      </c>
      <c r="H128" s="85">
        <v>3</v>
      </c>
      <c r="I128" s="82">
        <v>53</v>
      </c>
      <c r="J128" s="185">
        <f t="shared" si="13"/>
        <v>1184</v>
      </c>
      <c r="K128" s="80">
        <v>568</v>
      </c>
      <c r="L128" s="85">
        <v>483</v>
      </c>
      <c r="M128" s="85">
        <v>219</v>
      </c>
      <c r="N128" s="85">
        <v>0</v>
      </c>
      <c r="O128" s="82">
        <v>0</v>
      </c>
      <c r="P128" s="185">
        <f t="shared" si="14"/>
        <v>1270</v>
      </c>
      <c r="Q128" s="185">
        <f t="shared" si="15"/>
        <v>86</v>
      </c>
    </row>
    <row r="129" spans="1:17" ht="15.4" x14ac:dyDescent="0.45">
      <c r="A129" s="162"/>
      <c r="B129" s="77" t="s">
        <v>198</v>
      </c>
      <c r="C129" s="162">
        <v>865</v>
      </c>
      <c r="D129" s="78" t="s">
        <v>211</v>
      </c>
      <c r="E129" s="80">
        <v>924</v>
      </c>
      <c r="F129" s="85">
        <v>1921.5</v>
      </c>
      <c r="G129" s="85">
        <v>310</v>
      </c>
      <c r="H129" s="85">
        <v>15</v>
      </c>
      <c r="I129" s="82">
        <v>136</v>
      </c>
      <c r="J129" s="185">
        <f t="shared" si="13"/>
        <v>3306.5</v>
      </c>
      <c r="K129" s="80">
        <v>810</v>
      </c>
      <c r="L129" s="85">
        <v>1899.5</v>
      </c>
      <c r="M129" s="85">
        <v>305</v>
      </c>
      <c r="N129" s="85">
        <v>0</v>
      </c>
      <c r="O129" s="82">
        <v>0</v>
      </c>
      <c r="P129" s="185">
        <f t="shared" si="14"/>
        <v>3014.5</v>
      </c>
      <c r="Q129" s="185">
        <f t="shared" si="15"/>
        <v>-292</v>
      </c>
    </row>
    <row r="130" spans="1:17" ht="15.4" x14ac:dyDescent="0.45">
      <c r="A130" s="162"/>
      <c r="B130" s="77" t="s">
        <v>212</v>
      </c>
      <c r="C130" s="162">
        <v>330</v>
      </c>
      <c r="D130" s="78" t="s">
        <v>213</v>
      </c>
      <c r="E130" s="80">
        <v>4383.5</v>
      </c>
      <c r="F130" s="85">
        <v>1727.5</v>
      </c>
      <c r="G130" s="85">
        <v>444</v>
      </c>
      <c r="H130" s="85">
        <v>3</v>
      </c>
      <c r="I130" s="82">
        <v>480</v>
      </c>
      <c r="J130" s="185">
        <f t="shared" si="13"/>
        <v>7038</v>
      </c>
      <c r="K130" s="80">
        <v>4453</v>
      </c>
      <c r="L130" s="85">
        <v>1588.5</v>
      </c>
      <c r="M130" s="85">
        <v>330</v>
      </c>
      <c r="N130" s="85">
        <v>0</v>
      </c>
      <c r="O130" s="82">
        <v>0</v>
      </c>
      <c r="P130" s="185">
        <f t="shared" si="14"/>
        <v>6371.5</v>
      </c>
      <c r="Q130" s="185">
        <f t="shared" si="15"/>
        <v>-666.5</v>
      </c>
    </row>
    <row r="131" spans="1:17" ht="15.4" x14ac:dyDescent="0.45">
      <c r="A131" s="162"/>
      <c r="B131" s="77" t="s">
        <v>212</v>
      </c>
      <c r="C131" s="162">
        <v>331</v>
      </c>
      <c r="D131" s="78" t="s">
        <v>214</v>
      </c>
      <c r="E131" s="80">
        <v>1125</v>
      </c>
      <c r="F131" s="85">
        <v>702</v>
      </c>
      <c r="G131" s="85">
        <v>207</v>
      </c>
      <c r="H131" s="85">
        <v>2</v>
      </c>
      <c r="I131" s="82">
        <v>1</v>
      </c>
      <c r="J131" s="185">
        <f t="shared" si="13"/>
        <v>2037</v>
      </c>
      <c r="K131" s="80">
        <v>1095</v>
      </c>
      <c r="L131" s="85">
        <v>701</v>
      </c>
      <c r="M131" s="85">
        <v>349.5</v>
      </c>
      <c r="N131" s="85">
        <v>0</v>
      </c>
      <c r="O131" s="82">
        <v>0</v>
      </c>
      <c r="P131" s="185">
        <f t="shared" si="14"/>
        <v>2145.5</v>
      </c>
      <c r="Q131" s="185">
        <f t="shared" si="15"/>
        <v>108.5</v>
      </c>
    </row>
    <row r="132" spans="1:17" ht="15.4" x14ac:dyDescent="0.45">
      <c r="A132" s="162"/>
      <c r="B132" s="77" t="s">
        <v>212</v>
      </c>
      <c r="C132" s="162">
        <v>332</v>
      </c>
      <c r="D132" s="78" t="s">
        <v>215</v>
      </c>
      <c r="E132" s="80">
        <v>954</v>
      </c>
      <c r="F132" s="85">
        <v>601</v>
      </c>
      <c r="G132" s="85">
        <v>158</v>
      </c>
      <c r="H132" s="85">
        <v>2</v>
      </c>
      <c r="I132" s="82">
        <v>57</v>
      </c>
      <c r="J132" s="185">
        <f t="shared" si="13"/>
        <v>1772</v>
      </c>
      <c r="K132" s="80">
        <v>911</v>
      </c>
      <c r="L132" s="85">
        <v>595</v>
      </c>
      <c r="M132" s="85">
        <v>285</v>
      </c>
      <c r="N132" s="85">
        <v>0</v>
      </c>
      <c r="O132" s="82">
        <v>0</v>
      </c>
      <c r="P132" s="185">
        <f t="shared" si="14"/>
        <v>1791</v>
      </c>
      <c r="Q132" s="185">
        <f t="shared" si="15"/>
        <v>19</v>
      </c>
    </row>
    <row r="133" spans="1:17" ht="15.4" x14ac:dyDescent="0.45">
      <c r="A133" s="162"/>
      <c r="B133" s="77" t="s">
        <v>212</v>
      </c>
      <c r="C133" s="162">
        <v>884</v>
      </c>
      <c r="D133" s="78" t="s">
        <v>523</v>
      </c>
      <c r="E133" s="80">
        <v>364</v>
      </c>
      <c r="F133" s="85">
        <v>499</v>
      </c>
      <c r="G133" s="85">
        <v>75.5</v>
      </c>
      <c r="H133" s="85">
        <v>4</v>
      </c>
      <c r="I133" s="82">
        <v>38.5</v>
      </c>
      <c r="J133" s="185">
        <f t="shared" si="13"/>
        <v>981</v>
      </c>
      <c r="K133" s="80">
        <v>368</v>
      </c>
      <c r="L133" s="85">
        <v>502</v>
      </c>
      <c r="M133" s="85">
        <v>166.5</v>
      </c>
      <c r="N133" s="85">
        <v>0</v>
      </c>
      <c r="O133" s="82">
        <v>0</v>
      </c>
      <c r="P133" s="185">
        <f t="shared" si="14"/>
        <v>1036.5</v>
      </c>
      <c r="Q133" s="185">
        <f t="shared" si="15"/>
        <v>55.5</v>
      </c>
    </row>
    <row r="134" spans="1:17" ht="15.4" x14ac:dyDescent="0.45">
      <c r="A134" s="162"/>
      <c r="B134" s="77" t="s">
        <v>212</v>
      </c>
      <c r="C134" s="162">
        <v>333</v>
      </c>
      <c r="D134" s="78" t="s">
        <v>216</v>
      </c>
      <c r="E134" s="80">
        <v>693</v>
      </c>
      <c r="F134" s="85">
        <v>1301</v>
      </c>
      <c r="G134" s="85">
        <v>213.5</v>
      </c>
      <c r="H134" s="85">
        <v>0</v>
      </c>
      <c r="I134" s="82">
        <v>39</v>
      </c>
      <c r="J134" s="185">
        <f t="shared" si="13"/>
        <v>2246.5</v>
      </c>
      <c r="K134" s="80">
        <v>647</v>
      </c>
      <c r="L134" s="85">
        <v>1335</v>
      </c>
      <c r="M134" s="85">
        <v>270</v>
      </c>
      <c r="N134" s="85">
        <v>0</v>
      </c>
      <c r="O134" s="82">
        <v>0</v>
      </c>
      <c r="P134" s="185">
        <f t="shared" si="14"/>
        <v>2252</v>
      </c>
      <c r="Q134" s="185">
        <f t="shared" si="15"/>
        <v>5.5</v>
      </c>
    </row>
    <row r="135" spans="1:17" ht="15.4" x14ac:dyDescent="0.45">
      <c r="A135" s="162"/>
      <c r="B135" s="77" t="s">
        <v>212</v>
      </c>
      <c r="C135" s="162">
        <v>893</v>
      </c>
      <c r="D135" s="78" t="s">
        <v>217</v>
      </c>
      <c r="E135" s="80">
        <v>543</v>
      </c>
      <c r="F135" s="85">
        <v>712</v>
      </c>
      <c r="G135" s="85">
        <v>245</v>
      </c>
      <c r="H135" s="85">
        <v>2</v>
      </c>
      <c r="I135" s="82">
        <v>39</v>
      </c>
      <c r="J135" s="185">
        <f t="shared" si="13"/>
        <v>1541</v>
      </c>
      <c r="K135" s="80">
        <v>479</v>
      </c>
      <c r="L135" s="85">
        <v>717</v>
      </c>
      <c r="M135" s="85">
        <v>184</v>
      </c>
      <c r="N135" s="85">
        <v>0</v>
      </c>
      <c r="O135" s="82">
        <v>0</v>
      </c>
      <c r="P135" s="185">
        <f t="shared" si="14"/>
        <v>1380</v>
      </c>
      <c r="Q135" s="185">
        <f t="shared" si="15"/>
        <v>-161</v>
      </c>
    </row>
    <row r="136" spans="1:17" ht="15.4" x14ac:dyDescent="0.45">
      <c r="A136" s="162"/>
      <c r="B136" s="77" t="s">
        <v>212</v>
      </c>
      <c r="C136" s="162">
        <v>334</v>
      </c>
      <c r="D136" s="78" t="s">
        <v>218</v>
      </c>
      <c r="E136" s="80">
        <v>704</v>
      </c>
      <c r="F136" s="85">
        <v>585</v>
      </c>
      <c r="G136" s="85">
        <v>89</v>
      </c>
      <c r="H136" s="85">
        <v>0</v>
      </c>
      <c r="I136" s="82">
        <v>27</v>
      </c>
      <c r="J136" s="185">
        <f t="shared" si="13"/>
        <v>1405</v>
      </c>
      <c r="K136" s="80">
        <v>688</v>
      </c>
      <c r="L136" s="85">
        <v>681</v>
      </c>
      <c r="M136" s="85">
        <v>74.5</v>
      </c>
      <c r="N136" s="85">
        <v>0</v>
      </c>
      <c r="O136" s="82">
        <v>0</v>
      </c>
      <c r="P136" s="185">
        <f t="shared" si="14"/>
        <v>1443.5</v>
      </c>
      <c r="Q136" s="185">
        <f t="shared" si="15"/>
        <v>38.5</v>
      </c>
    </row>
    <row r="137" spans="1:17" ht="15.4" x14ac:dyDescent="0.45">
      <c r="A137" s="162"/>
      <c r="B137" s="77" t="s">
        <v>212</v>
      </c>
      <c r="C137" s="162">
        <v>860</v>
      </c>
      <c r="D137" s="78" t="s">
        <v>219</v>
      </c>
      <c r="E137" s="80">
        <v>2463</v>
      </c>
      <c r="F137" s="85">
        <v>1437</v>
      </c>
      <c r="G137" s="85">
        <v>351</v>
      </c>
      <c r="H137" s="85">
        <v>18</v>
      </c>
      <c r="I137" s="82">
        <v>138</v>
      </c>
      <c r="J137" s="185">
        <f t="shared" ref="J137:J158" si="16">SUM(E137:I137)</f>
        <v>4407</v>
      </c>
      <c r="K137" s="80">
        <v>2712</v>
      </c>
      <c r="L137" s="85">
        <v>1474</v>
      </c>
      <c r="M137" s="85">
        <v>373</v>
      </c>
      <c r="N137" s="85">
        <v>0</v>
      </c>
      <c r="O137" s="82">
        <v>0</v>
      </c>
      <c r="P137" s="185">
        <f t="shared" ref="P137:P158" si="17">SUM(K137:O137)</f>
        <v>4559</v>
      </c>
      <c r="Q137" s="185">
        <f t="shared" ref="Q137:Q158" si="18">P137 - J137</f>
        <v>152</v>
      </c>
    </row>
    <row r="138" spans="1:17" ht="15.4" x14ac:dyDescent="0.45">
      <c r="A138" s="162"/>
      <c r="B138" s="77" t="s">
        <v>212</v>
      </c>
      <c r="C138" s="162">
        <v>861</v>
      </c>
      <c r="D138" s="78" t="s">
        <v>220</v>
      </c>
      <c r="E138" s="80">
        <v>906</v>
      </c>
      <c r="F138" s="85">
        <v>691</v>
      </c>
      <c r="G138" s="85">
        <v>81</v>
      </c>
      <c r="H138" s="85">
        <v>4</v>
      </c>
      <c r="I138" s="82">
        <v>143</v>
      </c>
      <c r="J138" s="185">
        <f t="shared" si="16"/>
        <v>1825</v>
      </c>
      <c r="K138" s="80">
        <v>873</v>
      </c>
      <c r="L138" s="85">
        <v>645</v>
      </c>
      <c r="M138" s="85">
        <v>64</v>
      </c>
      <c r="N138" s="85">
        <v>0</v>
      </c>
      <c r="O138" s="82">
        <v>0</v>
      </c>
      <c r="P138" s="185">
        <f t="shared" si="17"/>
        <v>1582</v>
      </c>
      <c r="Q138" s="185">
        <f t="shared" si="18"/>
        <v>-243</v>
      </c>
    </row>
    <row r="139" spans="1:17" ht="15.4" x14ac:dyDescent="0.45">
      <c r="A139" s="162"/>
      <c r="B139" s="77" t="s">
        <v>212</v>
      </c>
      <c r="C139" s="162">
        <v>894</v>
      </c>
      <c r="D139" s="78" t="s">
        <v>221</v>
      </c>
      <c r="E139" s="80">
        <v>665</v>
      </c>
      <c r="F139" s="85">
        <v>473</v>
      </c>
      <c r="G139" s="85">
        <v>203</v>
      </c>
      <c r="H139" s="85">
        <v>0</v>
      </c>
      <c r="I139" s="82">
        <v>36</v>
      </c>
      <c r="J139" s="185">
        <f t="shared" si="16"/>
        <v>1377</v>
      </c>
      <c r="K139" s="80">
        <v>670</v>
      </c>
      <c r="L139" s="85">
        <v>462</v>
      </c>
      <c r="M139" s="85">
        <v>136</v>
      </c>
      <c r="N139" s="85">
        <v>0</v>
      </c>
      <c r="O139" s="82">
        <v>0</v>
      </c>
      <c r="P139" s="185">
        <f t="shared" si="17"/>
        <v>1268</v>
      </c>
      <c r="Q139" s="185">
        <f t="shared" si="18"/>
        <v>-109</v>
      </c>
    </row>
    <row r="140" spans="1:17" ht="15.4" x14ac:dyDescent="0.45">
      <c r="A140" s="162"/>
      <c r="B140" s="77" t="s">
        <v>212</v>
      </c>
      <c r="C140" s="162">
        <v>335</v>
      </c>
      <c r="D140" s="78" t="s">
        <v>222</v>
      </c>
      <c r="E140" s="80">
        <v>789</v>
      </c>
      <c r="F140" s="85">
        <v>1004</v>
      </c>
      <c r="G140" s="85">
        <v>157</v>
      </c>
      <c r="H140" s="85">
        <v>4</v>
      </c>
      <c r="I140" s="82">
        <v>26.5</v>
      </c>
      <c r="J140" s="185">
        <f t="shared" si="16"/>
        <v>1980.5</v>
      </c>
      <c r="K140" s="80">
        <v>749</v>
      </c>
      <c r="L140" s="85">
        <v>1009</v>
      </c>
      <c r="M140" s="85">
        <v>161.5</v>
      </c>
      <c r="N140" s="85">
        <v>0</v>
      </c>
      <c r="O140" s="82">
        <v>0</v>
      </c>
      <c r="P140" s="185">
        <f t="shared" si="17"/>
        <v>1919.5</v>
      </c>
      <c r="Q140" s="185">
        <f t="shared" si="18"/>
        <v>-61</v>
      </c>
    </row>
    <row r="141" spans="1:17" ht="15.4" x14ac:dyDescent="0.45">
      <c r="A141" s="162"/>
      <c r="B141" s="77" t="s">
        <v>212</v>
      </c>
      <c r="C141" s="162">
        <v>937</v>
      </c>
      <c r="D141" s="78" t="s">
        <v>223</v>
      </c>
      <c r="E141" s="80">
        <v>1575.5</v>
      </c>
      <c r="F141" s="85">
        <v>1189</v>
      </c>
      <c r="G141" s="85">
        <v>371</v>
      </c>
      <c r="H141" s="85">
        <v>14</v>
      </c>
      <c r="I141" s="82">
        <v>49</v>
      </c>
      <c r="J141" s="185">
        <f t="shared" si="16"/>
        <v>3198.5</v>
      </c>
      <c r="K141" s="80">
        <v>1645.5</v>
      </c>
      <c r="L141" s="85">
        <v>1238</v>
      </c>
      <c r="M141" s="85">
        <v>420.5</v>
      </c>
      <c r="N141" s="85">
        <v>0</v>
      </c>
      <c r="O141" s="82">
        <v>0</v>
      </c>
      <c r="P141" s="185">
        <f t="shared" si="17"/>
        <v>3304</v>
      </c>
      <c r="Q141" s="185">
        <f t="shared" si="18"/>
        <v>105.5</v>
      </c>
    </row>
    <row r="142" spans="1:17" ht="15.4" x14ac:dyDescent="0.45">
      <c r="A142" s="162"/>
      <c r="B142" s="77" t="s">
        <v>212</v>
      </c>
      <c r="C142" s="162">
        <v>336</v>
      </c>
      <c r="D142" s="78" t="s">
        <v>224</v>
      </c>
      <c r="E142" s="80">
        <v>957</v>
      </c>
      <c r="F142" s="85">
        <v>633.5</v>
      </c>
      <c r="G142" s="85">
        <v>40</v>
      </c>
      <c r="H142" s="85">
        <v>0</v>
      </c>
      <c r="I142" s="82">
        <v>44</v>
      </c>
      <c r="J142" s="185">
        <f t="shared" si="16"/>
        <v>1674.5</v>
      </c>
      <c r="K142" s="80">
        <v>964</v>
      </c>
      <c r="L142" s="85">
        <v>633.5</v>
      </c>
      <c r="M142" s="85">
        <v>4</v>
      </c>
      <c r="N142" s="85">
        <v>0</v>
      </c>
      <c r="O142" s="82">
        <v>0</v>
      </c>
      <c r="P142" s="185">
        <f t="shared" si="17"/>
        <v>1601.5</v>
      </c>
      <c r="Q142" s="185">
        <f t="shared" si="18"/>
        <v>-73</v>
      </c>
    </row>
    <row r="143" spans="1:17" ht="15.4" x14ac:dyDescent="0.45">
      <c r="A143" s="162"/>
      <c r="B143" s="77" t="s">
        <v>212</v>
      </c>
      <c r="C143" s="162">
        <v>885</v>
      </c>
      <c r="D143" s="78" t="s">
        <v>225</v>
      </c>
      <c r="E143" s="80">
        <v>1614</v>
      </c>
      <c r="F143" s="85">
        <v>1187</v>
      </c>
      <c r="G143" s="85">
        <v>350</v>
      </c>
      <c r="H143" s="85">
        <v>14</v>
      </c>
      <c r="I143" s="82">
        <v>177</v>
      </c>
      <c r="J143" s="185">
        <f t="shared" si="16"/>
        <v>3342</v>
      </c>
      <c r="K143" s="80">
        <v>1589</v>
      </c>
      <c r="L143" s="85">
        <v>1171</v>
      </c>
      <c r="M143" s="85">
        <v>261</v>
      </c>
      <c r="N143" s="85">
        <v>0</v>
      </c>
      <c r="O143" s="82">
        <v>0</v>
      </c>
      <c r="P143" s="185">
        <f t="shared" si="17"/>
        <v>3021</v>
      </c>
      <c r="Q143" s="185">
        <f t="shared" si="18"/>
        <v>-321</v>
      </c>
    </row>
    <row r="144" spans="1:17" ht="15.4" x14ac:dyDescent="0.45">
      <c r="A144" s="162"/>
      <c r="B144" s="77" t="s">
        <v>226</v>
      </c>
      <c r="C144" s="162">
        <v>370</v>
      </c>
      <c r="D144" s="78" t="s">
        <v>227</v>
      </c>
      <c r="E144" s="80">
        <v>507</v>
      </c>
      <c r="F144" s="85">
        <v>904</v>
      </c>
      <c r="G144" s="85">
        <v>294</v>
      </c>
      <c r="H144" s="85">
        <v>24</v>
      </c>
      <c r="I144" s="82">
        <v>17</v>
      </c>
      <c r="J144" s="185">
        <f t="shared" si="16"/>
        <v>1746</v>
      </c>
      <c r="K144" s="80">
        <v>450</v>
      </c>
      <c r="L144" s="85">
        <v>877</v>
      </c>
      <c r="M144" s="85">
        <v>338</v>
      </c>
      <c r="N144" s="85">
        <v>0</v>
      </c>
      <c r="O144" s="82">
        <v>0</v>
      </c>
      <c r="P144" s="185">
        <f t="shared" si="17"/>
        <v>1665</v>
      </c>
      <c r="Q144" s="185">
        <f t="shared" si="18"/>
        <v>-81</v>
      </c>
    </row>
    <row r="145" spans="1:17" ht="15.4" x14ac:dyDescent="0.45">
      <c r="A145" s="162"/>
      <c r="B145" s="77" t="s">
        <v>226</v>
      </c>
      <c r="C145" s="162">
        <v>380</v>
      </c>
      <c r="D145" s="78" t="s">
        <v>228</v>
      </c>
      <c r="E145" s="80">
        <v>1464.5</v>
      </c>
      <c r="F145" s="85">
        <v>2073</v>
      </c>
      <c r="G145" s="85">
        <v>443</v>
      </c>
      <c r="H145" s="85">
        <v>30</v>
      </c>
      <c r="I145" s="82">
        <v>26</v>
      </c>
      <c r="J145" s="185">
        <f t="shared" si="16"/>
        <v>4036.5</v>
      </c>
      <c r="K145" s="80">
        <v>1448.5</v>
      </c>
      <c r="L145" s="85">
        <v>2001</v>
      </c>
      <c r="M145" s="85">
        <v>344</v>
      </c>
      <c r="N145" s="85">
        <v>0</v>
      </c>
      <c r="O145" s="82">
        <v>0</v>
      </c>
      <c r="P145" s="185">
        <f t="shared" si="17"/>
        <v>3793.5</v>
      </c>
      <c r="Q145" s="185">
        <f t="shared" si="18"/>
        <v>-243</v>
      </c>
    </row>
    <row r="146" spans="1:17" ht="15.4" x14ac:dyDescent="0.45">
      <c r="A146" s="162"/>
      <c r="B146" s="77" t="s">
        <v>226</v>
      </c>
      <c r="C146" s="162">
        <v>381</v>
      </c>
      <c r="D146" s="78" t="s">
        <v>229</v>
      </c>
      <c r="E146" s="80">
        <v>420</v>
      </c>
      <c r="F146" s="85">
        <v>655</v>
      </c>
      <c r="G146" s="85">
        <v>120</v>
      </c>
      <c r="H146" s="85">
        <v>6</v>
      </c>
      <c r="I146" s="82">
        <v>0</v>
      </c>
      <c r="J146" s="185">
        <f t="shared" si="16"/>
        <v>1201</v>
      </c>
      <c r="K146" s="80">
        <v>405</v>
      </c>
      <c r="L146" s="85">
        <v>677</v>
      </c>
      <c r="M146" s="85">
        <v>86</v>
      </c>
      <c r="N146" s="85">
        <v>0</v>
      </c>
      <c r="O146" s="82">
        <v>0</v>
      </c>
      <c r="P146" s="185">
        <f t="shared" si="17"/>
        <v>1168</v>
      </c>
      <c r="Q146" s="185">
        <f t="shared" si="18"/>
        <v>-33</v>
      </c>
    </row>
    <row r="147" spans="1:17" ht="15.4" x14ac:dyDescent="0.45">
      <c r="A147" s="162"/>
      <c r="B147" s="77" t="s">
        <v>226</v>
      </c>
      <c r="C147" s="162">
        <v>371</v>
      </c>
      <c r="D147" s="78" t="s">
        <v>230</v>
      </c>
      <c r="E147" s="80">
        <v>645.5</v>
      </c>
      <c r="F147" s="85">
        <v>733</v>
      </c>
      <c r="G147" s="85">
        <v>100.5</v>
      </c>
      <c r="H147" s="85">
        <v>12</v>
      </c>
      <c r="I147" s="82">
        <v>93.5</v>
      </c>
      <c r="J147" s="185">
        <f t="shared" si="16"/>
        <v>1584.5</v>
      </c>
      <c r="K147" s="80">
        <v>623</v>
      </c>
      <c r="L147" s="85">
        <v>723</v>
      </c>
      <c r="M147" s="85">
        <v>162.5</v>
      </c>
      <c r="N147" s="85">
        <v>0</v>
      </c>
      <c r="O147" s="82">
        <v>0</v>
      </c>
      <c r="P147" s="185">
        <f t="shared" si="17"/>
        <v>1508.5</v>
      </c>
      <c r="Q147" s="185">
        <f t="shared" si="18"/>
        <v>-76</v>
      </c>
    </row>
    <row r="148" spans="1:17" ht="15.4" x14ac:dyDescent="0.45">
      <c r="A148" s="162"/>
      <c r="B148" s="77" t="s">
        <v>226</v>
      </c>
      <c r="C148" s="162">
        <v>811</v>
      </c>
      <c r="D148" s="78" t="s">
        <v>231</v>
      </c>
      <c r="E148" s="80">
        <v>484</v>
      </c>
      <c r="F148" s="85">
        <v>1158</v>
      </c>
      <c r="G148" s="85">
        <v>211</v>
      </c>
      <c r="H148" s="85">
        <v>2</v>
      </c>
      <c r="I148" s="82">
        <v>32</v>
      </c>
      <c r="J148" s="185">
        <f t="shared" si="16"/>
        <v>1887</v>
      </c>
      <c r="K148" s="80">
        <v>416</v>
      </c>
      <c r="L148" s="85">
        <v>1176</v>
      </c>
      <c r="M148" s="85">
        <v>137</v>
      </c>
      <c r="N148" s="85">
        <v>0</v>
      </c>
      <c r="O148" s="82">
        <v>0</v>
      </c>
      <c r="P148" s="185">
        <f t="shared" si="17"/>
        <v>1729</v>
      </c>
      <c r="Q148" s="185">
        <f t="shared" si="18"/>
        <v>-158</v>
      </c>
    </row>
    <row r="149" spans="1:17" ht="15.4" x14ac:dyDescent="0.45">
      <c r="A149" s="162"/>
      <c r="B149" s="77" t="s">
        <v>226</v>
      </c>
      <c r="C149" s="162">
        <v>810</v>
      </c>
      <c r="D149" s="78" t="s">
        <v>232</v>
      </c>
      <c r="E149" s="80">
        <v>679.5</v>
      </c>
      <c r="F149" s="85">
        <v>742.5</v>
      </c>
      <c r="G149" s="85">
        <v>161</v>
      </c>
      <c r="H149" s="85">
        <v>1</v>
      </c>
      <c r="I149" s="82">
        <v>4</v>
      </c>
      <c r="J149" s="185">
        <f t="shared" si="16"/>
        <v>1588</v>
      </c>
      <c r="K149" s="80">
        <v>722.5</v>
      </c>
      <c r="L149" s="85">
        <v>726.5</v>
      </c>
      <c r="M149" s="85">
        <v>101</v>
      </c>
      <c r="N149" s="85">
        <v>0</v>
      </c>
      <c r="O149" s="82">
        <v>0</v>
      </c>
      <c r="P149" s="185">
        <f t="shared" si="17"/>
        <v>1550</v>
      </c>
      <c r="Q149" s="185">
        <f t="shared" si="18"/>
        <v>-38</v>
      </c>
    </row>
    <row r="150" spans="1:17" ht="15.4" x14ac:dyDescent="0.45">
      <c r="A150" s="162"/>
      <c r="B150" s="77" t="s">
        <v>226</v>
      </c>
      <c r="C150" s="162">
        <v>382</v>
      </c>
      <c r="D150" s="78" t="s">
        <v>233</v>
      </c>
      <c r="E150" s="80">
        <v>788</v>
      </c>
      <c r="F150" s="85">
        <v>1415</v>
      </c>
      <c r="G150" s="85">
        <v>551</v>
      </c>
      <c r="H150" s="85">
        <v>50</v>
      </c>
      <c r="I150" s="82">
        <v>22</v>
      </c>
      <c r="J150" s="185">
        <f t="shared" si="16"/>
        <v>2826</v>
      </c>
      <c r="K150" s="80">
        <v>780</v>
      </c>
      <c r="L150" s="85">
        <v>1397</v>
      </c>
      <c r="M150" s="85">
        <v>549</v>
      </c>
      <c r="N150" s="85">
        <v>0</v>
      </c>
      <c r="O150" s="82">
        <v>0</v>
      </c>
      <c r="P150" s="185">
        <f t="shared" si="17"/>
        <v>2726</v>
      </c>
      <c r="Q150" s="185">
        <f t="shared" si="18"/>
        <v>-100</v>
      </c>
    </row>
    <row r="151" spans="1:17" ht="15.4" x14ac:dyDescent="0.45">
      <c r="A151" s="162"/>
      <c r="B151" s="77" t="s">
        <v>226</v>
      </c>
      <c r="C151" s="162">
        <v>383</v>
      </c>
      <c r="D151" s="78" t="s">
        <v>234</v>
      </c>
      <c r="E151" s="80">
        <v>1667.5</v>
      </c>
      <c r="F151" s="85">
        <v>2689</v>
      </c>
      <c r="G151" s="85">
        <v>574</v>
      </c>
      <c r="H151" s="85">
        <v>45.5</v>
      </c>
      <c r="I151" s="82">
        <v>137</v>
      </c>
      <c r="J151" s="185">
        <f t="shared" si="16"/>
        <v>5113</v>
      </c>
      <c r="K151" s="80">
        <v>1700.5</v>
      </c>
      <c r="L151" s="85">
        <v>2728</v>
      </c>
      <c r="M151" s="85">
        <v>619.5</v>
      </c>
      <c r="N151" s="85">
        <v>0</v>
      </c>
      <c r="O151" s="82">
        <v>0</v>
      </c>
      <c r="P151" s="185">
        <f t="shared" si="17"/>
        <v>5048</v>
      </c>
      <c r="Q151" s="185">
        <f t="shared" si="18"/>
        <v>-65</v>
      </c>
    </row>
    <row r="152" spans="1:17" ht="15.4" x14ac:dyDescent="0.45">
      <c r="A152" s="162"/>
      <c r="B152" s="77" t="s">
        <v>226</v>
      </c>
      <c r="C152" s="162">
        <v>812</v>
      </c>
      <c r="D152" s="78" t="s">
        <v>235</v>
      </c>
      <c r="E152" s="80">
        <v>342</v>
      </c>
      <c r="F152" s="85">
        <v>378</v>
      </c>
      <c r="G152" s="85">
        <v>19</v>
      </c>
      <c r="H152" s="85">
        <v>13</v>
      </c>
      <c r="I152" s="82">
        <v>45</v>
      </c>
      <c r="J152" s="185">
        <f t="shared" si="16"/>
        <v>797</v>
      </c>
      <c r="K152" s="80">
        <v>356</v>
      </c>
      <c r="L152" s="85">
        <v>375</v>
      </c>
      <c r="M152" s="85">
        <v>167</v>
      </c>
      <c r="N152" s="85">
        <v>0</v>
      </c>
      <c r="O152" s="82">
        <v>0</v>
      </c>
      <c r="P152" s="185">
        <f t="shared" si="17"/>
        <v>898</v>
      </c>
      <c r="Q152" s="185">
        <f t="shared" si="18"/>
        <v>101</v>
      </c>
    </row>
    <row r="153" spans="1:17" ht="15.4" x14ac:dyDescent="0.45">
      <c r="A153" s="162"/>
      <c r="B153" s="77" t="s">
        <v>226</v>
      </c>
      <c r="C153" s="162">
        <v>813</v>
      </c>
      <c r="D153" s="78" t="s">
        <v>236</v>
      </c>
      <c r="E153" s="80">
        <v>316</v>
      </c>
      <c r="F153" s="85">
        <v>361</v>
      </c>
      <c r="G153" s="85">
        <v>97</v>
      </c>
      <c r="H153" s="85">
        <v>3</v>
      </c>
      <c r="I153" s="82">
        <v>4</v>
      </c>
      <c r="J153" s="185">
        <f t="shared" si="16"/>
        <v>781</v>
      </c>
      <c r="K153" s="80">
        <v>303</v>
      </c>
      <c r="L153" s="85">
        <v>380</v>
      </c>
      <c r="M153" s="85">
        <v>27</v>
      </c>
      <c r="N153" s="85">
        <v>0</v>
      </c>
      <c r="O153" s="82">
        <v>0</v>
      </c>
      <c r="P153" s="185">
        <f t="shared" si="17"/>
        <v>710</v>
      </c>
      <c r="Q153" s="185">
        <f t="shared" si="18"/>
        <v>-71</v>
      </c>
    </row>
    <row r="154" spans="1:17" ht="15.4" x14ac:dyDescent="0.45">
      <c r="A154" s="162"/>
      <c r="B154" s="77" t="s">
        <v>226</v>
      </c>
      <c r="C154" s="162">
        <v>815</v>
      </c>
      <c r="D154" s="78" t="s">
        <v>237</v>
      </c>
      <c r="E154" s="80">
        <v>1084</v>
      </c>
      <c r="F154" s="85">
        <v>1264</v>
      </c>
      <c r="G154" s="85">
        <v>336.5</v>
      </c>
      <c r="H154" s="85">
        <v>46</v>
      </c>
      <c r="I154" s="82">
        <v>42.5</v>
      </c>
      <c r="J154" s="185">
        <f t="shared" si="16"/>
        <v>2773</v>
      </c>
      <c r="K154" s="80">
        <v>1037</v>
      </c>
      <c r="L154" s="85">
        <v>1278</v>
      </c>
      <c r="M154" s="85">
        <v>259.5</v>
      </c>
      <c r="N154" s="85">
        <v>0</v>
      </c>
      <c r="O154" s="82">
        <v>0</v>
      </c>
      <c r="P154" s="185">
        <f t="shared" si="17"/>
        <v>2574.5</v>
      </c>
      <c r="Q154" s="185">
        <f t="shared" si="18"/>
        <v>-198.5</v>
      </c>
    </row>
    <row r="155" spans="1:17" ht="15.4" x14ac:dyDescent="0.45">
      <c r="A155" s="162"/>
      <c r="B155" s="77" t="s">
        <v>226</v>
      </c>
      <c r="C155" s="162">
        <v>372</v>
      </c>
      <c r="D155" s="78" t="s">
        <v>238</v>
      </c>
      <c r="E155" s="80">
        <v>823.5</v>
      </c>
      <c r="F155" s="85">
        <v>641</v>
      </c>
      <c r="G155" s="85">
        <v>148</v>
      </c>
      <c r="H155" s="85">
        <v>4</v>
      </c>
      <c r="I155" s="82">
        <v>79</v>
      </c>
      <c r="J155" s="185">
        <f t="shared" si="16"/>
        <v>1695.5</v>
      </c>
      <c r="K155" s="80">
        <v>909</v>
      </c>
      <c r="L155" s="85">
        <v>682</v>
      </c>
      <c r="M155" s="85">
        <v>225</v>
      </c>
      <c r="N155" s="85">
        <v>0</v>
      </c>
      <c r="O155" s="82">
        <v>0</v>
      </c>
      <c r="P155" s="185">
        <f t="shared" si="17"/>
        <v>1816</v>
      </c>
      <c r="Q155" s="185">
        <f t="shared" si="18"/>
        <v>120.5</v>
      </c>
    </row>
    <row r="156" spans="1:17" ht="15.4" x14ac:dyDescent="0.45">
      <c r="A156" s="162"/>
      <c r="B156" s="77" t="s">
        <v>226</v>
      </c>
      <c r="C156" s="162">
        <v>373</v>
      </c>
      <c r="D156" s="78" t="s">
        <v>239</v>
      </c>
      <c r="E156" s="80">
        <v>1297</v>
      </c>
      <c r="F156" s="85">
        <v>616</v>
      </c>
      <c r="G156" s="85">
        <v>397</v>
      </c>
      <c r="H156" s="85">
        <v>29</v>
      </c>
      <c r="I156" s="82">
        <v>29</v>
      </c>
      <c r="J156" s="185">
        <f t="shared" si="16"/>
        <v>2368</v>
      </c>
      <c r="K156" s="80">
        <v>1306.5</v>
      </c>
      <c r="L156" s="85">
        <v>596</v>
      </c>
      <c r="M156" s="85">
        <v>385</v>
      </c>
      <c r="N156" s="85">
        <v>0</v>
      </c>
      <c r="O156" s="82">
        <v>0</v>
      </c>
      <c r="P156" s="185">
        <f t="shared" si="17"/>
        <v>2287.5</v>
      </c>
      <c r="Q156" s="185">
        <f t="shared" si="18"/>
        <v>-80.5</v>
      </c>
    </row>
    <row r="157" spans="1:17" ht="15.4" x14ac:dyDescent="0.45">
      <c r="A157" s="162"/>
      <c r="B157" s="77" t="s">
        <v>226</v>
      </c>
      <c r="C157" s="162">
        <v>384</v>
      </c>
      <c r="D157" s="78" t="s">
        <v>240</v>
      </c>
      <c r="E157" s="80">
        <v>564.5</v>
      </c>
      <c r="F157" s="85">
        <v>1101</v>
      </c>
      <c r="G157" s="85">
        <v>213</v>
      </c>
      <c r="H157" s="85">
        <v>6</v>
      </c>
      <c r="I157" s="82">
        <v>36</v>
      </c>
      <c r="J157" s="185">
        <f t="shared" si="16"/>
        <v>1920.5</v>
      </c>
      <c r="K157" s="80">
        <v>571</v>
      </c>
      <c r="L157" s="85">
        <v>1108</v>
      </c>
      <c r="M157" s="85">
        <v>221</v>
      </c>
      <c r="N157" s="85">
        <v>0</v>
      </c>
      <c r="O157" s="82">
        <v>0</v>
      </c>
      <c r="P157" s="185">
        <f t="shared" si="17"/>
        <v>1900</v>
      </c>
      <c r="Q157" s="185">
        <f t="shared" si="18"/>
        <v>-20.5</v>
      </c>
    </row>
    <row r="158" spans="1:17" ht="15.4" x14ac:dyDescent="0.45">
      <c r="A158" s="162"/>
      <c r="B158" s="77" t="s">
        <v>226</v>
      </c>
      <c r="C158" s="162">
        <v>816</v>
      </c>
      <c r="D158" s="78" t="s">
        <v>241</v>
      </c>
      <c r="E158" s="80">
        <v>227</v>
      </c>
      <c r="F158" s="85">
        <v>362</v>
      </c>
      <c r="G158" s="85">
        <v>117</v>
      </c>
      <c r="H158" s="85">
        <v>2</v>
      </c>
      <c r="I158" s="82">
        <v>11</v>
      </c>
      <c r="J158" s="185">
        <f t="shared" si="16"/>
        <v>719</v>
      </c>
      <c r="K158" s="80">
        <v>286</v>
      </c>
      <c r="L158" s="85">
        <v>373</v>
      </c>
      <c r="M158" s="85">
        <v>250.5</v>
      </c>
      <c r="N158" s="85">
        <v>0</v>
      </c>
      <c r="O158" s="82">
        <v>0</v>
      </c>
      <c r="P158" s="185">
        <f t="shared" si="17"/>
        <v>909.5</v>
      </c>
      <c r="Q158" s="185">
        <f t="shared" si="18"/>
        <v>190.5</v>
      </c>
    </row>
    <row r="159" spans="1:17" ht="15.75" thickBot="1" x14ac:dyDescent="0.5">
      <c r="A159" s="162"/>
      <c r="B159" s="90" t="s">
        <v>14</v>
      </c>
      <c r="C159" s="172">
        <v>9999</v>
      </c>
      <c r="D159" s="92" t="s">
        <v>14</v>
      </c>
      <c r="E159" s="94">
        <v>0</v>
      </c>
      <c r="F159" s="97">
        <v>0</v>
      </c>
      <c r="G159" s="97">
        <v>0</v>
      </c>
      <c r="H159" s="97">
        <v>0</v>
      </c>
      <c r="I159" s="96">
        <v>0</v>
      </c>
      <c r="J159" s="190">
        <f t="shared" ref="J159" si="19">SUM(E159:I159)</f>
        <v>0</v>
      </c>
      <c r="K159" s="191">
        <v>0</v>
      </c>
      <c r="L159" s="192">
        <v>0</v>
      </c>
      <c r="M159" s="192">
        <v>0</v>
      </c>
      <c r="N159" s="97">
        <v>3836.75</v>
      </c>
      <c r="O159" s="96">
        <v>7706.5</v>
      </c>
      <c r="P159" s="190">
        <f t="shared" ref="P159" si="20">SUM(K159:O159)</f>
        <v>11543.25</v>
      </c>
      <c r="Q159" s="190">
        <f t="shared" ref="Q159" si="21">P159 - J159</f>
        <v>11543.25</v>
      </c>
    </row>
  </sheetData>
  <sortState xmlns:xlrd2="http://schemas.microsoft.com/office/spreadsheetml/2017/richdata2" ref="B9:D18">
    <sortCondition ref="D9:D18"/>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6B0942CD5D9A45BDD9F7FD0360DB77" ma:contentTypeVersion="14" ma:contentTypeDescription="Create a new document." ma:contentTypeScope="" ma:versionID="064ada7d554db960b4ae9ceba0985b7e">
  <xsd:schema xmlns:xsd="http://www.w3.org/2001/XMLSchema" xmlns:xs="http://www.w3.org/2001/XMLSchema" xmlns:p="http://schemas.microsoft.com/office/2006/metadata/properties" xmlns:ns2="075f0024-1ef3-4388-a12f-6b3dbe873bc5" xmlns:ns3="5f633878-cdf3-4c8f-9aa8-535ead00829d" targetNamespace="http://schemas.microsoft.com/office/2006/metadata/properties" ma:root="true" ma:fieldsID="3cf43f6752009647d80ac35e3157140e" ns2:_="" ns3:_="">
    <xsd:import namespace="075f0024-1ef3-4388-a12f-6b3dbe873bc5"/>
    <xsd:import namespace="5f633878-cdf3-4c8f-9aa8-535ead00829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2:_dlc_DocId" minOccurs="0"/>
                <xsd:element ref="ns2:_dlc_DocIdUrl" minOccurs="0"/>
                <xsd:element ref="ns2:_dlc_DocIdPersistId" minOccurs="0"/>
                <xsd:element ref="ns3:MediaServiceLocation" minOccurs="0"/>
                <xsd:element ref="ns3:HNT"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5f0024-1ef3-4388-a12f-6b3dbe873b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f633878-cdf3-4c8f-9aa8-535ead00829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HNT" ma:index="23" nillable="true" ma:displayName="HNT" ma:default="0" ma:format="Dropdown" ma:indexed="true" ma:internalName="HNT">
      <xsd:simpleType>
        <xsd:restriction base="dms:Boolean"/>
      </xsd:simpleType>
    </xsd:element>
    <xsd:element name="MediaLengthInSeconds" ma:index="2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75f0024-1ef3-4388-a12f-6b3dbe873bc5">IFADOCS-634726643-399819</_dlc_DocId>
    <_dlc_DocIdUrl xmlns="075f0024-1ef3-4388-a12f-6b3dbe873bc5">
      <Url>https://educationgovuk.sharepoint.com/sites/ifdanalysis/_layouts/15/DocIdRedir.aspx?ID=IFADOCS-634726643-399819</Url>
      <Description>IFADOCS-634726643-399819</Description>
    </_dlc_DocIdUrl>
    <SharedWithUsers xmlns="075f0024-1ef3-4388-a12f-6b3dbe873bc5">
      <UserInfo>
        <DisplayName>EWENS, Russell</DisplayName>
        <AccountId>182</AccountId>
        <AccountType/>
      </UserInfo>
      <UserInfo>
        <DisplayName>DOSHI, Riya</DisplayName>
        <AccountId>145</AccountId>
        <AccountType/>
      </UserInfo>
      <UserInfo>
        <DisplayName>TAYLOR, Niall</DisplayName>
        <AccountId>111</AccountId>
        <AccountType/>
      </UserInfo>
      <UserInfo>
        <DisplayName>THAIR, Tim</DisplayName>
        <AccountId>67</AccountId>
        <AccountType/>
      </UserInfo>
      <UserInfo>
        <DisplayName>INWOOD, Jennifer</DisplayName>
        <AccountId>112</AccountId>
        <AccountType/>
      </UserInfo>
      <UserInfo>
        <DisplayName>LUCAS, Paul</DisplayName>
        <AccountId>54</AccountId>
        <AccountType/>
      </UserInfo>
      <UserInfo>
        <DisplayName>SARATOON, Teedah</DisplayName>
        <AccountId>49</AccountId>
        <AccountType/>
      </UserInfo>
      <UserInfo>
        <DisplayName>OLUKOYA, Lauren</DisplayName>
        <AccountId>973</AccountId>
        <AccountType/>
      </UserInfo>
      <UserInfo>
        <DisplayName>PRATLEY, Harriet</DisplayName>
        <AccountId>662</AccountId>
        <AccountType/>
      </UserInfo>
      <UserInfo>
        <DisplayName>HEALEY, William</DisplayName>
        <AccountId>281</AccountId>
        <AccountType/>
      </UserInfo>
      <UserInfo>
        <DisplayName>HAMPSON, Simon</DisplayName>
        <AccountId>710</AccountId>
        <AccountType/>
      </UserInfo>
      <UserInfo>
        <DisplayName>GOLDMAN, Tom</DisplayName>
        <AccountId>235</AccountId>
        <AccountType/>
      </UserInfo>
      <UserInfo>
        <DisplayName>TADD, Rachel</DisplayName>
        <AccountId>129</AccountId>
        <AccountType/>
      </UserInfo>
      <UserInfo>
        <DisplayName>BRENNAN, Maria</DisplayName>
        <AccountId>247</AccountId>
        <AccountType/>
      </UserInfo>
      <UserInfo>
        <DisplayName>BROOKES, Emma</DisplayName>
        <AccountId>114</AccountId>
        <AccountType/>
      </UserInfo>
    </SharedWithUsers>
    <HNT xmlns="5f633878-cdf3-4c8f-9aa8-535ead00829d">false</HNT>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41727B2-B46E-49E4-A4FA-4EADDE23DA27}">
  <ds:schemaRefs>
    <ds:schemaRef ds:uri="http://schemas.microsoft.com/sharepoint/v3/contenttype/forms"/>
  </ds:schemaRefs>
</ds:datastoreItem>
</file>

<file path=customXml/itemProps2.xml><?xml version="1.0" encoding="utf-8"?>
<ds:datastoreItem xmlns:ds="http://schemas.openxmlformats.org/officeDocument/2006/customXml" ds:itemID="{32434462-6A07-4821-B0AD-56F3A44A1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5f0024-1ef3-4388-a12f-6b3dbe873bc5"/>
    <ds:schemaRef ds:uri="5f633878-cdf3-4c8f-9aa8-535ead0082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E287ED-E902-45CD-94EF-8EEF6DE5F866}">
  <ds:schemaRefs>
    <ds:schemaRef ds:uri="http://purl.org/dc/elements/1.1/"/>
    <ds:schemaRef ds:uri="http://schemas.microsoft.com/office/2006/documentManagement/types"/>
    <ds:schemaRef ds:uri="075f0024-1ef3-4388-a12f-6b3dbe873bc5"/>
    <ds:schemaRef ds:uri="http://schemas.openxmlformats.org/package/2006/metadata/core-properties"/>
    <ds:schemaRef ds:uri="http://purl.org/dc/dcmitype/"/>
    <ds:schemaRef ds:uri="http://schemas.microsoft.com/office/2006/metadata/properties"/>
    <ds:schemaRef ds:uri="http://schemas.microsoft.com/office/infopath/2007/PartnerControls"/>
    <ds:schemaRef ds:uri="5f633878-cdf3-4c8f-9aa8-535ead00829d"/>
    <ds:schemaRef ds:uri="http://www.w3.org/XML/1998/namespace"/>
    <ds:schemaRef ds:uri="http://purl.org/dc/terms/"/>
  </ds:schemaRefs>
</ds:datastoreItem>
</file>

<file path=customXml/itemProps4.xml><?xml version="1.0" encoding="utf-8"?>
<ds:datastoreItem xmlns:ds="http://schemas.openxmlformats.org/officeDocument/2006/customXml" ds:itemID="{25430425-1FCB-4C25-96B1-B0B85EB7624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Accessibility_Dropdowns_toHide</vt:lpstr>
      <vt:lpstr>Information</vt:lpstr>
      <vt:lpstr>National Details</vt:lpstr>
      <vt:lpstr>2022-23 Allocations</vt:lpstr>
      <vt:lpstr>2022-23 StepbyStep Allocations</vt:lpstr>
      <vt:lpstr>Individual LA</vt:lpstr>
      <vt:lpstr>2021-22 Baseline</vt:lpstr>
      <vt:lpstr>Historic Spend Factor</vt:lpstr>
      <vt:lpstr>Import|Export Adjustments Data</vt:lpstr>
      <vt:lpstr>AP Funding Factor</vt:lpstr>
      <vt:lpstr>Funding_Floor</vt:lpstr>
      <vt:lpstr>Gains_Cap</vt:lpstr>
      <vt:lpstr>LA_List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for Education</dc:creator>
  <cp:keywords/>
  <dc:description/>
  <cp:lastModifiedBy>GIFFORD, Emma</cp:lastModifiedBy>
  <cp:revision/>
  <dcterms:created xsi:type="dcterms:W3CDTF">2019-09-04T13:24:19Z</dcterms:created>
  <dcterms:modified xsi:type="dcterms:W3CDTF">2021-09-06T12:43:33Z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0x010100AB6B0942CD5D9A45BDD9F7FD0360DB77</vt:lpwstr>
  </property>
  <property fmtid="{D5CDD505-2E9C-101B-9397-08002B2CF9AE}" pid="3" name="IWPOrganisationalUnit">
    <vt:lpwstr>2;#Infrastructure and Funding Directorate|d1466afd-0cba-416f-9e94-17a6ba5b78bb</vt:lpwstr>
  </property>
  <property fmtid="{D5CDD505-2E9C-101B-9397-08002B2CF9AE}" pid="4" name="DfeOwner">
    <vt:lpwstr>3;#DfE|a484111e-5b24-4ad9-9778-c536c8c88985</vt:lpwstr>
  </property>
  <property fmtid="{D5CDD505-2E9C-101B-9397-08002B2CF9AE}" pid="5" name="h5181134883947a99a38d116ffff0102">
    <vt:lpwstr>DfE|a484111e-5b24-4ad9-9778-c536c8c88985</vt:lpwstr>
  </property>
  <property fmtid="{D5CDD505-2E9C-101B-9397-08002B2CF9AE}" pid="6" name="IWPOwner">
    <vt:lpwstr>3;#DfE|a484111e-5b24-4ad9-9778-c536c8c88985</vt:lpwstr>
  </property>
  <property fmtid="{D5CDD505-2E9C-101B-9397-08002B2CF9AE}" pid="7" name="IWPRightsProtectiveMarking">
    <vt:lpwstr>1;#Official|0884c477-2e62-47ea-b19c-5af6e91124c5</vt:lpwstr>
  </property>
  <property fmtid="{D5CDD505-2E9C-101B-9397-08002B2CF9AE}" pid="8" name="d59a6d3cd8784d8fa99931b3477ced08">
    <vt:lpwstr>Infrastructure and Funding Directorate|d1466afd-0cba-416f-9e94-17a6ba5b78bb</vt:lpwstr>
  </property>
  <property fmtid="{D5CDD505-2E9C-101B-9397-08002B2CF9AE}" pid="9" name="_dlc_DocIdItemGuid">
    <vt:lpwstr>21cd4048-fa77-4927-9dac-0d346a4de610</vt:lpwstr>
  </property>
  <property fmtid="{D5CDD505-2E9C-101B-9397-08002B2CF9AE}" pid="10" name="cd19ba31271941d0ba89f6fb44ad316e">
    <vt:lpwstr>Official|0884c477-2e62-47ea-b19c-5af6e91124c5</vt:lpwstr>
  </property>
  <property fmtid="{D5CDD505-2E9C-101B-9397-08002B2CF9AE}" pid="11" name="DfeOrganisationalUnit">
    <vt:lpwstr>4;#DfE|cc08a6d4-dfde-4d0f-bd85-069ebcef80d5</vt:lpwstr>
  </property>
  <property fmtid="{D5CDD505-2E9C-101B-9397-08002B2CF9AE}" pid="12" name="DfeRights:ProtectiveMarking">
    <vt:lpwstr>1;#Official|0884c477-2e62-47ea-b19c-5af6e91124c5</vt:lpwstr>
  </property>
  <property fmtid="{D5CDD505-2E9C-101B-9397-08002B2CF9AE}" pid="13" name="DfeSubject">
    <vt:lpwstr/>
  </property>
</Properties>
</file>