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grh25c\OneDrive - Ministry of Justice\Documents\"/>
    </mc:Choice>
  </mc:AlternateContent>
  <xr:revisionPtr revIDLastSave="0" documentId="8_{A3260D52-FCD4-4D21-87D8-E4071ADEB3DB}" xr6:coauthVersionLast="45" xr6:coauthVersionMax="45" xr10:uidLastSave="{00000000-0000-0000-0000-000000000000}"/>
  <bookViews>
    <workbookView xWindow="-108" yWindow="-108" windowWidth="23256" windowHeight="12576" tabRatio="918" xr2:uid="{00000000-000D-0000-FFFF-FFFF00000000}"/>
  </bookViews>
  <sheets>
    <sheet name="Management Summary" sheetId="1" r:id="rId1"/>
    <sheet name="Waste Data Q1" sheetId="27" r:id="rId2"/>
    <sheet name="Waste Data Q2" sheetId="28" r:id="rId3"/>
    <sheet name="Waste Data Q3" sheetId="32" r:id="rId4"/>
    <sheet name="Waste Data Q4" sheetId="33" r:id="rId5"/>
    <sheet name="Clothing" sheetId="21" r:id="rId6"/>
    <sheet name="Furniture" sheetId="23" r:id="rId7"/>
    <sheet name="Equipment" sheetId="24" r:id="rId8"/>
    <sheet name="other Items" sheetId="26" r:id="rId9"/>
    <sheet name="Employment &amp; Education" sheetId="7" r:id="rId10"/>
    <sheet name="Print Tally sheets" sheetId="8" r:id="rId11"/>
  </sheets>
  <externalReferences>
    <externalReference r:id="rId12"/>
  </externalReferences>
  <definedNames>
    <definedName name="_xlnm.Print_Area" localSheetId="9">'Employment &amp; Education'!$A$1:$F$13</definedName>
    <definedName name="_xlnm.Print_Area" localSheetId="0">'Management Summary'!$A$1:$F$26</definedName>
    <definedName name="_xlnm.Print_Area" localSheetId="10">'Print Tally sheets'!$A$1:$E$177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B12" i="1"/>
  <c r="F12" i="1" s="1"/>
  <c r="D12" i="1"/>
  <c r="B15" i="1"/>
  <c r="C15" i="1"/>
  <c r="D15" i="1"/>
  <c r="E15" i="1"/>
  <c r="B16" i="1"/>
  <c r="C16" i="1"/>
  <c r="D16" i="1"/>
  <c r="E16" i="1"/>
  <c r="F16" i="1"/>
  <c r="B19" i="1"/>
  <c r="F19" i="1" s="1"/>
  <c r="C19" i="1"/>
  <c r="D19" i="1"/>
  <c r="E19" i="1"/>
  <c r="B20" i="1"/>
  <c r="C20" i="1"/>
  <c r="D20" i="1"/>
  <c r="F20" i="1" s="1"/>
  <c r="E20" i="1"/>
  <c r="B24" i="1"/>
  <c r="C24" i="1"/>
  <c r="B25" i="1"/>
  <c r="C25" i="1"/>
  <c r="E25" i="1"/>
  <c r="B14" i="27"/>
  <c r="B17" i="27"/>
  <c r="B19" i="27"/>
  <c r="B20" i="27"/>
  <c r="E21" i="27"/>
  <c r="F21" i="27"/>
  <c r="B23" i="1" s="1"/>
  <c r="E24" i="27"/>
  <c r="E25" i="27"/>
  <c r="E26" i="27"/>
  <c r="F35" i="27"/>
  <c r="B7" i="1" s="1"/>
  <c r="E21" i="28"/>
  <c r="C12" i="1" s="1"/>
  <c r="F21" i="28"/>
  <c r="C23" i="1" s="1"/>
  <c r="C26" i="1" s="1"/>
  <c r="E24" i="28"/>
  <c r="F24" i="28"/>
  <c r="E25" i="28"/>
  <c r="F25" i="28"/>
  <c r="E26" i="28"/>
  <c r="F26" i="28"/>
  <c r="F27" i="28"/>
  <c r="F28" i="28"/>
  <c r="F29" i="28"/>
  <c r="F30" i="28"/>
  <c r="F4" i="32"/>
  <c r="F5" i="32"/>
  <c r="F6" i="32"/>
  <c r="F7" i="32"/>
  <c r="D24" i="1" s="1"/>
  <c r="F8" i="32"/>
  <c r="F9" i="32"/>
  <c r="F10" i="32"/>
  <c r="F11" i="32"/>
  <c r="F12" i="32"/>
  <c r="F13" i="32"/>
  <c r="F14" i="32"/>
  <c r="F15" i="32"/>
  <c r="D25" i="1" s="1"/>
  <c r="F25" i="1" s="1"/>
  <c r="F16" i="32"/>
  <c r="F17" i="32"/>
  <c r="F18" i="32"/>
  <c r="F19" i="32"/>
  <c r="F20" i="32"/>
  <c r="E21" i="32"/>
  <c r="E24" i="32"/>
  <c r="F24" i="32"/>
  <c r="E25" i="32"/>
  <c r="F25" i="32"/>
  <c r="E26" i="32"/>
  <c r="F26" i="32"/>
  <c r="F27" i="32"/>
  <c r="F28" i="32"/>
  <c r="F29" i="32"/>
  <c r="F30" i="32"/>
  <c r="F4" i="33"/>
  <c r="F5" i="33"/>
  <c r="F6" i="33"/>
  <c r="F7" i="33"/>
  <c r="E24" i="1" s="1"/>
  <c r="F8" i="33"/>
  <c r="F9" i="33"/>
  <c r="F10" i="33"/>
  <c r="F11" i="33"/>
  <c r="F12" i="33"/>
  <c r="F13" i="33"/>
  <c r="F14" i="33"/>
  <c r="F15" i="33"/>
  <c r="F16" i="33"/>
  <c r="F17" i="33"/>
  <c r="F18" i="33"/>
  <c r="F19" i="33"/>
  <c r="F20" i="33"/>
  <c r="E21" i="33"/>
  <c r="E12" i="1" s="1"/>
  <c r="E24" i="33"/>
  <c r="F24" i="33"/>
  <c r="E25" i="33"/>
  <c r="F25" i="33"/>
  <c r="E26" i="33"/>
  <c r="F26" i="33"/>
  <c r="F27" i="33"/>
  <c r="F28" i="33"/>
  <c r="F29" i="33"/>
  <c r="F30" i="33"/>
  <c r="R5" i="21"/>
  <c r="S5" i="21"/>
  <c r="S44" i="21" s="1"/>
  <c r="E31" i="27" s="1"/>
  <c r="AH5" i="21"/>
  <c r="AI5" i="21"/>
  <c r="AJ5" i="21"/>
  <c r="AX5" i="21"/>
  <c r="AY5" i="21"/>
  <c r="AZ5" i="21"/>
  <c r="BN5" i="21"/>
  <c r="R6" i="21"/>
  <c r="T6" i="21" s="1"/>
  <c r="S6" i="21"/>
  <c r="AH6" i="21"/>
  <c r="AI6" i="21"/>
  <c r="AJ6" i="21"/>
  <c r="AX6" i="21"/>
  <c r="AY6" i="21" s="1"/>
  <c r="BN6" i="21"/>
  <c r="BO6" i="21" s="1"/>
  <c r="R8" i="21"/>
  <c r="T8" i="21" s="1"/>
  <c r="S8" i="21"/>
  <c r="AH8" i="21"/>
  <c r="AI8" i="21"/>
  <c r="AJ8" i="21"/>
  <c r="AX8" i="21"/>
  <c r="AY8" i="21"/>
  <c r="AZ8" i="21"/>
  <c r="BN8" i="21"/>
  <c r="R9" i="21"/>
  <c r="T9" i="21" s="1"/>
  <c r="S9" i="21"/>
  <c r="AH9" i="21"/>
  <c r="AI9" i="21"/>
  <c r="AJ9" i="21"/>
  <c r="AX9" i="21"/>
  <c r="AY9" i="21" s="1"/>
  <c r="BN9" i="21"/>
  <c r="BO9" i="21" s="1"/>
  <c r="R10" i="21"/>
  <c r="T10" i="21" s="1"/>
  <c r="S10" i="21"/>
  <c r="AH10" i="21"/>
  <c r="AI10" i="21"/>
  <c r="AJ10" i="21"/>
  <c r="AX10" i="21"/>
  <c r="AY10" i="21"/>
  <c r="AZ10" i="21"/>
  <c r="BN10" i="21"/>
  <c r="R11" i="21"/>
  <c r="T11" i="21" s="1"/>
  <c r="S11" i="21"/>
  <c r="AH11" i="21"/>
  <c r="AI11" i="21"/>
  <c r="AJ11" i="21"/>
  <c r="AX11" i="21"/>
  <c r="AY11" i="21" s="1"/>
  <c r="BN11" i="21"/>
  <c r="BO11" i="21" s="1"/>
  <c r="R12" i="21"/>
  <c r="T12" i="21" s="1"/>
  <c r="S12" i="21"/>
  <c r="AH12" i="21"/>
  <c r="AI12" i="21"/>
  <c r="AJ12" i="21"/>
  <c r="AX12" i="21"/>
  <c r="AY12" i="21"/>
  <c r="AZ12" i="21"/>
  <c r="BN12" i="21"/>
  <c r="R14" i="21"/>
  <c r="T14" i="21" s="1"/>
  <c r="S14" i="21"/>
  <c r="AH14" i="21"/>
  <c r="AI14" i="21"/>
  <c r="AJ14" i="21"/>
  <c r="AX14" i="21"/>
  <c r="AY14" i="21" s="1"/>
  <c r="BN14" i="21"/>
  <c r="BO14" i="21" s="1"/>
  <c r="R15" i="21"/>
  <c r="T15" i="21" s="1"/>
  <c r="S15" i="21"/>
  <c r="AH15" i="21"/>
  <c r="AI15" i="21"/>
  <c r="AJ15" i="21"/>
  <c r="AX15" i="21"/>
  <c r="AY15" i="21"/>
  <c r="AZ15" i="21"/>
  <c r="BN15" i="21"/>
  <c r="R16" i="21"/>
  <c r="T16" i="21" s="1"/>
  <c r="S16" i="21"/>
  <c r="AH16" i="21"/>
  <c r="AI16" i="21"/>
  <c r="AJ16" i="21"/>
  <c r="AX16" i="21"/>
  <c r="AY16" i="21" s="1"/>
  <c r="BN16" i="21"/>
  <c r="BO16" i="21" s="1"/>
  <c r="R17" i="21"/>
  <c r="T17" i="21" s="1"/>
  <c r="S17" i="21"/>
  <c r="AH17" i="21"/>
  <c r="AI17" i="21"/>
  <c r="AJ17" i="21"/>
  <c r="AX17" i="21"/>
  <c r="AY17" i="21"/>
  <c r="AZ17" i="21"/>
  <c r="BN17" i="21"/>
  <c r="R19" i="21"/>
  <c r="T19" i="21" s="1"/>
  <c r="S19" i="21"/>
  <c r="AH19" i="21"/>
  <c r="AI19" i="21"/>
  <c r="AJ19" i="21"/>
  <c r="AX19" i="21"/>
  <c r="AY19" i="21" s="1"/>
  <c r="BN19" i="21"/>
  <c r="BO19" i="21" s="1"/>
  <c r="R20" i="21"/>
  <c r="T20" i="21" s="1"/>
  <c r="S20" i="21"/>
  <c r="AH20" i="21"/>
  <c r="AI20" i="21"/>
  <c r="AJ20" i="21"/>
  <c r="AX20" i="21"/>
  <c r="AY20" i="21"/>
  <c r="AZ20" i="21"/>
  <c r="BN20" i="21"/>
  <c r="R21" i="21"/>
  <c r="T21" i="21" s="1"/>
  <c r="S21" i="21"/>
  <c r="AH21" i="21"/>
  <c r="AI21" i="21"/>
  <c r="AJ21" i="21"/>
  <c r="AX21" i="21"/>
  <c r="AY21" i="21" s="1"/>
  <c r="BN21" i="21"/>
  <c r="BO21" i="21" s="1"/>
  <c r="R22" i="21"/>
  <c r="T22" i="21" s="1"/>
  <c r="S22" i="21"/>
  <c r="AH22" i="21"/>
  <c r="AI22" i="21"/>
  <c r="AJ22" i="21"/>
  <c r="AX22" i="21"/>
  <c r="AY22" i="21"/>
  <c r="AZ22" i="21"/>
  <c r="BN22" i="21"/>
  <c r="R24" i="21"/>
  <c r="T24" i="21" s="1"/>
  <c r="S24" i="21"/>
  <c r="AH24" i="21"/>
  <c r="AI24" i="21"/>
  <c r="AJ24" i="21"/>
  <c r="AX24" i="21"/>
  <c r="AY24" i="21" s="1"/>
  <c r="BN24" i="21"/>
  <c r="BO24" i="21" s="1"/>
  <c r="R25" i="21"/>
  <c r="AH25" i="21"/>
  <c r="AH44" i="21" s="1"/>
  <c r="AX25" i="21"/>
  <c r="R26" i="21"/>
  <c r="S26" i="21"/>
  <c r="T26" i="21"/>
  <c r="AH26" i="21"/>
  <c r="AI26" i="21"/>
  <c r="AJ26" i="21"/>
  <c r="AX26" i="21"/>
  <c r="BN26" i="21"/>
  <c r="BP26" i="21" s="1"/>
  <c r="BO26" i="21"/>
  <c r="R28" i="21"/>
  <c r="S28" i="21"/>
  <c r="T28" i="21"/>
  <c r="AH28" i="21"/>
  <c r="AI28" i="21" s="1"/>
  <c r="AX28" i="21"/>
  <c r="AY28" i="21" s="1"/>
  <c r="BN28" i="21"/>
  <c r="BP28" i="21" s="1"/>
  <c r="R29" i="21"/>
  <c r="S29" i="21"/>
  <c r="T29" i="21"/>
  <c r="AH29" i="21"/>
  <c r="AI29" i="21"/>
  <c r="AJ29" i="21"/>
  <c r="AX29" i="21"/>
  <c r="BN29" i="21"/>
  <c r="BP29" i="21" s="1"/>
  <c r="BO29" i="21"/>
  <c r="R30" i="21"/>
  <c r="S30" i="21"/>
  <c r="T30" i="21"/>
  <c r="AH30" i="21"/>
  <c r="AI30" i="21" s="1"/>
  <c r="AX30" i="21"/>
  <c r="AY30" i="21" s="1"/>
  <c r="BN30" i="21"/>
  <c r="BP30" i="21" s="1"/>
  <c r="R31" i="21"/>
  <c r="S31" i="21"/>
  <c r="T31" i="21"/>
  <c r="AH31" i="21"/>
  <c r="AI31" i="21"/>
  <c r="AJ31" i="21"/>
  <c r="AX31" i="21"/>
  <c r="BN31" i="21"/>
  <c r="BP31" i="21" s="1"/>
  <c r="BO31" i="21"/>
  <c r="R32" i="21"/>
  <c r="S32" i="21"/>
  <c r="T32" i="21"/>
  <c r="AH32" i="21"/>
  <c r="AI32" i="21" s="1"/>
  <c r="AX32" i="21"/>
  <c r="AY32" i="21" s="1"/>
  <c r="BN32" i="21"/>
  <c r="BP32" i="21" s="1"/>
  <c r="R34" i="21"/>
  <c r="S34" i="21"/>
  <c r="T34" i="21"/>
  <c r="AH34" i="21"/>
  <c r="AI34" i="21"/>
  <c r="AJ34" i="21"/>
  <c r="AX34" i="21"/>
  <c r="BN34" i="21"/>
  <c r="BP34" i="21" s="1"/>
  <c r="BO34" i="21"/>
  <c r="R35" i="21"/>
  <c r="S35" i="21"/>
  <c r="T35" i="21"/>
  <c r="AH35" i="21"/>
  <c r="AI35" i="21" s="1"/>
  <c r="AX35" i="21"/>
  <c r="AY35" i="21" s="1"/>
  <c r="BN35" i="21"/>
  <c r="BP35" i="21" s="1"/>
  <c r="R36" i="21"/>
  <c r="S36" i="21"/>
  <c r="T36" i="21"/>
  <c r="AH36" i="21"/>
  <c r="AI36" i="21"/>
  <c r="AJ36" i="21"/>
  <c r="AX36" i="21"/>
  <c r="BN36" i="21"/>
  <c r="BP36" i="21" s="1"/>
  <c r="BO36" i="21"/>
  <c r="R37" i="21"/>
  <c r="S37" i="21"/>
  <c r="T37" i="21"/>
  <c r="AH37" i="21"/>
  <c r="AI37" i="21" s="1"/>
  <c r="AX37" i="21"/>
  <c r="AY37" i="21" s="1"/>
  <c r="BN37" i="21"/>
  <c r="BP37" i="21" s="1"/>
  <c r="R39" i="21"/>
  <c r="S39" i="21"/>
  <c r="T39" i="21"/>
  <c r="AH39" i="21"/>
  <c r="AI39" i="21"/>
  <c r="AJ39" i="21"/>
  <c r="AX39" i="21"/>
  <c r="BN39" i="21"/>
  <c r="BP39" i="21" s="1"/>
  <c r="BO39" i="21"/>
  <c r="R40" i="21"/>
  <c r="S40" i="21"/>
  <c r="T40" i="21"/>
  <c r="AH40" i="21"/>
  <c r="AI40" i="21" s="1"/>
  <c r="AX40" i="21"/>
  <c r="AY40" i="21" s="1"/>
  <c r="BN40" i="21"/>
  <c r="BP40" i="21" s="1"/>
  <c r="R41" i="21"/>
  <c r="S41" i="21"/>
  <c r="T41" i="21"/>
  <c r="AH41" i="21"/>
  <c r="AI41" i="21"/>
  <c r="AJ41" i="21"/>
  <c r="AX41" i="21"/>
  <c r="BN41" i="21"/>
  <c r="BP41" i="21" s="1"/>
  <c r="BO41" i="21"/>
  <c r="R42" i="21"/>
  <c r="S42" i="21"/>
  <c r="T42" i="21"/>
  <c r="AH42" i="21"/>
  <c r="AI42" i="21" s="1"/>
  <c r="AX42" i="21"/>
  <c r="AY42" i="21" s="1"/>
  <c r="BN42" i="21"/>
  <c r="BP42" i="21" s="1"/>
  <c r="R43" i="21"/>
  <c r="S43" i="21"/>
  <c r="T43" i="21"/>
  <c r="AH43" i="21"/>
  <c r="AI43" i="21"/>
  <c r="AJ43" i="21"/>
  <c r="AX43" i="21"/>
  <c r="BN43" i="21"/>
  <c r="BP43" i="21" s="1"/>
  <c r="BO43" i="21"/>
  <c r="BN44" i="21"/>
  <c r="S5" i="23"/>
  <c r="T5" i="23"/>
  <c r="U5" i="23"/>
  <c r="AI5" i="23"/>
  <c r="AJ5" i="23"/>
  <c r="AK5" i="23"/>
  <c r="AY5" i="23"/>
  <c r="BO5" i="23"/>
  <c r="BQ5" i="23" s="1"/>
  <c r="BP5" i="23"/>
  <c r="S6" i="23"/>
  <c r="T6" i="23"/>
  <c r="U6" i="23"/>
  <c r="U38" i="23" s="1"/>
  <c r="AI6" i="23"/>
  <c r="AJ6" i="23" s="1"/>
  <c r="AY6" i="23"/>
  <c r="BO6" i="23"/>
  <c r="BQ6" i="23" s="1"/>
  <c r="BP6" i="23"/>
  <c r="S7" i="23"/>
  <c r="T7" i="23"/>
  <c r="U7" i="23"/>
  <c r="AI7" i="23"/>
  <c r="AJ7" i="23"/>
  <c r="AK7" i="23"/>
  <c r="AY7" i="23"/>
  <c r="BO7" i="23"/>
  <c r="BQ7" i="23" s="1"/>
  <c r="BP7" i="23"/>
  <c r="S8" i="23"/>
  <c r="T8" i="23"/>
  <c r="U8" i="23"/>
  <c r="AI8" i="23"/>
  <c r="AJ8" i="23" s="1"/>
  <c r="AY8" i="23"/>
  <c r="BO8" i="23"/>
  <c r="BQ8" i="23" s="1"/>
  <c r="BP8" i="23"/>
  <c r="S9" i="23"/>
  <c r="T9" i="23"/>
  <c r="U9" i="23"/>
  <c r="AI9" i="23"/>
  <c r="AJ9" i="23"/>
  <c r="AK9" i="23"/>
  <c r="AY9" i="23"/>
  <c r="BO9" i="23"/>
  <c r="BQ9" i="23" s="1"/>
  <c r="BP9" i="23"/>
  <c r="S10" i="23"/>
  <c r="T10" i="23"/>
  <c r="U10" i="23"/>
  <c r="AI10" i="23"/>
  <c r="AJ10" i="23" s="1"/>
  <c r="AY10" i="23"/>
  <c r="BO10" i="23"/>
  <c r="BQ10" i="23" s="1"/>
  <c r="BP10" i="23"/>
  <c r="S11" i="23"/>
  <c r="T11" i="23"/>
  <c r="U11" i="23"/>
  <c r="AI11" i="23"/>
  <c r="AJ11" i="23"/>
  <c r="AK11" i="23"/>
  <c r="AY11" i="23"/>
  <c r="BO11" i="23"/>
  <c r="BQ11" i="23" s="1"/>
  <c r="BP11" i="23"/>
  <c r="S12" i="23"/>
  <c r="T12" i="23"/>
  <c r="U12" i="23"/>
  <c r="AI12" i="23"/>
  <c r="AJ12" i="23" s="1"/>
  <c r="AY12" i="23"/>
  <c r="BO12" i="23"/>
  <c r="BQ12" i="23" s="1"/>
  <c r="BP12" i="23"/>
  <c r="S13" i="23"/>
  <c r="T13" i="23"/>
  <c r="U13" i="23"/>
  <c r="AI13" i="23"/>
  <c r="AJ13" i="23"/>
  <c r="AK13" i="23"/>
  <c r="AY13" i="23"/>
  <c r="BO13" i="23"/>
  <c r="BQ13" i="23" s="1"/>
  <c r="BP13" i="23"/>
  <c r="S15" i="23"/>
  <c r="T15" i="23"/>
  <c r="U15" i="23"/>
  <c r="AI15" i="23"/>
  <c r="AJ15" i="23" s="1"/>
  <c r="AY15" i="23"/>
  <c r="BO15" i="23"/>
  <c r="BQ15" i="23" s="1"/>
  <c r="BP15" i="23"/>
  <c r="S16" i="23"/>
  <c r="T16" i="23"/>
  <c r="U16" i="23"/>
  <c r="AI16" i="23"/>
  <c r="AJ16" i="23"/>
  <c r="AK16" i="23"/>
  <c r="AY16" i="23"/>
  <c r="BO16" i="23"/>
  <c r="BQ16" i="23" s="1"/>
  <c r="BP16" i="23"/>
  <c r="S17" i="23"/>
  <c r="T17" i="23"/>
  <c r="U17" i="23"/>
  <c r="AI17" i="23"/>
  <c r="AJ17" i="23" s="1"/>
  <c r="AY17" i="23"/>
  <c r="BO17" i="23"/>
  <c r="BQ17" i="23" s="1"/>
  <c r="BP17" i="23"/>
  <c r="S18" i="23"/>
  <c r="T18" i="23"/>
  <c r="U18" i="23"/>
  <c r="AI18" i="23"/>
  <c r="AJ18" i="23"/>
  <c r="AK18" i="23"/>
  <c r="AY18" i="23"/>
  <c r="BO18" i="23"/>
  <c r="BQ18" i="23" s="1"/>
  <c r="BP18" i="23"/>
  <c r="S19" i="23"/>
  <c r="T19" i="23"/>
  <c r="U19" i="23"/>
  <c r="AI19" i="23"/>
  <c r="AJ19" i="23" s="1"/>
  <c r="AY19" i="23"/>
  <c r="BO19" i="23"/>
  <c r="BQ19" i="23" s="1"/>
  <c r="BP19" i="23"/>
  <c r="S20" i="23"/>
  <c r="T20" i="23"/>
  <c r="U20" i="23"/>
  <c r="AI20" i="23"/>
  <c r="AJ20" i="23"/>
  <c r="AK20" i="23"/>
  <c r="AY20" i="23"/>
  <c r="BO20" i="23"/>
  <c r="BQ20" i="23" s="1"/>
  <c r="BP20" i="23"/>
  <c r="S21" i="23"/>
  <c r="T21" i="23"/>
  <c r="U21" i="23"/>
  <c r="AI21" i="23"/>
  <c r="AJ21" i="23" s="1"/>
  <c r="AY21" i="23"/>
  <c r="BO21" i="23"/>
  <c r="BQ21" i="23" s="1"/>
  <c r="BP21" i="23"/>
  <c r="S23" i="23"/>
  <c r="T23" i="23" s="1"/>
  <c r="U23" i="23"/>
  <c r="AI23" i="23"/>
  <c r="AJ23" i="23"/>
  <c r="AK23" i="23"/>
  <c r="AY23" i="23"/>
  <c r="BO23" i="23"/>
  <c r="BP23" i="23"/>
  <c r="BQ23" i="23"/>
  <c r="S24" i="23"/>
  <c r="T24" i="23"/>
  <c r="U24" i="23"/>
  <c r="AI24" i="23"/>
  <c r="AJ24" i="23" s="1"/>
  <c r="AY24" i="23"/>
  <c r="BO24" i="23"/>
  <c r="BQ24" i="23" s="1"/>
  <c r="BP24" i="23"/>
  <c r="S25" i="23"/>
  <c r="T25" i="23" s="1"/>
  <c r="U25" i="23"/>
  <c r="AI25" i="23"/>
  <c r="AJ25" i="23"/>
  <c r="AK25" i="23"/>
  <c r="AY25" i="23"/>
  <c r="BO25" i="23"/>
  <c r="BP25" i="23"/>
  <c r="BQ25" i="23"/>
  <c r="S26" i="23"/>
  <c r="T26" i="23"/>
  <c r="U26" i="23"/>
  <c r="AI26" i="23"/>
  <c r="AJ26" i="23" s="1"/>
  <c r="AY26" i="23"/>
  <c r="BO26" i="23"/>
  <c r="BQ26" i="23" s="1"/>
  <c r="BP26" i="23"/>
  <c r="S27" i="23"/>
  <c r="T27" i="23" s="1"/>
  <c r="U27" i="23"/>
  <c r="AI27" i="23"/>
  <c r="AJ27" i="23"/>
  <c r="AK27" i="23"/>
  <c r="AY27" i="23"/>
  <c r="BO27" i="23"/>
  <c r="BP27" i="23"/>
  <c r="BQ27" i="23"/>
  <c r="S28" i="23"/>
  <c r="T28" i="23"/>
  <c r="U28" i="23"/>
  <c r="AI28" i="23"/>
  <c r="AJ28" i="23" s="1"/>
  <c r="AY28" i="23"/>
  <c r="BO28" i="23"/>
  <c r="BQ28" i="23" s="1"/>
  <c r="BP28" i="23"/>
  <c r="S29" i="23"/>
  <c r="T29" i="23" s="1"/>
  <c r="U29" i="23"/>
  <c r="AI29" i="23"/>
  <c r="AJ29" i="23"/>
  <c r="AK29" i="23"/>
  <c r="AY29" i="23"/>
  <c r="BO29" i="23"/>
  <c r="BP29" i="23"/>
  <c r="BQ29" i="23"/>
  <c r="S30" i="23"/>
  <c r="T30" i="23"/>
  <c r="U30" i="23"/>
  <c r="AI30" i="23"/>
  <c r="AJ30" i="23" s="1"/>
  <c r="AY30" i="23"/>
  <c r="BO30" i="23"/>
  <c r="BQ30" i="23" s="1"/>
  <c r="BP30" i="23"/>
  <c r="S31" i="23"/>
  <c r="T31" i="23" s="1"/>
  <c r="U31" i="23"/>
  <c r="AI31" i="23"/>
  <c r="AJ31" i="23"/>
  <c r="AK31" i="23"/>
  <c r="AY31" i="23"/>
  <c r="BO31" i="23"/>
  <c r="BP31" i="23"/>
  <c r="BQ31" i="23"/>
  <c r="S32" i="23"/>
  <c r="T32" i="23"/>
  <c r="U32" i="23"/>
  <c r="AI32" i="23"/>
  <c r="AJ32" i="23" s="1"/>
  <c r="AY32" i="23"/>
  <c r="BO32" i="23"/>
  <c r="BQ32" i="23" s="1"/>
  <c r="BP32" i="23"/>
  <c r="S33" i="23"/>
  <c r="T33" i="23" s="1"/>
  <c r="U33" i="23"/>
  <c r="AI33" i="23"/>
  <c r="AJ33" i="23"/>
  <c r="AK33" i="23"/>
  <c r="AY33" i="23"/>
  <c r="BO33" i="23"/>
  <c r="BP33" i="23"/>
  <c r="BQ33" i="23"/>
  <c r="S34" i="23"/>
  <c r="T34" i="23"/>
  <c r="U34" i="23"/>
  <c r="AI34" i="23"/>
  <c r="AJ34" i="23" s="1"/>
  <c r="AY34" i="23"/>
  <c r="BO34" i="23"/>
  <c r="BQ34" i="23" s="1"/>
  <c r="BP34" i="23"/>
  <c r="S35" i="23"/>
  <c r="T35" i="23"/>
  <c r="U35" i="23"/>
  <c r="AI35" i="23"/>
  <c r="AJ35" i="23"/>
  <c r="AK35" i="23"/>
  <c r="AY35" i="23"/>
  <c r="BO35" i="23"/>
  <c r="BP35" i="23"/>
  <c r="BQ35" i="23"/>
  <c r="S36" i="23"/>
  <c r="T36" i="23"/>
  <c r="U36" i="23"/>
  <c r="AI36" i="23"/>
  <c r="AJ36" i="23" s="1"/>
  <c r="AY36" i="23"/>
  <c r="BO36" i="23"/>
  <c r="BQ36" i="23" s="1"/>
  <c r="S37" i="23"/>
  <c r="T37" i="23"/>
  <c r="U37" i="23"/>
  <c r="AI37" i="23"/>
  <c r="AJ37" i="23" s="1"/>
  <c r="AK37" i="23"/>
  <c r="AY37" i="23"/>
  <c r="BO37" i="23"/>
  <c r="BP37" i="23"/>
  <c r="BQ37" i="23"/>
  <c r="S38" i="23"/>
  <c r="T38" i="23"/>
  <c r="E32" i="27" s="1"/>
  <c r="AI38" i="23"/>
  <c r="AY38" i="23"/>
  <c r="BO38" i="23"/>
  <c r="R5" i="24"/>
  <c r="S5" i="24"/>
  <c r="T5" i="24"/>
  <c r="AH5" i="24"/>
  <c r="AI5" i="24"/>
  <c r="AJ5" i="24"/>
  <c r="AX5" i="24"/>
  <c r="BN5" i="24"/>
  <c r="BO5" i="24"/>
  <c r="BP5" i="24"/>
  <c r="R6" i="24"/>
  <c r="S6" i="24"/>
  <c r="T6" i="24"/>
  <c r="AH6" i="24"/>
  <c r="AI6" i="24" s="1"/>
  <c r="AX6" i="24"/>
  <c r="BN6" i="24"/>
  <c r="BP6" i="24" s="1"/>
  <c r="BO6" i="24"/>
  <c r="R7" i="24"/>
  <c r="S7" i="24"/>
  <c r="T7" i="24"/>
  <c r="AH7" i="24"/>
  <c r="AI7" i="24"/>
  <c r="AJ7" i="24"/>
  <c r="AX7" i="24"/>
  <c r="BN7" i="24"/>
  <c r="BO7" i="24"/>
  <c r="BP7" i="24"/>
  <c r="R8" i="24"/>
  <c r="S8" i="24"/>
  <c r="T8" i="24"/>
  <c r="AH8" i="24"/>
  <c r="AI8" i="24" s="1"/>
  <c r="AX8" i="24"/>
  <c r="BN8" i="24"/>
  <c r="BP8" i="24" s="1"/>
  <c r="R9" i="24"/>
  <c r="S9" i="24"/>
  <c r="T9" i="24"/>
  <c r="AH9" i="24"/>
  <c r="AI9" i="24" s="1"/>
  <c r="AJ9" i="24"/>
  <c r="AX9" i="24"/>
  <c r="BN9" i="24"/>
  <c r="BO9" i="24"/>
  <c r="BP9" i="24"/>
  <c r="R10" i="24"/>
  <c r="S10" i="24"/>
  <c r="T10" i="24"/>
  <c r="AH10" i="24"/>
  <c r="AI10" i="24" s="1"/>
  <c r="AX10" i="24"/>
  <c r="BN10" i="24"/>
  <c r="BP10" i="24" s="1"/>
  <c r="R11" i="24"/>
  <c r="S11" i="24"/>
  <c r="T11" i="24"/>
  <c r="AH11" i="24"/>
  <c r="AI11" i="24" s="1"/>
  <c r="AJ11" i="24"/>
  <c r="AX11" i="24"/>
  <c r="BN11" i="24"/>
  <c r="BO11" i="24"/>
  <c r="BP11" i="24"/>
  <c r="R12" i="24"/>
  <c r="S12" i="24"/>
  <c r="T12" i="24"/>
  <c r="AH12" i="24"/>
  <c r="AI12" i="24" s="1"/>
  <c r="AX12" i="24"/>
  <c r="BN12" i="24"/>
  <c r="BP12" i="24" s="1"/>
  <c r="R14" i="24"/>
  <c r="S14" i="24"/>
  <c r="T14" i="24"/>
  <c r="AI14" i="24"/>
  <c r="AJ14" i="24"/>
  <c r="AX14" i="24"/>
  <c r="AZ14" i="24" s="1"/>
  <c r="AY14" i="24"/>
  <c r="BN14" i="24"/>
  <c r="BO14" i="24"/>
  <c r="BP14" i="24"/>
  <c r="R15" i="24"/>
  <c r="S15" i="24" s="1"/>
  <c r="T15" i="24"/>
  <c r="AI15" i="24"/>
  <c r="AJ15" i="24"/>
  <c r="AX15" i="24"/>
  <c r="AY15" i="24"/>
  <c r="AZ15" i="24"/>
  <c r="BN15" i="24"/>
  <c r="BO15" i="24" s="1"/>
  <c r="BP15" i="24"/>
  <c r="R16" i="24"/>
  <c r="T16" i="24" s="1"/>
  <c r="S16" i="24"/>
  <c r="S58" i="24" s="1"/>
  <c r="AI16" i="24"/>
  <c r="AJ16" i="24"/>
  <c r="AX16" i="24"/>
  <c r="AY16" i="24" s="1"/>
  <c r="AZ16" i="24"/>
  <c r="BN16" i="24"/>
  <c r="BP16" i="24" s="1"/>
  <c r="BO16" i="24"/>
  <c r="R17" i="24"/>
  <c r="T17" i="24" s="1"/>
  <c r="S17" i="24"/>
  <c r="AI17" i="24"/>
  <c r="AJ17" i="24"/>
  <c r="AX17" i="24"/>
  <c r="AY17" i="24" s="1"/>
  <c r="BN17" i="24"/>
  <c r="BP17" i="24" s="1"/>
  <c r="BO17" i="24"/>
  <c r="R18" i="24"/>
  <c r="S18" i="24" s="1"/>
  <c r="AI18" i="24"/>
  <c r="AJ18" i="24"/>
  <c r="AX18" i="24"/>
  <c r="AZ18" i="24" s="1"/>
  <c r="AY18" i="24"/>
  <c r="BN18" i="24"/>
  <c r="BO18" i="24" s="1"/>
  <c r="R20" i="24"/>
  <c r="S20" i="24"/>
  <c r="T20" i="24"/>
  <c r="AH20" i="24"/>
  <c r="AH58" i="24" s="1"/>
  <c r="AX20" i="24"/>
  <c r="AZ20" i="24" s="1"/>
  <c r="AY20" i="24"/>
  <c r="BN20" i="24"/>
  <c r="BO20" i="24"/>
  <c r="BP20" i="24"/>
  <c r="R21" i="24"/>
  <c r="T21" i="24" s="1"/>
  <c r="S21" i="24"/>
  <c r="AH21" i="24"/>
  <c r="AI21" i="24" s="1"/>
  <c r="AX21" i="24"/>
  <c r="AZ21" i="24" s="1"/>
  <c r="AY21" i="24"/>
  <c r="BN21" i="24"/>
  <c r="BO21" i="24" s="1"/>
  <c r="R22" i="24"/>
  <c r="S22" i="24"/>
  <c r="T22" i="24"/>
  <c r="AH22" i="24"/>
  <c r="AJ22" i="24" s="1"/>
  <c r="AX22" i="24"/>
  <c r="AZ22" i="24" s="1"/>
  <c r="AY22" i="24"/>
  <c r="BN22" i="24"/>
  <c r="BO22" i="24"/>
  <c r="BP22" i="24"/>
  <c r="R23" i="24"/>
  <c r="T23" i="24" s="1"/>
  <c r="S23" i="24"/>
  <c r="AH23" i="24"/>
  <c r="AI23" i="24" s="1"/>
  <c r="AX23" i="24"/>
  <c r="AZ23" i="24" s="1"/>
  <c r="AY23" i="24"/>
  <c r="BN23" i="24"/>
  <c r="BO23" i="24" s="1"/>
  <c r="R24" i="24"/>
  <c r="S24" i="24"/>
  <c r="T24" i="24"/>
  <c r="AH24" i="24"/>
  <c r="AI24" i="24" s="1"/>
  <c r="AX24" i="24"/>
  <c r="AZ24" i="24" s="1"/>
  <c r="AY24" i="24"/>
  <c r="BN24" i="24"/>
  <c r="BO24" i="24"/>
  <c r="BP24" i="24"/>
  <c r="R25" i="24"/>
  <c r="T25" i="24" s="1"/>
  <c r="S25" i="24"/>
  <c r="AH25" i="24"/>
  <c r="AI25" i="24" s="1"/>
  <c r="AX25" i="24"/>
  <c r="AZ25" i="24" s="1"/>
  <c r="AY25" i="24"/>
  <c r="BN25" i="24"/>
  <c r="BO25" i="24" s="1"/>
  <c r="R26" i="24"/>
  <c r="S26" i="24"/>
  <c r="T26" i="24"/>
  <c r="AH26" i="24"/>
  <c r="AI26" i="24" s="1"/>
  <c r="AX26" i="24"/>
  <c r="AZ26" i="24" s="1"/>
  <c r="AY26" i="24"/>
  <c r="BN26" i="24"/>
  <c r="BO26" i="24"/>
  <c r="BP26" i="24"/>
  <c r="R27" i="24"/>
  <c r="T27" i="24" s="1"/>
  <c r="S27" i="24"/>
  <c r="AH27" i="24"/>
  <c r="AI27" i="24" s="1"/>
  <c r="AX27" i="24"/>
  <c r="AZ27" i="24" s="1"/>
  <c r="AY27" i="24"/>
  <c r="BN27" i="24"/>
  <c r="BO27" i="24" s="1"/>
  <c r="R28" i="24"/>
  <c r="S28" i="24"/>
  <c r="T28" i="24"/>
  <c r="AH28" i="24"/>
  <c r="AJ28" i="24" s="1"/>
  <c r="AX28" i="24"/>
  <c r="AZ28" i="24" s="1"/>
  <c r="AY28" i="24"/>
  <c r="BN28" i="24"/>
  <c r="BO28" i="24"/>
  <c r="BP28" i="24"/>
  <c r="R29" i="24"/>
  <c r="T29" i="24" s="1"/>
  <c r="S29" i="24"/>
  <c r="AH29" i="24"/>
  <c r="AI29" i="24" s="1"/>
  <c r="AX29" i="24"/>
  <c r="AZ29" i="24" s="1"/>
  <c r="AY29" i="24"/>
  <c r="BN29" i="24"/>
  <c r="BO29" i="24" s="1"/>
  <c r="R31" i="24"/>
  <c r="S31" i="24"/>
  <c r="T31" i="24"/>
  <c r="AH31" i="24"/>
  <c r="AI31" i="24" s="1"/>
  <c r="AX31" i="24"/>
  <c r="AZ31" i="24" s="1"/>
  <c r="AY31" i="24"/>
  <c r="BN31" i="24"/>
  <c r="BO31" i="24"/>
  <c r="BP31" i="24"/>
  <c r="R32" i="24"/>
  <c r="T32" i="24" s="1"/>
  <c r="S32" i="24"/>
  <c r="AH32" i="24"/>
  <c r="AI32" i="24" s="1"/>
  <c r="AX32" i="24"/>
  <c r="AZ32" i="24" s="1"/>
  <c r="AY32" i="24"/>
  <c r="BN32" i="24"/>
  <c r="BO32" i="24" s="1"/>
  <c r="R33" i="24"/>
  <c r="S33" i="24"/>
  <c r="T33" i="24"/>
  <c r="AH33" i="24"/>
  <c r="AI33" i="24" s="1"/>
  <c r="AX33" i="24"/>
  <c r="AZ33" i="24" s="1"/>
  <c r="AY33" i="24"/>
  <c r="BN33" i="24"/>
  <c r="BO33" i="24"/>
  <c r="BP33" i="24"/>
  <c r="R34" i="24"/>
  <c r="T34" i="24" s="1"/>
  <c r="S34" i="24"/>
  <c r="AH34" i="24"/>
  <c r="AI34" i="24" s="1"/>
  <c r="AX34" i="24"/>
  <c r="AZ34" i="24" s="1"/>
  <c r="AY34" i="24"/>
  <c r="BN34" i="24"/>
  <c r="BO34" i="24" s="1"/>
  <c r="R35" i="24"/>
  <c r="S35" i="24"/>
  <c r="T35" i="24"/>
  <c r="AH35" i="24"/>
  <c r="AI35" i="24" s="1"/>
  <c r="AX35" i="24"/>
  <c r="AZ35" i="24" s="1"/>
  <c r="AY35" i="24"/>
  <c r="BN35" i="24"/>
  <c r="BO35" i="24"/>
  <c r="BP35" i="24"/>
  <c r="R36" i="24"/>
  <c r="T36" i="24" s="1"/>
  <c r="S36" i="24"/>
  <c r="AH36" i="24"/>
  <c r="AI36" i="24" s="1"/>
  <c r="AX36" i="24"/>
  <c r="AZ36" i="24" s="1"/>
  <c r="AY36" i="24"/>
  <c r="BN36" i="24"/>
  <c r="BO36" i="24" s="1"/>
  <c r="R37" i="24"/>
  <c r="S37" i="24"/>
  <c r="T37" i="24"/>
  <c r="AH37" i="24"/>
  <c r="AJ37" i="24" s="1"/>
  <c r="AX37" i="24"/>
  <c r="AZ37" i="24" s="1"/>
  <c r="AY37" i="24"/>
  <c r="BN37" i="24"/>
  <c r="BO37" i="24"/>
  <c r="BP37" i="24"/>
  <c r="R38" i="24"/>
  <c r="T38" i="24" s="1"/>
  <c r="S38" i="24"/>
  <c r="AH38" i="24"/>
  <c r="AI38" i="24" s="1"/>
  <c r="AX38" i="24"/>
  <c r="AZ38" i="24" s="1"/>
  <c r="AY38" i="24"/>
  <c r="BN38" i="24"/>
  <c r="BO38" i="24" s="1"/>
  <c r="R39" i="24"/>
  <c r="S39" i="24"/>
  <c r="T39" i="24"/>
  <c r="AH39" i="24"/>
  <c r="AI39" i="24" s="1"/>
  <c r="AX39" i="24"/>
  <c r="AZ39" i="24" s="1"/>
  <c r="AY39" i="24"/>
  <c r="BN39" i="24"/>
  <c r="BO39" i="24"/>
  <c r="BP39" i="24"/>
  <c r="R40" i="24"/>
  <c r="T40" i="24" s="1"/>
  <c r="S40" i="24"/>
  <c r="AH40" i="24"/>
  <c r="AI40" i="24" s="1"/>
  <c r="AX40" i="24"/>
  <c r="AZ40" i="24" s="1"/>
  <c r="AY40" i="24"/>
  <c r="BN40" i="24"/>
  <c r="BO40" i="24" s="1"/>
  <c r="R41" i="24"/>
  <c r="S41" i="24"/>
  <c r="T41" i="24"/>
  <c r="AH41" i="24"/>
  <c r="AJ41" i="24" s="1"/>
  <c r="AX41" i="24"/>
  <c r="AZ41" i="24" s="1"/>
  <c r="AY41" i="24"/>
  <c r="BN41" i="24"/>
  <c r="BO41" i="24"/>
  <c r="BP41" i="24"/>
  <c r="R42" i="24"/>
  <c r="T42" i="24" s="1"/>
  <c r="S42" i="24"/>
  <c r="AH42" i="24"/>
  <c r="AI42" i="24" s="1"/>
  <c r="AX42" i="24"/>
  <c r="AZ42" i="24" s="1"/>
  <c r="AY42" i="24"/>
  <c r="BN42" i="24"/>
  <c r="BO42" i="24" s="1"/>
  <c r="R43" i="24"/>
  <c r="S43" i="24"/>
  <c r="T43" i="24"/>
  <c r="AH43" i="24"/>
  <c r="AJ43" i="24" s="1"/>
  <c r="AX43" i="24"/>
  <c r="AZ43" i="24" s="1"/>
  <c r="AY43" i="24"/>
  <c r="BN43" i="24"/>
  <c r="BO43" i="24"/>
  <c r="BP43" i="24"/>
  <c r="R44" i="24"/>
  <c r="T44" i="24" s="1"/>
  <c r="S44" i="24"/>
  <c r="AH44" i="24"/>
  <c r="AI44" i="24" s="1"/>
  <c r="AX44" i="24"/>
  <c r="AZ44" i="24" s="1"/>
  <c r="AY44" i="24"/>
  <c r="BN44" i="24"/>
  <c r="BO44" i="24" s="1"/>
  <c r="R46" i="24"/>
  <c r="S46" i="24"/>
  <c r="T46" i="24"/>
  <c r="AH46" i="24"/>
  <c r="AJ46" i="24" s="1"/>
  <c r="AX46" i="24"/>
  <c r="AZ46" i="24" s="1"/>
  <c r="AY46" i="24"/>
  <c r="BN46" i="24"/>
  <c r="BO46" i="24"/>
  <c r="BP46" i="24"/>
  <c r="R47" i="24"/>
  <c r="T47" i="24" s="1"/>
  <c r="S47" i="24"/>
  <c r="AH47" i="24"/>
  <c r="AI47" i="24" s="1"/>
  <c r="AX47" i="24"/>
  <c r="AZ47" i="24" s="1"/>
  <c r="AY47" i="24"/>
  <c r="BN47" i="24"/>
  <c r="BO47" i="24" s="1"/>
  <c r="R48" i="24"/>
  <c r="S48" i="24"/>
  <c r="T48" i="24"/>
  <c r="AH48" i="24"/>
  <c r="AI48" i="24" s="1"/>
  <c r="AX48" i="24"/>
  <c r="AZ48" i="24" s="1"/>
  <c r="AY48" i="24"/>
  <c r="BN48" i="24"/>
  <c r="BO48" i="24"/>
  <c r="BP48" i="24"/>
  <c r="R49" i="24"/>
  <c r="T49" i="24" s="1"/>
  <c r="S49" i="24"/>
  <c r="AH49" i="24"/>
  <c r="AI49" i="24" s="1"/>
  <c r="AX49" i="24"/>
  <c r="AZ49" i="24" s="1"/>
  <c r="AY49" i="24"/>
  <c r="BN49" i="24"/>
  <c r="BO49" i="24" s="1"/>
  <c r="R50" i="24"/>
  <c r="S50" i="24"/>
  <c r="T50" i="24"/>
  <c r="AH50" i="24"/>
  <c r="AI50" i="24" s="1"/>
  <c r="AX50" i="24"/>
  <c r="AZ50" i="24" s="1"/>
  <c r="AY50" i="24"/>
  <c r="BN50" i="24"/>
  <c r="BO50" i="24"/>
  <c r="BP50" i="24"/>
  <c r="R51" i="24"/>
  <c r="T51" i="24" s="1"/>
  <c r="S51" i="24"/>
  <c r="AH51" i="24"/>
  <c r="AI51" i="24" s="1"/>
  <c r="AX51" i="24"/>
  <c r="AZ51" i="24" s="1"/>
  <c r="AY51" i="24"/>
  <c r="BN51" i="24"/>
  <c r="BO51" i="24" s="1"/>
  <c r="R53" i="24"/>
  <c r="S53" i="24"/>
  <c r="T53" i="24"/>
  <c r="AH53" i="24"/>
  <c r="AJ53" i="24" s="1"/>
  <c r="AX53" i="24"/>
  <c r="AZ53" i="24" s="1"/>
  <c r="AY53" i="24"/>
  <c r="BN53" i="24"/>
  <c r="BO53" i="24"/>
  <c r="BP53" i="24"/>
  <c r="R54" i="24"/>
  <c r="T54" i="24" s="1"/>
  <c r="S54" i="24"/>
  <c r="AH54" i="24"/>
  <c r="AI54" i="24" s="1"/>
  <c r="AX54" i="24"/>
  <c r="AZ54" i="24" s="1"/>
  <c r="AY54" i="24"/>
  <c r="BN54" i="24"/>
  <c r="BO54" i="24" s="1"/>
  <c r="R55" i="24"/>
  <c r="S55" i="24"/>
  <c r="T55" i="24"/>
  <c r="AH55" i="24"/>
  <c r="AJ55" i="24" s="1"/>
  <c r="AX55" i="24"/>
  <c r="AZ55" i="24" s="1"/>
  <c r="AY55" i="24"/>
  <c r="BN55" i="24"/>
  <c r="BO55" i="24"/>
  <c r="BP55" i="24"/>
  <c r="R56" i="24"/>
  <c r="T56" i="24" s="1"/>
  <c r="S56" i="24"/>
  <c r="AH56" i="24"/>
  <c r="AI56" i="24" s="1"/>
  <c r="AX56" i="24"/>
  <c r="AZ56" i="24" s="1"/>
  <c r="AY56" i="24"/>
  <c r="BN56" i="24"/>
  <c r="BO56" i="24" s="1"/>
  <c r="R57" i="24"/>
  <c r="S57" i="24"/>
  <c r="T57" i="24"/>
  <c r="AH57" i="24"/>
  <c r="AI57" i="24" s="1"/>
  <c r="AX57" i="24"/>
  <c r="AZ57" i="24" s="1"/>
  <c r="AY57" i="24"/>
  <c r="BN57" i="24"/>
  <c r="BO57" i="24"/>
  <c r="BP57" i="24"/>
  <c r="BN58" i="24"/>
  <c r="E4" i="26"/>
  <c r="F4" i="26"/>
  <c r="L4" i="26"/>
  <c r="L19" i="26" s="1"/>
  <c r="E34" i="28" s="1"/>
  <c r="M4" i="26"/>
  <c r="M19" i="26" s="1"/>
  <c r="F34" i="28" s="1"/>
  <c r="E5" i="26"/>
  <c r="F5" i="26"/>
  <c r="L5" i="26"/>
  <c r="M5" i="26"/>
  <c r="E6" i="26"/>
  <c r="F6" i="26"/>
  <c r="L6" i="26"/>
  <c r="M6" i="26"/>
  <c r="E7" i="26"/>
  <c r="F7" i="26"/>
  <c r="L7" i="26"/>
  <c r="M7" i="26"/>
  <c r="E8" i="26"/>
  <c r="F8" i="26"/>
  <c r="L8" i="26"/>
  <c r="M8" i="26"/>
  <c r="E9" i="26"/>
  <c r="F9" i="26"/>
  <c r="L9" i="26"/>
  <c r="M9" i="26"/>
  <c r="E10" i="26"/>
  <c r="F10" i="26"/>
  <c r="L10" i="26"/>
  <c r="M10" i="26"/>
  <c r="E11" i="26"/>
  <c r="F11" i="26"/>
  <c r="L11" i="26"/>
  <c r="M11" i="26"/>
  <c r="E12" i="26"/>
  <c r="F12" i="26"/>
  <c r="L12" i="26"/>
  <c r="M12" i="26"/>
  <c r="E13" i="26"/>
  <c r="F13" i="26"/>
  <c r="L13" i="26"/>
  <c r="M13" i="26"/>
  <c r="E14" i="26"/>
  <c r="F14" i="26"/>
  <c r="L14" i="26"/>
  <c r="M14" i="26"/>
  <c r="E15" i="26"/>
  <c r="F15" i="26"/>
  <c r="L15" i="26"/>
  <c r="M15" i="26"/>
  <c r="E16" i="26"/>
  <c r="F16" i="26"/>
  <c r="L16" i="26"/>
  <c r="M16" i="26"/>
  <c r="E17" i="26"/>
  <c r="F17" i="26"/>
  <c r="L17" i="26"/>
  <c r="M17" i="26"/>
  <c r="E18" i="26"/>
  <c r="F18" i="26"/>
  <c r="L18" i="26"/>
  <c r="M18" i="26"/>
  <c r="E19" i="26"/>
  <c r="F19" i="26"/>
  <c r="E24" i="26"/>
  <c r="F24" i="26"/>
  <c r="L24" i="26"/>
  <c r="L39" i="26" s="1"/>
  <c r="E34" i="33" s="1"/>
  <c r="M24" i="26"/>
  <c r="M39" i="26" s="1"/>
  <c r="F34" i="33" s="1"/>
  <c r="E25" i="26"/>
  <c r="F25" i="26"/>
  <c r="L25" i="26"/>
  <c r="M25" i="26"/>
  <c r="E26" i="26"/>
  <c r="F26" i="26"/>
  <c r="L26" i="26"/>
  <c r="M26" i="26"/>
  <c r="E27" i="26"/>
  <c r="F27" i="26"/>
  <c r="L27" i="26"/>
  <c r="M27" i="26"/>
  <c r="E28" i="26"/>
  <c r="F28" i="26"/>
  <c r="L28" i="26"/>
  <c r="M28" i="26"/>
  <c r="E29" i="26"/>
  <c r="F29" i="26"/>
  <c r="L29" i="26"/>
  <c r="M29" i="26"/>
  <c r="E30" i="26"/>
  <c r="F30" i="26"/>
  <c r="L30" i="26"/>
  <c r="M30" i="26"/>
  <c r="E31" i="26"/>
  <c r="F31" i="26"/>
  <c r="L31" i="26"/>
  <c r="M31" i="26"/>
  <c r="E32" i="26"/>
  <c r="F32" i="26"/>
  <c r="L32" i="26"/>
  <c r="M32" i="26"/>
  <c r="E33" i="26"/>
  <c r="F33" i="26"/>
  <c r="L33" i="26"/>
  <c r="M33" i="26"/>
  <c r="E34" i="26"/>
  <c r="F34" i="26"/>
  <c r="L34" i="26"/>
  <c r="M34" i="26"/>
  <c r="E35" i="26"/>
  <c r="F35" i="26"/>
  <c r="L35" i="26"/>
  <c r="M35" i="26"/>
  <c r="E36" i="26"/>
  <c r="F36" i="26"/>
  <c r="L36" i="26"/>
  <c r="M36" i="26"/>
  <c r="E37" i="26"/>
  <c r="F37" i="26"/>
  <c r="L37" i="26"/>
  <c r="M37" i="26"/>
  <c r="E38" i="26"/>
  <c r="F38" i="26"/>
  <c r="L38" i="26"/>
  <c r="M38" i="26"/>
  <c r="E39" i="26"/>
  <c r="E34" i="32" s="1"/>
  <c r="F39" i="26"/>
  <c r="F34" i="32" s="1"/>
  <c r="F4" i="7"/>
  <c r="F5" i="7"/>
  <c r="F8" i="7"/>
  <c r="F9" i="7"/>
  <c r="F10" i="7"/>
  <c r="AJ57" i="24" l="1"/>
  <c r="AJ50" i="24"/>
  <c r="AJ48" i="24"/>
  <c r="AJ39" i="24"/>
  <c r="AJ35" i="24"/>
  <c r="AJ33" i="24"/>
  <c r="AJ31" i="24"/>
  <c r="AJ26" i="24"/>
  <c r="AJ24" i="24"/>
  <c r="AJ20" i="24"/>
  <c r="R58" i="24"/>
  <c r="AI55" i="24"/>
  <c r="AI53" i="24"/>
  <c r="AI46" i="24"/>
  <c r="AI43" i="24"/>
  <c r="AI41" i="24"/>
  <c r="AI37" i="24"/>
  <c r="AI58" i="24" s="1"/>
  <c r="E33" i="28" s="1"/>
  <c r="AI28" i="24"/>
  <c r="AI22" i="24"/>
  <c r="AI20" i="24"/>
  <c r="AY12" i="24"/>
  <c r="AZ12" i="24"/>
  <c r="AZ11" i="24"/>
  <c r="AY11" i="24"/>
  <c r="AY10" i="24"/>
  <c r="AZ10" i="24"/>
  <c r="AZ9" i="24"/>
  <c r="AY9" i="24"/>
  <c r="AY8" i="24"/>
  <c r="AZ8" i="24"/>
  <c r="AZ7" i="24"/>
  <c r="AY7" i="24"/>
  <c r="BP36" i="23"/>
  <c r="BP38" i="23" s="1"/>
  <c r="E32" i="33" s="1"/>
  <c r="BP22" i="21"/>
  <c r="BO22" i="21"/>
  <c r="BP20" i="21"/>
  <c r="BO20" i="21"/>
  <c r="BP17" i="21"/>
  <c r="BO17" i="21"/>
  <c r="BP15" i="21"/>
  <c r="BO15" i="21"/>
  <c r="BP12" i="21"/>
  <c r="BO12" i="21"/>
  <c r="BP10" i="21"/>
  <c r="BO10" i="21"/>
  <c r="BP8" i="21"/>
  <c r="BO8" i="21"/>
  <c r="BP5" i="21"/>
  <c r="BO5" i="21"/>
  <c r="R44" i="21"/>
  <c r="T5" i="21"/>
  <c r="T44" i="21" s="1"/>
  <c r="F15" i="1"/>
  <c r="AZ5" i="24"/>
  <c r="AY5" i="24"/>
  <c r="BA9" i="23"/>
  <c r="AZ9" i="23"/>
  <c r="BA7" i="23"/>
  <c r="AZ7" i="23"/>
  <c r="BA5" i="23"/>
  <c r="AZ5" i="23"/>
  <c r="BQ38" i="23"/>
  <c r="F32" i="33" s="1"/>
  <c r="BA35" i="23"/>
  <c r="AZ35" i="23"/>
  <c r="BA18" i="23"/>
  <c r="AZ18" i="23"/>
  <c r="BA16" i="23"/>
  <c r="AZ16" i="23"/>
  <c r="BA13" i="23"/>
  <c r="AZ13" i="23"/>
  <c r="BA11" i="23"/>
  <c r="AZ11" i="23"/>
  <c r="AJ56" i="24"/>
  <c r="AJ54" i="24"/>
  <c r="AJ51" i="24"/>
  <c r="AJ49" i="24"/>
  <c r="AJ47" i="24"/>
  <c r="AJ44" i="24"/>
  <c r="AJ42" i="24"/>
  <c r="AJ40" i="24"/>
  <c r="AJ38" i="24"/>
  <c r="AJ36" i="24"/>
  <c r="AJ34" i="24"/>
  <c r="AJ32" i="24"/>
  <c r="AJ29" i="24"/>
  <c r="AJ27" i="24"/>
  <c r="AJ25" i="24"/>
  <c r="AJ23" i="24"/>
  <c r="AJ21" i="24"/>
  <c r="AZ17" i="24"/>
  <c r="AZ34" i="23"/>
  <c r="BA34" i="23"/>
  <c r="BA33" i="23"/>
  <c r="AZ33" i="23"/>
  <c r="AZ32" i="23"/>
  <c r="BA32" i="23"/>
  <c r="BA31" i="23"/>
  <c r="AZ31" i="23"/>
  <c r="AZ30" i="23"/>
  <c r="BA30" i="23"/>
  <c r="BA29" i="23"/>
  <c r="AZ29" i="23"/>
  <c r="AZ28" i="23"/>
  <c r="BA28" i="23"/>
  <c r="BA27" i="23"/>
  <c r="AZ27" i="23"/>
  <c r="AZ26" i="23"/>
  <c r="BA26" i="23"/>
  <c r="BA25" i="23"/>
  <c r="AZ25" i="23"/>
  <c r="AZ24" i="23"/>
  <c r="BA24" i="23"/>
  <c r="BA23" i="23"/>
  <c r="AZ23" i="23"/>
  <c r="AZ21" i="23"/>
  <c r="BA21" i="23"/>
  <c r="AZ19" i="23"/>
  <c r="BA19" i="23"/>
  <c r="AZ17" i="23"/>
  <c r="BA17" i="23"/>
  <c r="AZ15" i="23"/>
  <c r="BA15" i="23"/>
  <c r="AZ12" i="23"/>
  <c r="BA12" i="23"/>
  <c r="AZ10" i="23"/>
  <c r="BA10" i="23"/>
  <c r="AZ8" i="23"/>
  <c r="BA8" i="23"/>
  <c r="AZ6" i="23"/>
  <c r="BA6" i="23"/>
  <c r="E35" i="27"/>
  <c r="B8" i="1" s="1"/>
  <c r="AY6" i="24"/>
  <c r="AZ6" i="24"/>
  <c r="BA37" i="23"/>
  <c r="AZ37" i="23"/>
  <c r="BA20" i="23"/>
  <c r="AZ20" i="23"/>
  <c r="AJ38" i="23"/>
  <c r="E32" i="28" s="1"/>
  <c r="AI44" i="21"/>
  <c r="E31" i="28" s="1"/>
  <c r="B26" i="1"/>
  <c r="AZ36" i="23"/>
  <c r="BA36" i="23"/>
  <c r="BP47" i="24"/>
  <c r="BP42" i="24"/>
  <c r="BP40" i="24"/>
  <c r="BP38" i="24"/>
  <c r="BP36" i="24"/>
  <c r="BP32" i="24"/>
  <c r="BP29" i="24"/>
  <c r="BP27" i="24"/>
  <c r="BP23" i="24"/>
  <c r="BP21" i="24"/>
  <c r="BP58" i="24" s="1"/>
  <c r="F33" i="33" s="1"/>
  <c r="BP18" i="24"/>
  <c r="T18" i="24"/>
  <c r="T58" i="24" s="1"/>
  <c r="F21" i="32"/>
  <c r="AX58" i="24"/>
  <c r="BP56" i="24"/>
  <c r="BP54" i="24"/>
  <c r="BP51" i="24"/>
  <c r="BP49" i="24"/>
  <c r="BP44" i="24"/>
  <c r="BP34" i="24"/>
  <c r="BP25" i="24"/>
  <c r="BO12" i="24"/>
  <c r="BO10" i="24"/>
  <c r="BO8" i="24"/>
  <c r="BO58" i="24" s="1"/>
  <c r="E33" i="33" s="1"/>
  <c r="BO42" i="21"/>
  <c r="BO40" i="21"/>
  <c r="BO37" i="21"/>
  <c r="BO35" i="21"/>
  <c r="BO32" i="21"/>
  <c r="BO30" i="21"/>
  <c r="BO28" i="21"/>
  <c r="F21" i="33"/>
  <c r="AZ43" i="21"/>
  <c r="AY43" i="21"/>
  <c r="AZ41" i="21"/>
  <c r="AY41" i="21"/>
  <c r="AZ39" i="21"/>
  <c r="AY39" i="21"/>
  <c r="AZ36" i="21"/>
  <c r="AY36" i="21"/>
  <c r="AZ34" i="21"/>
  <c r="AY34" i="21"/>
  <c r="AZ31" i="21"/>
  <c r="AY31" i="21"/>
  <c r="AZ29" i="21"/>
  <c r="AY29" i="21"/>
  <c r="AZ26" i="21"/>
  <c r="AX44" i="21"/>
  <c r="AY26" i="21"/>
  <c r="AY44" i="21" s="1"/>
  <c r="E31" i="32" s="1"/>
  <c r="F24" i="1"/>
  <c r="AZ42" i="21"/>
  <c r="AZ40" i="21"/>
  <c r="AZ37" i="21"/>
  <c r="AZ35" i="21"/>
  <c r="AZ32" i="21"/>
  <c r="AZ30" i="21"/>
  <c r="AZ28" i="21"/>
  <c r="BP24" i="21"/>
  <c r="BP21" i="21"/>
  <c r="BP19" i="21"/>
  <c r="BP16" i="21"/>
  <c r="BP14" i="21"/>
  <c r="BP11" i="21"/>
  <c r="BP9" i="21"/>
  <c r="BP6" i="21"/>
  <c r="C11" i="1"/>
  <c r="AJ12" i="24"/>
  <c r="AJ10" i="24"/>
  <c r="AJ8" i="24"/>
  <c r="AJ6" i="24"/>
  <c r="AJ58" i="24" s="1"/>
  <c r="F33" i="28" s="1"/>
  <c r="AK36" i="23"/>
  <c r="AK34" i="23"/>
  <c r="AK32" i="23"/>
  <c r="AK30" i="23"/>
  <c r="AK28" i="23"/>
  <c r="AK26" i="23"/>
  <c r="AK24" i="23"/>
  <c r="AK21" i="23"/>
  <c r="AK19" i="23"/>
  <c r="AK17" i="23"/>
  <c r="AK15" i="23"/>
  <c r="AK12" i="23"/>
  <c r="AK10" i="23"/>
  <c r="AK8" i="23"/>
  <c r="AK6" i="23"/>
  <c r="AK38" i="23" s="1"/>
  <c r="F32" i="28" s="1"/>
  <c r="AJ42" i="21"/>
  <c r="AJ40" i="21"/>
  <c r="AJ37" i="21"/>
  <c r="AJ35" i="21"/>
  <c r="AJ32" i="21"/>
  <c r="AJ30" i="21"/>
  <c r="AJ28" i="21"/>
  <c r="AJ44" i="21" s="1"/>
  <c r="F31" i="28" s="1"/>
  <c r="F35" i="28" s="1"/>
  <c r="C7" i="1" s="1"/>
  <c r="AZ24" i="21"/>
  <c r="AZ21" i="21"/>
  <c r="AZ19" i="21"/>
  <c r="AZ16" i="21"/>
  <c r="AZ14" i="21"/>
  <c r="AZ11" i="21"/>
  <c r="AZ9" i="21"/>
  <c r="AZ6" i="21"/>
  <c r="AZ44" i="21" s="1"/>
  <c r="F31" i="32" s="1"/>
  <c r="E35" i="28" l="1"/>
  <c r="C8" i="1" s="1"/>
  <c r="BO44" i="21"/>
  <c r="E31" i="33" s="1"/>
  <c r="E35" i="33" s="1"/>
  <c r="E8" i="1" s="1"/>
  <c r="BP44" i="21"/>
  <c r="F31" i="33" s="1"/>
  <c r="F35" i="33" s="1"/>
  <c r="E7" i="1" s="1"/>
  <c r="AY58" i="24"/>
  <c r="E33" i="32" s="1"/>
  <c r="AZ58" i="24"/>
  <c r="F33" i="32" s="1"/>
  <c r="AZ38" i="23"/>
  <c r="E32" i="32" s="1"/>
  <c r="E35" i="32" s="1"/>
  <c r="D8" i="1" s="1"/>
  <c r="F8" i="1" s="1"/>
  <c r="E23" i="1"/>
  <c r="E26" i="1" s="1"/>
  <c r="E11" i="1"/>
  <c r="BA38" i="23"/>
  <c r="F32" i="32" s="1"/>
  <c r="F35" i="32" s="1"/>
  <c r="D7" i="1" s="1"/>
  <c r="F7" i="1" s="1"/>
  <c r="D23" i="1"/>
  <c r="D11" i="1"/>
  <c r="F11" i="1" s="1"/>
  <c r="D26" i="1" l="1"/>
  <c r="F26" i="1" s="1"/>
  <c r="F23" i="1"/>
</calcChain>
</file>

<file path=xl/sharedStrings.xml><?xml version="1.0" encoding="utf-8"?>
<sst xmlns="http://schemas.openxmlformats.org/spreadsheetml/2006/main" count="1014" uniqueCount="333">
  <si>
    <t>Quarter 1</t>
  </si>
  <si>
    <t>Quarter 2</t>
  </si>
  <si>
    <t>Quarter 3</t>
  </si>
  <si>
    <t>Quarter 4</t>
  </si>
  <si>
    <t>Week beginning:</t>
  </si>
  <si>
    <t>Quarter  3</t>
  </si>
  <si>
    <t>item code</t>
  </si>
  <si>
    <t>Item cost</t>
  </si>
  <si>
    <t>Underwear:</t>
  </si>
  <si>
    <t>items</t>
  </si>
  <si>
    <t>Boxer shorts</t>
  </si>
  <si>
    <t>Sock (pair)</t>
  </si>
  <si>
    <t>General clothing:</t>
  </si>
  <si>
    <t>T-shirt</t>
  </si>
  <si>
    <t>Jeans</t>
  </si>
  <si>
    <t>4165-4180</t>
  </si>
  <si>
    <t>Night wear:</t>
  </si>
  <si>
    <t>Dressing gown (hosp)</t>
  </si>
  <si>
    <t>Pyjama jacket</t>
  </si>
  <si>
    <t>1041-1043</t>
  </si>
  <si>
    <t>Pyjama trousers</t>
  </si>
  <si>
    <t>1044-1046</t>
  </si>
  <si>
    <t>Slippers</t>
  </si>
  <si>
    <t>P.E. wear:</t>
  </si>
  <si>
    <t>Gym vest (blue)</t>
  </si>
  <si>
    <t>2950-2954</t>
  </si>
  <si>
    <t>PE shorts</t>
  </si>
  <si>
    <t>Sweatshirt</t>
  </si>
  <si>
    <t>Footwear:</t>
  </si>
  <si>
    <t>Shoes</t>
  </si>
  <si>
    <t>1187-1197</t>
  </si>
  <si>
    <t>Sports shoe</t>
  </si>
  <si>
    <t>General workwear:</t>
  </si>
  <si>
    <t>Bodywarmer</t>
  </si>
  <si>
    <t>4136-4140</t>
  </si>
  <si>
    <t>Catering wear:</t>
  </si>
  <si>
    <t>Caterers apron</t>
  </si>
  <si>
    <t>2200-2204</t>
  </si>
  <si>
    <t>Oven gloves</t>
  </si>
  <si>
    <t>Safety/protective wear:</t>
  </si>
  <si>
    <t>1452-1453</t>
  </si>
  <si>
    <t>Safety boots</t>
  </si>
  <si>
    <t>Cell furniture:</t>
  </si>
  <si>
    <t>Education/Hospital/Catering furniture:</t>
  </si>
  <si>
    <t>General furniture:</t>
  </si>
  <si>
    <t>Pin up board</t>
  </si>
  <si>
    <t>1845-6</t>
  </si>
  <si>
    <t>Bedding:</t>
  </si>
  <si>
    <t>Personal items:</t>
  </si>
  <si>
    <t>Face cloth</t>
  </si>
  <si>
    <t>Shaving brush</t>
  </si>
  <si>
    <t>Towel</t>
  </si>
  <si>
    <t>Crockery/Cutlery:</t>
  </si>
  <si>
    <t>Fork</t>
  </si>
  <si>
    <t>Jug</t>
  </si>
  <si>
    <t>Knife</t>
  </si>
  <si>
    <t>Mug 0.5 pint</t>
  </si>
  <si>
    <t>Mug 1 pint</t>
  </si>
  <si>
    <t>Spoon</t>
  </si>
  <si>
    <t>Tumbler</t>
  </si>
  <si>
    <t>Cleaning equipment:</t>
  </si>
  <si>
    <t>Bucket</t>
  </si>
  <si>
    <t>Bucket lid</t>
  </si>
  <si>
    <t>Dustpan</t>
  </si>
  <si>
    <t>Mop handle</t>
  </si>
  <si>
    <t>Mop head</t>
  </si>
  <si>
    <t>Tea cloth</t>
  </si>
  <si>
    <t>Wash-hand bowl</t>
  </si>
  <si>
    <t>Miscellaneous:</t>
  </si>
  <si>
    <t>Ashtray</t>
  </si>
  <si>
    <t>Dustbin</t>
  </si>
  <si>
    <t>Dustbin lid</t>
  </si>
  <si>
    <t>Litter bin stand</t>
  </si>
  <si>
    <t>Property box</t>
  </si>
  <si>
    <t>Toilet brush holder</t>
  </si>
  <si>
    <t>Toilet roll holder</t>
  </si>
  <si>
    <t>1649A</t>
  </si>
  <si>
    <t>Trollies:</t>
  </si>
  <si>
    <t>Dining room trolley</t>
  </si>
  <si>
    <t>Laundry trolley</t>
  </si>
  <si>
    <t>Platform trolley</t>
  </si>
  <si>
    <t>Soiled linen trolley</t>
  </si>
  <si>
    <t>Wheelbarrow</t>
  </si>
  <si>
    <t>Description</t>
  </si>
  <si>
    <t>Total Cost</t>
  </si>
  <si>
    <t>0864-0870</t>
  </si>
  <si>
    <t>2910 - 2948</t>
  </si>
  <si>
    <t>1236-1250C</t>
  </si>
  <si>
    <t>1223-1227</t>
  </si>
  <si>
    <t>4141-4145</t>
  </si>
  <si>
    <t>0925-0927</t>
  </si>
  <si>
    <t>0998-1005</t>
  </si>
  <si>
    <t>0994-0996</t>
  </si>
  <si>
    <t>2800-2827</t>
  </si>
  <si>
    <t>2850-2876</t>
  </si>
  <si>
    <t>0855-0863</t>
  </si>
  <si>
    <t>4184-4188</t>
  </si>
  <si>
    <t>2244-2257</t>
  </si>
  <si>
    <t>1388-1394</t>
  </si>
  <si>
    <t>4193-4194</t>
  </si>
  <si>
    <t>Plate - dinner</t>
  </si>
  <si>
    <t>Duvet cover</t>
  </si>
  <si>
    <t>Short sleeve shirt</t>
  </si>
  <si>
    <t>1033-1039</t>
  </si>
  <si>
    <t>Laundry bag - net</t>
  </si>
  <si>
    <t>Laundry Bag  (personal)</t>
  </si>
  <si>
    <t>Clothing bag</t>
  </si>
  <si>
    <t>Mop bucket</t>
  </si>
  <si>
    <t xml:space="preserve">Bowl - soup/cereal </t>
  </si>
  <si>
    <t>Scrubbing brush</t>
  </si>
  <si>
    <t>Waste paper bin (cell)</t>
  </si>
  <si>
    <t>Tray - stainless steel</t>
  </si>
  <si>
    <t>1006-1014</t>
  </si>
  <si>
    <t>Bed frame - head, std</t>
  </si>
  <si>
    <t>Bed frame - mattress base, std</t>
  </si>
  <si>
    <t>Bed frame - foot, std</t>
  </si>
  <si>
    <t xml:space="preserve">Cupboard - 3 drawer unit </t>
  </si>
  <si>
    <t>Bedside locker - cell</t>
  </si>
  <si>
    <t>Chair - cell, tubular</t>
  </si>
  <si>
    <t>Locker - cell</t>
  </si>
  <si>
    <t>Mirror - cell</t>
  </si>
  <si>
    <t>Chair - tubular, padded (Ed)</t>
  </si>
  <si>
    <t>Table - dining, tubular</t>
  </si>
  <si>
    <t>Table - large (Ed)</t>
  </si>
  <si>
    <t>Table - small (Ed)</t>
  </si>
  <si>
    <t xml:space="preserve">Table - veg prep, stainless steel </t>
  </si>
  <si>
    <t>Chair - easy, with arms (Hosp)</t>
  </si>
  <si>
    <t>Locker - bedside (Hosp)</t>
  </si>
  <si>
    <t>Wall shelf unit - 1 door</t>
  </si>
  <si>
    <t>Wall shelf unit - 2 door</t>
  </si>
  <si>
    <t>Chair - easy, recreation</t>
  </si>
  <si>
    <t>Chair - back (replacement for 1816)</t>
  </si>
  <si>
    <t>Chair - seat replacement for 1816)</t>
  </si>
  <si>
    <t>Peg board - large</t>
  </si>
  <si>
    <t>Peg board - small</t>
  </si>
  <si>
    <t>Shadowboard - large</t>
  </si>
  <si>
    <t>Shadowboard - small</t>
  </si>
  <si>
    <t>Shadowboard Cabinet - large</t>
  </si>
  <si>
    <t>Shadowboard Cabinet - small</t>
  </si>
  <si>
    <t>Locker - staff</t>
  </si>
  <si>
    <t>Locker - visits, 2 door</t>
  </si>
  <si>
    <t>Wardrobe - wall mt</t>
  </si>
  <si>
    <t>Jacket - kitchen</t>
  </si>
  <si>
    <t>Trousers - kitchen</t>
  </si>
  <si>
    <t>Jacket - denim</t>
  </si>
  <si>
    <t xml:space="preserve">Kagoule - raincoat </t>
  </si>
  <si>
    <t>Boilersuit</t>
  </si>
  <si>
    <t>4157-4162</t>
  </si>
  <si>
    <t>Jacket - green</t>
  </si>
  <si>
    <t xml:space="preserve">Trousers - green </t>
  </si>
  <si>
    <t>Safety cap - green</t>
  </si>
  <si>
    <t xml:space="preserve">Apron - painters </t>
  </si>
  <si>
    <t>Apron - waterproof</t>
  </si>
  <si>
    <t>Wardrobe - 2 door</t>
  </si>
  <si>
    <t xml:space="preserve">Broom - handle </t>
  </si>
  <si>
    <t>Broom - sweeping head</t>
  </si>
  <si>
    <t>Squeegee - head</t>
  </si>
  <si>
    <t>Squeegee - handle</t>
  </si>
  <si>
    <t>TOTAL FOR YEAR</t>
  </si>
  <si>
    <t>EMPLOYMENT</t>
  </si>
  <si>
    <t>Annual Total</t>
  </si>
  <si>
    <t>WMU working hours per week:</t>
  </si>
  <si>
    <t>PAPER</t>
  </si>
  <si>
    <t>PLASTICS</t>
  </si>
  <si>
    <t>METALS</t>
  </si>
  <si>
    <t>WOOD</t>
  </si>
  <si>
    <t>BATTERIES</t>
  </si>
  <si>
    <t>GLASS</t>
  </si>
  <si>
    <t>TOTALS</t>
  </si>
  <si>
    <t>OTHER</t>
  </si>
  <si>
    <t>EDUCATION - STAFF</t>
  </si>
  <si>
    <t>Number of staff achieving formal qualifications in waste management.</t>
  </si>
  <si>
    <t>Jogging bottoms</t>
  </si>
  <si>
    <t>Fleece jacket</t>
  </si>
  <si>
    <t>1901-1905</t>
  </si>
  <si>
    <t>Hi vis reflective waistcoat</t>
  </si>
  <si>
    <t>Hospital blanket        (white)</t>
  </si>
  <si>
    <t>0342</t>
  </si>
  <si>
    <t>0532</t>
  </si>
  <si>
    <t>0539</t>
  </si>
  <si>
    <t>0544</t>
  </si>
  <si>
    <t xml:space="preserve">Workshop working hours per Week: </t>
  </si>
  <si>
    <t>Item weight</t>
  </si>
  <si>
    <t>Bin - waste paper</t>
  </si>
  <si>
    <t>REGIME ACTIVITY</t>
  </si>
  <si>
    <t>EDUCATION - OFFENDERS</t>
  </si>
  <si>
    <t>Average</t>
  </si>
  <si>
    <t>CONTRACTOR</t>
  </si>
  <si>
    <t>MATERIAL</t>
  </si>
  <si>
    <t>TONAR &amp; PRINT 
CARTRIDGES</t>
  </si>
  <si>
    <t>TEXTILES
 (including footwear)</t>
  </si>
  <si>
    <t>WEEK BEGINNING:</t>
  </si>
  <si>
    <t>CLOTHING</t>
  </si>
  <si>
    <t>FURNITURE</t>
  </si>
  <si>
    <t>EQUIPMENT</t>
  </si>
  <si>
    <t>For items not listed on any other sheet, enter the item description, cost and number salvaged for reuse/recycling to calculate the cost saving for each quarter.</t>
  </si>
  <si>
    <t>TOTAL</t>
  </si>
  <si>
    <t>TALLY</t>
  </si>
  <si>
    <t>ITEM</t>
  </si>
  <si>
    <t>CODE</t>
  </si>
  <si>
    <t>OTHER ITEMS</t>
  </si>
  <si>
    <t>Tally up the number of each item salvaged for reuse/recycling each week
Enter the total number for each item into the spreadsheet under the corresponding  week to calculate the cost saving.</t>
  </si>
  <si>
    <t>COST</t>
  </si>
  <si>
    <t>Tally up the number of each item salvaged for reuse/recycling each week and enter the total number for each item into the spreadsheet under the corresponding  week to calculate the cost saving.</t>
  </si>
  <si>
    <t>Blanket                             (maize)</t>
  </si>
  <si>
    <t>Hospital sheet            (white)</t>
  </si>
  <si>
    <t>Sheet                                 (green std)</t>
  </si>
  <si>
    <t>Pillow slip                      (green std)</t>
  </si>
  <si>
    <t>Bed cover                       (green std)</t>
  </si>
  <si>
    <t>Hospital Pillow slip   (white)</t>
  </si>
  <si>
    <t>Cupboard - 3 drawer unit</t>
  </si>
  <si>
    <t>Education/Hospital/Catering furniture</t>
  </si>
  <si>
    <t>Locker - bedside (Hospital)</t>
  </si>
  <si>
    <t>Chair - easy, with arms (Hospital)</t>
  </si>
  <si>
    <t>Table - veg prep, stainless steel</t>
  </si>
  <si>
    <t>Table - large (Education)</t>
  </si>
  <si>
    <t>Table - small (Education)</t>
  </si>
  <si>
    <t>General Furniture</t>
  </si>
  <si>
    <t>Bed cover                  (green std)</t>
  </si>
  <si>
    <t>Pillow slip                (green std)</t>
  </si>
  <si>
    <t>Sheet                         (green std)</t>
  </si>
  <si>
    <t>Hospital sheet               (white)</t>
  </si>
  <si>
    <t>Hospital blanket            (white)</t>
  </si>
  <si>
    <t>Blanket                            (maize)</t>
  </si>
  <si>
    <t>Crockery/Cutlery</t>
  </si>
  <si>
    <t>Cleaning equipment</t>
  </si>
  <si>
    <t>Miscellaneous</t>
  </si>
  <si>
    <t>Hospital Pillow slip      (white)</t>
  </si>
  <si>
    <t>Week 1 - October</t>
  </si>
  <si>
    <t>Week 1 -    July</t>
  </si>
  <si>
    <t>Week 1 -January</t>
  </si>
  <si>
    <t>Average per week</t>
  </si>
  <si>
    <t>Week 1 -   April</t>
  </si>
  <si>
    <t xml:space="preserve">Processed on-site into biofuel </t>
  </si>
  <si>
    <t>Salvaged from the waste and returned to stores for re-use</t>
  </si>
  <si>
    <t xml:space="preserve">WASTE ELECTRONIC &amp; ELECTRICAL EQUIPMENT </t>
  </si>
  <si>
    <r>
      <t xml:space="preserve">INACTIVE 
</t>
    </r>
    <r>
      <rPr>
        <sz val="11"/>
        <color indexed="8"/>
        <rFont val="Calibri"/>
        <family val="2"/>
      </rPr>
      <t>(rubble, soils, bricks, etc)</t>
    </r>
  </si>
  <si>
    <t>Incinerated on-site for energy (EfW)</t>
  </si>
  <si>
    <t>Total Weight</t>
  </si>
  <si>
    <t xml:space="preserve">For recording items not listed on any other sheet.
Enter the required data to calculate the salvage cost and weight. </t>
  </si>
  <si>
    <t>Total</t>
  </si>
  <si>
    <t>Achieved WM qualifications</t>
  </si>
  <si>
    <t xml:space="preserve">Chair - prisoner, padded </t>
  </si>
  <si>
    <t>Towel Bath</t>
  </si>
  <si>
    <t>Bucket 9 litre</t>
  </si>
  <si>
    <t>WEIGHT</t>
  </si>
  <si>
    <t>Number of offenders undertaking accredited training in waste management and recycling.</t>
  </si>
  <si>
    <t>Number of offenders achieving qualifications in waste management and recycling.</t>
  </si>
  <si>
    <t>RESOURCE MANAGEMENT</t>
  </si>
  <si>
    <t>OFFENDER TRAINING AND EDUCATION</t>
  </si>
  <si>
    <t>Prisoners Employed per week:</t>
  </si>
  <si>
    <t>Resource values</t>
  </si>
  <si>
    <t>Resource weight tonnes</t>
  </si>
  <si>
    <t>Cost per 1 item</t>
  </si>
  <si>
    <t>Weight per 1 item</t>
  </si>
  <si>
    <t>Total Number of items</t>
  </si>
  <si>
    <r>
      <t xml:space="preserve">Number of offenders out working in waste &amp; recycling activities  (RoTL)
</t>
    </r>
    <r>
      <rPr>
        <sz val="10"/>
        <color indexed="8"/>
        <rFont val="Calibri"/>
        <family val="2"/>
      </rPr>
      <t>e.g. for the local council, waste collection/recycling company, etc.</t>
    </r>
  </si>
  <si>
    <t xml:space="preserve">Offenders employed per Week  (WMU roll):   </t>
  </si>
  <si>
    <t xml:space="preserve">Employment and Education </t>
  </si>
  <si>
    <t>Tally up the number of each item salvaged for reuse/recycling each week
Enter the total number for each item into the spreadsheet under the corresponding  week to calculate the weight and cost saving.</t>
  </si>
  <si>
    <t>Total number of Items</t>
  </si>
  <si>
    <t>Total weight</t>
  </si>
  <si>
    <t>Total £'s value</t>
  </si>
  <si>
    <t>Quarter 1 Totals</t>
  </si>
  <si>
    <t>Quarter 2 Totals</t>
  </si>
  <si>
    <t>Quarter 3 Totals</t>
  </si>
  <si>
    <t>Quarter 4 Totals</t>
  </si>
  <si>
    <t>Quarter 4 totals</t>
  </si>
  <si>
    <t>Quarter 3 totals</t>
  </si>
  <si>
    <t>Quarter 2 totals</t>
  </si>
  <si>
    <t>Quarter 1 totals</t>
  </si>
  <si>
    <t>Q1 TOTALS</t>
  </si>
  <si>
    <t>Q2 TOTALS</t>
  </si>
  <si>
    <t>Q3 TOTALS</t>
  </si>
  <si>
    <t>Q4 TOTALS</t>
  </si>
  <si>
    <t>Out-working [RoTL] in the waste &amp; recycling industry</t>
  </si>
  <si>
    <t>Completed by [email address:]</t>
  </si>
  <si>
    <t>Telephone:</t>
  </si>
  <si>
    <t>Average per week Q1</t>
  </si>
  <si>
    <t>Average per week Q2</t>
  </si>
  <si>
    <t>Average per week Q3</t>
  </si>
  <si>
    <t>Average per week Q4</t>
  </si>
  <si>
    <t>HMP</t>
  </si>
  <si>
    <t>SALVAGED CLOTHING
(prison issue)</t>
  </si>
  <si>
    <t>SALVAGED FURNITURE
(prison issue)</t>
  </si>
  <si>
    <t>SALVAGED EQUIPMENT
(prison issue)</t>
  </si>
  <si>
    <t>SALVAGED ITEMS
(other, non prison issue)</t>
  </si>
  <si>
    <t xml:space="preserve">FOOD </t>
  </si>
  <si>
    <t>GARDENS</t>
  </si>
  <si>
    <t>USED COOKING OIL</t>
  </si>
  <si>
    <t>On-site In-vessel composting and/or
Anaerobic Digestion</t>
  </si>
  <si>
    <t>On-site In-vessel composting and/or
Windrow composting</t>
  </si>
  <si>
    <t>Salvaged from the waste, cleaned and returned to stores for re-use</t>
  </si>
  <si>
    <t>PRISON MATTRESSES SALVAGED</t>
  </si>
  <si>
    <t>Materials diverted from disposal (tonnes)</t>
  </si>
  <si>
    <t>PILLOWS TO 
RECYCLING</t>
  </si>
  <si>
    <t>USED COOKING OIL 
TO RECYCLING</t>
  </si>
  <si>
    <t>MATTRESSES 
TO RECYCLING</t>
  </si>
  <si>
    <t>MATERIALS RECYCLING</t>
  </si>
  <si>
    <t>PRISON PILLOWS
 SALVAGED</t>
  </si>
  <si>
    <t>NUMBER OF LITRES
or NUMBER OF ITEMS</t>
  </si>
  <si>
    <t>FOOD TO OFF-SITE RECYCLING</t>
  </si>
  <si>
    <t>GARDENS TO OFF-SITE RECYCLING</t>
  </si>
  <si>
    <t>WOOD TO OFF-SITE RECYCLING</t>
  </si>
  <si>
    <t>CARDBOARD
inc. cartons (ie Tetra-pak)</t>
  </si>
  <si>
    <t>Remanufactured on-site 
into products</t>
  </si>
  <si>
    <t>WEIGHT OF MATERIAL
TO RECYCLING
(tonnes)</t>
  </si>
  <si>
    <t>WEIGHT OF RESOURCE
TO REUSE
(tonnes)</t>
  </si>
  <si>
    <t>COST AVOIDANCE
(£'s)</t>
  </si>
  <si>
    <t>REVENUES
(£'s)</t>
  </si>
  <si>
    <t>QUARTER 1:</t>
  </si>
  <si>
    <r>
      <t xml:space="preserve">Resource materials salvaged for reuse on-site  </t>
    </r>
    <r>
      <rPr>
        <sz val="12"/>
        <color indexed="8"/>
        <rFont val="Calibri"/>
        <family val="2"/>
      </rPr>
      <t>(tonnes)</t>
    </r>
    <r>
      <rPr>
        <b/>
        <sz val="12"/>
        <color indexed="8"/>
        <rFont val="Calibri"/>
        <family val="2"/>
      </rPr>
      <t xml:space="preserve"> </t>
    </r>
  </si>
  <si>
    <r>
      <t xml:space="preserve">Total waste directed to off-site recycling 
</t>
    </r>
    <r>
      <rPr>
        <sz val="12"/>
        <color indexed="8"/>
        <rFont val="Calibri"/>
        <family val="2"/>
      </rPr>
      <t>(tonnes)</t>
    </r>
  </si>
  <si>
    <r>
      <t xml:space="preserve">Salvaged Resource Value 
</t>
    </r>
    <r>
      <rPr>
        <sz val="12"/>
        <color indexed="8"/>
        <rFont val="Calibri"/>
        <family val="2"/>
      </rPr>
      <t>(C&amp;E and other items salvaged for reuse on-site)</t>
    </r>
  </si>
  <si>
    <r>
      <t xml:space="preserve">Revenues received 
</t>
    </r>
    <r>
      <rPr>
        <sz val="12"/>
        <color indexed="8"/>
        <rFont val="Calibri"/>
        <family val="2"/>
      </rPr>
      <t>(from materials sold for recycling)</t>
    </r>
  </si>
  <si>
    <r>
      <t xml:space="preserve">GOVERNMENT REPORTING
</t>
    </r>
    <r>
      <rPr>
        <sz val="14"/>
        <rFont val="Calibri"/>
        <family val="2"/>
      </rPr>
      <t>(Greening Government targets)</t>
    </r>
  </si>
  <si>
    <t>Total hazardous waste
(tonnes)</t>
  </si>
  <si>
    <t>Total recyclable waste materials
(tonnes)</t>
  </si>
  <si>
    <t>QUARTER 2:</t>
  </si>
  <si>
    <t>QUARTER 3:</t>
  </si>
  <si>
    <t>OTHER ITEMS SALVAGED 
FOR REUSE ON-SITE</t>
  </si>
  <si>
    <r>
      <t xml:space="preserve">Total waste directed to recycling
</t>
    </r>
    <r>
      <rPr>
        <sz val="12"/>
        <rFont val="Calibri"/>
        <family val="2"/>
      </rPr>
      <t xml:space="preserve">(tonnes) </t>
    </r>
  </si>
  <si>
    <r>
      <t xml:space="preserve">Total waste directed to Composting and A.D.
</t>
    </r>
    <r>
      <rPr>
        <sz val="12"/>
        <rFont val="Calibri"/>
        <family val="2"/>
      </rPr>
      <t>(tonnes)</t>
    </r>
  </si>
  <si>
    <t>APRIL - JUNE 2018</t>
  </si>
  <si>
    <t>JULY- SEPT 2018</t>
  </si>
  <si>
    <t>OCTOBER - NOVEMBER 2018</t>
  </si>
  <si>
    <t>QUARTER 4:</t>
  </si>
  <si>
    <t>JANUARY - APRIL 2019</t>
  </si>
  <si>
    <t xml:space="preserve">WASTE MANAGEMENT PERFORMANCE - MANAGEMENT SUMMARY 2018 / 2019                </t>
  </si>
  <si>
    <t>Quarter 1 : April; May; June 2018</t>
  </si>
  <si>
    <t>Quarter 2 : July; August; September 2018</t>
  </si>
  <si>
    <t>Quarter 3 : October; November; December 2018</t>
  </si>
  <si>
    <t>Quarter 4 : January; February;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</si>
</sst>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#,##0_ ;\-#,##0\ "/>
    <numFmt numFmtId="167" formatCode="&quot;£&quot;0.00"/>
    <numFmt numFmtId="168" formatCode="dd\-mm\-yy"/>
    <numFmt numFmtId="169" formatCode="0.0_ ;[Red]\-0.0\ "/>
    <numFmt numFmtId="170" formatCode="0.000"/>
    <numFmt numFmtId="171" formatCode="0.00000"/>
    <numFmt numFmtId="172" formatCode="#,##0.00000_ ;\-#,##0.00000\ "/>
    <numFmt numFmtId="173" formatCode="#,##0.000"/>
    <numFmt numFmtId="174" formatCode="0_ ;[Red]\-0\ "/>
    <numFmt numFmtId="175" formatCode="#,##0.0"/>
    <numFmt numFmtId="176" formatCode="#,##0.0000"/>
    <numFmt numFmtId="177" formatCode="0.0000"/>
    <numFmt numFmtId="178" formatCode="#,##0.0_ ;[Red]\-#,##0.0\ "/>
  </numFmts>
  <fonts count="37" x14ac:knownFonts="1">
    <font>
      <sz val="10"/>
      <name val="Arial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2"/>
      <name val="Arial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/>
      <sz val="10"/>
      <color theme="10"/>
      <name val="Arial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rgb="FFFFFFE1"/>
        <bgColor indexed="64"/>
      </patternFill>
    </fill>
    <fill>
      <patternFill patternType="solid">
        <fgColor rgb="FFFFFFE1"/>
        <bgColor rgb="FFFFFFEF"/>
      </patternFill>
    </fill>
  </fills>
  <borders count="1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606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Fill="1" applyBorder="1" applyProtection="1"/>
    <xf numFmtId="0" fontId="3" fillId="0" borderId="0" xfId="0" applyFont="1" applyFill="1" applyBorder="1" applyProtection="1"/>
    <xf numFmtId="0" fontId="0" fillId="0" borderId="0" xfId="0" applyFill="1" applyProtection="1"/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Fill="1" applyProtection="1"/>
    <xf numFmtId="0" fontId="2" fillId="0" borderId="0" xfId="0" quotePrefix="1" applyFont="1" applyBorder="1" applyAlignment="1" applyProtection="1">
      <alignment horizontal="left"/>
    </xf>
    <xf numFmtId="168" fontId="3" fillId="0" borderId="0" xfId="0" applyNumberFormat="1" applyFont="1" applyProtection="1"/>
    <xf numFmtId="168" fontId="4" fillId="0" borderId="0" xfId="0" applyNumberFormat="1" applyFont="1" applyProtection="1"/>
    <xf numFmtId="168" fontId="0" fillId="0" borderId="0" xfId="0" applyNumberFormat="1" applyProtection="1"/>
    <xf numFmtId="0" fontId="4" fillId="0" borderId="0" xfId="0" applyFont="1" applyProtection="1"/>
    <xf numFmtId="1" fontId="4" fillId="0" borderId="0" xfId="0" applyNumberFormat="1" applyFont="1" applyProtection="1"/>
    <xf numFmtId="0" fontId="2" fillId="0" borderId="0" xfId="0" applyFont="1" applyAlignment="1">
      <alignment horizontal="center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1" fontId="7" fillId="0" borderId="0" xfId="0" applyNumberFormat="1" applyFont="1" applyBorder="1" applyAlignment="1" applyProtection="1">
      <alignment horizontal="right"/>
      <protection hidden="1"/>
    </xf>
    <xf numFmtId="0" fontId="7" fillId="0" borderId="0" xfId="0" applyFont="1" applyBorder="1" applyProtection="1">
      <protection hidden="1"/>
    </xf>
    <xf numFmtId="0" fontId="5" fillId="0" borderId="0" xfId="0" applyFont="1"/>
    <xf numFmtId="0" fontId="11" fillId="0" borderId="0" xfId="0" applyFont="1" applyFill="1" applyProtection="1"/>
    <xf numFmtId="0" fontId="11" fillId="0" borderId="0" xfId="0" applyFont="1" applyProtection="1"/>
    <xf numFmtId="0" fontId="11" fillId="0" borderId="0" xfId="0" applyFont="1" applyFill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1" fillId="0" borderId="0" xfId="0" applyFont="1" applyFill="1" applyBorder="1" applyProtection="1">
      <protection hidden="1"/>
    </xf>
    <xf numFmtId="0" fontId="20" fillId="0" borderId="0" xfId="0" applyFont="1" applyAlignment="1">
      <alignment horizontal="left" vertical="top" wrapText="1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4" fillId="0" borderId="1" xfId="0" quotePrefix="1" applyNumberFormat="1" applyFont="1" applyBorder="1" applyAlignment="1" applyProtection="1">
      <alignment horizontal="center"/>
      <protection hidden="1"/>
    </xf>
    <xf numFmtId="0" fontId="11" fillId="0" borderId="0" xfId="0" applyNumberFormat="1" applyFont="1" applyFill="1" applyBorder="1" applyAlignment="1" applyProtection="1">
      <alignment horizontal="center"/>
      <protection hidden="1"/>
    </xf>
    <xf numFmtId="0" fontId="14" fillId="0" borderId="2" xfId="0" quotePrefix="1" applyNumberFormat="1" applyFont="1" applyFill="1" applyBorder="1" applyAlignment="1" applyProtection="1">
      <alignment horizontal="center"/>
      <protection hidden="1"/>
    </xf>
    <xf numFmtId="0" fontId="11" fillId="0" borderId="0" xfId="0" applyNumberFormat="1" applyFont="1" applyFill="1" applyAlignment="1" applyProtection="1">
      <alignment horizontal="center"/>
    </xf>
    <xf numFmtId="0" fontId="11" fillId="0" borderId="0" xfId="0" applyNumberFormat="1" applyFont="1" applyAlignment="1" applyProtection="1">
      <alignment horizontal="center"/>
    </xf>
    <xf numFmtId="0" fontId="20" fillId="0" borderId="0" xfId="0" applyFont="1" applyBorder="1" applyAlignment="1">
      <alignment horizontal="left" vertical="top" wrapText="1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4" fillId="0" borderId="4" xfId="0" quotePrefix="1" applyFont="1" applyBorder="1" applyAlignment="1" applyProtection="1">
      <alignment horizontal="left"/>
      <protection hidden="1"/>
    </xf>
    <xf numFmtId="0" fontId="14" fillId="0" borderId="5" xfId="0" applyFont="1" applyFill="1" applyBorder="1" applyProtection="1">
      <protection hidden="1"/>
    </xf>
    <xf numFmtId="0" fontId="11" fillId="0" borderId="2" xfId="0" applyNumberFormat="1" applyFont="1" applyFill="1" applyBorder="1" applyAlignment="1" applyProtection="1">
      <alignment horizontal="center"/>
      <protection hidden="1"/>
    </xf>
    <xf numFmtId="0" fontId="14" fillId="0" borderId="5" xfId="0" quotePrefix="1" applyFont="1" applyFill="1" applyBorder="1" applyAlignment="1" applyProtection="1">
      <alignment horizontal="left"/>
      <protection hidden="1"/>
    </xf>
    <xf numFmtId="0" fontId="11" fillId="0" borderId="2" xfId="0" quotePrefix="1" applyNumberFormat="1" applyFont="1" applyFill="1" applyBorder="1" applyAlignment="1" applyProtection="1">
      <alignment horizontal="center"/>
      <protection hidden="1"/>
    </xf>
    <xf numFmtId="0" fontId="11" fillId="0" borderId="0" xfId="0" applyFont="1" applyBorder="1" applyProtection="1">
      <protection hidden="1"/>
    </xf>
    <xf numFmtId="0" fontId="14" fillId="0" borderId="6" xfId="0" applyFont="1" applyFill="1" applyBorder="1" applyProtection="1">
      <protection hidden="1"/>
    </xf>
    <xf numFmtId="0" fontId="11" fillId="0" borderId="7" xfId="0" applyFont="1" applyBorder="1" applyProtection="1">
      <protection hidden="1"/>
    </xf>
    <xf numFmtId="171" fontId="11" fillId="0" borderId="1" xfId="0" applyNumberFormat="1" applyFont="1" applyBorder="1" applyProtection="1">
      <protection hidden="1"/>
    </xf>
    <xf numFmtId="171" fontId="11" fillId="0" borderId="8" xfId="0" applyNumberFormat="1" applyFont="1" applyFill="1" applyBorder="1" applyProtection="1">
      <protection hidden="1"/>
    </xf>
    <xf numFmtId="171" fontId="11" fillId="0" borderId="9" xfId="0" applyNumberFormat="1" applyFont="1" applyFill="1" applyBorder="1" applyProtection="1">
      <protection hidden="1"/>
    </xf>
    <xf numFmtId="171" fontId="11" fillId="0" borderId="10" xfId="0" applyNumberFormat="1" applyFont="1" applyFill="1" applyBorder="1" applyProtection="1">
      <protection hidden="1"/>
    </xf>
    <xf numFmtId="171" fontId="11" fillId="0" borderId="11" xfId="0" applyNumberFormat="1" applyFont="1" applyFill="1" applyBorder="1" applyProtection="1">
      <protection hidden="1"/>
    </xf>
    <xf numFmtId="164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Protection="1">
      <protection hidden="1"/>
    </xf>
    <xf numFmtId="0" fontId="19" fillId="0" borderId="0" xfId="0" applyFont="1" applyProtection="1"/>
    <xf numFmtId="0" fontId="19" fillId="0" borderId="0" xfId="0" applyFont="1" applyBorder="1" applyProtection="1"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167" fontId="19" fillId="0" borderId="0" xfId="0" applyNumberFormat="1" applyFont="1" applyFill="1" applyBorder="1" applyAlignment="1" applyProtection="1">
      <alignment vertical="center"/>
    </xf>
    <xf numFmtId="0" fontId="21" fillId="0" borderId="0" xfId="0" quotePrefix="1" applyFont="1" applyBorder="1" applyAlignment="1" applyProtection="1">
      <alignment horizontal="left"/>
      <protection hidden="1"/>
    </xf>
    <xf numFmtId="2" fontId="2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Border="1" applyAlignment="1" applyProtection="1">
      <alignment horizontal="center" vertical="center" wrapText="1"/>
      <protection hidden="1"/>
    </xf>
    <xf numFmtId="2" fontId="21" fillId="0" borderId="14" xfId="0" applyNumberFormat="1" applyFont="1" applyFill="1" applyBorder="1" applyAlignment="1" applyProtection="1">
      <alignment horizontal="center" vertical="top" wrapText="1"/>
      <protection hidden="1"/>
    </xf>
    <xf numFmtId="167" fontId="21" fillId="0" borderId="15" xfId="0" applyNumberFormat="1" applyFont="1" applyFill="1" applyBorder="1" applyAlignment="1" applyProtection="1">
      <alignment horizontal="center" vertical="top" wrapText="1"/>
      <protection hidden="1"/>
    </xf>
    <xf numFmtId="167" fontId="21" fillId="0" borderId="12" xfId="0" applyNumberFormat="1" applyFont="1" applyFill="1" applyBorder="1" applyAlignment="1" applyProtection="1">
      <alignment horizontal="center" vertical="top" wrapText="1"/>
      <protection hidden="1"/>
    </xf>
    <xf numFmtId="0" fontId="17" fillId="0" borderId="16" xfId="0" applyFont="1" applyBorder="1" applyAlignment="1" applyProtection="1">
      <alignment horizontal="center" vertical="center" wrapTex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17" fillId="0" borderId="17" xfId="0" quotePrefix="1" applyFont="1" applyBorder="1" applyAlignment="1" applyProtection="1">
      <alignment horizontal="center" vertical="center" wrapText="1"/>
      <protection hidden="1"/>
    </xf>
    <xf numFmtId="165" fontId="17" fillId="0" borderId="18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6" fillId="0" borderId="0" xfId="0" applyFont="1" applyBorder="1" applyProtection="1"/>
    <xf numFmtId="0" fontId="24" fillId="0" borderId="0" xfId="0" applyFont="1"/>
    <xf numFmtId="0" fontId="25" fillId="0" borderId="19" xfId="0" applyFont="1" applyBorder="1" applyAlignment="1" applyProtection="1">
      <alignment horizontal="center" vertical="center" wrapText="1"/>
      <protection hidden="1"/>
    </xf>
    <xf numFmtId="0" fontId="25" fillId="0" borderId="20" xfId="0" applyFont="1" applyBorder="1" applyAlignment="1" applyProtection="1">
      <alignment horizontal="center" vertical="center" wrapText="1"/>
      <protection hidden="1"/>
    </xf>
    <xf numFmtId="0" fontId="25" fillId="0" borderId="21" xfId="0" applyFont="1" applyBorder="1" applyAlignment="1" applyProtection="1">
      <alignment horizontal="center" vertical="center" wrapText="1"/>
      <protection hidden="1"/>
    </xf>
    <xf numFmtId="170" fontId="23" fillId="0" borderId="21" xfId="0" applyNumberFormat="1" applyFont="1" applyBorder="1" applyProtection="1">
      <protection hidden="1"/>
    </xf>
    <xf numFmtId="0" fontId="23" fillId="0" borderId="22" xfId="0" applyFont="1" applyBorder="1" applyProtection="1">
      <protection hidden="1"/>
    </xf>
    <xf numFmtId="0" fontId="23" fillId="0" borderId="23" xfId="0" applyFont="1" applyBorder="1" applyAlignment="1" applyProtection="1">
      <alignment horizontal="right"/>
      <protection hidden="1"/>
    </xf>
    <xf numFmtId="165" fontId="23" fillId="0" borderId="22" xfId="0" applyNumberFormat="1" applyFont="1" applyBorder="1" applyProtection="1">
      <protection hidden="1"/>
    </xf>
    <xf numFmtId="0" fontId="23" fillId="0" borderId="24" xfId="0" applyFont="1" applyBorder="1" applyProtection="1">
      <protection hidden="1"/>
    </xf>
    <xf numFmtId="0" fontId="24" fillId="0" borderId="0" xfId="0" applyFont="1" applyProtection="1">
      <protection hidden="1"/>
    </xf>
    <xf numFmtId="0" fontId="21" fillId="0" borderId="25" xfId="0" applyFont="1" applyBorder="1" applyAlignment="1" applyProtection="1">
      <alignment horizontal="center" vertical="center" wrapText="1"/>
      <protection hidden="1"/>
    </xf>
    <xf numFmtId="0" fontId="21" fillId="0" borderId="26" xfId="0" applyFont="1" applyBorder="1" applyAlignment="1" applyProtection="1">
      <alignment horizontal="center" vertical="center" wrapText="1"/>
      <protection hidden="1"/>
    </xf>
    <xf numFmtId="2" fontId="21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8" fillId="0" borderId="28" xfId="0" quotePrefix="1" applyFont="1" applyFill="1" applyBorder="1" applyAlignment="1" applyProtection="1">
      <alignment horizontal="center" vertical="center"/>
      <protection hidden="1"/>
    </xf>
    <xf numFmtId="0" fontId="8" fillId="0" borderId="29" xfId="0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Protection="1">
      <protection hidden="1"/>
    </xf>
    <xf numFmtId="0" fontId="7" fillId="0" borderId="3" xfId="0" applyFont="1" applyFill="1" applyBorder="1" applyProtection="1"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6" fillId="0" borderId="31" xfId="0" applyFont="1" applyFill="1" applyBorder="1" applyAlignment="1" applyProtection="1">
      <alignment horizontal="center" vertical="center" wrapText="1"/>
      <protection hidden="1"/>
    </xf>
    <xf numFmtId="0" fontId="10" fillId="0" borderId="28" xfId="0" applyFont="1" applyFill="1" applyBorder="1" applyAlignment="1" applyProtection="1">
      <alignment horizontal="center" vertical="center" wrapText="1"/>
      <protection hidden="1"/>
    </xf>
    <xf numFmtId="1" fontId="7" fillId="0" borderId="0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0" fillId="0" borderId="0" xfId="0" applyBorder="1" applyAlignment="1" applyProtection="1">
      <alignment horizontal="right" vertical="center"/>
      <protection hidden="1"/>
    </xf>
    <xf numFmtId="174" fontId="10" fillId="0" borderId="32" xfId="0" applyNumberFormat="1" applyFont="1" applyFill="1" applyBorder="1" applyAlignment="1" applyProtection="1">
      <alignment horizontal="center" vertical="center"/>
      <protection hidden="1"/>
    </xf>
    <xf numFmtId="174" fontId="10" fillId="0" borderId="33" xfId="0" applyNumberFormat="1" applyFont="1" applyFill="1" applyBorder="1" applyAlignment="1" applyProtection="1">
      <alignment horizontal="center" vertical="center"/>
      <protection hidden="1"/>
    </xf>
    <xf numFmtId="174" fontId="7" fillId="0" borderId="34" xfId="0" applyNumberFormat="1" applyFont="1" applyFill="1" applyBorder="1" applyAlignment="1" applyProtection="1">
      <alignment horizontal="center" vertical="center"/>
      <protection hidden="1"/>
    </xf>
    <xf numFmtId="174" fontId="7" fillId="0" borderId="35" xfId="0" applyNumberFormat="1" applyFont="1" applyFill="1" applyBorder="1" applyAlignment="1" applyProtection="1">
      <alignment horizontal="center" vertical="center"/>
      <protection hidden="1"/>
    </xf>
    <xf numFmtId="1" fontId="21" fillId="0" borderId="36" xfId="0" quotePrefix="1" applyNumberFormat="1" applyFont="1" applyFill="1" applyBorder="1" applyAlignment="1" applyProtection="1">
      <alignment horizontal="center" vertical="center"/>
      <protection hidden="1"/>
    </xf>
    <xf numFmtId="1" fontId="21" fillId="0" borderId="21" xfId="0" applyNumberFormat="1" applyFont="1" applyFill="1" applyBorder="1" applyAlignment="1" applyProtection="1">
      <alignment horizontal="center" vertical="center"/>
      <protection hidden="1"/>
    </xf>
    <xf numFmtId="1" fontId="21" fillId="0" borderId="37" xfId="0" applyNumberFormat="1" applyFont="1" applyFill="1" applyBorder="1" applyAlignment="1" applyProtection="1">
      <alignment horizontal="center" vertical="center"/>
      <protection hidden="1"/>
    </xf>
    <xf numFmtId="1" fontId="21" fillId="0" borderId="21" xfId="0" applyNumberFormat="1" applyFont="1" applyFill="1" applyBorder="1" applyAlignment="1" applyProtection="1">
      <alignment horizontal="right"/>
      <protection hidden="1"/>
    </xf>
    <xf numFmtId="2" fontId="21" fillId="0" borderId="37" xfId="0" applyNumberFormat="1" applyFont="1" applyFill="1" applyBorder="1" applyAlignment="1" applyProtection="1">
      <alignment horizontal="right"/>
      <protection hidden="1"/>
    </xf>
    <xf numFmtId="0" fontId="8" fillId="0" borderId="2" xfId="0" applyFont="1" applyFill="1" applyBorder="1" applyAlignment="1" applyProtection="1">
      <alignment horizontal="left" vertical="center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8" fillId="0" borderId="2" xfId="0" quotePrefix="1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 applyProtection="1">
      <alignment horizontal="left" vertical="center"/>
      <protection hidden="1"/>
    </xf>
    <xf numFmtId="0" fontId="8" fillId="0" borderId="3" xfId="0" applyFont="1" applyFill="1" applyBorder="1" applyAlignment="1" applyProtection="1">
      <alignment horizontal="left" vertical="center"/>
      <protection hidden="1"/>
    </xf>
    <xf numFmtId="0" fontId="9" fillId="0" borderId="3" xfId="0" applyFont="1" applyFill="1" applyBorder="1" applyAlignment="1" applyProtection="1">
      <alignment horizontal="center" vertical="center"/>
      <protection hidden="1"/>
    </xf>
    <xf numFmtId="0" fontId="8" fillId="0" borderId="3" xfId="0" quotePrefix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left" vertical="center"/>
      <protection hidden="1"/>
    </xf>
    <xf numFmtId="174" fontId="7" fillId="0" borderId="38" xfId="0" applyNumberFormat="1" applyFont="1" applyFill="1" applyBorder="1" applyAlignment="1" applyProtection="1">
      <alignment horizontal="right" vertical="center"/>
      <protection hidden="1"/>
    </xf>
    <xf numFmtId="174" fontId="10" fillId="0" borderId="39" xfId="0" applyNumberFormat="1" applyFont="1" applyFill="1" applyBorder="1" applyAlignment="1" applyProtection="1">
      <alignment horizontal="right" vertical="center"/>
      <protection hidden="1"/>
    </xf>
    <xf numFmtId="169" fontId="7" fillId="0" borderId="35" xfId="0" applyNumberFormat="1" applyFont="1" applyFill="1" applyBorder="1" applyAlignment="1" applyProtection="1">
      <alignment horizontal="right" vertical="center"/>
      <protection hidden="1"/>
    </xf>
    <xf numFmtId="169" fontId="10" fillId="0" borderId="40" xfId="0" applyNumberFormat="1" applyFont="1" applyFill="1" applyBorder="1" applyAlignment="1" applyProtection="1">
      <alignment horizontal="right" vertical="center"/>
      <protection hidden="1"/>
    </xf>
    <xf numFmtId="0" fontId="14" fillId="0" borderId="3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right" vertical="center"/>
      <protection hidden="1"/>
    </xf>
    <xf numFmtId="0" fontId="17" fillId="0" borderId="41" xfId="0" applyFont="1" applyFill="1" applyBorder="1" applyAlignment="1" applyProtection="1">
      <alignment horizontal="right" vertical="center" wrapText="1"/>
      <protection hidden="1"/>
    </xf>
    <xf numFmtId="170" fontId="11" fillId="0" borderId="0" xfId="0" applyNumberFormat="1" applyFont="1" applyProtection="1"/>
    <xf numFmtId="171" fontId="11" fillId="0" borderId="0" xfId="0" applyNumberFormat="1" applyFont="1" applyProtection="1"/>
    <xf numFmtId="0" fontId="12" fillId="0" borderId="42" xfId="0" applyFont="1" applyBorder="1" applyAlignment="1" applyProtection="1">
      <alignment horizontal="center" vertical="center" wrapText="1"/>
      <protection hidden="1"/>
    </xf>
    <xf numFmtId="0" fontId="12" fillId="0" borderId="43" xfId="0" applyFont="1" applyBorder="1" applyAlignment="1" applyProtection="1">
      <alignment horizontal="center" vertical="center" wrapText="1"/>
      <protection hidden="1"/>
    </xf>
    <xf numFmtId="0" fontId="23" fillId="4" borderId="19" xfId="0" applyFont="1" applyFill="1" applyBorder="1" applyProtection="1">
      <protection locked="0"/>
    </xf>
    <xf numFmtId="44" fontId="23" fillId="4" borderId="42" xfId="0" applyNumberFormat="1" applyFont="1" applyFill="1" applyBorder="1" applyProtection="1">
      <protection locked="0"/>
    </xf>
    <xf numFmtId="176" fontId="23" fillId="4" borderId="42" xfId="0" applyNumberFormat="1" applyFont="1" applyFill="1" applyBorder="1" applyProtection="1">
      <protection locked="0"/>
    </xf>
    <xf numFmtId="1" fontId="23" fillId="4" borderId="43" xfId="0" applyNumberFormat="1" applyFont="1" applyFill="1" applyBorder="1" applyProtection="1">
      <protection locked="0"/>
    </xf>
    <xf numFmtId="1" fontId="19" fillId="4" borderId="10" xfId="0" applyNumberFormat="1" applyFont="1" applyFill="1" applyBorder="1" applyAlignment="1" applyProtection="1">
      <alignment horizontal="right" wrapText="1"/>
      <protection locked="0"/>
    </xf>
    <xf numFmtId="2" fontId="19" fillId="4" borderId="11" xfId="0" applyNumberFormat="1" applyFont="1" applyFill="1" applyBorder="1" applyAlignment="1" applyProtection="1">
      <alignment horizontal="right"/>
      <protection locked="0"/>
    </xf>
    <xf numFmtId="1" fontId="19" fillId="4" borderId="44" xfId="0" applyNumberFormat="1" applyFont="1" applyFill="1" applyBorder="1" applyAlignment="1" applyProtection="1">
      <alignment horizontal="center" vertical="center" wrapText="1"/>
      <protection locked="0"/>
    </xf>
    <xf numFmtId="1" fontId="19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19" fillId="4" borderId="45" xfId="0" quotePrefix="1" applyNumberFormat="1" applyFont="1" applyFill="1" applyBorder="1" applyAlignment="1" applyProtection="1">
      <alignment horizontal="center" vertical="center"/>
      <protection locked="0"/>
    </xf>
    <xf numFmtId="1" fontId="19" fillId="4" borderId="19" xfId="0" applyNumberFormat="1" applyFont="1" applyFill="1" applyBorder="1" applyAlignment="1" applyProtection="1">
      <alignment horizontal="center" vertical="center" wrapText="1"/>
      <protection locked="0"/>
    </xf>
    <xf numFmtId="1" fontId="19" fillId="4" borderId="42" xfId="0" applyNumberFormat="1" applyFont="1" applyFill="1" applyBorder="1" applyAlignment="1" applyProtection="1">
      <alignment horizontal="center" vertical="center"/>
      <protection locked="0"/>
    </xf>
    <xf numFmtId="1" fontId="19" fillId="4" borderId="42" xfId="0" applyNumberFormat="1" applyFont="1" applyFill="1" applyBorder="1" applyAlignment="1" applyProtection="1">
      <alignment horizontal="center" vertical="center" wrapText="1"/>
      <protection locked="0"/>
    </xf>
    <xf numFmtId="1" fontId="19" fillId="4" borderId="13" xfId="0" applyNumberFormat="1" applyFont="1" applyFill="1" applyBorder="1" applyAlignment="1" applyProtection="1">
      <alignment horizontal="center" vertical="center"/>
      <protection locked="0"/>
    </xf>
    <xf numFmtId="1" fontId="19" fillId="4" borderId="46" xfId="0" applyNumberFormat="1" applyFont="1" applyFill="1" applyBorder="1" applyAlignment="1" applyProtection="1">
      <alignment horizontal="center" vertical="center"/>
      <protection locked="0"/>
    </xf>
    <xf numFmtId="1" fontId="21" fillId="4" borderId="37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9" xfId="0" quotePrefix="1" applyFont="1" applyBorder="1" applyAlignment="1" applyProtection="1">
      <alignment horizontal="right" vertical="center" wrapText="1"/>
      <protection hidden="1"/>
    </xf>
    <xf numFmtId="0" fontId="21" fillId="0" borderId="13" xfId="0" quotePrefix="1" applyFont="1" applyBorder="1" applyAlignment="1" applyProtection="1">
      <alignment horizontal="right" vertical="center" wrapText="1"/>
      <protection hidden="1"/>
    </xf>
    <xf numFmtId="2" fontId="21" fillId="0" borderId="15" xfId="0" quotePrefix="1" applyNumberFormat="1" applyFont="1" applyFill="1" applyBorder="1" applyAlignment="1" applyProtection="1">
      <alignment horizontal="center" vertical="center"/>
      <protection hidden="1"/>
    </xf>
    <xf numFmtId="167" fontId="21" fillId="0" borderId="15" xfId="0" quotePrefix="1" applyNumberFormat="1" applyFont="1" applyFill="1" applyBorder="1" applyAlignment="1" applyProtection="1">
      <alignment horizontal="center" vertical="center"/>
      <protection hidden="1"/>
    </xf>
    <xf numFmtId="167" fontId="21" fillId="0" borderId="12" xfId="0" quotePrefix="1" applyNumberFormat="1" applyFont="1" applyFill="1" applyBorder="1" applyAlignment="1" applyProtection="1">
      <alignment horizontal="center" vertical="center"/>
      <protection hidden="1"/>
    </xf>
    <xf numFmtId="0" fontId="16" fillId="0" borderId="0" xfId="0" quotePrefix="1" applyFont="1" applyAlignment="1" applyProtection="1">
      <alignment horizontal="center" vertical="center"/>
      <protection hidden="1"/>
    </xf>
    <xf numFmtId="0" fontId="18" fillId="0" borderId="6" xfId="0" applyFont="1" applyBorder="1" applyAlignment="1" applyProtection="1">
      <alignment horizontal="left"/>
      <protection hidden="1"/>
    </xf>
    <xf numFmtId="0" fontId="11" fillId="0" borderId="7" xfId="0" applyNumberFormat="1" applyFont="1" applyBorder="1" applyAlignment="1" applyProtection="1">
      <alignment horizontal="center" vertical="distributed"/>
      <protection hidden="1"/>
    </xf>
    <xf numFmtId="0" fontId="11" fillId="0" borderId="47" xfId="0" applyFont="1" applyBorder="1" applyAlignment="1" applyProtection="1">
      <alignment wrapText="1"/>
      <protection hidden="1"/>
    </xf>
    <xf numFmtId="0" fontId="14" fillId="0" borderId="48" xfId="0" applyFont="1" applyBorder="1" applyAlignment="1" applyProtection="1">
      <alignment horizontal="left"/>
      <protection hidden="1"/>
    </xf>
    <xf numFmtId="0" fontId="11" fillId="0" borderId="0" xfId="0" applyNumberFormat="1" applyFont="1" applyBorder="1" applyAlignment="1" applyProtection="1">
      <alignment horizontal="center" vertical="distributed"/>
      <protection hidden="1"/>
    </xf>
    <xf numFmtId="0" fontId="11" fillId="0" borderId="49" xfId="0" applyFont="1" applyBorder="1" applyAlignment="1" applyProtection="1">
      <alignment wrapText="1"/>
      <protection hidden="1"/>
    </xf>
    <xf numFmtId="0" fontId="11" fillId="0" borderId="50" xfId="0" applyFont="1" applyBorder="1" applyAlignment="1" applyProtection="1">
      <alignment wrapText="1"/>
      <protection hidden="1"/>
    </xf>
    <xf numFmtId="0" fontId="14" fillId="0" borderId="27" xfId="0" applyFont="1" applyFill="1" applyBorder="1" applyAlignment="1" applyProtection="1">
      <alignment horizontal="center" vertical="center"/>
      <protection hidden="1"/>
    </xf>
    <xf numFmtId="0" fontId="14" fillId="0" borderId="15" xfId="0" applyNumberFormat="1" applyFont="1" applyFill="1" applyBorder="1" applyAlignment="1" applyProtection="1">
      <alignment horizontal="center" vertical="center"/>
      <protection hidden="1"/>
    </xf>
    <xf numFmtId="0" fontId="14" fillId="0" borderId="51" xfId="0" applyFont="1" applyBorder="1" applyAlignment="1" applyProtection="1">
      <alignment horizontal="center" vertical="center" wrapText="1"/>
      <protection hidden="1"/>
    </xf>
    <xf numFmtId="0" fontId="14" fillId="0" borderId="52" xfId="0" applyFont="1" applyBorder="1" applyAlignment="1" applyProtection="1">
      <alignment horizontal="center" vertical="center" wrapText="1"/>
      <protection hidden="1"/>
    </xf>
    <xf numFmtId="168" fontId="14" fillId="0" borderId="27" xfId="0" applyNumberFormat="1" applyFont="1" applyFill="1" applyBorder="1" applyAlignment="1" applyProtection="1">
      <alignment horizontal="center" vertical="center"/>
      <protection hidden="1"/>
    </xf>
    <xf numFmtId="0" fontId="14" fillId="0" borderId="53" xfId="0" applyNumberFormat="1" applyFont="1" applyFill="1" applyBorder="1" applyAlignment="1" applyProtection="1">
      <alignment horizontal="center" vertical="center"/>
      <protection hidden="1"/>
    </xf>
    <xf numFmtId="168" fontId="14" fillId="0" borderId="54" xfId="0" applyNumberFormat="1" applyFont="1" applyFill="1" applyBorder="1" applyAlignment="1" applyProtection="1">
      <alignment horizontal="center" vertical="center"/>
      <protection hidden="1"/>
    </xf>
    <xf numFmtId="0" fontId="14" fillId="0" borderId="4" xfId="0" quotePrefix="1" applyFont="1" applyBorder="1" applyAlignment="1" applyProtection="1">
      <alignment horizontal="left" vertical="center"/>
      <protection hidden="1"/>
    </xf>
    <xf numFmtId="0" fontId="11" fillId="0" borderId="42" xfId="0" quotePrefix="1" applyNumberFormat="1" applyFont="1" applyBorder="1" applyAlignment="1" applyProtection="1">
      <alignment horizontal="center" vertical="center"/>
      <protection hidden="1"/>
    </xf>
    <xf numFmtId="0" fontId="11" fillId="0" borderId="55" xfId="0" applyFont="1" applyBorder="1" applyAlignment="1" applyProtection="1">
      <alignment vertical="center"/>
      <protection hidden="1"/>
    </xf>
    <xf numFmtId="0" fontId="11" fillId="0" borderId="44" xfId="0" applyFont="1" applyFill="1" applyBorder="1" applyAlignment="1" applyProtection="1">
      <alignment vertical="center"/>
      <protection hidden="1"/>
    </xf>
    <xf numFmtId="0" fontId="11" fillId="0" borderId="8" xfId="0" applyNumberFormat="1" applyFont="1" applyFill="1" applyBorder="1" applyAlignment="1" applyProtection="1">
      <alignment horizontal="center" vertical="center"/>
      <protection hidden="1"/>
    </xf>
    <xf numFmtId="1" fontId="11" fillId="0" borderId="55" xfId="0" applyNumberFormat="1" applyFont="1" applyFill="1" applyBorder="1" applyAlignment="1" applyProtection="1">
      <alignment vertical="center"/>
      <protection hidden="1"/>
    </xf>
    <xf numFmtId="0" fontId="11" fillId="0" borderId="13" xfId="0" applyFont="1" applyFill="1" applyBorder="1" applyAlignment="1" applyProtection="1">
      <alignment vertical="center"/>
      <protection hidden="1"/>
    </xf>
    <xf numFmtId="0" fontId="11" fillId="0" borderId="11" xfId="0" applyNumberFormat="1" applyFont="1" applyFill="1" applyBorder="1" applyAlignment="1" applyProtection="1">
      <alignment horizontal="center" vertical="center"/>
      <protection hidden="1"/>
    </xf>
    <xf numFmtId="1" fontId="11" fillId="0" borderId="33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1" fillId="0" borderId="2" xfId="0" applyNumberFormat="1" applyFont="1" applyFill="1" applyBorder="1" applyAlignment="1" applyProtection="1">
      <alignment horizontal="center" vertical="center"/>
      <protection hidden="1"/>
    </xf>
    <xf numFmtId="1" fontId="14" fillId="0" borderId="54" xfId="0" applyNumberFormat="1" applyFont="1" applyFill="1" applyBorder="1" applyAlignment="1" applyProtection="1">
      <alignment horizontal="center" vertical="center"/>
      <protection hidden="1"/>
    </xf>
    <xf numFmtId="0" fontId="11" fillId="0" borderId="44" xfId="0" applyFont="1" applyFill="1" applyBorder="1" applyAlignment="1" applyProtection="1">
      <alignment horizontal="left" vertical="center"/>
      <protection hidden="1"/>
    </xf>
    <xf numFmtId="1" fontId="11" fillId="0" borderId="32" xfId="0" applyNumberFormat="1" applyFont="1" applyFill="1" applyBorder="1" applyAlignment="1" applyProtection="1">
      <alignment vertical="center"/>
      <protection hidden="1"/>
    </xf>
    <xf numFmtId="0" fontId="11" fillId="0" borderId="19" xfId="0" applyFont="1" applyFill="1" applyBorder="1" applyAlignment="1" applyProtection="1">
      <alignment vertical="center"/>
      <protection hidden="1"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13" xfId="0" quotePrefix="1" applyFont="1" applyFill="1" applyBorder="1" applyAlignment="1" applyProtection="1">
      <alignment horizontal="left" vertical="center"/>
      <protection hidden="1"/>
    </xf>
    <xf numFmtId="0" fontId="14" fillId="0" borderId="5" xfId="0" quotePrefix="1" applyFont="1" applyFill="1" applyBorder="1" applyAlignment="1" applyProtection="1">
      <alignment horizontal="left" vertical="center"/>
      <protection hidden="1"/>
    </xf>
    <xf numFmtId="0" fontId="11" fillId="0" borderId="2" xfId="0" quotePrefix="1" applyNumberFormat="1" applyFont="1" applyFill="1" applyBorder="1" applyAlignment="1" applyProtection="1">
      <alignment horizontal="center" vertical="center"/>
      <protection hidden="1"/>
    </xf>
    <xf numFmtId="0" fontId="11" fillId="0" borderId="44" xfId="0" quotePrefix="1" applyFont="1" applyFill="1" applyBorder="1" applyAlignment="1" applyProtection="1">
      <alignment horizontal="left" vertical="center"/>
      <protection hidden="1"/>
    </xf>
    <xf numFmtId="0" fontId="11" fillId="0" borderId="56" xfId="0" applyFont="1" applyFill="1" applyBorder="1" applyAlignment="1" applyProtection="1">
      <alignment vertical="center"/>
      <protection hidden="1"/>
    </xf>
    <xf numFmtId="0" fontId="11" fillId="0" borderId="9" xfId="0" applyNumberFormat="1" applyFont="1" applyFill="1" applyBorder="1" applyAlignment="1" applyProtection="1">
      <alignment horizontal="center" vertical="center"/>
      <protection hidden="1"/>
    </xf>
    <xf numFmtId="0" fontId="11" fillId="0" borderId="56" xfId="0" quotePrefix="1" applyFont="1" applyFill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4" fillId="0" borderId="6" xfId="0" applyFont="1" applyFill="1" applyBorder="1" applyAlignment="1" applyProtection="1">
      <alignment vertical="center"/>
      <protection hidden="1"/>
    </xf>
    <xf numFmtId="0" fontId="11" fillId="0" borderId="7" xfId="0" applyNumberFormat="1" applyFont="1" applyFill="1" applyBorder="1" applyAlignment="1" applyProtection="1">
      <alignment horizontal="center" vertical="center"/>
      <protection hidden="1"/>
    </xf>
    <xf numFmtId="1" fontId="14" fillId="0" borderId="47" xfId="0" applyNumberFormat="1" applyFont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vertical="center"/>
      <protection hidden="1"/>
    </xf>
    <xf numFmtId="0" fontId="18" fillId="0" borderId="6" xfId="0" applyFont="1" applyBorder="1" applyAlignment="1" applyProtection="1">
      <alignment horizontal="left" vertical="center"/>
      <protection hidden="1"/>
    </xf>
    <xf numFmtId="0" fontId="11" fillId="0" borderId="7" xfId="0" applyNumberFormat="1" applyFont="1" applyBorder="1" applyAlignment="1" applyProtection="1">
      <alignment horizontal="center" vertical="center"/>
      <protection hidden="1"/>
    </xf>
    <xf numFmtId="0" fontId="11" fillId="0" borderId="47" xfId="0" applyFont="1" applyBorder="1" applyAlignment="1" applyProtection="1">
      <alignment vertical="center" wrapText="1"/>
      <protection hidden="1"/>
    </xf>
    <xf numFmtId="0" fontId="14" fillId="0" borderId="48" xfId="0" applyFont="1" applyBorder="1" applyAlignment="1" applyProtection="1">
      <alignment horizontal="left" vertical="center"/>
      <protection hidden="1"/>
    </xf>
    <xf numFmtId="0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4" fillId="0" borderId="54" xfId="0" applyFont="1" applyBorder="1" applyAlignment="1" applyProtection="1">
      <alignment horizontal="center" vertical="center" wrapText="1"/>
      <protection hidden="1"/>
    </xf>
    <xf numFmtId="0" fontId="14" fillId="0" borderId="1" xfId="0" quotePrefix="1" applyNumberFormat="1" applyFont="1" applyBorder="1" applyAlignment="1" applyProtection="1">
      <alignment horizontal="center" vertical="center"/>
      <protection hidden="1"/>
    </xf>
    <xf numFmtId="171" fontId="11" fillId="0" borderId="55" xfId="0" applyNumberFormat="1" applyFont="1" applyBorder="1" applyAlignment="1" applyProtection="1">
      <alignment vertical="center"/>
      <protection hidden="1"/>
    </xf>
    <xf numFmtId="171" fontId="11" fillId="0" borderId="55" xfId="0" applyNumberFormat="1" applyFont="1" applyFill="1" applyBorder="1" applyAlignment="1" applyProtection="1">
      <alignment vertical="center"/>
      <protection hidden="1"/>
    </xf>
    <xf numFmtId="171" fontId="11" fillId="0" borderId="50" xfId="0" applyNumberFormat="1" applyFont="1" applyFill="1" applyBorder="1" applyAlignment="1" applyProtection="1">
      <alignment vertical="center"/>
      <protection hidden="1"/>
    </xf>
    <xf numFmtId="165" fontId="11" fillId="0" borderId="0" xfId="0" applyNumberFormat="1" applyFont="1" applyFill="1" applyBorder="1" applyAlignment="1" applyProtection="1">
      <alignment vertical="center"/>
      <protection hidden="1"/>
    </xf>
    <xf numFmtId="171" fontId="11" fillId="0" borderId="0" xfId="0" applyNumberFormat="1" applyFont="1" applyFill="1" applyBorder="1" applyAlignment="1" applyProtection="1">
      <alignment vertical="center"/>
      <protection hidden="1"/>
    </xf>
    <xf numFmtId="0" fontId="14" fillId="0" borderId="2" xfId="0" quotePrefix="1" applyNumberFormat="1" applyFont="1" applyFill="1" applyBorder="1" applyAlignment="1" applyProtection="1">
      <alignment horizontal="center" vertical="center"/>
      <protection hidden="1"/>
    </xf>
    <xf numFmtId="171" fontId="14" fillId="0" borderId="54" xfId="0" applyNumberFormat="1" applyFont="1" applyFill="1" applyBorder="1" applyAlignment="1" applyProtection="1">
      <alignment horizontal="center" vertical="center"/>
      <protection hidden="1"/>
    </xf>
    <xf numFmtId="0" fontId="11" fillId="0" borderId="8" xfId="0" quotePrefix="1" applyNumberFormat="1" applyFont="1" applyFill="1" applyBorder="1" applyAlignment="1" applyProtection="1">
      <alignment horizontal="center" vertical="center"/>
      <protection hidden="1"/>
    </xf>
    <xf numFmtId="171" fontId="11" fillId="0" borderId="32" xfId="0" applyNumberFormat="1" applyFont="1" applyFill="1" applyBorder="1" applyAlignment="1" applyProtection="1">
      <alignment vertical="center"/>
      <protection hidden="1"/>
    </xf>
    <xf numFmtId="171" fontId="11" fillId="0" borderId="33" xfId="0" applyNumberFormat="1" applyFont="1" applyFill="1" applyBorder="1" applyAlignment="1" applyProtection="1">
      <alignment vertical="center"/>
      <protection hidden="1"/>
    </xf>
    <xf numFmtId="0" fontId="11" fillId="0" borderId="0" xfId="0" applyNumberFormat="1" applyFont="1" applyFill="1" applyAlignment="1" applyProtection="1">
      <alignment horizontal="center" vertical="center"/>
      <protection hidden="1"/>
    </xf>
    <xf numFmtId="0" fontId="16" fillId="0" borderId="48" xfId="0" applyFont="1" applyBorder="1" applyAlignment="1" applyProtection="1">
      <alignment horizontal="left" vertical="center"/>
      <protection hidden="1"/>
    </xf>
    <xf numFmtId="171" fontId="19" fillId="0" borderId="49" xfId="0" applyNumberFormat="1" applyFont="1" applyBorder="1" applyAlignment="1" applyProtection="1">
      <alignment horizontal="centerContinuous" vertical="center"/>
      <protection hidden="1"/>
    </xf>
    <xf numFmtId="0" fontId="19" fillId="0" borderId="15" xfId="0" applyNumberFormat="1" applyFont="1" applyFill="1" applyBorder="1" applyAlignment="1" applyProtection="1">
      <alignment horizontal="center" vertical="center"/>
      <protection hidden="1"/>
    </xf>
    <xf numFmtId="171" fontId="14" fillId="0" borderId="52" xfId="0" applyNumberFormat="1" applyFont="1" applyFill="1" applyBorder="1" applyAlignment="1" applyProtection="1">
      <alignment horizontal="center" vertical="center"/>
      <protection hidden="1"/>
    </xf>
    <xf numFmtId="171" fontId="11" fillId="0" borderId="39" xfId="0" applyNumberFormat="1" applyFont="1" applyBorder="1" applyAlignment="1" applyProtection="1">
      <alignment vertical="center"/>
      <protection hidden="1"/>
    </xf>
    <xf numFmtId="0" fontId="11" fillId="0" borderId="45" xfId="0" applyNumberFormat="1" applyFont="1" applyFill="1" applyBorder="1" applyAlignment="1" applyProtection="1">
      <alignment horizontal="center" vertical="center"/>
      <protection hidden="1"/>
    </xf>
    <xf numFmtId="171" fontId="11" fillId="0" borderId="57" xfId="0" applyNumberFormat="1" applyFont="1" applyFill="1" applyBorder="1" applyAlignment="1" applyProtection="1">
      <alignment vertical="center"/>
      <protection hidden="1"/>
    </xf>
    <xf numFmtId="0" fontId="11" fillId="0" borderId="42" xfId="0" applyNumberFormat="1" applyFont="1" applyFill="1" applyBorder="1" applyAlignment="1" applyProtection="1">
      <alignment horizontal="center" vertical="center"/>
      <protection hidden="1"/>
    </xf>
    <xf numFmtId="0" fontId="11" fillId="0" borderId="46" xfId="0" applyNumberFormat="1" applyFont="1" applyFill="1" applyBorder="1" applyAlignment="1" applyProtection="1">
      <alignment horizontal="center" vertical="center"/>
      <protection hidden="1"/>
    </xf>
    <xf numFmtId="171" fontId="11" fillId="0" borderId="40" xfId="0" applyNumberFormat="1" applyFont="1" applyFill="1" applyBorder="1" applyAlignment="1" applyProtection="1">
      <alignment vertical="center"/>
      <protection hidden="1"/>
    </xf>
    <xf numFmtId="171" fontId="11" fillId="0" borderId="39" xfId="0" applyNumberFormat="1" applyFont="1" applyFill="1" applyBorder="1" applyAlignment="1" applyProtection="1">
      <alignment vertical="center"/>
      <protection hidden="1"/>
    </xf>
    <xf numFmtId="0" fontId="11" fillId="0" borderId="58" xfId="0" applyNumberFormat="1" applyFont="1" applyFill="1" applyBorder="1" applyAlignment="1" applyProtection="1">
      <alignment horizontal="center" vertical="center"/>
      <protection hidden="1"/>
    </xf>
    <xf numFmtId="171" fontId="11" fillId="0" borderId="59" xfId="0" applyNumberFormat="1" applyFont="1" applyFill="1" applyBorder="1" applyAlignment="1" applyProtection="1">
      <alignment vertical="center"/>
      <protection hidden="1"/>
    </xf>
    <xf numFmtId="0" fontId="11" fillId="0" borderId="0" xfId="0" applyNumberFormat="1" applyFont="1" applyAlignment="1" applyProtection="1">
      <alignment horizontal="center" vertical="center"/>
      <protection hidden="1"/>
    </xf>
    <xf numFmtId="0" fontId="18" fillId="0" borderId="6" xfId="0" applyFont="1" applyFill="1" applyBorder="1" applyAlignment="1" applyProtection="1">
      <alignment horizontal="left" vertical="center"/>
      <protection hidden="1"/>
    </xf>
    <xf numFmtId="0" fontId="14" fillId="0" borderId="48" xfId="0" applyFont="1" applyFill="1" applyBorder="1" applyAlignment="1" applyProtection="1">
      <alignment horizontal="left" vertical="center"/>
      <protection hidden="1"/>
    </xf>
    <xf numFmtId="0" fontId="14" fillId="0" borderId="3" xfId="0" applyFont="1" applyBorder="1" applyAlignment="1" applyProtection="1">
      <alignment horizontal="right" vertical="center" wrapText="1"/>
      <protection hidden="1"/>
    </xf>
    <xf numFmtId="0" fontId="11" fillId="0" borderId="3" xfId="0" applyFont="1" applyBorder="1" applyAlignment="1" applyProtection="1">
      <alignment horizontal="left" vertical="center" wrapText="1"/>
      <protection hidden="1"/>
    </xf>
    <xf numFmtId="0" fontId="11" fillId="0" borderId="50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165" fontId="11" fillId="0" borderId="45" xfId="0" applyNumberFormat="1" applyFont="1" applyFill="1" applyBorder="1" applyAlignment="1" applyProtection="1">
      <alignment vertical="center"/>
      <protection hidden="1"/>
    </xf>
    <xf numFmtId="1" fontId="11" fillId="0" borderId="60" xfId="0" applyNumberFormat="1" applyFont="1" applyFill="1" applyBorder="1" applyAlignment="1" applyProtection="1">
      <alignment vertical="center"/>
      <protection hidden="1"/>
    </xf>
    <xf numFmtId="0" fontId="11" fillId="0" borderId="57" xfId="0" applyNumberFormat="1" applyFont="1" applyFill="1" applyBorder="1" applyAlignment="1" applyProtection="1">
      <alignment vertical="center"/>
      <protection hidden="1"/>
    </xf>
    <xf numFmtId="0" fontId="14" fillId="0" borderId="4" xfId="0" applyFont="1" applyFill="1" applyBorder="1" applyAlignment="1" applyProtection="1">
      <alignment horizontal="left" vertical="center"/>
      <protection hidden="1"/>
    </xf>
    <xf numFmtId="0" fontId="14" fillId="0" borderId="4" xfId="0" quotePrefix="1" applyFont="1" applyFill="1" applyBorder="1" applyAlignment="1" applyProtection="1">
      <alignment horizontal="left" vertical="center"/>
      <protection hidden="1"/>
    </xf>
    <xf numFmtId="165" fontId="11" fillId="0" borderId="11" xfId="0" applyNumberFormat="1" applyFont="1" applyFill="1" applyBorder="1" applyAlignment="1" applyProtection="1">
      <alignment vertical="center"/>
      <protection hidden="1"/>
    </xf>
    <xf numFmtId="1" fontId="11" fillId="0" borderId="61" xfId="0" applyNumberFormat="1" applyFont="1" applyFill="1" applyBorder="1" applyAlignment="1" applyProtection="1">
      <alignment vertical="center"/>
      <protection hidden="1"/>
    </xf>
    <xf numFmtId="0" fontId="11" fillId="0" borderId="40" xfId="0" applyNumberFormat="1" applyFont="1" applyFill="1" applyBorder="1" applyAlignment="1" applyProtection="1">
      <alignment vertical="center"/>
      <protection hidden="1"/>
    </xf>
    <xf numFmtId="168" fontId="17" fillId="0" borderId="42" xfId="0" applyNumberFormat="1" applyFont="1" applyFill="1" applyBorder="1" applyProtection="1">
      <protection hidden="1"/>
    </xf>
    <xf numFmtId="0" fontId="15" fillId="0" borderId="42" xfId="0" applyFont="1" applyFill="1" applyBorder="1" applyAlignment="1" applyProtection="1">
      <alignment horizontal="center"/>
      <protection hidden="1"/>
    </xf>
    <xf numFmtId="1" fontId="15" fillId="4" borderId="42" xfId="0" applyNumberFormat="1" applyFont="1" applyFill="1" applyBorder="1" applyAlignment="1" applyProtection="1">
      <alignment horizontal="center" vertical="center"/>
      <protection locked="0"/>
    </xf>
    <xf numFmtId="1" fontId="15" fillId="4" borderId="46" xfId="0" applyNumberFormat="1" applyFont="1" applyFill="1" applyBorder="1" applyAlignment="1" applyProtection="1">
      <alignment horizontal="center" vertical="center"/>
      <protection locked="0"/>
    </xf>
    <xf numFmtId="0" fontId="15" fillId="4" borderId="19" xfId="0" applyFont="1" applyFill="1" applyBorder="1" applyAlignment="1" applyProtection="1">
      <alignment horizontal="center" vertical="center"/>
      <protection locked="0"/>
    </xf>
    <xf numFmtId="0" fontId="15" fillId="4" borderId="42" xfId="0" applyFont="1" applyFill="1" applyBorder="1" applyAlignment="1" applyProtection="1">
      <alignment horizontal="center" vertical="center"/>
      <protection locked="0"/>
    </xf>
    <xf numFmtId="0" fontId="15" fillId="4" borderId="13" xfId="0" applyFont="1" applyFill="1" applyBorder="1" applyAlignment="1" applyProtection="1">
      <alignment horizontal="center" vertical="center"/>
      <protection locked="0"/>
    </xf>
    <xf numFmtId="0" fontId="15" fillId="4" borderId="46" xfId="0" applyFont="1" applyFill="1" applyBorder="1" applyAlignment="1" applyProtection="1">
      <alignment horizontal="center" vertical="center"/>
      <protection locked="0"/>
    </xf>
    <xf numFmtId="0" fontId="15" fillId="0" borderId="62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Continuous" vertical="center"/>
      <protection hidden="1"/>
    </xf>
    <xf numFmtId="0" fontId="14" fillId="0" borderId="6" xfId="0" applyFont="1" applyFill="1" applyBorder="1" applyAlignment="1" applyProtection="1">
      <alignment horizontal="center" vertical="center"/>
      <protection hidden="1"/>
    </xf>
    <xf numFmtId="0" fontId="15" fillId="0" borderId="7" xfId="0" applyFont="1" applyFill="1" applyBorder="1" applyAlignment="1" applyProtection="1">
      <alignment horizontal="center"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4" fillId="0" borderId="7" xfId="0" applyFont="1" applyFill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14" fillId="0" borderId="48" xfId="0" quotePrefix="1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164" fontId="15" fillId="0" borderId="0" xfId="0" applyNumberFormat="1" applyFont="1" applyFill="1" applyBorder="1" applyAlignment="1" applyProtection="1">
      <alignment horizontal="center"/>
      <protection hidden="1"/>
    </xf>
    <xf numFmtId="0" fontId="14" fillId="0" borderId="48" xfId="0" quotePrefix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Protection="1">
      <protection hidden="1"/>
    </xf>
    <xf numFmtId="0" fontId="14" fillId="0" borderId="49" xfId="0" quotePrefix="1" applyFont="1" applyFill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4" fillId="0" borderId="0" xfId="0" quotePrefix="1" applyFont="1" applyFill="1" applyBorder="1" applyAlignment="1" applyProtection="1">
      <alignment horizontal="left"/>
      <protection hidden="1"/>
    </xf>
    <xf numFmtId="0" fontId="15" fillId="0" borderId="49" xfId="0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49" xfId="0" applyFont="1" applyBorder="1" applyProtection="1">
      <protection hidden="1"/>
    </xf>
    <xf numFmtId="168" fontId="11" fillId="0" borderId="63" xfId="0" applyNumberFormat="1" applyFont="1" applyFill="1" applyBorder="1" applyProtection="1">
      <protection hidden="1"/>
    </xf>
    <xf numFmtId="168" fontId="14" fillId="0" borderId="64" xfId="0" quotePrefix="1" applyNumberFormat="1" applyFont="1" applyFill="1" applyBorder="1" applyAlignment="1" applyProtection="1">
      <alignment horizontal="left"/>
      <protection hidden="1"/>
    </xf>
    <xf numFmtId="168" fontId="14" fillId="0" borderId="64" xfId="0" applyNumberFormat="1" applyFont="1" applyFill="1" applyBorder="1" applyAlignment="1" applyProtection="1">
      <alignment horizontal="left"/>
      <protection hidden="1"/>
    </xf>
    <xf numFmtId="0" fontId="11" fillId="0" borderId="1" xfId="0" applyFont="1" applyBorder="1" applyProtection="1">
      <protection hidden="1"/>
    </xf>
    <xf numFmtId="0" fontId="1" fillId="0" borderId="65" xfId="0" applyFont="1" applyFill="1" applyBorder="1" applyAlignment="1" applyProtection="1">
      <alignment horizontal="center"/>
      <protection hidden="1"/>
    </xf>
    <xf numFmtId="0" fontId="15" fillId="0" borderId="66" xfId="0" applyFont="1" applyFill="1" applyBorder="1" applyAlignment="1" applyProtection="1">
      <alignment horizontal="center"/>
      <protection hidden="1"/>
    </xf>
    <xf numFmtId="0" fontId="15" fillId="0" borderId="19" xfId="0" applyFont="1" applyFill="1" applyBorder="1" applyAlignment="1" applyProtection="1">
      <alignment horizontal="center"/>
      <protection hidden="1"/>
    </xf>
    <xf numFmtId="165" fontId="11" fillId="2" borderId="8" xfId="0" applyNumberFormat="1" applyFont="1" applyFill="1" applyBorder="1" applyProtection="1">
      <protection hidden="1"/>
    </xf>
    <xf numFmtId="171" fontId="11" fillId="2" borderId="8" xfId="0" applyNumberFormat="1" applyFont="1" applyFill="1" applyBorder="1" applyProtection="1">
      <protection hidden="1"/>
    </xf>
    <xf numFmtId="1" fontId="15" fillId="0" borderId="42" xfId="0" applyNumberFormat="1" applyFont="1" applyBorder="1" applyAlignment="1" applyProtection="1">
      <alignment horizontal="center" vertical="center"/>
      <protection hidden="1"/>
    </xf>
    <xf numFmtId="165" fontId="11" fillId="2" borderId="10" xfId="0" applyNumberFormat="1" applyFont="1" applyFill="1" applyBorder="1" applyProtection="1">
      <protection hidden="1"/>
    </xf>
    <xf numFmtId="165" fontId="11" fillId="2" borderId="11" xfId="0" applyNumberFormat="1" applyFont="1" applyFill="1" applyBorder="1" applyProtection="1">
      <protection hidden="1"/>
    </xf>
    <xf numFmtId="171" fontId="11" fillId="2" borderId="11" xfId="0" applyNumberFormat="1" applyFont="1" applyFill="1" applyBorder="1" applyProtection="1">
      <protection hidden="1"/>
    </xf>
    <xf numFmtId="0" fontId="14" fillId="0" borderId="5" xfId="0" applyFont="1" applyFill="1" applyBorder="1" applyAlignment="1" applyProtection="1">
      <alignment horizontal="left"/>
      <protection hidden="1"/>
    </xf>
    <xf numFmtId="165" fontId="11" fillId="0" borderId="2" xfId="0" applyNumberFormat="1" applyFont="1" applyFill="1" applyBorder="1" applyProtection="1">
      <protection hidden="1"/>
    </xf>
    <xf numFmtId="172" fontId="11" fillId="0" borderId="2" xfId="0" applyNumberFormat="1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1" fontId="15" fillId="0" borderId="0" xfId="0" applyNumberFormat="1" applyFont="1" applyFill="1" applyBorder="1" applyAlignment="1" applyProtection="1">
      <alignment horizontal="center" vertical="center"/>
      <protection hidden="1"/>
    </xf>
    <xf numFmtId="1" fontId="15" fillId="0" borderId="2" xfId="0" applyNumberFormat="1" applyFont="1" applyBorder="1" applyAlignment="1" applyProtection="1">
      <alignment horizontal="center" vertical="center"/>
      <protection hidden="1"/>
    </xf>
    <xf numFmtId="0" fontId="15" fillId="0" borderId="62" xfId="0" applyFont="1" applyFill="1" applyBorder="1" applyAlignment="1" applyProtection="1">
      <alignment horizontal="center" vertical="center"/>
      <protection hidden="1"/>
    </xf>
    <xf numFmtId="171" fontId="11" fillId="2" borderId="10" xfId="0" applyNumberFormat="1" applyFont="1" applyFill="1" applyBorder="1" applyProtection="1">
      <protection hidden="1"/>
    </xf>
    <xf numFmtId="165" fontId="11" fillId="2" borderId="9" xfId="0" applyNumberFormat="1" applyFont="1" applyFill="1" applyBorder="1" applyProtection="1">
      <protection hidden="1"/>
    </xf>
    <xf numFmtId="171" fontId="11" fillId="2" borderId="9" xfId="0" applyNumberFormat="1" applyFont="1" applyFill="1" applyBorder="1" applyProtection="1">
      <protection hidden="1"/>
    </xf>
    <xf numFmtId="171" fontId="11" fillId="0" borderId="2" xfId="0" applyNumberFormat="1" applyFont="1" applyFill="1" applyBorder="1" applyProtection="1">
      <protection hidden="1"/>
    </xf>
    <xf numFmtId="0" fontId="15" fillId="0" borderId="1" xfId="0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5" fillId="0" borderId="48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5" fillId="0" borderId="45" xfId="0" applyFont="1" applyFill="1" applyBorder="1" applyAlignment="1" applyProtection="1">
      <alignment horizontal="center"/>
      <protection hidden="1"/>
    </xf>
    <xf numFmtId="176" fontId="15" fillId="0" borderId="1" xfId="0" applyNumberFormat="1" applyFont="1" applyBorder="1" applyAlignment="1" applyProtection="1">
      <alignment horizontal="right" vertical="center"/>
      <protection hidden="1"/>
    </xf>
    <xf numFmtId="1" fontId="33" fillId="0" borderId="41" xfId="0" applyNumberFormat="1" applyFont="1" applyBorder="1" applyAlignment="1" applyProtection="1">
      <alignment horizontal="center"/>
      <protection hidden="1"/>
    </xf>
    <xf numFmtId="0" fontId="15" fillId="4" borderId="43" xfId="0" applyFont="1" applyFill="1" applyBorder="1" applyAlignment="1" applyProtection="1">
      <alignment horizontal="center" vertical="center"/>
      <protection locked="0"/>
    </xf>
    <xf numFmtId="0" fontId="15" fillId="4" borderId="6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vertical="center"/>
      <protection hidden="1"/>
    </xf>
    <xf numFmtId="0" fontId="15" fillId="0" borderId="2" xfId="0" applyFont="1" applyFill="1" applyBorder="1" applyAlignment="1" applyProtection="1">
      <alignment horizontal="center" vertical="center"/>
      <protection hidden="1"/>
    </xf>
    <xf numFmtId="0" fontId="15" fillId="4" borderId="68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Protection="1">
      <protection hidden="1"/>
    </xf>
    <xf numFmtId="0" fontId="13" fillId="0" borderId="9" xfId="0" applyFont="1" applyFill="1" applyBorder="1" applyProtection="1">
      <protection hidden="1"/>
    </xf>
    <xf numFmtId="0" fontId="13" fillId="0" borderId="8" xfId="0" quotePrefix="1" applyFont="1" applyFill="1" applyBorder="1" applyAlignment="1" applyProtection="1">
      <protection hidden="1"/>
    </xf>
    <xf numFmtId="0" fontId="13" fillId="0" borderId="10" xfId="0" applyFont="1" applyFill="1" applyBorder="1" applyProtection="1">
      <protection hidden="1"/>
    </xf>
    <xf numFmtId="0" fontId="13" fillId="0" borderId="11" xfId="0" applyFont="1" applyFill="1" applyBorder="1" applyProtection="1">
      <protection hidden="1"/>
    </xf>
    <xf numFmtId="0" fontId="13" fillId="0" borderId="9" xfId="0" applyFont="1" applyFill="1" applyBorder="1" applyAlignment="1" applyProtection="1">
      <alignment horizontal="right"/>
      <protection hidden="1"/>
    </xf>
    <xf numFmtId="0" fontId="1" fillId="0" borderId="44" xfId="0" applyFont="1" applyFill="1" applyBorder="1" applyProtection="1">
      <protection hidden="1"/>
    </xf>
    <xf numFmtId="0" fontId="1" fillId="0" borderId="45" xfId="0" applyNumberFormat="1" applyFont="1" applyFill="1" applyBorder="1" applyAlignment="1" applyProtection="1">
      <alignment horizontal="center"/>
      <protection hidden="1"/>
    </xf>
    <xf numFmtId="0" fontId="1" fillId="0" borderId="19" xfId="0" applyFont="1" applyFill="1" applyBorder="1" applyProtection="1">
      <protection hidden="1"/>
    </xf>
    <xf numFmtId="0" fontId="1" fillId="0" borderId="42" xfId="0" applyNumberFormat="1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Protection="1">
      <protection hidden="1"/>
    </xf>
    <xf numFmtId="0" fontId="1" fillId="0" borderId="46" xfId="0" applyNumberFormat="1" applyFont="1" applyFill="1" applyBorder="1" applyAlignment="1" applyProtection="1">
      <alignment horizontal="center"/>
      <protection hidden="1"/>
    </xf>
    <xf numFmtId="0" fontId="1" fillId="0" borderId="56" xfId="0" applyFont="1" applyFill="1" applyBorder="1" applyProtection="1">
      <protection hidden="1"/>
    </xf>
    <xf numFmtId="0" fontId="1" fillId="0" borderId="58" xfId="0" applyNumberFormat="1" applyFont="1" applyFill="1" applyBorder="1" applyAlignment="1" applyProtection="1">
      <alignment horizontal="center"/>
      <protection hidden="1"/>
    </xf>
    <xf numFmtId="170" fontId="11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14" fillId="0" borderId="4" xfId="0" applyFont="1" applyBorder="1" applyAlignment="1" applyProtection="1">
      <alignment horizontal="left"/>
      <protection hidden="1"/>
    </xf>
    <xf numFmtId="0" fontId="11" fillId="0" borderId="1" xfId="0" quotePrefix="1" applyFont="1" applyBorder="1" applyAlignment="1" applyProtection="1">
      <alignment horizontal="center"/>
      <protection hidden="1"/>
    </xf>
    <xf numFmtId="170" fontId="11" fillId="0" borderId="1" xfId="0" applyNumberFormat="1" applyFont="1" applyBorder="1" applyProtection="1">
      <protection hidden="1"/>
    </xf>
    <xf numFmtId="0" fontId="15" fillId="0" borderId="44" xfId="0" applyFont="1" applyFill="1" applyBorder="1" applyAlignment="1" applyProtection="1">
      <alignment horizontal="center"/>
      <protection hidden="1"/>
    </xf>
    <xf numFmtId="0" fontId="15" fillId="0" borderId="69" xfId="0" applyFont="1" applyFill="1" applyBorder="1" applyAlignment="1" applyProtection="1">
      <alignment horizontal="center"/>
      <protection hidden="1"/>
    </xf>
    <xf numFmtId="165" fontId="7" fillId="2" borderId="8" xfId="0" applyNumberFormat="1" applyFont="1" applyFill="1" applyBorder="1" applyProtection="1">
      <protection hidden="1"/>
    </xf>
    <xf numFmtId="170" fontId="7" fillId="2" borderId="8" xfId="0" applyNumberFormat="1" applyFont="1" applyFill="1" applyBorder="1" applyProtection="1">
      <protection hidden="1"/>
    </xf>
    <xf numFmtId="0" fontId="1" fillId="0" borderId="44" xfId="0" applyFont="1" applyFill="1" applyBorder="1" applyAlignment="1" applyProtection="1">
      <alignment horizontal="left"/>
      <protection hidden="1"/>
    </xf>
    <xf numFmtId="0" fontId="1" fillId="0" borderId="70" xfId="0" applyFont="1" applyFill="1" applyBorder="1" applyAlignment="1" applyProtection="1">
      <alignment horizontal="left"/>
      <protection hidden="1"/>
    </xf>
    <xf numFmtId="0" fontId="1" fillId="0" borderId="13" xfId="0" applyFont="1" applyFill="1" applyBorder="1" applyAlignment="1" applyProtection="1">
      <alignment horizontal="left"/>
      <protection hidden="1"/>
    </xf>
    <xf numFmtId="165" fontId="7" fillId="2" borderId="9" xfId="0" applyNumberFormat="1" applyFont="1" applyFill="1" applyBorder="1" applyProtection="1">
      <protection hidden="1"/>
    </xf>
    <xf numFmtId="170" fontId="7" fillId="2" borderId="9" xfId="0" applyNumberFormat="1" applyFont="1" applyFill="1" applyBorder="1" applyProtection="1">
      <protection hidden="1"/>
    </xf>
    <xf numFmtId="0" fontId="11" fillId="0" borderId="2" xfId="0" quotePrefix="1" applyFont="1" applyFill="1" applyBorder="1" applyAlignment="1" applyProtection="1">
      <alignment horizontal="center"/>
      <protection hidden="1"/>
    </xf>
    <xf numFmtId="170" fontId="11" fillId="0" borderId="2" xfId="0" applyNumberFormat="1" applyFont="1" applyFill="1" applyBorder="1" applyProtection="1">
      <protection hidden="1"/>
    </xf>
    <xf numFmtId="1" fontId="15" fillId="0" borderId="1" xfId="0" applyNumberFormat="1" applyFont="1" applyBorder="1" applyAlignment="1" applyProtection="1">
      <alignment horizontal="center" vertical="center"/>
      <protection hidden="1"/>
    </xf>
    <xf numFmtId="0" fontId="1" fillId="0" borderId="65" xfId="0" applyFont="1" applyFill="1" applyBorder="1" applyAlignment="1" applyProtection="1">
      <alignment horizontal="left"/>
      <protection hidden="1"/>
    </xf>
    <xf numFmtId="165" fontId="7" fillId="2" borderId="10" xfId="0" applyNumberFormat="1" applyFont="1" applyFill="1" applyBorder="1" applyProtection="1">
      <protection hidden="1"/>
    </xf>
    <xf numFmtId="170" fontId="7" fillId="2" borderId="10" xfId="0" applyNumberFormat="1" applyFont="1" applyFill="1" applyBorder="1" applyProtection="1">
      <protection hidden="1"/>
    </xf>
    <xf numFmtId="165" fontId="7" fillId="2" borderId="11" xfId="0" applyNumberFormat="1" applyFont="1" applyFill="1" applyBorder="1" applyProtection="1">
      <protection hidden="1"/>
    </xf>
    <xf numFmtId="170" fontId="7" fillId="2" borderId="11" xfId="0" applyNumberFormat="1" applyFont="1" applyFill="1" applyBorder="1" applyProtection="1">
      <protection hidden="1"/>
    </xf>
    <xf numFmtId="0" fontId="11" fillId="0" borderId="2" xfId="0" applyFont="1" applyFill="1" applyBorder="1" applyAlignment="1" applyProtection="1">
      <alignment horizontal="center"/>
      <protection hidden="1"/>
    </xf>
    <xf numFmtId="0" fontId="13" fillId="0" borderId="44" xfId="0" applyFont="1" applyFill="1" applyBorder="1" applyProtection="1">
      <protection hidden="1"/>
    </xf>
    <xf numFmtId="0" fontId="13" fillId="0" borderId="56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170" fontId="11" fillId="0" borderId="0" xfId="0" applyNumberFormat="1" applyFont="1" applyBorder="1" applyProtection="1"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" fontId="14" fillId="0" borderId="71" xfId="0" applyNumberFormat="1" applyFont="1" applyBorder="1" applyAlignment="1" applyProtection="1">
      <alignment horizontal="center" vertical="center"/>
      <protection hidden="1"/>
    </xf>
    <xf numFmtId="0" fontId="15" fillId="0" borderId="48" xfId="0" applyFont="1" applyBorder="1" applyAlignment="1" applyProtection="1">
      <alignment horizontal="center" vertical="center"/>
      <protection hidden="1"/>
    </xf>
    <xf numFmtId="0" fontId="15" fillId="0" borderId="7" xfId="0" applyFont="1" applyBorder="1" applyAlignment="1" applyProtection="1">
      <alignment horizontal="center" vertical="center"/>
      <protection hidden="1"/>
    </xf>
    <xf numFmtId="168" fontId="17" fillId="0" borderId="42" xfId="0" applyNumberFormat="1" applyFont="1" applyFill="1" applyBorder="1" applyAlignment="1" applyProtection="1">
      <alignment horizontal="center"/>
      <protection hidden="1"/>
    </xf>
    <xf numFmtId="0" fontId="16" fillId="0" borderId="6" xfId="0" applyFont="1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11" fillId="0" borderId="7" xfId="0" applyFont="1" applyBorder="1" applyAlignment="1" applyProtection="1">
      <alignment horizontal="centerContinuous" vertical="center"/>
      <protection hidden="1"/>
    </xf>
    <xf numFmtId="171" fontId="11" fillId="0" borderId="7" xfId="0" applyNumberFormat="1" applyFont="1" applyBorder="1" applyAlignment="1" applyProtection="1">
      <alignment horizontal="centerContinuous" vertical="center"/>
      <protection hidden="1"/>
    </xf>
    <xf numFmtId="0" fontId="3" fillId="0" borderId="1" xfId="0" applyFont="1" applyBorder="1" applyProtection="1">
      <protection hidden="1"/>
    </xf>
    <xf numFmtId="0" fontId="3" fillId="0" borderId="55" xfId="0" applyFont="1" applyBorder="1" applyProtection="1">
      <protection hidden="1"/>
    </xf>
    <xf numFmtId="171" fontId="14" fillId="0" borderId="64" xfId="0" applyNumberFormat="1" applyFont="1" applyFill="1" applyBorder="1" applyAlignment="1" applyProtection="1">
      <alignment horizontal="left"/>
      <protection hidden="1"/>
    </xf>
    <xf numFmtId="168" fontId="17" fillId="0" borderId="19" xfId="0" applyNumberFormat="1" applyFont="1" applyBorder="1" applyAlignment="1" applyProtection="1">
      <alignment horizontal="center"/>
      <protection hidden="1"/>
    </xf>
    <xf numFmtId="168" fontId="17" fillId="0" borderId="19" xfId="0" applyNumberFormat="1" applyFont="1" applyFill="1" applyBorder="1" applyProtection="1">
      <protection hidden="1"/>
    </xf>
    <xf numFmtId="0" fontId="11" fillId="0" borderId="1" xfId="0" quotePrefix="1" applyFont="1" applyBorder="1" applyAlignment="1" applyProtection="1">
      <alignment horizontal="left"/>
      <protection hidden="1"/>
    </xf>
    <xf numFmtId="0" fontId="11" fillId="0" borderId="8" xfId="0" applyFont="1" applyFill="1" applyBorder="1" applyAlignment="1" applyProtection="1">
      <alignment horizontal="left"/>
      <protection hidden="1"/>
    </xf>
    <xf numFmtId="0" fontId="11" fillId="0" borderId="11" xfId="0" applyFont="1" applyFill="1" applyBorder="1" applyAlignment="1" applyProtection="1">
      <alignment horizontal="left"/>
      <protection hidden="1"/>
    </xf>
    <xf numFmtId="0" fontId="11" fillId="0" borderId="2" xfId="0" applyFont="1" applyFill="1" applyBorder="1" applyAlignment="1" applyProtection="1">
      <alignment horizontal="left"/>
      <protection hidden="1"/>
    </xf>
    <xf numFmtId="0" fontId="11" fillId="0" borderId="10" xfId="0" applyFont="1" applyFill="1" applyBorder="1" applyAlignment="1" applyProtection="1">
      <alignment horizontal="left"/>
      <protection hidden="1"/>
    </xf>
    <xf numFmtId="0" fontId="1" fillId="0" borderId="13" xfId="0" quotePrefix="1" applyFont="1" applyFill="1" applyBorder="1" applyAlignment="1" applyProtection="1">
      <alignment horizontal="left"/>
      <protection hidden="1"/>
    </xf>
    <xf numFmtId="0" fontId="11" fillId="0" borderId="2" xfId="0" quotePrefix="1" applyFont="1" applyFill="1" applyBorder="1" applyAlignment="1" applyProtection="1">
      <alignment horizontal="left"/>
      <protection hidden="1"/>
    </xf>
    <xf numFmtId="0" fontId="1" fillId="0" borderId="44" xfId="0" quotePrefix="1" applyFont="1" applyFill="1" applyBorder="1" applyAlignment="1" applyProtection="1">
      <alignment horizontal="left"/>
      <protection hidden="1"/>
    </xf>
    <xf numFmtId="0" fontId="11" fillId="0" borderId="9" xfId="0" applyFont="1" applyFill="1" applyBorder="1" applyAlignment="1" applyProtection="1">
      <alignment horizontal="left"/>
      <protection hidden="1"/>
    </xf>
    <xf numFmtId="0" fontId="1" fillId="0" borderId="56" xfId="0" quotePrefix="1" applyFont="1" applyFill="1" applyBorder="1" applyAlignment="1" applyProtection="1">
      <alignment horizontal="left"/>
      <protection hidden="1"/>
    </xf>
    <xf numFmtId="0" fontId="11" fillId="0" borderId="7" xfId="0" applyFont="1" applyFill="1" applyBorder="1" applyAlignment="1" applyProtection="1">
      <alignment horizontal="left"/>
      <protection hidden="1"/>
    </xf>
    <xf numFmtId="165" fontId="11" fillId="0" borderId="7" xfId="0" applyNumberFormat="1" applyFont="1" applyBorder="1" applyProtection="1">
      <protection hidden="1"/>
    </xf>
    <xf numFmtId="171" fontId="11" fillId="0" borderId="7" xfId="0" applyNumberFormat="1" applyFont="1" applyBorder="1" applyProtection="1">
      <protection hidden="1"/>
    </xf>
    <xf numFmtId="166" fontId="11" fillId="0" borderId="8" xfId="0" applyNumberFormat="1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171" fontId="11" fillId="0" borderId="0" xfId="0" applyNumberFormat="1" applyFont="1" applyBorder="1" applyProtection="1">
      <protection hidden="1"/>
    </xf>
    <xf numFmtId="3" fontId="29" fillId="0" borderId="72" xfId="0" applyNumberFormat="1" applyFont="1" applyBorder="1" applyAlignment="1" applyProtection="1">
      <alignment horizontal="center" vertical="center"/>
      <protection hidden="1"/>
    </xf>
    <xf numFmtId="0" fontId="14" fillId="0" borderId="73" xfId="0" quotePrefix="1" applyFont="1" applyFill="1" applyBorder="1" applyAlignment="1" applyProtection="1">
      <alignment horizontal="right" vertical="center" wrapText="1"/>
      <protection hidden="1"/>
    </xf>
    <xf numFmtId="0" fontId="10" fillId="0" borderId="73" xfId="0" applyFont="1" applyFill="1" applyBorder="1" applyAlignment="1" applyProtection="1">
      <alignment horizontal="right" vertical="center" wrapText="1"/>
      <protection hidden="1"/>
    </xf>
    <xf numFmtId="0" fontId="10" fillId="0" borderId="74" xfId="0" applyFont="1" applyFill="1" applyBorder="1" applyAlignment="1" applyProtection="1">
      <alignment horizontal="right" vertical="center" wrapText="1"/>
      <protection hidden="1"/>
    </xf>
    <xf numFmtId="0" fontId="8" fillId="0" borderId="75" xfId="0" applyFont="1" applyFill="1" applyBorder="1" applyAlignment="1" applyProtection="1">
      <alignment horizontal="left" vertical="center"/>
      <protection hidden="1"/>
    </xf>
    <xf numFmtId="1" fontId="9" fillId="0" borderId="3" xfId="0" applyNumberFormat="1" applyFont="1" applyFill="1" applyBorder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9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8" fillId="0" borderId="50" xfId="0" applyFont="1" applyFill="1" applyBorder="1" applyAlignment="1" applyProtection="1">
      <alignment horizontal="left" vertical="center" wrapText="1"/>
      <protection hidden="1"/>
    </xf>
    <xf numFmtId="0" fontId="8" fillId="0" borderId="76" xfId="0" applyNumberFormat="1" applyFont="1" applyBorder="1" applyAlignment="1" applyProtection="1">
      <alignment horizontal="right" vertical="center"/>
      <protection hidden="1"/>
    </xf>
    <xf numFmtId="0" fontId="8" fillId="0" borderId="48" xfId="0" applyFont="1" applyFill="1" applyBorder="1" applyAlignment="1" applyProtection="1">
      <alignment horizontal="center" vertical="center"/>
      <protection hidden="1"/>
    </xf>
    <xf numFmtId="0" fontId="1" fillId="4" borderId="19" xfId="0" applyFont="1" applyFill="1" applyBorder="1" applyAlignment="1" applyProtection="1">
      <alignment horizontal="center" vertical="center"/>
      <protection locked="0"/>
    </xf>
    <xf numFmtId="41" fontId="15" fillId="0" borderId="42" xfId="0" applyNumberFormat="1" applyFont="1" applyBorder="1" applyAlignment="1" applyProtection="1">
      <alignment horizontal="right" vertical="center"/>
      <protection hidden="1"/>
    </xf>
    <xf numFmtId="41" fontId="3" fillId="0" borderId="0" xfId="0" applyNumberFormat="1" applyFont="1" applyProtection="1"/>
    <xf numFmtId="41" fontId="3" fillId="0" borderId="0" xfId="0" applyNumberFormat="1" applyFont="1" applyBorder="1" applyProtection="1"/>
    <xf numFmtId="41" fontId="15" fillId="0" borderId="0" xfId="0" applyNumberFormat="1" applyFont="1" applyFill="1" applyBorder="1" applyProtection="1">
      <protection hidden="1"/>
    </xf>
    <xf numFmtId="41" fontId="3" fillId="0" borderId="1" xfId="0" applyNumberFormat="1" applyFont="1" applyBorder="1" applyProtection="1">
      <protection hidden="1"/>
    </xf>
    <xf numFmtId="41" fontId="15" fillId="0" borderId="1" xfId="0" applyNumberFormat="1" applyFont="1" applyBorder="1" applyAlignment="1" applyProtection="1">
      <alignment horizontal="right" vertical="center"/>
      <protection hidden="1"/>
    </xf>
    <xf numFmtId="41" fontId="3" fillId="0" borderId="0" xfId="0" applyNumberFormat="1" applyFont="1" applyBorder="1" applyProtection="1">
      <protection hidden="1"/>
    </xf>
    <xf numFmtId="41" fontId="15" fillId="0" borderId="0" xfId="0" applyNumberFormat="1" applyFont="1" applyBorder="1" applyAlignment="1" applyProtection="1">
      <alignment horizontal="right" vertical="center"/>
      <protection hidden="1"/>
    </xf>
    <xf numFmtId="170" fontId="23" fillId="0" borderId="77" xfId="0" applyNumberFormat="1" applyFont="1" applyBorder="1" applyProtection="1">
      <protection hidden="1"/>
    </xf>
    <xf numFmtId="177" fontId="15" fillId="0" borderId="12" xfId="0" applyNumberFormat="1" applyFont="1" applyBorder="1" applyAlignment="1" applyProtection="1">
      <alignment vertical="center"/>
      <protection hidden="1"/>
    </xf>
    <xf numFmtId="42" fontId="23" fillId="0" borderId="20" xfId="0" applyNumberFormat="1" applyFont="1" applyBorder="1" applyProtection="1">
      <protection hidden="1"/>
    </xf>
    <xf numFmtId="42" fontId="23" fillId="0" borderId="78" xfId="0" applyNumberFormat="1" applyFont="1" applyBorder="1" applyProtection="1">
      <protection hidden="1"/>
    </xf>
    <xf numFmtId="0" fontId="1" fillId="4" borderId="79" xfId="0" applyNumberFormat="1" applyFont="1" applyFill="1" applyBorder="1" applyAlignment="1" applyProtection="1">
      <alignment horizontal="left" vertical="top" wrapText="1"/>
      <protection locked="0"/>
    </xf>
    <xf numFmtId="0" fontId="17" fillId="0" borderId="80" xfId="0" applyFont="1" applyBorder="1" applyAlignment="1" applyProtection="1">
      <alignment horizontal="center" vertical="center" wrapText="1"/>
      <protection hidden="1"/>
    </xf>
    <xf numFmtId="0" fontId="1" fillId="5" borderId="79" xfId="0" applyNumberFormat="1" applyFont="1" applyFill="1" applyBorder="1" applyAlignment="1" applyProtection="1">
      <alignment horizontal="left" vertical="top" wrapText="1"/>
      <protection locked="0"/>
    </xf>
    <xf numFmtId="0" fontId="17" fillId="0" borderId="79" xfId="0" applyFont="1" applyBorder="1" applyAlignment="1" applyProtection="1">
      <alignment horizontal="center" vertical="center" wrapText="1"/>
      <protection hidden="1"/>
    </xf>
    <xf numFmtId="0" fontId="17" fillId="0" borderId="76" xfId="0" applyFont="1" applyBorder="1" applyAlignment="1" applyProtection="1">
      <alignment horizontal="center" vertical="center" wrapText="1"/>
      <protection hidden="1"/>
    </xf>
    <xf numFmtId="0" fontId="17" fillId="0" borderId="81" xfId="0" applyFont="1" applyBorder="1" applyAlignment="1" applyProtection="1">
      <alignment horizontal="center" vertical="center" wrapText="1"/>
      <protection hidden="1"/>
    </xf>
    <xf numFmtId="0" fontId="17" fillId="0" borderId="16" xfId="0" applyFont="1" applyBorder="1" applyAlignment="1" applyProtection="1">
      <alignment horizontal="right" vertical="center" wrapText="1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16" fillId="0" borderId="81" xfId="0" applyFont="1" applyBorder="1" applyAlignment="1" applyProtection="1">
      <alignment horizontal="center" vertical="center" wrapText="1"/>
      <protection hidden="1"/>
    </xf>
    <xf numFmtId="44" fontId="17" fillId="0" borderId="82" xfId="0" applyNumberFormat="1" applyFont="1" applyBorder="1" applyAlignment="1" applyProtection="1">
      <alignment horizontal="right" vertical="center" wrapText="1"/>
      <protection hidden="1"/>
    </xf>
    <xf numFmtId="173" fontId="17" fillId="0" borderId="82" xfId="0" applyNumberFormat="1" applyFont="1" applyBorder="1" applyAlignment="1" applyProtection="1">
      <alignment horizontal="right" vertical="center" wrapText="1"/>
      <protection hidden="1"/>
    </xf>
    <xf numFmtId="0" fontId="28" fillId="0" borderId="66" xfId="0" applyFont="1" applyBorder="1" applyAlignment="1" applyProtection="1">
      <alignment horizontal="center" vertical="center" wrapText="1"/>
      <protection hidden="1"/>
    </xf>
    <xf numFmtId="0" fontId="28" fillId="0" borderId="65" xfId="0" applyFont="1" applyBorder="1" applyAlignment="1" applyProtection="1">
      <alignment horizontal="center" vertical="center" wrapText="1"/>
      <protection hidden="1"/>
    </xf>
    <xf numFmtId="0" fontId="28" fillId="0" borderId="19" xfId="0" applyFont="1" applyBorder="1" applyAlignment="1" applyProtection="1">
      <alignment horizontal="center" vertical="center" wrapText="1"/>
      <protection hidden="1"/>
    </xf>
    <xf numFmtId="44" fontId="28" fillId="0" borderId="19" xfId="0" applyNumberFormat="1" applyFont="1" applyBorder="1" applyAlignment="1" applyProtection="1">
      <alignment horizontal="center" vertical="center" wrapText="1"/>
      <protection hidden="1"/>
    </xf>
    <xf numFmtId="0" fontId="28" fillId="0" borderId="48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171" fontId="0" fillId="0" borderId="45" xfId="0" applyNumberFormat="1" applyBorder="1" applyAlignment="1" applyProtection="1">
      <alignment horizontal="center" vertical="center" wrapText="1"/>
      <protection hidden="1"/>
    </xf>
    <xf numFmtId="171" fontId="0" fillId="0" borderId="42" xfId="0" applyNumberFormat="1" applyBorder="1" applyAlignment="1" applyProtection="1">
      <alignment horizontal="center" vertical="center" wrapText="1"/>
      <protection hidden="1"/>
    </xf>
    <xf numFmtId="0" fontId="28" fillId="0" borderId="25" xfId="0" applyFont="1" applyBorder="1" applyAlignment="1" applyProtection="1">
      <alignment horizontal="center" vertical="center" wrapText="1"/>
      <protection hidden="1"/>
    </xf>
    <xf numFmtId="44" fontId="17" fillId="0" borderId="80" xfId="0" applyNumberFormat="1" applyFont="1" applyBorder="1" applyAlignment="1" applyProtection="1">
      <alignment horizontal="right" vertical="center" wrapText="1"/>
      <protection hidden="1"/>
    </xf>
    <xf numFmtId="173" fontId="17" fillId="0" borderId="83" xfId="0" applyNumberFormat="1" applyFont="1" applyBorder="1" applyAlignment="1" applyProtection="1">
      <alignment horizontal="right" vertical="center" wrapText="1"/>
      <protection hidden="1"/>
    </xf>
    <xf numFmtId="170" fontId="1" fillId="4" borderId="72" xfId="0" applyNumberFormat="1" applyFont="1" applyFill="1" applyBorder="1" applyAlignment="1" applyProtection="1">
      <alignment horizontal="right" vertical="center"/>
      <protection locked="0"/>
    </xf>
    <xf numFmtId="44" fontId="1" fillId="4" borderId="79" xfId="0" applyNumberFormat="1" applyFont="1" applyFill="1" applyBorder="1" applyAlignment="1" applyProtection="1">
      <alignment horizontal="right" vertical="center"/>
      <protection locked="0"/>
    </xf>
    <xf numFmtId="173" fontId="22" fillId="0" borderId="82" xfId="0" applyNumberFormat="1" applyFont="1" applyFill="1" applyBorder="1" applyAlignment="1" applyProtection="1">
      <alignment horizontal="right" vertical="center"/>
      <protection hidden="1"/>
    </xf>
    <xf numFmtId="44" fontId="1" fillId="4" borderId="84" xfId="0" applyNumberFormat="1" applyFont="1" applyFill="1" applyBorder="1" applyAlignment="1" applyProtection="1">
      <alignment horizontal="right" vertical="center"/>
      <protection locked="0"/>
    </xf>
    <xf numFmtId="175" fontId="1" fillId="4" borderId="72" xfId="0" applyNumberFormat="1" applyFont="1" applyFill="1" applyBorder="1" applyAlignment="1" applyProtection="1">
      <alignment horizontal="right" vertical="center"/>
      <protection locked="0"/>
    </xf>
    <xf numFmtId="173" fontId="1" fillId="4" borderId="72" xfId="0" applyNumberFormat="1" applyFont="1" applyFill="1" applyBorder="1" applyAlignment="1" applyProtection="1">
      <alignment horizontal="right" vertical="center"/>
      <protection locked="0"/>
    </xf>
    <xf numFmtId="44" fontId="1" fillId="4" borderId="72" xfId="0" applyNumberFormat="1" applyFont="1" applyFill="1" applyBorder="1" applyAlignment="1" applyProtection="1">
      <alignment horizontal="right" vertical="center"/>
      <protection locked="0"/>
    </xf>
    <xf numFmtId="0" fontId="28" fillId="0" borderId="1" xfId="0" applyFont="1" applyBorder="1" applyAlignment="1" applyProtection="1">
      <alignment horizontal="center" vertical="center" wrapText="1"/>
      <protection hidden="1"/>
    </xf>
    <xf numFmtId="0" fontId="4" fillId="0" borderId="48" xfId="0" applyFont="1" applyBorder="1" applyProtection="1"/>
    <xf numFmtId="0" fontId="28" fillId="0" borderId="4" xfId="0" applyFont="1" applyBorder="1" applyAlignment="1" applyProtection="1">
      <alignment horizontal="center" vertical="center" wrapText="1"/>
      <protection hidden="1"/>
    </xf>
    <xf numFmtId="171" fontId="0" fillId="0" borderId="0" xfId="0" applyNumberFormat="1" applyBorder="1" applyAlignment="1" applyProtection="1">
      <alignment horizontal="center" vertical="center" wrapText="1"/>
      <protection hidden="1"/>
    </xf>
    <xf numFmtId="171" fontId="0" fillId="0" borderId="85" xfId="0" applyNumberFormat="1" applyBorder="1" applyAlignment="1" applyProtection="1">
      <alignment horizontal="center" vertical="center" wrapText="1"/>
      <protection hidden="1"/>
    </xf>
    <xf numFmtId="171" fontId="0" fillId="0" borderId="1" xfId="0" applyNumberFormat="1" applyBorder="1" applyAlignment="1" applyProtection="1">
      <alignment horizontal="center" vertical="center" wrapText="1"/>
      <protection hidden="1"/>
    </xf>
    <xf numFmtId="49" fontId="16" fillId="0" borderId="81" xfId="0" applyNumberFormat="1" applyFont="1" applyFill="1" applyBorder="1" applyAlignment="1" applyProtection="1">
      <alignment horizontal="left" vertical="center"/>
      <protection hidden="1"/>
    </xf>
    <xf numFmtId="0" fontId="4" fillId="0" borderId="48" xfId="0" applyFont="1" applyBorder="1" applyProtection="1">
      <protection hidden="1"/>
    </xf>
    <xf numFmtId="0" fontId="4" fillId="0" borderId="0" xfId="0" applyFont="1" applyBorder="1" applyProtection="1">
      <protection hidden="1"/>
    </xf>
    <xf numFmtId="9" fontId="1" fillId="3" borderId="72" xfId="0" applyNumberFormat="1" applyFont="1" applyFill="1" applyBorder="1" applyAlignment="1" applyProtection="1">
      <alignment horizontal="center" vertical="center"/>
      <protection hidden="1"/>
    </xf>
    <xf numFmtId="0" fontId="17" fillId="0" borderId="76" xfId="0" applyFont="1" applyFill="1" applyBorder="1" applyAlignment="1" applyProtection="1">
      <alignment horizontal="right" vertical="center" wrapText="1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165" fontId="17" fillId="0" borderId="84" xfId="0" applyNumberFormat="1" applyFont="1" applyBorder="1" applyAlignment="1" applyProtection="1">
      <alignment horizontal="center" vertical="center" wrapText="1"/>
      <protection hidden="1"/>
    </xf>
    <xf numFmtId="0" fontId="17" fillId="0" borderId="84" xfId="0" quotePrefix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49" xfId="0" applyFill="1" applyBorder="1" applyAlignment="1" applyProtection="1">
      <alignment horizontal="left" vertical="center"/>
      <protection hidden="1"/>
    </xf>
    <xf numFmtId="0" fontId="8" fillId="0" borderId="48" xfId="0" applyFont="1" applyFill="1" applyBorder="1" applyAlignment="1" applyProtection="1">
      <alignment horizontal="right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42" fontId="7" fillId="0" borderId="35" xfId="0" applyNumberFormat="1" applyFont="1" applyFill="1" applyBorder="1" applyAlignment="1" applyProtection="1">
      <alignment horizontal="right" vertical="center" wrapText="1"/>
      <protection hidden="1"/>
    </xf>
    <xf numFmtId="42" fontId="10" fillId="0" borderId="33" xfId="0" applyNumberFormat="1" applyFont="1" applyFill="1" applyBorder="1" applyAlignment="1" applyProtection="1">
      <alignment horizontal="left" vertical="center" wrapText="1"/>
      <protection hidden="1"/>
    </xf>
    <xf numFmtId="175" fontId="7" fillId="0" borderId="86" xfId="0" applyNumberFormat="1" applyFont="1" applyFill="1" applyBorder="1" applyAlignment="1" applyProtection="1">
      <alignment horizontal="right" vertical="center"/>
      <protection hidden="1"/>
    </xf>
    <xf numFmtId="175" fontId="7" fillId="0" borderId="86" xfId="0" quotePrefix="1" applyNumberFormat="1" applyFont="1" applyFill="1" applyBorder="1" applyAlignment="1" applyProtection="1">
      <alignment horizontal="right" vertical="center"/>
      <protection hidden="1"/>
    </xf>
    <xf numFmtId="175" fontId="10" fillId="0" borderId="49" xfId="0" applyNumberFormat="1" applyFont="1" applyFill="1" applyBorder="1" applyAlignment="1" applyProtection="1">
      <alignment horizontal="right" vertical="center"/>
      <protection hidden="1"/>
    </xf>
    <xf numFmtId="0" fontId="14" fillId="0" borderId="25" xfId="0" quotePrefix="1" applyFont="1" applyFill="1" applyBorder="1" applyAlignment="1" applyProtection="1">
      <alignment horizontal="right" vertical="center" wrapText="1"/>
      <protection hidden="1"/>
    </xf>
    <xf numFmtId="0" fontId="14" fillId="0" borderId="26" xfId="0" quotePrefix="1" applyFont="1" applyFill="1" applyBorder="1" applyAlignment="1" applyProtection="1">
      <alignment horizontal="right" vertical="center" wrapText="1"/>
      <protection hidden="1"/>
    </xf>
    <xf numFmtId="175" fontId="7" fillId="0" borderId="87" xfId="0" applyNumberFormat="1" applyFont="1" applyFill="1" applyBorder="1" applyAlignment="1" applyProtection="1">
      <alignment horizontal="right" vertical="center"/>
      <protection hidden="1"/>
    </xf>
    <xf numFmtId="175" fontId="10" fillId="0" borderId="88" xfId="0" applyNumberFormat="1" applyFont="1" applyFill="1" applyBorder="1" applyAlignment="1" applyProtection="1">
      <alignment horizontal="right" vertical="center"/>
      <protection hidden="1"/>
    </xf>
    <xf numFmtId="175" fontId="11" fillId="0" borderId="87" xfId="0" quotePrefix="1" applyNumberFormat="1" applyFont="1" applyFill="1" applyBorder="1" applyAlignment="1" applyProtection="1">
      <alignment horizontal="right" vertical="center" wrapText="1"/>
      <protection hidden="1"/>
    </xf>
    <xf numFmtId="44" fontId="11" fillId="0" borderId="35" xfId="0" quotePrefix="1" applyNumberFormat="1" applyFont="1" applyFill="1" applyBorder="1" applyAlignment="1" applyProtection="1">
      <alignment horizontal="right" vertical="center" wrapText="1"/>
      <protection hidden="1"/>
    </xf>
    <xf numFmtId="44" fontId="7" fillId="0" borderId="35" xfId="0" applyNumberFormat="1" applyFont="1" applyFill="1" applyBorder="1" applyAlignment="1" applyProtection="1">
      <alignment horizontal="right" vertical="center"/>
      <protection hidden="1"/>
    </xf>
    <xf numFmtId="44" fontId="10" fillId="0" borderId="40" xfId="0" applyNumberFormat="1" applyFont="1" applyFill="1" applyBorder="1" applyAlignment="1" applyProtection="1">
      <alignment horizontal="right" vertical="center"/>
      <protection hidden="1"/>
    </xf>
    <xf numFmtId="0" fontId="26" fillId="0" borderId="89" xfId="0" applyFont="1" applyFill="1" applyBorder="1" applyAlignment="1" applyProtection="1">
      <alignment horizontal="center" vertical="center" wrapText="1"/>
      <protection hidden="1"/>
    </xf>
    <xf numFmtId="0" fontId="26" fillId="0" borderId="31" xfId="0" applyFont="1" applyFill="1" applyBorder="1" applyAlignment="1" applyProtection="1">
      <alignment horizontal="center" vertical="center"/>
      <protection hidden="1"/>
    </xf>
    <xf numFmtId="178" fontId="7" fillId="0" borderId="38" xfId="0" applyNumberFormat="1" applyFont="1" applyFill="1" applyBorder="1" applyAlignment="1" applyProtection="1">
      <alignment horizontal="center" vertical="center"/>
      <protection hidden="1"/>
    </xf>
    <xf numFmtId="178" fontId="10" fillId="0" borderId="39" xfId="0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right"/>
      <protection hidden="1"/>
    </xf>
    <xf numFmtId="0" fontId="10" fillId="0" borderId="4" xfId="0" applyFont="1" applyFill="1" applyBorder="1" applyAlignment="1" applyProtection="1">
      <alignment horizontal="right" vertical="center" wrapText="1"/>
      <protection hidden="1"/>
    </xf>
    <xf numFmtId="0" fontId="10" fillId="0" borderId="26" xfId="0" applyFont="1" applyFill="1" applyBorder="1" applyAlignment="1" applyProtection="1">
      <alignment horizontal="right" vertical="center" wrapText="1"/>
      <protection hidden="1"/>
    </xf>
    <xf numFmtId="0" fontId="10" fillId="0" borderId="90" xfId="0" applyFont="1" applyFill="1" applyBorder="1" applyAlignment="1" applyProtection="1">
      <alignment horizontal="right" vertical="center" wrapText="1"/>
      <protection hidden="1"/>
    </xf>
    <xf numFmtId="0" fontId="10" fillId="0" borderId="91" xfId="0" applyFont="1" applyFill="1" applyBorder="1" applyAlignment="1" applyProtection="1">
      <alignment horizontal="right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170" fontId="16" fillId="0" borderId="92" xfId="0" quotePrefix="1" applyNumberFormat="1" applyFont="1" applyBorder="1" applyAlignment="1" applyProtection="1">
      <alignment horizontal="center" vertical="center" wrapText="1"/>
      <protection hidden="1"/>
    </xf>
    <xf numFmtId="171" fontId="11" fillId="0" borderId="32" xfId="0" applyNumberFormat="1" applyFont="1" applyFill="1" applyBorder="1" applyProtection="1">
      <protection hidden="1"/>
    </xf>
    <xf numFmtId="178" fontId="7" fillId="0" borderId="93" xfId="0" applyNumberFormat="1" applyFont="1" applyFill="1" applyBorder="1" applyAlignment="1" applyProtection="1">
      <alignment horizontal="center" vertical="center"/>
      <protection hidden="1"/>
    </xf>
    <xf numFmtId="178" fontId="10" fillId="0" borderId="94" xfId="0" applyNumberFormat="1" applyFont="1" applyFill="1" applyBorder="1" applyAlignment="1" applyProtection="1">
      <alignment horizontal="center" vertical="center"/>
      <protection hidden="1"/>
    </xf>
    <xf numFmtId="0" fontId="10" fillId="0" borderId="95" xfId="0" applyFont="1" applyFill="1" applyBorder="1" applyAlignment="1" applyProtection="1">
      <alignment horizontal="right" vertical="center" wrapText="1"/>
      <protection hidden="1"/>
    </xf>
    <xf numFmtId="178" fontId="7" fillId="0" borderId="96" xfId="0" applyNumberFormat="1" applyFont="1" applyFill="1" applyBorder="1" applyAlignment="1" applyProtection="1">
      <alignment horizontal="center" vertical="center"/>
      <protection hidden="1"/>
    </xf>
    <xf numFmtId="178" fontId="10" fillId="0" borderId="97" xfId="0" applyNumberFormat="1" applyFont="1" applyFill="1" applyBorder="1" applyAlignment="1" applyProtection="1">
      <alignment horizontal="center" vertical="center"/>
      <protection hidden="1"/>
    </xf>
    <xf numFmtId="49" fontId="27" fillId="0" borderId="98" xfId="0" applyNumberFormat="1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41" fontId="1" fillId="0" borderId="0" xfId="0" applyNumberFormat="1" applyFont="1" applyFill="1" applyBorder="1" applyProtection="1">
      <protection hidden="1"/>
    </xf>
    <xf numFmtId="0" fontId="1" fillId="0" borderId="49" xfId="0" applyFont="1" applyFill="1" applyBorder="1" applyProtection="1"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1" fillId="0" borderId="42" xfId="0" applyFont="1" applyFill="1" applyBorder="1" applyAlignment="1" applyProtection="1">
      <alignment horizontal="center"/>
      <protection hidden="1"/>
    </xf>
    <xf numFmtId="0" fontId="1" fillId="4" borderId="42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3" fontId="1" fillId="0" borderId="42" xfId="0" applyNumberFormat="1" applyFont="1" applyBorder="1" applyAlignment="1" applyProtection="1">
      <alignment horizontal="center" vertical="center"/>
      <protection hidden="1"/>
    </xf>
    <xf numFmtId="41" fontId="1" fillId="0" borderId="42" xfId="0" applyNumberFormat="1" applyFont="1" applyBorder="1" applyAlignment="1" applyProtection="1">
      <alignment horizontal="right" vertical="center"/>
      <protection hidden="1"/>
    </xf>
    <xf numFmtId="176" fontId="1" fillId="0" borderId="43" xfId="0" applyNumberFormat="1" applyFont="1" applyBorder="1" applyAlignment="1" applyProtection="1">
      <alignment horizontal="right" vertical="center"/>
      <protection hidden="1"/>
    </xf>
    <xf numFmtId="0" fontId="1" fillId="0" borderId="99" xfId="0" applyFont="1" applyFill="1" applyBorder="1" applyAlignment="1" applyProtection="1">
      <alignment horizontal="center" vertical="center"/>
      <protection hidden="1"/>
    </xf>
    <xf numFmtId="0" fontId="1" fillId="0" borderId="62" xfId="0" applyFont="1" applyFill="1" applyBorder="1" applyAlignment="1" applyProtection="1">
      <alignment horizontal="center" vertical="center"/>
      <protection hidden="1"/>
    </xf>
    <xf numFmtId="3" fontId="1" fillId="0" borderId="62" xfId="0" applyNumberFormat="1" applyFont="1" applyBorder="1" applyAlignment="1" applyProtection="1">
      <alignment horizontal="center" vertical="center"/>
      <protection hidden="1"/>
    </xf>
    <xf numFmtId="41" fontId="1" fillId="0" borderId="62" xfId="0" applyNumberFormat="1" applyFont="1" applyBorder="1" applyAlignment="1" applyProtection="1">
      <alignment horizontal="right" vertical="center"/>
      <protection hidden="1"/>
    </xf>
    <xf numFmtId="176" fontId="1" fillId="0" borderId="62" xfId="0" applyNumberFormat="1" applyFont="1" applyBorder="1" applyAlignment="1" applyProtection="1">
      <alignment horizontal="right" vertical="center"/>
      <protection hidden="1"/>
    </xf>
    <xf numFmtId="0" fontId="1" fillId="0" borderId="19" xfId="0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0" fontId="1" fillId="4" borderId="13" xfId="0" applyFont="1" applyFill="1" applyBorder="1" applyAlignment="1" applyProtection="1">
      <alignment horizontal="center"/>
      <protection locked="0"/>
    </xf>
    <xf numFmtId="0" fontId="1" fillId="4" borderId="46" xfId="0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46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168" fontId="17" fillId="0" borderId="10" xfId="0" applyNumberFormat="1" applyFont="1" applyFill="1" applyBorder="1" applyProtection="1"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" fillId="4" borderId="43" xfId="0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 applyProtection="1">
      <alignment horizontal="center" vertical="center"/>
      <protection hidden="1"/>
    </xf>
    <xf numFmtId="176" fontId="1" fillId="0" borderId="42" xfId="0" applyNumberFormat="1" applyFont="1" applyBorder="1" applyAlignment="1" applyProtection="1">
      <alignment horizontal="right" vertical="center"/>
      <protection hidden="1"/>
    </xf>
    <xf numFmtId="3" fontId="29" fillId="0" borderId="42" xfId="0" applyNumberFormat="1" applyFont="1" applyBorder="1" applyAlignment="1" applyProtection="1">
      <alignment horizontal="center" vertical="center"/>
      <protection hidden="1"/>
    </xf>
    <xf numFmtId="0" fontId="15" fillId="4" borderId="100" xfId="0" applyFont="1" applyFill="1" applyBorder="1" applyAlignment="1" applyProtection="1">
      <alignment horizontal="center" vertical="center"/>
      <protection locked="0"/>
    </xf>
    <xf numFmtId="177" fontId="15" fillId="0" borderId="42" xfId="0" applyNumberFormat="1" applyFont="1" applyBorder="1" applyAlignment="1" applyProtection="1">
      <alignment vertical="center"/>
      <protection hidden="1"/>
    </xf>
    <xf numFmtId="1" fontId="33" fillId="0" borderId="42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>
      <alignment vertical="center"/>
    </xf>
    <xf numFmtId="0" fontId="13" fillId="4" borderId="19" xfId="0" applyFont="1" applyFill="1" applyBorder="1" applyProtection="1">
      <protection locked="0"/>
    </xf>
    <xf numFmtId="0" fontId="8" fillId="0" borderId="6" xfId="0" quotePrefix="1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9" fillId="0" borderId="47" xfId="0" applyFont="1" applyFill="1" applyBorder="1" applyAlignment="1" applyProtection="1">
      <alignment horizontal="center" vertical="center"/>
      <protection hidden="1"/>
    </xf>
    <xf numFmtId="3" fontId="32" fillId="0" borderId="101" xfId="1" applyNumberFormat="1" applyFill="1" applyBorder="1" applyAlignment="1" applyProtection="1">
      <alignment horizontal="right"/>
      <protection locked="0"/>
    </xf>
    <xf numFmtId="0" fontId="5" fillId="0" borderId="101" xfId="0" applyFont="1" applyFill="1" applyBorder="1" applyAlignment="1" applyProtection="1">
      <alignment horizontal="right"/>
      <protection locked="0"/>
    </xf>
    <xf numFmtId="3" fontId="18" fillId="0" borderId="0" xfId="0" applyNumberFormat="1" applyFont="1" applyFill="1" applyBorder="1" applyAlignment="1" applyProtection="1">
      <alignment horizontal="left"/>
      <protection hidden="1"/>
    </xf>
    <xf numFmtId="0" fontId="31" fillId="0" borderId="0" xfId="0" applyFont="1" applyFill="1" applyBorder="1" applyAlignment="1" applyProtection="1">
      <alignment horizontal="left"/>
      <protection hidden="1"/>
    </xf>
    <xf numFmtId="0" fontId="16" fillId="0" borderId="81" xfId="0" applyNumberFormat="1" applyFont="1" applyFill="1" applyBorder="1" applyAlignment="1" applyProtection="1">
      <alignment horizontal="right" vertical="center"/>
      <protection hidden="1"/>
    </xf>
    <xf numFmtId="0" fontId="0" fillId="0" borderId="81" xfId="0" applyBorder="1" applyAlignment="1" applyProtection="1">
      <alignment horizontal="right" vertical="center"/>
      <protection hidden="1"/>
    </xf>
    <xf numFmtId="0" fontId="16" fillId="0" borderId="81" xfId="0" applyNumberFormat="1" applyFont="1" applyFill="1" applyBorder="1" applyAlignment="1" applyProtection="1">
      <alignment horizontal="left" vertical="center"/>
      <protection hidden="1"/>
    </xf>
    <xf numFmtId="0" fontId="0" fillId="0" borderId="92" xfId="0" applyBorder="1" applyAlignment="1" applyProtection="1">
      <alignment horizontal="left" vertical="center"/>
      <protection hidden="1"/>
    </xf>
    <xf numFmtId="0" fontId="18" fillId="0" borderId="76" xfId="0" applyFont="1" applyBorder="1" applyAlignment="1" applyProtection="1">
      <alignment horizontal="center" vertical="center" wrapText="1"/>
      <protection hidden="1"/>
    </xf>
    <xf numFmtId="0" fontId="30" fillId="0" borderId="81" xfId="0" applyFont="1" applyBorder="1" applyAlignment="1" applyProtection="1">
      <alignment horizontal="center" vertical="center" wrapText="1"/>
      <protection hidden="1"/>
    </xf>
    <xf numFmtId="0" fontId="18" fillId="0" borderId="81" xfId="0" applyFont="1" applyBorder="1" applyAlignment="1" applyProtection="1">
      <alignment horizontal="center" vertical="center" wrapText="1"/>
      <protection hidden="1"/>
    </xf>
    <xf numFmtId="0" fontId="16" fillId="0" borderId="81" xfId="0" applyFont="1" applyBorder="1" applyAlignment="1" applyProtection="1">
      <alignment horizontal="right" vertical="center" wrapText="1"/>
      <protection hidden="1"/>
    </xf>
    <xf numFmtId="0" fontId="5" fillId="0" borderId="81" xfId="0" applyFont="1" applyBorder="1" applyAlignment="1">
      <alignment horizontal="right" vertical="center" wrapText="1"/>
    </xf>
    <xf numFmtId="44" fontId="16" fillId="0" borderId="81" xfId="0" applyNumberFormat="1" applyFont="1" applyBorder="1" applyAlignment="1" applyProtection="1">
      <alignment horizontal="left" vertical="center" wrapText="1"/>
      <protection hidden="1"/>
    </xf>
    <xf numFmtId="0" fontId="5" fillId="0" borderId="92" xfId="0" applyFont="1" applyBorder="1" applyAlignment="1">
      <alignment horizontal="left" vertical="center" wrapText="1"/>
    </xf>
    <xf numFmtId="164" fontId="14" fillId="0" borderId="7" xfId="0" applyNumberFormat="1" applyFont="1" applyFill="1" applyBorder="1" applyAlignment="1" applyProtection="1">
      <alignment horizontal="center" vertical="center"/>
      <protection hidden="1"/>
    </xf>
    <xf numFmtId="0" fontId="29" fillId="0" borderId="7" xfId="0" applyFont="1" applyBorder="1" applyAlignment="1" applyProtection="1">
      <alignment horizontal="center" vertical="center"/>
      <protection hidden="1"/>
    </xf>
    <xf numFmtId="0" fontId="29" fillId="0" borderId="47" xfId="0" applyFont="1" applyBorder="1" applyAlignment="1" applyProtection="1">
      <alignment horizontal="center" vertical="center"/>
      <protection hidden="1"/>
    </xf>
    <xf numFmtId="0" fontId="14" fillId="0" borderId="75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right" vertical="center"/>
      <protection hidden="1"/>
    </xf>
    <xf numFmtId="0" fontId="14" fillId="0" borderId="3" xfId="0" applyFont="1" applyBorder="1" applyAlignment="1" applyProtection="1">
      <alignment horizontal="right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2" fillId="0" borderId="102" xfId="0" applyFont="1" applyBorder="1" applyAlignment="1" applyProtection="1">
      <alignment horizontal="center" vertical="center"/>
      <protection hidden="1"/>
    </xf>
    <xf numFmtId="164" fontId="17" fillId="0" borderId="6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66" xfId="0" applyFont="1" applyBorder="1" applyAlignment="1" applyProtection="1">
      <alignment horizontal="center" vertical="center" wrapText="1"/>
      <protection hidden="1"/>
    </xf>
    <xf numFmtId="41" fontId="17" fillId="0" borderId="66" xfId="0" applyNumberFormat="1" applyFont="1" applyFill="1" applyBorder="1" applyAlignment="1" applyProtection="1">
      <alignment horizontal="center" vertical="center" wrapText="1"/>
      <protection hidden="1"/>
    </xf>
    <xf numFmtId="41" fontId="2" fillId="0" borderId="66" xfId="0" applyNumberFormat="1" applyFont="1" applyBorder="1" applyAlignment="1" applyProtection="1">
      <alignment vertical="center" wrapText="1"/>
      <protection hidden="1"/>
    </xf>
    <xf numFmtId="0" fontId="17" fillId="0" borderId="103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vertical="center" wrapText="1"/>
      <protection hidden="1"/>
    </xf>
    <xf numFmtId="164" fontId="17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Border="1" applyAlignment="1" applyProtection="1">
      <alignment horizontal="center" vertical="center" wrapText="1"/>
      <protection hidden="1"/>
    </xf>
    <xf numFmtId="41" fontId="17" fillId="0" borderId="42" xfId="0" applyNumberFormat="1" applyFont="1" applyFill="1" applyBorder="1" applyAlignment="1" applyProtection="1">
      <alignment horizontal="center" vertical="center" wrapText="1"/>
      <protection hidden="1"/>
    </xf>
    <xf numFmtId="41" fontId="2" fillId="0" borderId="42" xfId="0" applyNumberFormat="1" applyFont="1" applyBorder="1" applyAlignment="1" applyProtection="1">
      <alignment vertical="center" wrapText="1"/>
      <protection hidden="1"/>
    </xf>
    <xf numFmtId="0" fontId="17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17" fillId="0" borderId="104" xfId="0" applyFont="1" applyFill="1" applyBorder="1" applyAlignment="1" applyProtection="1">
      <alignment horizontal="center" vertical="center" wrapText="1"/>
      <protection hidden="1"/>
    </xf>
    <xf numFmtId="0" fontId="2" fillId="0" borderId="104" xfId="0" applyFont="1" applyBorder="1" applyAlignment="1" applyProtection="1">
      <alignment vertical="center" wrapText="1"/>
      <protection hidden="1"/>
    </xf>
    <xf numFmtId="0" fontId="35" fillId="0" borderId="76" xfId="0" applyFont="1" applyBorder="1" applyAlignment="1" applyProtection="1">
      <alignment horizontal="right"/>
      <protection hidden="1"/>
    </xf>
    <xf numFmtId="0" fontId="36" fillId="0" borderId="105" xfId="0" applyFont="1" applyBorder="1" applyAlignment="1"/>
    <xf numFmtId="0" fontId="36" fillId="0" borderId="81" xfId="0" applyFont="1" applyBorder="1" applyAlignment="1"/>
    <xf numFmtId="0" fontId="14" fillId="0" borderId="50" xfId="0" applyFont="1" applyBorder="1" applyAlignment="1" applyProtection="1">
      <alignment horizontal="right" vertical="center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41" fontId="2" fillId="0" borderId="45" xfId="0" applyNumberFormat="1" applyFont="1" applyBorder="1" applyAlignment="1" applyProtection="1">
      <alignment vertical="center" wrapText="1"/>
      <protection hidden="1"/>
    </xf>
    <xf numFmtId="0" fontId="17" fillId="0" borderId="106" xfId="0" applyFont="1" applyFill="1" applyBorder="1" applyAlignment="1" applyProtection="1">
      <alignment horizontal="center" vertical="center" wrapText="1"/>
      <protection hidden="1"/>
    </xf>
    <xf numFmtId="0" fontId="35" fillId="0" borderId="81" xfId="0" applyFont="1" applyBorder="1" applyAlignment="1" applyProtection="1">
      <alignment horizontal="right"/>
      <protection hidden="1"/>
    </xf>
    <xf numFmtId="0" fontId="2" fillId="0" borderId="106" xfId="0" applyFont="1" applyBorder="1" applyAlignment="1" applyProtection="1">
      <alignment vertical="center" wrapText="1"/>
      <protection hidden="1"/>
    </xf>
    <xf numFmtId="164" fontId="14" fillId="0" borderId="7" xfId="0" applyNumberFormat="1" applyFont="1" applyFill="1" applyBorder="1" applyAlignment="1" applyProtection="1">
      <alignment horizontal="center" wrapText="1"/>
      <protection hidden="1"/>
    </xf>
    <xf numFmtId="0" fontId="29" fillId="0" borderId="7" xfId="0" applyFont="1" applyBorder="1" applyAlignment="1" applyProtection="1">
      <alignment horizontal="center" wrapText="1"/>
      <protection hidden="1"/>
    </xf>
    <xf numFmtId="0" fontId="29" fillId="0" borderId="47" xfId="0" applyFont="1" applyBorder="1" applyAlignment="1" applyProtection="1">
      <alignment horizontal="center" wrapText="1"/>
      <protection hidden="1"/>
    </xf>
    <xf numFmtId="0" fontId="24" fillId="0" borderId="4" xfId="0" applyFont="1" applyBorder="1" applyAlignment="1" applyProtection="1">
      <alignment vertical="top" wrapText="1"/>
      <protection hidden="1"/>
    </xf>
    <xf numFmtId="0" fontId="0" fillId="0" borderId="1" xfId="0" applyBorder="1" applyAlignment="1" applyProtection="1">
      <alignment vertical="top" wrapText="1"/>
      <protection hidden="1"/>
    </xf>
    <xf numFmtId="0" fontId="0" fillId="0" borderId="55" xfId="0" applyBorder="1" applyAlignment="1" applyProtection="1">
      <alignment vertical="top" wrapText="1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47" xfId="0" applyFont="1" applyBorder="1" applyAlignment="1" applyProtection="1">
      <alignment horizontal="center" vertical="center"/>
      <protection hidden="1"/>
    </xf>
    <xf numFmtId="0" fontId="11" fillId="0" borderId="43" xfId="0" quotePrefix="1" applyNumberFormat="1" applyFont="1" applyBorder="1" applyAlignment="1" applyProtection="1">
      <alignment horizontal="center" vertical="center"/>
      <protection hidden="1"/>
    </xf>
    <xf numFmtId="0" fontId="0" fillId="0" borderId="109" xfId="0" applyBorder="1" applyAlignment="1" applyProtection="1">
      <alignment vertical="center"/>
      <protection hidden="1"/>
    </xf>
    <xf numFmtId="0" fontId="11" fillId="0" borderId="67" xfId="0" quotePrefix="1" applyNumberFormat="1" applyFont="1" applyBorder="1" applyAlignment="1" applyProtection="1">
      <alignment horizontal="center" vertical="center"/>
      <protection hidden="1"/>
    </xf>
    <xf numFmtId="0" fontId="0" fillId="0" borderId="107" xfId="0" applyBorder="1" applyAlignment="1" applyProtection="1">
      <alignment vertical="center"/>
      <protection hidden="1"/>
    </xf>
    <xf numFmtId="168" fontId="14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08" xfId="0" applyBorder="1" applyAlignment="1" applyProtection="1">
      <alignment horizontal="center" vertical="center"/>
      <protection hidden="1"/>
    </xf>
    <xf numFmtId="0" fontId="14" fillId="0" borderId="75" xfId="0" applyFont="1" applyBorder="1" applyAlignment="1" applyProtection="1">
      <alignment horizontal="right" vertical="center" wrapText="1"/>
      <protection hidden="1"/>
    </xf>
    <xf numFmtId="0" fontId="14" fillId="0" borderId="3" xfId="0" applyFont="1" applyBorder="1" applyAlignment="1" applyProtection="1">
      <alignment horizontal="right" vertical="center" wrapText="1"/>
      <protection hidden="1"/>
    </xf>
    <xf numFmtId="0" fontId="11" fillId="0" borderId="48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49" xfId="0" applyBorder="1" applyAlignment="1" applyProtection="1">
      <alignment horizontal="left" vertical="center" wrapText="1"/>
      <protection hidden="1"/>
    </xf>
    <xf numFmtId="0" fontId="0" fillId="0" borderId="48" xfId="0" applyBorder="1" applyAlignment="1" applyProtection="1">
      <alignment horizontal="left" vertical="center" wrapText="1"/>
      <protection hidden="1"/>
    </xf>
    <xf numFmtId="0" fontId="0" fillId="0" borderId="3" xfId="0" applyBorder="1" applyAlignment="1" applyProtection="1">
      <alignment horizontal="right" vertical="center"/>
      <protection hidden="1"/>
    </xf>
    <xf numFmtId="0" fontId="11" fillId="0" borderId="7" xfId="0" quotePrefix="1" applyFont="1" applyFill="1" applyBorder="1" applyAlignment="1" applyProtection="1">
      <alignment horizontal="left" vertical="center" wrapText="1"/>
      <protection hidden="1"/>
    </xf>
    <xf numFmtId="0" fontId="19" fillId="0" borderId="7" xfId="0" applyFont="1" applyBorder="1" applyAlignment="1" applyProtection="1">
      <alignment horizontal="left" vertical="center" wrapText="1"/>
      <protection hidden="1"/>
    </xf>
    <xf numFmtId="0" fontId="19" fillId="0" borderId="47" xfId="0" applyFont="1" applyBorder="1" applyAlignment="1" applyProtection="1">
      <alignment horizontal="left" vertical="center" wrapText="1"/>
      <protection hidden="1"/>
    </xf>
    <xf numFmtId="0" fontId="19" fillId="0" borderId="0" xfId="0" applyFont="1" applyBorder="1" applyAlignment="1" applyProtection="1">
      <alignment horizontal="left" vertical="center" wrapText="1"/>
      <protection hidden="1"/>
    </xf>
    <xf numFmtId="0" fontId="19" fillId="0" borderId="49" xfId="0" applyFont="1" applyBorder="1" applyAlignment="1" applyProtection="1">
      <alignment horizontal="left" vertical="center" wrapText="1"/>
      <protection hidden="1"/>
    </xf>
    <xf numFmtId="0" fontId="11" fillId="0" borderId="7" xfId="0" applyFont="1" applyBorder="1" applyAlignment="1" applyProtection="1">
      <alignment horizontal="left" vertical="center" wrapText="1"/>
      <protection hidden="1"/>
    </xf>
    <xf numFmtId="0" fontId="0" fillId="0" borderId="7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11" fillId="0" borderId="7" xfId="0" applyFont="1" applyBorder="1" applyAlignment="1" applyProtection="1">
      <alignment horizontal="center" vertical="top" wrapText="1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4" fillId="0" borderId="48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right" vertical="center"/>
      <protection hidden="1"/>
    </xf>
    <xf numFmtId="168" fontId="14" fillId="0" borderId="69" xfId="0" applyNumberFormat="1" applyFont="1" applyFill="1" applyBorder="1" applyAlignment="1" applyProtection="1">
      <alignment horizontal="center" vertical="center"/>
      <protection hidden="1"/>
    </xf>
    <xf numFmtId="0" fontId="0" fillId="0" borderId="110" xfId="0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0</xdr:col>
      <xdr:colOff>0</xdr:colOff>
      <xdr:row>15</xdr:row>
      <xdr:rowOff>19050</xdr:rowOff>
    </xdr:to>
    <xdr:sp macro="" textlink="">
      <xdr:nvSpPr>
        <xdr:cNvPr id="7170" name="Text 2">
          <a:extLst>
            <a:ext uri="{FF2B5EF4-FFF2-40B4-BE49-F238E27FC236}">
              <a16:creationId xmlns:a16="http://schemas.microsoft.com/office/drawing/2014/main" id="{2EB061AE-3F30-4BEF-8C7D-E296FE8956DE}"/>
            </a:ext>
          </a:extLst>
        </xdr:cNvPr>
        <xdr:cNvSpPr txBox="1">
          <a:spLocks noChangeArrowheads="1"/>
        </xdr:cNvSpPr>
      </xdr:nvSpPr>
      <xdr:spPr bwMode="auto">
        <a:xfrm>
          <a:off x="0" y="5838825"/>
          <a:ext cx="0" cy="3524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Please fill in this sheet at the end of each quarter and fax or send to: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Waste Management Team, 7th Floor, AMP House, Dingwall Rd, Croydon, CR0 2LX, fax 020 8760 1771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54</xdr:row>
      <xdr:rowOff>19050</xdr:rowOff>
    </xdr:to>
    <xdr:sp macro="" textlink="">
      <xdr:nvSpPr>
        <xdr:cNvPr id="7171" name="Text 3">
          <a:extLst>
            <a:ext uri="{FF2B5EF4-FFF2-40B4-BE49-F238E27FC236}">
              <a16:creationId xmlns:a16="http://schemas.microsoft.com/office/drawing/2014/main" id="{EE07858E-091D-460F-8FEB-57CE16D0455B}"/>
            </a:ext>
          </a:extLst>
        </xdr:cNvPr>
        <xdr:cNvSpPr txBox="1">
          <a:spLocks noChangeArrowheads="1"/>
        </xdr:cNvSpPr>
      </xdr:nvSpPr>
      <xdr:spPr bwMode="auto">
        <a:xfrm>
          <a:off x="0" y="14420850"/>
          <a:ext cx="0" cy="3429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Please fill in this sheet at the end of each quarter and fax or send to: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Waste Management Team, 7th Floor, AMP House, Dingwall Rd, Croydon, CR0 2LX, fax 020 8760 1771</a:t>
          </a:r>
        </a:p>
      </xdr:txBody>
    </xdr:sp>
    <xdr:clientData/>
  </xdr:twoCellAnchor>
  <xdr:twoCellAnchor>
    <xdr:from>
      <xdr:col>0</xdr:col>
      <xdr:colOff>0</xdr:colOff>
      <xdr:row>91</xdr:row>
      <xdr:rowOff>209550</xdr:rowOff>
    </xdr:from>
    <xdr:to>
      <xdr:col>0</xdr:col>
      <xdr:colOff>0</xdr:colOff>
      <xdr:row>94</xdr:row>
      <xdr:rowOff>57150</xdr:rowOff>
    </xdr:to>
    <xdr:sp macro="" textlink="">
      <xdr:nvSpPr>
        <xdr:cNvPr id="7172" name="Text 4">
          <a:extLst>
            <a:ext uri="{FF2B5EF4-FFF2-40B4-BE49-F238E27FC236}">
              <a16:creationId xmlns:a16="http://schemas.microsoft.com/office/drawing/2014/main" id="{B8A9855C-B85B-473F-A39D-5EBDB9C13454}"/>
            </a:ext>
          </a:extLst>
        </xdr:cNvPr>
        <xdr:cNvSpPr txBox="1">
          <a:spLocks noChangeArrowheads="1"/>
        </xdr:cNvSpPr>
      </xdr:nvSpPr>
      <xdr:spPr bwMode="auto">
        <a:xfrm>
          <a:off x="0" y="23450550"/>
          <a:ext cx="0" cy="4286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Please fill in this sheet at the end of each quarter and fax or send to: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Waste Management Team, 7th Floor, AMP House, Dingwall Rd, Croydon, CR0 2LX, fax 020 8760 1771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orkshops\Workshops\Waste_Management\WMMS\WMMS%202015-2017\WMMS%202016%202017\WMMS_Moorland_2016-17%20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ment Summary"/>
      <sheetName val="Waste Data Qrt 1"/>
      <sheetName val="Waste Data Qrt 2"/>
      <sheetName val="Waste Data Qrt 3"/>
      <sheetName val="Waste Data Qrt 4"/>
      <sheetName val="Clothing"/>
      <sheetName val="Furniture"/>
      <sheetName val="Equipment"/>
      <sheetName val="Other Items"/>
      <sheetName val="Employment &amp; Education"/>
      <sheetName val="Print Tally sheets"/>
    </sheetNames>
    <sheetDataSet>
      <sheetData sheetId="0"/>
      <sheetData sheetId="1"/>
      <sheetData sheetId="2">
        <row r="14">
          <cell r="B14"/>
        </row>
        <row r="17">
          <cell r="B17"/>
        </row>
        <row r="19">
          <cell r="B19"/>
        </row>
        <row r="20">
          <cell r="B20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showGridLines="0" tabSelected="1" zoomScale="70" zoomScaleNormal="70" workbookViewId="0">
      <selection activeCell="B7" sqref="B7"/>
    </sheetView>
  </sheetViews>
  <sheetFormatPr defaultRowHeight="13.2" x14ac:dyDescent="0.25"/>
  <cols>
    <col min="1" max="1" width="50.77734375" customWidth="1"/>
    <col min="2" max="5" width="16.77734375" customWidth="1"/>
    <col min="6" max="6" width="23.21875" style="15" customWidth="1"/>
    <col min="7" max="7" width="16.5546875" customWidth="1"/>
    <col min="8" max="11" width="16.77734375" customWidth="1"/>
    <col min="12" max="12" width="16.5546875" customWidth="1"/>
    <col min="13" max="13" width="7.5546875" customWidth="1"/>
  </cols>
  <sheetData>
    <row r="1" spans="1:12" s="54" customFormat="1" ht="30" customHeight="1" thickTop="1" x14ac:dyDescent="0.25">
      <c r="A1" s="519" t="s">
        <v>328</v>
      </c>
      <c r="B1" s="520"/>
      <c r="C1" s="520"/>
      <c r="D1" s="520"/>
      <c r="E1" s="520"/>
      <c r="F1" s="521"/>
      <c r="G1" s="96"/>
      <c r="H1" s="96"/>
      <c r="I1" s="96"/>
      <c r="J1" s="96"/>
      <c r="K1" s="96"/>
      <c r="L1" s="96"/>
    </row>
    <row r="2" spans="1:12" s="54" customFormat="1" ht="30" customHeight="1" x14ac:dyDescent="0.4">
      <c r="A2" s="388"/>
      <c r="B2" s="467" t="s">
        <v>282</v>
      </c>
      <c r="C2" s="524"/>
      <c r="D2" s="525"/>
      <c r="E2" s="525"/>
      <c r="F2" s="447"/>
      <c r="G2" s="96"/>
      <c r="H2" s="96"/>
      <c r="I2" s="96"/>
      <c r="J2" s="96"/>
      <c r="K2" s="96"/>
      <c r="L2" s="96"/>
    </row>
    <row r="3" spans="1:12" s="446" customFormat="1" ht="40.5" customHeight="1" x14ac:dyDescent="0.35">
      <c r="A3" s="448" t="s">
        <v>276</v>
      </c>
      <c r="B3" s="522"/>
      <c r="C3" s="523"/>
      <c r="D3" s="523"/>
      <c r="E3" s="449" t="s">
        <v>277</v>
      </c>
      <c r="F3" s="480"/>
      <c r="G3" s="445"/>
      <c r="H3" s="445"/>
      <c r="I3" s="445"/>
      <c r="J3" s="445"/>
      <c r="K3" s="445"/>
      <c r="L3" s="445"/>
    </row>
    <row r="4" spans="1:12" ht="15" customHeight="1" thickBot="1" x14ac:dyDescent="0.3">
      <c r="A4" s="381"/>
      <c r="B4" s="382"/>
      <c r="C4" s="383"/>
      <c r="D4" s="384"/>
      <c r="E4" s="385"/>
      <c r="F4" s="386"/>
      <c r="G4" s="70"/>
      <c r="H4" s="70"/>
      <c r="I4" s="70"/>
      <c r="J4" s="70"/>
      <c r="K4" s="70"/>
      <c r="L4" s="70"/>
    </row>
    <row r="5" spans="1:12" ht="30" customHeight="1" thickTop="1" thickBot="1" x14ac:dyDescent="0.3">
      <c r="A5" s="108"/>
      <c r="B5" s="109"/>
      <c r="C5" s="110"/>
      <c r="D5" s="110"/>
      <c r="E5" s="111"/>
      <c r="F5" s="111"/>
      <c r="G5" s="70"/>
      <c r="H5" s="70"/>
      <c r="I5" s="70"/>
      <c r="J5" s="70"/>
      <c r="K5" s="70"/>
      <c r="L5" s="70"/>
    </row>
    <row r="6" spans="1:12" ht="36" customHeight="1" thickTop="1" thickBot="1" x14ac:dyDescent="0.3">
      <c r="A6" s="464" t="s">
        <v>248</v>
      </c>
      <c r="B6" s="85" t="s">
        <v>0</v>
      </c>
      <c r="C6" s="86" t="s">
        <v>1</v>
      </c>
      <c r="D6" s="86" t="s">
        <v>2</v>
      </c>
      <c r="E6" s="86" t="s">
        <v>3</v>
      </c>
      <c r="F6" s="87" t="s">
        <v>160</v>
      </c>
      <c r="G6" s="70"/>
      <c r="H6" s="70"/>
      <c r="I6" s="70"/>
      <c r="J6" s="70"/>
      <c r="K6" s="70"/>
      <c r="L6" s="70"/>
    </row>
    <row r="7" spans="1:12" ht="36" customHeight="1" x14ac:dyDescent="0.25">
      <c r="A7" s="378" t="s">
        <v>311</v>
      </c>
      <c r="B7" s="452">
        <f>'Waste Data Q1'!F35</f>
        <v>0</v>
      </c>
      <c r="C7" s="453">
        <f>'Waste Data Q2'!F35</f>
        <v>0</v>
      </c>
      <c r="D7" s="453">
        <f>'Waste Data Q3'!F35</f>
        <v>0</v>
      </c>
      <c r="E7" s="453">
        <f>'Waste Data Q4'!F35</f>
        <v>0</v>
      </c>
      <c r="F7" s="454">
        <f>SUM(B7:E7)</f>
        <v>0</v>
      </c>
      <c r="G7" s="70"/>
      <c r="H7" s="70"/>
      <c r="I7" s="70"/>
      <c r="J7" s="70"/>
      <c r="K7" s="70"/>
      <c r="L7" s="70"/>
    </row>
    <row r="8" spans="1:12" ht="36" customHeight="1" thickBot="1" x14ac:dyDescent="0.3">
      <c r="A8" s="378" t="s">
        <v>313</v>
      </c>
      <c r="B8" s="450">
        <f>'Waste Data Q1'!E35</f>
        <v>0</v>
      </c>
      <c r="C8" s="450">
        <f>'Waste Data Q2'!E35</f>
        <v>0</v>
      </c>
      <c r="D8" s="450">
        <f>'Waste Data Q3'!E35</f>
        <v>0</v>
      </c>
      <c r="E8" s="450">
        <f>'Waste Data Q4'!E35</f>
        <v>0</v>
      </c>
      <c r="F8" s="451">
        <f>SUM(B8:E8)</f>
        <v>0</v>
      </c>
      <c r="G8" s="70"/>
      <c r="H8" s="70"/>
      <c r="I8" s="70"/>
      <c r="J8" s="70"/>
      <c r="K8" s="70"/>
      <c r="L8" s="70"/>
    </row>
    <row r="9" spans="1:12" ht="30" customHeight="1" thickTop="1" thickBot="1" x14ac:dyDescent="0.3">
      <c r="A9" s="112"/>
      <c r="B9" s="113"/>
      <c r="C9" s="114"/>
      <c r="D9" s="114"/>
      <c r="E9" s="115"/>
      <c r="F9" s="115"/>
      <c r="G9" s="70"/>
      <c r="H9" s="70"/>
      <c r="I9" s="70"/>
      <c r="J9" s="70"/>
      <c r="K9" s="70"/>
      <c r="L9" s="70"/>
    </row>
    <row r="10" spans="1:12" s="20" customFormat="1" ht="36" customHeight="1" thickTop="1" thickBot="1" x14ac:dyDescent="0.35">
      <c r="A10" s="464" t="s">
        <v>298</v>
      </c>
      <c r="B10" s="85" t="s">
        <v>0</v>
      </c>
      <c r="C10" s="86" t="s">
        <v>1</v>
      </c>
      <c r="D10" s="86" t="s">
        <v>2</v>
      </c>
      <c r="E10" s="86" t="s">
        <v>3</v>
      </c>
      <c r="F10" s="87" t="s">
        <v>160</v>
      </c>
      <c r="G10" s="97"/>
      <c r="H10" s="97"/>
      <c r="I10" s="97"/>
      <c r="J10" s="97"/>
      <c r="K10" s="97"/>
      <c r="L10" s="97"/>
    </row>
    <row r="11" spans="1:12" ht="36" customHeight="1" x14ac:dyDescent="0.25">
      <c r="A11" s="455" t="s">
        <v>312</v>
      </c>
      <c r="B11" s="459">
        <f>'Waste Data Q1'!F21</f>
        <v>0</v>
      </c>
      <c r="C11" s="459">
        <f>'Waste Data Q2'!F21</f>
        <v>0</v>
      </c>
      <c r="D11" s="457">
        <f>'Waste Data Q3'!F21</f>
        <v>0</v>
      </c>
      <c r="E11" s="457">
        <f>'Waste Data Q4'!F21</f>
        <v>0</v>
      </c>
      <c r="F11" s="458">
        <f>SUM(B11:E11)</f>
        <v>0</v>
      </c>
      <c r="G11" s="70"/>
      <c r="H11" s="70"/>
      <c r="I11" s="70"/>
      <c r="J11" s="70"/>
      <c r="K11" s="70"/>
      <c r="L11" s="70"/>
    </row>
    <row r="12" spans="1:12" ht="36" customHeight="1" thickBot="1" x14ac:dyDescent="0.3">
      <c r="A12" s="456" t="s">
        <v>314</v>
      </c>
      <c r="B12" s="460">
        <f>'Waste Data Q1'!E21</f>
        <v>0</v>
      </c>
      <c r="C12" s="460">
        <f>'Waste Data Q2'!E21</f>
        <v>0</v>
      </c>
      <c r="D12" s="461">
        <f>'Waste Data Q3'!E21</f>
        <v>0</v>
      </c>
      <c r="E12" s="461">
        <f>'Waste Data Q4'!E21</f>
        <v>0</v>
      </c>
      <c r="F12" s="462">
        <f>SUM(B12:E12)</f>
        <v>0</v>
      </c>
      <c r="G12" s="70"/>
      <c r="H12" s="70"/>
      <c r="I12" s="70"/>
      <c r="J12" s="70"/>
      <c r="K12" s="70"/>
      <c r="L12" s="70"/>
    </row>
    <row r="13" spans="1:12" ht="30" customHeight="1" thickTop="1" thickBot="1" x14ac:dyDescent="0.35">
      <c r="A13" s="89"/>
      <c r="B13" s="89"/>
      <c r="C13" s="89"/>
      <c r="D13" s="90"/>
      <c r="E13" s="89"/>
      <c r="F13" s="91"/>
      <c r="G13" s="70"/>
      <c r="H13" s="70"/>
      <c r="I13" s="70"/>
      <c r="J13" s="70"/>
      <c r="K13" s="70"/>
      <c r="L13" s="70"/>
    </row>
    <row r="14" spans="1:12" ht="36" customHeight="1" thickTop="1" thickBot="1" x14ac:dyDescent="0.3">
      <c r="A14" s="92" t="s">
        <v>184</v>
      </c>
      <c r="B14" s="93" t="s">
        <v>278</v>
      </c>
      <c r="C14" s="93" t="s">
        <v>279</v>
      </c>
      <c r="D14" s="93" t="s">
        <v>280</v>
      </c>
      <c r="E14" s="93" t="s">
        <v>281</v>
      </c>
      <c r="F14" s="88" t="s">
        <v>186</v>
      </c>
      <c r="G14" s="70"/>
      <c r="H14" s="70"/>
      <c r="I14" s="70"/>
      <c r="J14" s="70"/>
      <c r="K14" s="70"/>
      <c r="L14" s="70"/>
    </row>
    <row r="15" spans="1:12" ht="36" customHeight="1" x14ac:dyDescent="0.25">
      <c r="A15" s="468" t="s">
        <v>250</v>
      </c>
      <c r="B15" s="116">
        <f>'Employment &amp; Education'!B4</f>
        <v>0</v>
      </c>
      <c r="C15" s="116">
        <f>'Employment &amp; Education'!C4</f>
        <v>0</v>
      </c>
      <c r="D15" s="116">
        <f>'Employment &amp; Education'!D4</f>
        <v>0</v>
      </c>
      <c r="E15" s="116">
        <f>'Employment &amp; Education'!E4</f>
        <v>0</v>
      </c>
      <c r="F15" s="117">
        <f>AVERAGE(B15:E15)</f>
        <v>0</v>
      </c>
      <c r="G15" s="70"/>
      <c r="H15" s="70"/>
      <c r="I15" s="70"/>
      <c r="J15" s="70"/>
      <c r="K15" s="70"/>
      <c r="L15" s="70"/>
    </row>
    <row r="16" spans="1:12" ht="36" customHeight="1" thickBot="1" x14ac:dyDescent="0.3">
      <c r="A16" s="469" t="s">
        <v>161</v>
      </c>
      <c r="B16" s="118">
        <f>'Employment &amp; Education'!B5</f>
        <v>0</v>
      </c>
      <c r="C16" s="118">
        <f>'Employment &amp; Education'!C5</f>
        <v>0</v>
      </c>
      <c r="D16" s="118">
        <f>'Employment &amp; Education'!D5</f>
        <v>0</v>
      </c>
      <c r="E16" s="118">
        <f>'Employment &amp; Education'!E5</f>
        <v>0</v>
      </c>
      <c r="F16" s="119">
        <f>AVERAGE(B16:E16)</f>
        <v>0</v>
      </c>
      <c r="G16" s="70"/>
      <c r="H16" s="70"/>
      <c r="I16" s="70"/>
      <c r="J16" s="70"/>
      <c r="K16" s="70"/>
      <c r="L16" s="70"/>
    </row>
    <row r="17" spans="1:12" ht="30" customHeight="1" thickTop="1" thickBot="1" x14ac:dyDescent="0.35">
      <c r="A17" s="89"/>
      <c r="B17" s="94"/>
      <c r="C17" s="89"/>
      <c r="D17" s="89"/>
      <c r="E17" s="89"/>
      <c r="F17" s="95"/>
      <c r="G17" s="70"/>
      <c r="H17" s="70"/>
      <c r="I17" s="70"/>
      <c r="J17" s="70"/>
      <c r="K17" s="70"/>
      <c r="L17" s="70"/>
    </row>
    <row r="18" spans="1:12" ht="36" customHeight="1" thickTop="1" thickBot="1" x14ac:dyDescent="0.3">
      <c r="A18" s="463" t="s">
        <v>249</v>
      </c>
      <c r="B18" s="85" t="s">
        <v>0</v>
      </c>
      <c r="C18" s="86" t="s">
        <v>1</v>
      </c>
      <c r="D18" s="86" t="s">
        <v>2</v>
      </c>
      <c r="E18" s="86" t="s">
        <v>3</v>
      </c>
      <c r="F18" s="88" t="s">
        <v>160</v>
      </c>
      <c r="G18" s="70"/>
      <c r="H18" s="70"/>
      <c r="I18" s="70"/>
      <c r="J18" s="70"/>
      <c r="K18" s="70"/>
      <c r="L18" s="70"/>
    </row>
    <row r="19" spans="1:12" ht="36" customHeight="1" x14ac:dyDescent="0.25">
      <c r="A19" s="470" t="s">
        <v>241</v>
      </c>
      <c r="B19" s="101">
        <f>'Employment &amp; Education'!B9</f>
        <v>0</v>
      </c>
      <c r="C19" s="101">
        <f>'Employment &amp; Education'!C9</f>
        <v>0</v>
      </c>
      <c r="D19" s="101">
        <f>'Employment &amp; Education'!D9</f>
        <v>0</v>
      </c>
      <c r="E19" s="101">
        <f>'Employment &amp; Education'!E9</f>
        <v>0</v>
      </c>
      <c r="F19" s="99">
        <f>SUM(B19:E19)</f>
        <v>0</v>
      </c>
      <c r="G19" s="70"/>
      <c r="H19" s="70"/>
      <c r="I19" s="70"/>
      <c r="J19" s="70"/>
      <c r="K19" s="70"/>
      <c r="L19" s="70"/>
    </row>
    <row r="20" spans="1:12" ht="36" customHeight="1" thickBot="1" x14ac:dyDescent="0.3">
      <c r="A20" s="471" t="s">
        <v>275</v>
      </c>
      <c r="B20" s="102">
        <f>'Employment &amp; Education'!B10</f>
        <v>0</v>
      </c>
      <c r="C20" s="102">
        <f>'Employment &amp; Education'!C10</f>
        <v>0</v>
      </c>
      <c r="D20" s="102">
        <f>'Employment &amp; Education'!D10</f>
        <v>0</v>
      </c>
      <c r="E20" s="102">
        <f>'Employment &amp; Education'!E10</f>
        <v>0</v>
      </c>
      <c r="F20" s="100">
        <f>SUM(B20:E20)</f>
        <v>0</v>
      </c>
      <c r="G20" s="70"/>
      <c r="H20" s="70"/>
      <c r="I20" s="70"/>
      <c r="J20" s="70"/>
      <c r="K20" s="70"/>
      <c r="L20" s="70"/>
    </row>
    <row r="21" spans="1:12" ht="30" customHeight="1" thickTop="1" thickBot="1" x14ac:dyDescent="0.35">
      <c r="A21" s="16"/>
      <c r="B21" s="18"/>
      <c r="C21" s="16"/>
      <c r="D21" s="19"/>
      <c r="E21" s="16"/>
      <c r="F21" s="17"/>
      <c r="G21" s="16"/>
      <c r="H21" s="16"/>
      <c r="I21" s="16"/>
      <c r="J21" s="16"/>
      <c r="K21" s="17"/>
      <c r="L21" s="17"/>
    </row>
    <row r="22" spans="1:12" ht="42.75" customHeight="1" thickTop="1" thickBot="1" x14ac:dyDescent="0.35">
      <c r="A22" s="463" t="s">
        <v>315</v>
      </c>
      <c r="B22" s="85" t="s">
        <v>0</v>
      </c>
      <c r="C22" s="86" t="s">
        <v>1</v>
      </c>
      <c r="D22" s="86" t="s">
        <v>2</v>
      </c>
      <c r="E22" s="86" t="s">
        <v>3</v>
      </c>
      <c r="F22" s="88" t="s">
        <v>160</v>
      </c>
      <c r="G22" s="16"/>
      <c r="H22" s="16"/>
      <c r="I22" s="16"/>
      <c r="J22" s="16"/>
      <c r="K22" s="17"/>
      <c r="L22" s="17"/>
    </row>
    <row r="23" spans="1:12" ht="36" customHeight="1" x14ac:dyDescent="0.25">
      <c r="A23" s="379" t="s">
        <v>321</v>
      </c>
      <c r="B23" s="465">
        <f>'Waste Data Q1'!F21-('Waste Data Q1'!F7+'Waste Data Q1'!F8)</f>
        <v>0</v>
      </c>
      <c r="C23" s="465">
        <f>'Waste Data Q2'!F21-('Waste Data Q2'!F7+'Waste Data Q2'!F8)</f>
        <v>0</v>
      </c>
      <c r="D23" s="465">
        <f>'Waste Data Q3'!F21-('Waste Data Q3'!F7+'Waste Data Q3'!F8)</f>
        <v>0</v>
      </c>
      <c r="E23" s="465">
        <f>'Waste Data Q4'!F21-('Waste Data Q4'!F7+'Waste Data Q4'!F8)</f>
        <v>0</v>
      </c>
      <c r="F23" s="466">
        <f>SUM(B23:E23)</f>
        <v>0</v>
      </c>
    </row>
    <row r="24" spans="1:12" ht="36" customHeight="1" x14ac:dyDescent="0.25">
      <c r="A24" s="379" t="s">
        <v>322</v>
      </c>
      <c r="B24" s="465">
        <f>'Waste Data Q1'!F7+'Waste Data Q1'!F8</f>
        <v>0</v>
      </c>
      <c r="C24" s="465">
        <f>'Waste Data Q2'!F7+'Waste Data Q2'!F8</f>
        <v>0</v>
      </c>
      <c r="D24" s="465">
        <f>'Waste Data Q3'!F7+'Waste Data Q3'!F8</f>
        <v>0</v>
      </c>
      <c r="E24" s="465">
        <f>'Waste Data Q4'!F7+'Waste Data Q4'!F8</f>
        <v>0</v>
      </c>
      <c r="F24" s="466">
        <f>SUM(B24:E24)</f>
        <v>0</v>
      </c>
    </row>
    <row r="25" spans="1:12" ht="36" customHeight="1" thickBot="1" x14ac:dyDescent="0.3">
      <c r="A25" s="380" t="s">
        <v>316</v>
      </c>
      <c r="B25" s="475">
        <f>'Waste Data Q1'!F15+'Waste Data Q1'!F16</f>
        <v>0</v>
      </c>
      <c r="C25" s="475">
        <f>'Waste Data Q2'!F15+'Waste Data Q2'!F16</f>
        <v>0</v>
      </c>
      <c r="D25" s="475">
        <f>'Waste Data Q3'!F15+'Waste Data Q3'!F16</f>
        <v>0</v>
      </c>
      <c r="E25" s="475">
        <f>'Waste Data Q4'!F15+'Waste Data Q4'!F16</f>
        <v>0</v>
      </c>
      <c r="F25" s="476">
        <f>SUM(B25:E25)</f>
        <v>0</v>
      </c>
    </row>
    <row r="26" spans="1:12" ht="36" customHeight="1" thickTop="1" thickBot="1" x14ac:dyDescent="0.3">
      <c r="A26" s="477" t="s">
        <v>317</v>
      </c>
      <c r="B26" s="478">
        <f>SUM(B23:B25)</f>
        <v>0</v>
      </c>
      <c r="C26" s="478">
        <f>SUM(C23:C25)</f>
        <v>0</v>
      </c>
      <c r="D26" s="478">
        <f>SUM(D23:D25)</f>
        <v>0</v>
      </c>
      <c r="E26" s="478">
        <f>SUM(E23:E25)</f>
        <v>0</v>
      </c>
      <c r="F26" s="479">
        <f>SUM(B26:E26)</f>
        <v>0</v>
      </c>
    </row>
    <row r="27" spans="1:12" ht="13.8" thickTop="1" x14ac:dyDescent="0.25"/>
  </sheetData>
  <dataConsolidate/>
  <mergeCells count="3">
    <mergeCell ref="A1:F1"/>
    <mergeCell ref="B3:D3"/>
    <mergeCell ref="C2:E2"/>
  </mergeCells>
  <phoneticPr fontId="0" type="noConversion"/>
  <pageMargins left="0.43307086614173229" right="0.19685039370078741" top="0.31496062992125984" bottom="0.55118110236220474" header="0.19685039370078741" footer="0.31496062992125984"/>
  <pageSetup paperSize="9" scale="69" orientation="portrait" horizontalDpi="4294967293" r:id="rId1"/>
  <headerFooter alignWithMargins="0">
    <oddFooter>&amp;C&amp;"-,Bold"&amp;12At the end of each quarter, the fully completed WMMS is to be emailed to:  sdenquiries@justice.gsi.gov.uk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20"/>
  <sheetViews>
    <sheetView showGridLines="0" zoomScaleNormal="100" workbookViewId="0">
      <selection activeCell="F5" sqref="F5"/>
    </sheetView>
  </sheetViews>
  <sheetFormatPr defaultColWidth="9.21875" defaultRowHeight="13.2" x14ac:dyDescent="0.25"/>
  <cols>
    <col min="1" max="1" width="74.21875" style="1" customWidth="1"/>
    <col min="2" max="5" width="11.21875" style="1" customWidth="1"/>
    <col min="6" max="6" width="12" style="1" customWidth="1"/>
    <col min="7" max="8" width="9.21875" style="1"/>
    <col min="9" max="9" width="11.21875" style="1" customWidth="1"/>
    <col min="10" max="16384" width="9.21875" style="1"/>
  </cols>
  <sheetData>
    <row r="1" spans="1:8" s="13" customFormat="1" ht="18" x14ac:dyDescent="0.3">
      <c r="A1" s="147" t="s">
        <v>258</v>
      </c>
      <c r="B1" s="55"/>
      <c r="C1" s="55"/>
      <c r="D1" s="55"/>
      <c r="E1" s="55"/>
      <c r="F1" s="55"/>
      <c r="G1" s="56"/>
    </row>
    <row r="2" spans="1:8" s="13" customFormat="1" ht="12" customHeight="1" thickBot="1" x14ac:dyDescent="0.35">
      <c r="A2" s="55"/>
      <c r="B2" s="55"/>
      <c r="C2" s="57"/>
      <c r="D2" s="55"/>
      <c r="E2" s="55"/>
      <c r="F2" s="55"/>
      <c r="G2" s="56"/>
    </row>
    <row r="3" spans="1:8" s="13" customFormat="1" ht="25.5" customHeight="1" thickTop="1" x14ac:dyDescent="0.25">
      <c r="A3" s="58" t="s">
        <v>159</v>
      </c>
      <c r="B3" s="63" t="s">
        <v>232</v>
      </c>
      <c r="C3" s="63" t="s">
        <v>229</v>
      </c>
      <c r="D3" s="63" t="s">
        <v>228</v>
      </c>
      <c r="E3" s="64" t="s">
        <v>230</v>
      </c>
      <c r="F3" s="65" t="s">
        <v>231</v>
      </c>
      <c r="G3" s="59"/>
    </row>
    <row r="4" spans="1:8" s="13" customFormat="1" ht="20.100000000000001" customHeight="1" x14ac:dyDescent="0.3">
      <c r="A4" s="142" t="s">
        <v>257</v>
      </c>
      <c r="B4" s="131"/>
      <c r="C4" s="131"/>
      <c r="D4" s="131"/>
      <c r="E4" s="131"/>
      <c r="F4" s="106" t="e">
        <f>AVERAGE(B4:E4)</f>
        <v>#DIV/0!</v>
      </c>
      <c r="G4" s="56"/>
      <c r="H4" s="14"/>
    </row>
    <row r="5" spans="1:8" s="13" customFormat="1" ht="20.100000000000001" customHeight="1" thickBot="1" x14ac:dyDescent="0.35">
      <c r="A5" s="143" t="s">
        <v>181</v>
      </c>
      <c r="B5" s="132"/>
      <c r="C5" s="132"/>
      <c r="D5" s="132"/>
      <c r="E5" s="132"/>
      <c r="F5" s="107" t="e">
        <f>AVERAGE(B5:E5)</f>
        <v>#DIV/0!</v>
      </c>
      <c r="G5" s="56"/>
    </row>
    <row r="6" spans="1:8" s="13" customFormat="1" ht="23.25" customHeight="1" thickTop="1" thickBot="1" x14ac:dyDescent="0.35">
      <c r="A6" s="60"/>
      <c r="B6" s="57"/>
      <c r="C6" s="55"/>
      <c r="D6" s="55"/>
      <c r="E6" s="55"/>
      <c r="F6" s="55"/>
      <c r="G6" s="56"/>
    </row>
    <row r="7" spans="1:8" s="13" customFormat="1" ht="25.5" customHeight="1" thickTop="1" x14ac:dyDescent="0.3">
      <c r="A7" s="58" t="s">
        <v>185</v>
      </c>
      <c r="B7" s="84" t="s">
        <v>0</v>
      </c>
      <c r="C7" s="84" t="s">
        <v>1</v>
      </c>
      <c r="D7" s="144" t="s">
        <v>2</v>
      </c>
      <c r="E7" s="145" t="s">
        <v>3</v>
      </c>
      <c r="F7" s="146" t="s">
        <v>240</v>
      </c>
      <c r="G7" s="56"/>
    </row>
    <row r="8" spans="1:8" s="13" customFormat="1" ht="26.1" customHeight="1" x14ac:dyDescent="0.3">
      <c r="A8" s="82" t="s">
        <v>246</v>
      </c>
      <c r="B8" s="133">
        <v>0</v>
      </c>
      <c r="C8" s="134">
        <v>0</v>
      </c>
      <c r="D8" s="135">
        <v>0</v>
      </c>
      <c r="E8" s="135"/>
      <c r="F8" s="103">
        <f>SUM(B8:E8)</f>
        <v>0</v>
      </c>
      <c r="G8" s="56"/>
    </row>
    <row r="9" spans="1:8" s="13" customFormat="1" ht="26.1" customHeight="1" x14ac:dyDescent="0.3">
      <c r="A9" s="82" t="s">
        <v>247</v>
      </c>
      <c r="B9" s="136">
        <v>0</v>
      </c>
      <c r="C9" s="137">
        <v>0</v>
      </c>
      <c r="D9" s="138">
        <v>0</v>
      </c>
      <c r="E9" s="137"/>
      <c r="F9" s="104">
        <f>SUM(B9:E9)</f>
        <v>0</v>
      </c>
      <c r="G9" s="56"/>
    </row>
    <row r="10" spans="1:8" s="13" customFormat="1" ht="26.1" customHeight="1" thickBot="1" x14ac:dyDescent="0.35">
      <c r="A10" s="83" t="s">
        <v>256</v>
      </c>
      <c r="B10" s="139">
        <v>0</v>
      </c>
      <c r="C10" s="140">
        <v>0</v>
      </c>
      <c r="D10" s="140">
        <v>0</v>
      </c>
      <c r="E10" s="140"/>
      <c r="F10" s="105">
        <f>SUM(B10:E10)</f>
        <v>0</v>
      </c>
      <c r="G10" s="56"/>
    </row>
    <row r="11" spans="1:8" s="13" customFormat="1" ht="13.5" customHeight="1" thickTop="1" thickBot="1" x14ac:dyDescent="0.35">
      <c r="A11" s="55"/>
      <c r="B11" s="55"/>
      <c r="C11" s="55"/>
      <c r="D11" s="55"/>
      <c r="E11" s="55"/>
      <c r="F11" s="55"/>
      <c r="G11" s="56"/>
    </row>
    <row r="12" spans="1:8" s="13" customFormat="1" ht="25.5" customHeight="1" thickTop="1" x14ac:dyDescent="0.3">
      <c r="A12" s="58" t="s">
        <v>170</v>
      </c>
      <c r="B12" s="61" t="s">
        <v>158</v>
      </c>
      <c r="C12" s="55"/>
      <c r="D12" s="55"/>
      <c r="E12" s="55"/>
      <c r="F12" s="55"/>
      <c r="G12" s="56"/>
    </row>
    <row r="13" spans="1:8" s="13" customFormat="1" ht="26.1" customHeight="1" thickBot="1" x14ac:dyDescent="0.35">
      <c r="A13" s="62" t="s">
        <v>171</v>
      </c>
      <c r="B13" s="141">
        <v>0</v>
      </c>
      <c r="C13" s="55"/>
      <c r="D13" s="55"/>
      <c r="E13" s="55"/>
      <c r="F13" s="55"/>
      <c r="G13" s="56"/>
    </row>
    <row r="14" spans="1:8" ht="13.8" thickTop="1" x14ac:dyDescent="0.25"/>
    <row r="20" ht="22.5" customHeight="1" x14ac:dyDescent="0.25"/>
    <row r="21" ht="22.5" customHeight="1" x14ac:dyDescent="0.25"/>
    <row r="22" ht="22.5" customHeight="1" x14ac:dyDescent="0.25"/>
    <row r="23" ht="22.5" customHeight="1" x14ac:dyDescent="0.25"/>
    <row r="24" ht="22.5" customHeight="1" x14ac:dyDescent="0.25"/>
    <row r="25" ht="22.5" customHeight="1" x14ac:dyDescent="0.25"/>
    <row r="26" ht="22.5" customHeight="1" x14ac:dyDescent="0.25"/>
    <row r="27" ht="22.5" customHeight="1" x14ac:dyDescent="0.25"/>
    <row r="28" ht="22.5" customHeight="1" x14ac:dyDescent="0.25"/>
    <row r="29" ht="22.5" customHeight="1" x14ac:dyDescent="0.25"/>
    <row r="30" ht="22.5" customHeight="1" x14ac:dyDescent="0.25"/>
    <row r="31" ht="22.5" customHeight="1" x14ac:dyDescent="0.25"/>
    <row r="32" ht="22.5" customHeight="1" x14ac:dyDescent="0.25"/>
    <row r="33" ht="15.75" customHeight="1" x14ac:dyDescent="0.25"/>
    <row r="34" ht="15.75" customHeight="1" x14ac:dyDescent="0.25"/>
    <row r="35" ht="23.25" customHeight="1" x14ac:dyDescent="0.25"/>
    <row r="36" ht="23.25" customHeight="1" x14ac:dyDescent="0.25"/>
    <row r="37" ht="23.25" customHeight="1" x14ac:dyDescent="0.25"/>
    <row r="51" ht="26.25" customHeight="1" x14ac:dyDescent="0.25"/>
    <row r="58" ht="39" customHeight="1" x14ac:dyDescent="0.25"/>
    <row r="59" ht="22.5" customHeight="1" x14ac:dyDescent="0.25"/>
    <row r="60" ht="22.5" customHeight="1" x14ac:dyDescent="0.25"/>
    <row r="61" ht="22.5" customHeight="1" x14ac:dyDescent="0.25"/>
    <row r="62" ht="22.5" customHeight="1" x14ac:dyDescent="0.25"/>
    <row r="63" ht="22.5" customHeight="1" x14ac:dyDescent="0.25"/>
    <row r="64" ht="22.5" customHeight="1" x14ac:dyDescent="0.25"/>
    <row r="65" ht="22.5" customHeight="1" x14ac:dyDescent="0.25"/>
    <row r="66" ht="22.5" customHeight="1" x14ac:dyDescent="0.25"/>
    <row r="67" ht="22.5" customHeight="1" x14ac:dyDescent="0.25"/>
    <row r="68" ht="22.5" customHeight="1" x14ac:dyDescent="0.25"/>
    <row r="69" ht="22.5" customHeight="1" x14ac:dyDescent="0.25"/>
    <row r="70" ht="22.5" customHeight="1" x14ac:dyDescent="0.25"/>
    <row r="71" ht="22.5" customHeight="1" x14ac:dyDescent="0.25"/>
    <row r="74" ht="23.25" customHeight="1" x14ac:dyDescent="0.25"/>
    <row r="75" ht="23.25" customHeight="1" x14ac:dyDescent="0.25"/>
    <row r="76" ht="23.25" customHeight="1" x14ac:dyDescent="0.25"/>
    <row r="91" ht="25.5" customHeight="1" x14ac:dyDescent="0.25"/>
    <row r="92" ht="20.25" customHeight="1" x14ac:dyDescent="0.25"/>
    <row r="95" ht="18.75" customHeight="1" x14ac:dyDescent="0.25"/>
    <row r="96" ht="13.5" customHeight="1" x14ac:dyDescent="0.25"/>
    <row r="98" ht="40.5" customHeight="1" x14ac:dyDescent="0.25"/>
    <row r="99" ht="23.25" customHeight="1" x14ac:dyDescent="0.25"/>
    <row r="100" ht="23.25" customHeight="1" x14ac:dyDescent="0.25"/>
    <row r="101" ht="23.25" customHeight="1" x14ac:dyDescent="0.25"/>
    <row r="102" ht="23.25" customHeight="1" x14ac:dyDescent="0.25"/>
    <row r="103" ht="23.25" customHeight="1" x14ac:dyDescent="0.25"/>
    <row r="104" ht="23.25" customHeight="1" x14ac:dyDescent="0.25"/>
    <row r="105" ht="23.25" customHeight="1" x14ac:dyDescent="0.25"/>
    <row r="106" ht="23.25" customHeight="1" x14ac:dyDescent="0.25"/>
    <row r="107" ht="23.25" customHeight="1" x14ac:dyDescent="0.25"/>
    <row r="108" ht="23.25" customHeight="1" x14ac:dyDescent="0.25"/>
    <row r="109" ht="23.25" customHeight="1" x14ac:dyDescent="0.25"/>
    <row r="110" ht="23.25" customHeight="1" x14ac:dyDescent="0.25"/>
    <row r="111" ht="23.25" customHeight="1" x14ac:dyDescent="0.25"/>
    <row r="114" spans="1:2" ht="23.25" customHeight="1" x14ac:dyDescent="0.25"/>
    <row r="115" spans="1:2" ht="23.25" customHeight="1" x14ac:dyDescent="0.25"/>
    <row r="116" spans="1:2" ht="23.25" customHeight="1" x14ac:dyDescent="0.25"/>
    <row r="118" spans="1:2" x14ac:dyDescent="0.25">
      <c r="A118" s="9"/>
      <c r="B118" s="2"/>
    </row>
    <row r="119" spans="1:2" x14ac:dyDescent="0.25">
      <c r="A119" s="9"/>
      <c r="B119" s="2"/>
    </row>
    <row r="120" spans="1:2" x14ac:dyDescent="0.25">
      <c r="A120" s="9"/>
      <c r="B120" s="2"/>
    </row>
  </sheetData>
  <sheetProtection password="CC9E" sheet="1" objects="1" scenarios="1"/>
  <phoneticPr fontId="0" type="noConversion"/>
  <pageMargins left="0.59" right="0.59" top="0.54" bottom="0.68" header="0.33" footer="0.3"/>
  <pageSetup paperSize="9" orientation="landscape" horizont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178"/>
  <sheetViews>
    <sheetView showGridLines="0" zoomScale="70" zoomScaleNormal="70" workbookViewId="0">
      <selection activeCell="K20" sqref="K20"/>
    </sheetView>
  </sheetViews>
  <sheetFormatPr defaultColWidth="9.21875" defaultRowHeight="21" customHeight="1" x14ac:dyDescent="0.3"/>
  <cols>
    <col min="1" max="1" width="34.77734375" style="22" customWidth="1"/>
    <col min="2" max="2" width="13.21875" style="33" hidden="1" customWidth="1"/>
    <col min="3" max="3" width="13.21875" style="33" customWidth="1"/>
    <col min="4" max="4" width="71" style="22" customWidth="1"/>
    <col min="5" max="5" width="16.5546875" style="22" customWidth="1"/>
    <col min="6" max="7" width="9.21875" style="6"/>
    <col min="8" max="16384" width="9.21875" style="1"/>
  </cols>
  <sheetData>
    <row r="1" spans="1:27" ht="21" customHeight="1" thickTop="1" x14ac:dyDescent="0.4">
      <c r="A1" s="148" t="s">
        <v>192</v>
      </c>
      <c r="B1" s="149"/>
      <c r="C1" s="149"/>
      <c r="D1" s="598" t="s">
        <v>259</v>
      </c>
      <c r="E1" s="150"/>
    </row>
    <row r="2" spans="1:27" ht="21" customHeight="1" x14ac:dyDescent="0.3">
      <c r="A2" s="151"/>
      <c r="B2" s="152"/>
      <c r="C2" s="152"/>
      <c r="D2" s="599"/>
      <c r="E2" s="153"/>
    </row>
    <row r="3" spans="1:27" ht="21" customHeight="1" x14ac:dyDescent="0.3">
      <c r="A3" s="151"/>
      <c r="B3" s="152"/>
      <c r="C3" s="152"/>
      <c r="D3" s="599"/>
      <c r="E3" s="153"/>
    </row>
    <row r="4" spans="1:27" ht="21" customHeight="1" thickBot="1" x14ac:dyDescent="0.35">
      <c r="A4" s="540" t="s">
        <v>191</v>
      </c>
      <c r="B4" s="542"/>
      <c r="C4" s="120"/>
      <c r="D4" s="37"/>
      <c r="E4" s="154"/>
    </row>
    <row r="5" spans="1:27" s="12" customFormat="1" ht="21" customHeight="1" thickTop="1" x14ac:dyDescent="0.25">
      <c r="A5" s="159" t="s">
        <v>198</v>
      </c>
      <c r="B5" s="160" t="s">
        <v>199</v>
      </c>
      <c r="C5" s="581" t="s">
        <v>197</v>
      </c>
      <c r="D5" s="582"/>
      <c r="E5" s="161" t="s">
        <v>196</v>
      </c>
      <c r="F5" s="10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s="6" customFormat="1" ht="21" customHeight="1" x14ac:dyDescent="0.25">
      <c r="A6" s="162" t="s">
        <v>8</v>
      </c>
      <c r="B6" s="163"/>
      <c r="C6" s="577"/>
      <c r="D6" s="578"/>
      <c r="E6" s="164"/>
    </row>
    <row r="7" spans="1:27" s="6" customFormat="1" ht="21" customHeight="1" x14ac:dyDescent="0.25">
      <c r="A7" s="165" t="s">
        <v>10</v>
      </c>
      <c r="B7" s="166" t="s">
        <v>85</v>
      </c>
      <c r="C7" s="577"/>
      <c r="D7" s="578"/>
      <c r="E7" s="167"/>
    </row>
    <row r="8" spans="1:27" s="6" customFormat="1" ht="21" customHeight="1" thickBot="1" x14ac:dyDescent="0.3">
      <c r="A8" s="168" t="s">
        <v>11</v>
      </c>
      <c r="B8" s="169" t="s">
        <v>112</v>
      </c>
      <c r="C8" s="579"/>
      <c r="D8" s="580"/>
      <c r="E8" s="170"/>
    </row>
    <row r="9" spans="1:27" s="5" customFormat="1" ht="21" customHeight="1" thickTop="1" thickBot="1" x14ac:dyDescent="0.3">
      <c r="A9" s="171"/>
      <c r="B9" s="172"/>
      <c r="C9" s="172"/>
      <c r="D9" s="171"/>
      <c r="E9" s="173"/>
      <c r="F9" s="8"/>
      <c r="G9" s="8"/>
    </row>
    <row r="10" spans="1:27" s="8" customFormat="1" ht="21" customHeight="1" thickTop="1" x14ac:dyDescent="0.25">
      <c r="A10" s="174" t="s">
        <v>12</v>
      </c>
      <c r="B10" s="175"/>
      <c r="C10" s="581" t="s">
        <v>197</v>
      </c>
      <c r="D10" s="582" t="s">
        <v>197</v>
      </c>
      <c r="E10" s="176" t="s">
        <v>196</v>
      </c>
    </row>
    <row r="11" spans="1:27" s="6" customFormat="1" ht="21" customHeight="1" x14ac:dyDescent="0.25">
      <c r="A11" s="177" t="s">
        <v>102</v>
      </c>
      <c r="B11" s="166" t="s">
        <v>103</v>
      </c>
      <c r="C11" s="577"/>
      <c r="D11" s="578"/>
      <c r="E11" s="178"/>
    </row>
    <row r="12" spans="1:27" s="6" customFormat="1" ht="21" customHeight="1" x14ac:dyDescent="0.25">
      <c r="A12" s="179" t="s">
        <v>144</v>
      </c>
      <c r="B12" s="180" t="s">
        <v>88</v>
      </c>
      <c r="C12" s="577"/>
      <c r="D12" s="578"/>
      <c r="E12" s="178"/>
    </row>
    <row r="13" spans="1:27" ht="21" customHeight="1" x14ac:dyDescent="0.25">
      <c r="A13" s="165" t="s">
        <v>14</v>
      </c>
      <c r="B13" s="166" t="s">
        <v>87</v>
      </c>
      <c r="C13" s="577"/>
      <c r="D13" s="578"/>
      <c r="E13" s="178"/>
    </row>
    <row r="14" spans="1:27" ht="21" customHeight="1" x14ac:dyDescent="0.25">
      <c r="A14" s="165" t="s">
        <v>13</v>
      </c>
      <c r="B14" s="166" t="s">
        <v>86</v>
      </c>
      <c r="C14" s="577"/>
      <c r="D14" s="578"/>
      <c r="E14" s="178"/>
    </row>
    <row r="15" spans="1:27" ht="21" customHeight="1" thickBot="1" x14ac:dyDescent="0.3">
      <c r="A15" s="181" t="s">
        <v>145</v>
      </c>
      <c r="B15" s="169" t="s">
        <v>89</v>
      </c>
      <c r="C15" s="579"/>
      <c r="D15" s="580"/>
      <c r="E15" s="170"/>
    </row>
    <row r="16" spans="1:27" s="5" customFormat="1" ht="21" customHeight="1" thickTop="1" thickBot="1" x14ac:dyDescent="0.3">
      <c r="A16" s="171"/>
      <c r="B16" s="172"/>
      <c r="C16" s="172"/>
      <c r="D16" s="171"/>
      <c r="E16" s="173"/>
      <c r="F16" s="8"/>
      <c r="G16" s="8"/>
    </row>
    <row r="17" spans="1:7" s="5" customFormat="1" ht="21" customHeight="1" thickTop="1" x14ac:dyDescent="0.25">
      <c r="A17" s="182" t="s">
        <v>16</v>
      </c>
      <c r="B17" s="183"/>
      <c r="C17" s="581" t="s">
        <v>197</v>
      </c>
      <c r="D17" s="582" t="s">
        <v>197</v>
      </c>
      <c r="E17" s="176" t="s">
        <v>196</v>
      </c>
      <c r="F17" s="8"/>
      <c r="G17" s="8"/>
    </row>
    <row r="18" spans="1:7" ht="21" customHeight="1" x14ac:dyDescent="0.25">
      <c r="A18" s="184" t="s">
        <v>17</v>
      </c>
      <c r="B18" s="166" t="s">
        <v>90</v>
      </c>
      <c r="C18" s="577"/>
      <c r="D18" s="578"/>
      <c r="E18" s="178"/>
    </row>
    <row r="19" spans="1:7" ht="21" customHeight="1" x14ac:dyDescent="0.25">
      <c r="A19" s="165" t="s">
        <v>22</v>
      </c>
      <c r="B19" s="166" t="s">
        <v>91</v>
      </c>
      <c r="C19" s="577"/>
      <c r="D19" s="578"/>
      <c r="E19" s="178"/>
    </row>
    <row r="20" spans="1:7" ht="21" customHeight="1" x14ac:dyDescent="0.25">
      <c r="A20" s="165" t="s">
        <v>18</v>
      </c>
      <c r="B20" s="166" t="s">
        <v>19</v>
      </c>
      <c r="C20" s="577"/>
      <c r="D20" s="578"/>
      <c r="E20" s="178"/>
    </row>
    <row r="21" spans="1:7" ht="21" customHeight="1" thickBot="1" x14ac:dyDescent="0.3">
      <c r="A21" s="185" t="s">
        <v>20</v>
      </c>
      <c r="B21" s="186" t="s">
        <v>21</v>
      </c>
      <c r="C21" s="579"/>
      <c r="D21" s="580"/>
      <c r="E21" s="170"/>
    </row>
    <row r="22" spans="1:7" s="5" customFormat="1" ht="21" customHeight="1" thickTop="1" thickBot="1" x14ac:dyDescent="0.3">
      <c r="A22" s="171"/>
      <c r="B22" s="172"/>
      <c r="C22" s="172"/>
      <c r="D22" s="171"/>
      <c r="E22" s="173"/>
      <c r="F22" s="8"/>
      <c r="G22" s="8"/>
    </row>
    <row r="23" spans="1:7" s="5" customFormat="1" ht="21" customHeight="1" thickTop="1" x14ac:dyDescent="0.25">
      <c r="A23" s="182" t="s">
        <v>23</v>
      </c>
      <c r="B23" s="183"/>
      <c r="C23" s="581" t="s">
        <v>197</v>
      </c>
      <c r="D23" s="582" t="s">
        <v>197</v>
      </c>
      <c r="E23" s="161" t="s">
        <v>196</v>
      </c>
      <c r="F23" s="8"/>
      <c r="G23" s="8"/>
    </row>
    <row r="24" spans="1:7" ht="21" customHeight="1" x14ac:dyDescent="0.25">
      <c r="A24" s="165" t="s">
        <v>26</v>
      </c>
      <c r="B24" s="166" t="s">
        <v>92</v>
      </c>
      <c r="C24" s="577"/>
      <c r="D24" s="578"/>
      <c r="E24" s="178"/>
    </row>
    <row r="25" spans="1:7" ht="21" customHeight="1" x14ac:dyDescent="0.25">
      <c r="A25" s="165" t="s">
        <v>27</v>
      </c>
      <c r="B25" s="166" t="s">
        <v>93</v>
      </c>
      <c r="C25" s="577"/>
      <c r="D25" s="578"/>
      <c r="E25" s="178"/>
    </row>
    <row r="26" spans="1:7" ht="21" customHeight="1" x14ac:dyDescent="0.25">
      <c r="A26" s="165" t="s">
        <v>172</v>
      </c>
      <c r="B26" s="166" t="s">
        <v>94</v>
      </c>
      <c r="C26" s="577"/>
      <c r="D26" s="578"/>
      <c r="E26" s="178"/>
    </row>
    <row r="27" spans="1:7" ht="21" customHeight="1" thickBot="1" x14ac:dyDescent="0.3">
      <c r="A27" s="187" t="s">
        <v>24</v>
      </c>
      <c r="B27" s="186" t="s">
        <v>25</v>
      </c>
      <c r="C27" s="579"/>
      <c r="D27" s="580"/>
      <c r="E27" s="170"/>
    </row>
    <row r="28" spans="1:7" s="5" customFormat="1" ht="21" customHeight="1" thickTop="1" thickBot="1" x14ac:dyDescent="0.3">
      <c r="A28" s="171"/>
      <c r="B28" s="172"/>
      <c r="C28" s="172"/>
      <c r="D28" s="171"/>
      <c r="E28" s="173"/>
      <c r="F28" s="8"/>
      <c r="G28" s="8"/>
    </row>
    <row r="29" spans="1:7" s="5" customFormat="1" ht="21" customHeight="1" thickTop="1" x14ac:dyDescent="0.25">
      <c r="A29" s="174" t="s">
        <v>28</v>
      </c>
      <c r="B29" s="175"/>
      <c r="C29" s="581" t="s">
        <v>197</v>
      </c>
      <c r="D29" s="582"/>
      <c r="E29" s="176" t="s">
        <v>196</v>
      </c>
      <c r="F29" s="8"/>
      <c r="G29" s="8"/>
    </row>
    <row r="30" spans="1:7" ht="21" customHeight="1" x14ac:dyDescent="0.25">
      <c r="A30" s="165" t="s">
        <v>31</v>
      </c>
      <c r="B30" s="166" t="s">
        <v>95</v>
      </c>
      <c r="C30" s="604"/>
      <c r="D30" s="605"/>
      <c r="E30" s="178"/>
    </row>
    <row r="31" spans="1:7" ht="21" customHeight="1" thickBot="1" x14ac:dyDescent="0.3">
      <c r="A31" s="185" t="s">
        <v>29</v>
      </c>
      <c r="B31" s="186" t="s">
        <v>30</v>
      </c>
      <c r="C31" s="579"/>
      <c r="D31" s="580"/>
      <c r="E31" s="170"/>
    </row>
    <row r="32" spans="1:7" ht="21" customHeight="1" thickTop="1" thickBot="1" x14ac:dyDescent="0.3">
      <c r="A32" s="171"/>
      <c r="B32" s="172"/>
      <c r="C32" s="172"/>
      <c r="D32" s="188"/>
      <c r="E32" s="189"/>
    </row>
    <row r="33" spans="1:7" ht="21" customHeight="1" thickTop="1" x14ac:dyDescent="0.25">
      <c r="A33" s="190" t="s">
        <v>32</v>
      </c>
      <c r="B33" s="191"/>
      <c r="C33" s="581" t="s">
        <v>197</v>
      </c>
      <c r="D33" s="582" t="s">
        <v>197</v>
      </c>
      <c r="E33" s="192" t="s">
        <v>196</v>
      </c>
    </row>
    <row r="34" spans="1:7" ht="21" customHeight="1" x14ac:dyDescent="0.25">
      <c r="A34" s="179" t="s">
        <v>173</v>
      </c>
      <c r="B34" s="180" t="s">
        <v>174</v>
      </c>
      <c r="C34" s="577"/>
      <c r="D34" s="578"/>
      <c r="E34" s="178"/>
    </row>
    <row r="35" spans="1:7" ht="21" customHeight="1" x14ac:dyDescent="0.25">
      <c r="A35" s="184" t="s">
        <v>33</v>
      </c>
      <c r="B35" s="166" t="s">
        <v>34</v>
      </c>
      <c r="C35" s="577"/>
      <c r="D35" s="578"/>
      <c r="E35" s="178"/>
    </row>
    <row r="36" spans="1:7" ht="21" customHeight="1" x14ac:dyDescent="0.25">
      <c r="A36" s="177" t="s">
        <v>146</v>
      </c>
      <c r="B36" s="166" t="s">
        <v>147</v>
      </c>
      <c r="C36" s="577"/>
      <c r="D36" s="578"/>
      <c r="E36" s="178"/>
    </row>
    <row r="37" spans="1:7" ht="21" customHeight="1" x14ac:dyDescent="0.25">
      <c r="A37" s="184" t="s">
        <v>149</v>
      </c>
      <c r="B37" s="166" t="s">
        <v>15</v>
      </c>
      <c r="C37" s="577"/>
      <c r="D37" s="578"/>
      <c r="E37" s="178"/>
    </row>
    <row r="38" spans="1:7" ht="21" customHeight="1" thickBot="1" x14ac:dyDescent="0.3">
      <c r="A38" s="168" t="s">
        <v>148</v>
      </c>
      <c r="B38" s="169" t="s">
        <v>96</v>
      </c>
      <c r="C38" s="579"/>
      <c r="D38" s="580"/>
      <c r="E38" s="170"/>
    </row>
    <row r="39" spans="1:7" s="5" customFormat="1" ht="21" customHeight="1" thickTop="1" thickBot="1" x14ac:dyDescent="0.3">
      <c r="A39" s="171"/>
      <c r="B39" s="172"/>
      <c r="C39" s="172"/>
      <c r="D39" s="171"/>
      <c r="E39" s="173"/>
      <c r="F39" s="8"/>
      <c r="G39" s="8"/>
    </row>
    <row r="40" spans="1:7" s="5" customFormat="1" ht="21" customHeight="1" thickTop="1" x14ac:dyDescent="0.25">
      <c r="A40" s="174" t="s">
        <v>35</v>
      </c>
      <c r="B40" s="175"/>
      <c r="C40" s="581" t="s">
        <v>197</v>
      </c>
      <c r="D40" s="582" t="s">
        <v>197</v>
      </c>
      <c r="E40" s="176" t="s">
        <v>196</v>
      </c>
      <c r="F40" s="8"/>
      <c r="G40" s="8"/>
    </row>
    <row r="41" spans="1:7" ht="21" customHeight="1" x14ac:dyDescent="0.25">
      <c r="A41" s="165" t="s">
        <v>36</v>
      </c>
      <c r="B41" s="166">
        <v>701</v>
      </c>
      <c r="C41" s="577"/>
      <c r="D41" s="578"/>
      <c r="E41" s="178"/>
    </row>
    <row r="42" spans="1:7" ht="21" customHeight="1" x14ac:dyDescent="0.25">
      <c r="A42" s="165" t="s">
        <v>38</v>
      </c>
      <c r="B42" s="166">
        <v>915</v>
      </c>
      <c r="C42" s="577"/>
      <c r="D42" s="578"/>
      <c r="E42" s="178"/>
    </row>
    <row r="43" spans="1:7" ht="21" customHeight="1" x14ac:dyDescent="0.25">
      <c r="A43" s="165" t="s">
        <v>142</v>
      </c>
      <c r="B43" s="166" t="s">
        <v>37</v>
      </c>
      <c r="C43" s="577"/>
      <c r="D43" s="578"/>
      <c r="E43" s="178"/>
    </row>
    <row r="44" spans="1:7" ht="21" customHeight="1" thickBot="1" x14ac:dyDescent="0.3">
      <c r="A44" s="168" t="s">
        <v>143</v>
      </c>
      <c r="B44" s="169" t="s">
        <v>97</v>
      </c>
      <c r="C44" s="579"/>
      <c r="D44" s="580"/>
      <c r="E44" s="170"/>
    </row>
    <row r="45" spans="1:7" s="5" customFormat="1" ht="21" customHeight="1" thickTop="1" thickBot="1" x14ac:dyDescent="0.3">
      <c r="A45" s="171"/>
      <c r="B45" s="172"/>
      <c r="C45" s="172"/>
      <c r="D45" s="171"/>
      <c r="E45" s="173"/>
      <c r="F45" s="8"/>
      <c r="G45" s="8"/>
    </row>
    <row r="46" spans="1:7" s="5" customFormat="1" ht="21" customHeight="1" thickTop="1" x14ac:dyDescent="0.25">
      <c r="A46" s="182" t="s">
        <v>39</v>
      </c>
      <c r="B46" s="183"/>
      <c r="C46" s="581" t="s">
        <v>197</v>
      </c>
      <c r="D46" s="582"/>
      <c r="E46" s="176" t="s">
        <v>196</v>
      </c>
      <c r="F46" s="8"/>
      <c r="G46" s="8"/>
    </row>
    <row r="47" spans="1:7" ht="21" customHeight="1" x14ac:dyDescent="0.25">
      <c r="A47" s="165" t="s">
        <v>151</v>
      </c>
      <c r="B47" s="166">
        <v>836</v>
      </c>
      <c r="C47" s="577"/>
      <c r="D47" s="578"/>
      <c r="E47" s="178"/>
    </row>
    <row r="48" spans="1:7" ht="21" customHeight="1" x14ac:dyDescent="0.25">
      <c r="A48" s="165" t="s">
        <v>152</v>
      </c>
      <c r="B48" s="166">
        <v>837</v>
      </c>
      <c r="C48" s="577"/>
      <c r="D48" s="578"/>
      <c r="E48" s="178"/>
    </row>
    <row r="49" spans="1:5" ht="21" customHeight="1" x14ac:dyDescent="0.25">
      <c r="A49" s="184" t="s">
        <v>41</v>
      </c>
      <c r="B49" s="166" t="s">
        <v>98</v>
      </c>
      <c r="C49" s="577"/>
      <c r="D49" s="578"/>
      <c r="E49" s="178"/>
    </row>
    <row r="50" spans="1:5" ht="21" customHeight="1" x14ac:dyDescent="0.25">
      <c r="A50" s="184" t="s">
        <v>175</v>
      </c>
      <c r="B50" s="166" t="s">
        <v>40</v>
      </c>
      <c r="C50" s="577"/>
      <c r="D50" s="578"/>
      <c r="E50" s="178"/>
    </row>
    <row r="51" spans="1:5" ht="21" customHeight="1" thickBot="1" x14ac:dyDescent="0.3">
      <c r="A51" s="168" t="s">
        <v>150</v>
      </c>
      <c r="B51" s="169" t="s">
        <v>99</v>
      </c>
      <c r="C51" s="579"/>
      <c r="D51" s="580"/>
      <c r="E51" s="170"/>
    </row>
    <row r="52" spans="1:5" ht="21" customHeight="1" thickTop="1" thickBot="1" x14ac:dyDescent="0.3">
      <c r="A52" s="171"/>
      <c r="B52" s="172"/>
      <c r="C52" s="172"/>
      <c r="D52" s="121"/>
      <c r="E52" s="193"/>
    </row>
    <row r="53" spans="1:5" ht="21" customHeight="1" thickTop="1" x14ac:dyDescent="0.25">
      <c r="A53" s="194" t="s">
        <v>193</v>
      </c>
      <c r="B53" s="195"/>
      <c r="C53" s="195"/>
      <c r="D53" s="600" t="s">
        <v>201</v>
      </c>
      <c r="E53" s="196"/>
    </row>
    <row r="54" spans="1:5" ht="21" customHeight="1" x14ac:dyDescent="0.25">
      <c r="A54" s="197"/>
      <c r="B54" s="198"/>
      <c r="C54" s="198"/>
      <c r="D54" s="601"/>
      <c r="E54" s="199"/>
    </row>
    <row r="55" spans="1:5" ht="21" customHeight="1" x14ac:dyDescent="0.25">
      <c r="A55" s="197"/>
      <c r="B55" s="198"/>
      <c r="C55" s="198"/>
      <c r="D55" s="601"/>
      <c r="E55" s="199"/>
    </row>
    <row r="56" spans="1:5" ht="21" customHeight="1" thickBot="1" x14ac:dyDescent="0.3">
      <c r="A56" s="602" t="s">
        <v>191</v>
      </c>
      <c r="B56" s="603"/>
      <c r="C56" s="121"/>
      <c r="D56" s="200"/>
      <c r="E56" s="199"/>
    </row>
    <row r="57" spans="1:5" ht="21" customHeight="1" thickTop="1" x14ac:dyDescent="0.25">
      <c r="A57" s="155" t="s">
        <v>198</v>
      </c>
      <c r="B57" s="156" t="s">
        <v>199</v>
      </c>
      <c r="C57" s="581" t="s">
        <v>197</v>
      </c>
      <c r="D57" s="582"/>
      <c r="E57" s="201" t="s">
        <v>196</v>
      </c>
    </row>
    <row r="58" spans="1:5" ht="21" customHeight="1" x14ac:dyDescent="0.25">
      <c r="A58" s="162" t="s">
        <v>42</v>
      </c>
      <c r="B58" s="202"/>
      <c r="C58" s="577"/>
      <c r="D58" s="578"/>
      <c r="E58" s="203"/>
    </row>
    <row r="59" spans="1:5" ht="21" customHeight="1" x14ac:dyDescent="0.25">
      <c r="A59" s="165" t="s">
        <v>116</v>
      </c>
      <c r="B59" s="166">
        <v>1770</v>
      </c>
      <c r="C59" s="577"/>
      <c r="D59" s="578"/>
      <c r="E59" s="204"/>
    </row>
    <row r="60" spans="1:5" ht="21" customHeight="1" x14ac:dyDescent="0.25">
      <c r="A60" s="165" t="s">
        <v>153</v>
      </c>
      <c r="B60" s="166">
        <v>1772</v>
      </c>
      <c r="C60" s="577"/>
      <c r="D60" s="578"/>
      <c r="E60" s="204"/>
    </row>
    <row r="61" spans="1:5" ht="21" customHeight="1" x14ac:dyDescent="0.25">
      <c r="A61" s="165" t="s">
        <v>118</v>
      </c>
      <c r="B61" s="166">
        <v>1838</v>
      </c>
      <c r="C61" s="577"/>
      <c r="D61" s="578"/>
      <c r="E61" s="204"/>
    </row>
    <row r="62" spans="1:5" ht="21" customHeight="1" x14ac:dyDescent="0.25">
      <c r="A62" s="165" t="s">
        <v>120</v>
      </c>
      <c r="B62" s="166">
        <v>1844</v>
      </c>
      <c r="C62" s="577"/>
      <c r="D62" s="578"/>
      <c r="E62" s="204"/>
    </row>
    <row r="63" spans="1:5" ht="21" customHeight="1" x14ac:dyDescent="0.25">
      <c r="A63" s="165" t="s">
        <v>117</v>
      </c>
      <c r="B63" s="166">
        <v>1852</v>
      </c>
      <c r="C63" s="577"/>
      <c r="D63" s="578"/>
      <c r="E63" s="204"/>
    </row>
    <row r="64" spans="1:5" ht="21" customHeight="1" x14ac:dyDescent="0.25">
      <c r="A64" s="165" t="s">
        <v>119</v>
      </c>
      <c r="B64" s="166">
        <v>1916</v>
      </c>
      <c r="C64" s="577"/>
      <c r="D64" s="578"/>
      <c r="E64" s="204"/>
    </row>
    <row r="65" spans="1:5" ht="21" customHeight="1" x14ac:dyDescent="0.25">
      <c r="A65" s="165" t="s">
        <v>113</v>
      </c>
      <c r="B65" s="166">
        <v>2078</v>
      </c>
      <c r="C65" s="577"/>
      <c r="D65" s="578"/>
      <c r="E65" s="204"/>
    </row>
    <row r="66" spans="1:5" ht="21" customHeight="1" x14ac:dyDescent="0.25">
      <c r="A66" s="165" t="s">
        <v>115</v>
      </c>
      <c r="B66" s="166">
        <v>2081</v>
      </c>
      <c r="C66" s="577"/>
      <c r="D66" s="578"/>
      <c r="E66" s="204"/>
    </row>
    <row r="67" spans="1:5" ht="21" customHeight="1" thickBot="1" x14ac:dyDescent="0.3">
      <c r="A67" s="185" t="s">
        <v>114</v>
      </c>
      <c r="B67" s="186">
        <v>2084</v>
      </c>
      <c r="C67" s="579"/>
      <c r="D67" s="580"/>
      <c r="E67" s="205"/>
    </row>
    <row r="68" spans="1:5" ht="21" customHeight="1" thickTop="1" thickBot="1" x14ac:dyDescent="0.3">
      <c r="A68" s="171"/>
      <c r="B68" s="172"/>
      <c r="C68" s="172"/>
      <c r="D68" s="206"/>
      <c r="E68" s="207"/>
    </row>
    <row r="69" spans="1:5" ht="21" customHeight="1" thickTop="1" x14ac:dyDescent="0.25">
      <c r="A69" s="182" t="s">
        <v>43</v>
      </c>
      <c r="B69" s="208"/>
      <c r="C69" s="581" t="s">
        <v>197</v>
      </c>
      <c r="D69" s="582"/>
      <c r="E69" s="209" t="s">
        <v>196</v>
      </c>
    </row>
    <row r="70" spans="1:5" ht="21" customHeight="1" x14ac:dyDescent="0.25">
      <c r="A70" s="165" t="s">
        <v>127</v>
      </c>
      <c r="B70" s="166">
        <v>1850</v>
      </c>
      <c r="C70" s="577"/>
      <c r="D70" s="578"/>
      <c r="E70" s="204"/>
    </row>
    <row r="71" spans="1:5" ht="21" customHeight="1" x14ac:dyDescent="0.25">
      <c r="A71" s="165" t="s">
        <v>122</v>
      </c>
      <c r="B71" s="166">
        <v>1875</v>
      </c>
      <c r="C71" s="577"/>
      <c r="D71" s="578"/>
      <c r="E71" s="204"/>
    </row>
    <row r="72" spans="1:5" ht="21" customHeight="1" x14ac:dyDescent="0.25">
      <c r="A72" s="165" t="s">
        <v>126</v>
      </c>
      <c r="B72" s="166">
        <v>1881</v>
      </c>
      <c r="C72" s="577"/>
      <c r="D72" s="578"/>
      <c r="E72" s="204"/>
    </row>
    <row r="73" spans="1:5" ht="21" customHeight="1" x14ac:dyDescent="0.25">
      <c r="A73" s="184" t="s">
        <v>125</v>
      </c>
      <c r="B73" s="210">
        <v>1887</v>
      </c>
      <c r="C73" s="577"/>
      <c r="D73" s="578"/>
      <c r="E73" s="204"/>
    </row>
    <row r="74" spans="1:5" ht="21" customHeight="1" x14ac:dyDescent="0.25">
      <c r="A74" s="179" t="s">
        <v>123</v>
      </c>
      <c r="B74" s="180">
        <v>2021</v>
      </c>
      <c r="C74" s="577"/>
      <c r="D74" s="578"/>
      <c r="E74" s="211"/>
    </row>
    <row r="75" spans="1:5" ht="21" customHeight="1" x14ac:dyDescent="0.25">
      <c r="A75" s="165" t="s">
        <v>124</v>
      </c>
      <c r="B75" s="166">
        <v>2022</v>
      </c>
      <c r="C75" s="577"/>
      <c r="D75" s="578"/>
      <c r="E75" s="204"/>
    </row>
    <row r="76" spans="1:5" ht="21" customHeight="1" thickBot="1" x14ac:dyDescent="0.3">
      <c r="A76" s="168" t="s">
        <v>121</v>
      </c>
      <c r="B76" s="169">
        <v>2029</v>
      </c>
      <c r="C76" s="579"/>
      <c r="D76" s="580"/>
      <c r="E76" s="212"/>
    </row>
    <row r="77" spans="1:5" ht="21" customHeight="1" thickTop="1" thickBot="1" x14ac:dyDescent="0.3">
      <c r="A77" s="171"/>
      <c r="B77" s="172"/>
      <c r="C77" s="172"/>
      <c r="D77" s="206"/>
      <c r="E77" s="207"/>
    </row>
    <row r="78" spans="1:5" ht="21" customHeight="1" thickTop="1" x14ac:dyDescent="0.25">
      <c r="A78" s="182" t="s">
        <v>44</v>
      </c>
      <c r="B78" s="208"/>
      <c r="C78" s="581" t="s">
        <v>197</v>
      </c>
      <c r="D78" s="582" t="s">
        <v>197</v>
      </c>
      <c r="E78" s="209" t="s">
        <v>196</v>
      </c>
    </row>
    <row r="79" spans="1:5" ht="21" customHeight="1" x14ac:dyDescent="0.25">
      <c r="A79" s="165" t="s">
        <v>139</v>
      </c>
      <c r="B79" s="166">
        <v>1806</v>
      </c>
      <c r="C79" s="577"/>
      <c r="D79" s="578"/>
      <c r="E79" s="204"/>
    </row>
    <row r="80" spans="1:5" ht="21" customHeight="1" x14ac:dyDescent="0.25">
      <c r="A80" s="165" t="s">
        <v>140</v>
      </c>
      <c r="B80" s="166">
        <v>1813</v>
      </c>
      <c r="C80" s="577"/>
      <c r="D80" s="578"/>
      <c r="E80" s="204"/>
    </row>
    <row r="81" spans="1:5" ht="21" customHeight="1" x14ac:dyDescent="0.25">
      <c r="A81" s="165" t="s">
        <v>130</v>
      </c>
      <c r="B81" s="166">
        <v>1816</v>
      </c>
      <c r="C81" s="577"/>
      <c r="D81" s="578"/>
      <c r="E81" s="204"/>
    </row>
    <row r="82" spans="1:5" ht="21" customHeight="1" x14ac:dyDescent="0.25">
      <c r="A82" s="165" t="s">
        <v>131</v>
      </c>
      <c r="B82" s="166">
        <v>1824</v>
      </c>
      <c r="C82" s="577"/>
      <c r="D82" s="578"/>
      <c r="E82" s="204"/>
    </row>
    <row r="83" spans="1:5" ht="21" customHeight="1" x14ac:dyDescent="0.25">
      <c r="A83" s="165" t="s">
        <v>132</v>
      </c>
      <c r="B83" s="166">
        <v>1825</v>
      </c>
      <c r="C83" s="577"/>
      <c r="D83" s="578"/>
      <c r="E83" s="204"/>
    </row>
    <row r="84" spans="1:5" ht="21" customHeight="1" x14ac:dyDescent="0.25">
      <c r="A84" s="165" t="s">
        <v>128</v>
      </c>
      <c r="B84" s="166">
        <v>1909</v>
      </c>
      <c r="C84" s="577"/>
      <c r="D84" s="578"/>
      <c r="E84" s="204"/>
    </row>
    <row r="85" spans="1:5" ht="21" customHeight="1" x14ac:dyDescent="0.25">
      <c r="A85" s="165" t="s">
        <v>129</v>
      </c>
      <c r="B85" s="166">
        <v>1910</v>
      </c>
      <c r="C85" s="577"/>
      <c r="D85" s="578"/>
      <c r="E85" s="204"/>
    </row>
    <row r="86" spans="1:5" ht="21" customHeight="1" x14ac:dyDescent="0.25">
      <c r="A86" s="165" t="s">
        <v>45</v>
      </c>
      <c r="B86" s="166">
        <v>1923</v>
      </c>
      <c r="C86" s="577"/>
      <c r="D86" s="578"/>
      <c r="E86" s="204"/>
    </row>
    <row r="87" spans="1:5" ht="21" customHeight="1" x14ac:dyDescent="0.25">
      <c r="A87" s="165" t="s">
        <v>138</v>
      </c>
      <c r="B87" s="166">
        <v>2136</v>
      </c>
      <c r="C87" s="577"/>
      <c r="D87" s="578"/>
      <c r="E87" s="204"/>
    </row>
    <row r="88" spans="1:5" ht="21" customHeight="1" x14ac:dyDescent="0.25">
      <c r="A88" s="165" t="s">
        <v>137</v>
      </c>
      <c r="B88" s="166">
        <v>2137</v>
      </c>
      <c r="C88" s="577"/>
      <c r="D88" s="578"/>
      <c r="E88" s="204"/>
    </row>
    <row r="89" spans="1:5" ht="21" customHeight="1" x14ac:dyDescent="0.25">
      <c r="A89" s="165" t="s">
        <v>133</v>
      </c>
      <c r="B89" s="166">
        <v>2139</v>
      </c>
      <c r="C89" s="577"/>
      <c r="D89" s="578"/>
      <c r="E89" s="204"/>
    </row>
    <row r="90" spans="1:5" ht="21" customHeight="1" x14ac:dyDescent="0.25">
      <c r="A90" s="165" t="s">
        <v>135</v>
      </c>
      <c r="B90" s="166">
        <v>2140</v>
      </c>
      <c r="C90" s="577"/>
      <c r="D90" s="578"/>
      <c r="E90" s="204"/>
    </row>
    <row r="91" spans="1:5" ht="21" customHeight="1" x14ac:dyDescent="0.25">
      <c r="A91" s="165" t="s">
        <v>134</v>
      </c>
      <c r="B91" s="166">
        <v>2142</v>
      </c>
      <c r="C91" s="577"/>
      <c r="D91" s="578"/>
      <c r="E91" s="204"/>
    </row>
    <row r="92" spans="1:5" ht="21" customHeight="1" x14ac:dyDescent="0.25">
      <c r="A92" s="165" t="s">
        <v>136</v>
      </c>
      <c r="B92" s="166">
        <v>2143</v>
      </c>
      <c r="C92" s="577"/>
      <c r="D92" s="578"/>
      <c r="E92" s="204"/>
    </row>
    <row r="93" spans="1:5" ht="21" customHeight="1" thickBot="1" x14ac:dyDescent="0.3">
      <c r="A93" s="185" t="s">
        <v>141</v>
      </c>
      <c r="B93" s="186" t="s">
        <v>46</v>
      </c>
      <c r="C93" s="579"/>
      <c r="D93" s="580"/>
      <c r="E93" s="205"/>
    </row>
    <row r="94" spans="1:5" ht="21" customHeight="1" thickTop="1" thickBot="1" x14ac:dyDescent="0.3">
      <c r="A94" s="173"/>
      <c r="B94" s="213"/>
      <c r="C94" s="213"/>
      <c r="D94" s="189"/>
      <c r="E94" s="189"/>
    </row>
    <row r="95" spans="1:5" ht="19.05" customHeight="1" thickTop="1" x14ac:dyDescent="0.25">
      <c r="A95" s="194" t="s">
        <v>194</v>
      </c>
      <c r="B95" s="595" t="s">
        <v>203</v>
      </c>
      <c r="C95" s="595"/>
      <c r="D95" s="596"/>
      <c r="E95" s="597"/>
    </row>
    <row r="96" spans="1:5" ht="19.05" customHeight="1" x14ac:dyDescent="0.25">
      <c r="A96" s="214"/>
      <c r="B96" s="586"/>
      <c r="C96" s="586"/>
      <c r="D96" s="586"/>
      <c r="E96" s="587"/>
    </row>
    <row r="97" spans="1:5" ht="19.05" customHeight="1" thickBot="1" x14ac:dyDescent="0.3">
      <c r="A97" s="540" t="s">
        <v>191</v>
      </c>
      <c r="B97" s="589"/>
      <c r="C97" s="98"/>
      <c r="D97" s="200"/>
      <c r="E97" s="215"/>
    </row>
    <row r="98" spans="1:5" ht="19.05" customHeight="1" thickTop="1" x14ac:dyDescent="0.25">
      <c r="A98" s="155" t="s">
        <v>198</v>
      </c>
      <c r="B98" s="216" t="s">
        <v>199</v>
      </c>
      <c r="C98" s="581" t="s">
        <v>197</v>
      </c>
      <c r="D98" s="582" t="s">
        <v>197</v>
      </c>
      <c r="E98" s="217" t="s">
        <v>196</v>
      </c>
    </row>
    <row r="99" spans="1:5" ht="19.05" customHeight="1" x14ac:dyDescent="0.25">
      <c r="A99" s="162" t="s">
        <v>47</v>
      </c>
      <c r="B99" s="202"/>
      <c r="C99" s="577"/>
      <c r="D99" s="578"/>
      <c r="E99" s="218"/>
    </row>
    <row r="100" spans="1:5" ht="19.05" customHeight="1" x14ac:dyDescent="0.25">
      <c r="A100" s="165" t="s">
        <v>204</v>
      </c>
      <c r="B100" s="219">
        <v>1465</v>
      </c>
      <c r="C100" s="577"/>
      <c r="D100" s="578"/>
      <c r="E100" s="220"/>
    </row>
    <row r="101" spans="1:5" ht="19.05" customHeight="1" x14ac:dyDescent="0.25">
      <c r="A101" s="179" t="s">
        <v>176</v>
      </c>
      <c r="B101" s="221">
        <v>1467</v>
      </c>
      <c r="C101" s="577"/>
      <c r="D101" s="578"/>
      <c r="E101" s="220"/>
    </row>
    <row r="102" spans="1:5" ht="19.05" customHeight="1" x14ac:dyDescent="0.25">
      <c r="A102" s="165" t="s">
        <v>205</v>
      </c>
      <c r="B102" s="219">
        <v>1476</v>
      </c>
      <c r="C102" s="577"/>
      <c r="D102" s="578"/>
      <c r="E102" s="220"/>
    </row>
    <row r="103" spans="1:5" ht="19.05" customHeight="1" x14ac:dyDescent="0.25">
      <c r="A103" s="165" t="s">
        <v>206</v>
      </c>
      <c r="B103" s="219">
        <v>1478</v>
      </c>
      <c r="C103" s="577"/>
      <c r="D103" s="578"/>
      <c r="E103" s="220"/>
    </row>
    <row r="104" spans="1:5" ht="19.05" customHeight="1" x14ac:dyDescent="0.25">
      <c r="A104" s="165" t="s">
        <v>207</v>
      </c>
      <c r="B104" s="219">
        <v>1483</v>
      </c>
      <c r="C104" s="577"/>
      <c r="D104" s="578"/>
      <c r="E104" s="220"/>
    </row>
    <row r="105" spans="1:5" ht="19.05" customHeight="1" x14ac:dyDescent="0.25">
      <c r="A105" s="165" t="s">
        <v>208</v>
      </c>
      <c r="B105" s="219">
        <v>1485</v>
      </c>
      <c r="C105" s="577"/>
      <c r="D105" s="578"/>
      <c r="E105" s="220"/>
    </row>
    <row r="106" spans="1:5" ht="19.05" customHeight="1" x14ac:dyDescent="0.25">
      <c r="A106" s="165" t="s">
        <v>101</v>
      </c>
      <c r="B106" s="219">
        <v>1486</v>
      </c>
      <c r="C106" s="577"/>
      <c r="D106" s="578"/>
      <c r="E106" s="220"/>
    </row>
    <row r="107" spans="1:5" ht="19.05" customHeight="1" thickBot="1" x14ac:dyDescent="0.3">
      <c r="A107" s="168" t="s">
        <v>209</v>
      </c>
      <c r="B107" s="222">
        <v>1494</v>
      </c>
      <c r="C107" s="579"/>
      <c r="D107" s="580"/>
      <c r="E107" s="223"/>
    </row>
    <row r="108" spans="1:5" ht="19.05" customHeight="1" thickTop="1" x14ac:dyDescent="0.25">
      <c r="A108" s="182" t="s">
        <v>48</v>
      </c>
      <c r="B108" s="208"/>
      <c r="C108" s="581" t="s">
        <v>197</v>
      </c>
      <c r="D108" s="582" t="s">
        <v>197</v>
      </c>
      <c r="E108" s="217" t="s">
        <v>196</v>
      </c>
    </row>
    <row r="109" spans="1:5" ht="19.05" customHeight="1" x14ac:dyDescent="0.25">
      <c r="A109" s="165" t="s">
        <v>106</v>
      </c>
      <c r="B109" s="219">
        <v>1521</v>
      </c>
      <c r="C109" s="577"/>
      <c r="D109" s="578"/>
      <c r="E109" s="220"/>
    </row>
    <row r="110" spans="1:5" ht="19.05" customHeight="1" x14ac:dyDescent="0.25">
      <c r="A110" s="165" t="s">
        <v>51</v>
      </c>
      <c r="B110" s="219">
        <v>1529</v>
      </c>
      <c r="C110" s="577"/>
      <c r="D110" s="578"/>
      <c r="E110" s="220"/>
    </row>
    <row r="111" spans="1:5" ht="19.05" customHeight="1" x14ac:dyDescent="0.25">
      <c r="A111" s="165" t="s">
        <v>105</v>
      </c>
      <c r="B111" s="219">
        <v>1536</v>
      </c>
      <c r="C111" s="577"/>
      <c r="D111" s="578"/>
      <c r="E111" s="220"/>
    </row>
    <row r="112" spans="1:5" ht="19.05" customHeight="1" x14ac:dyDescent="0.25">
      <c r="A112" s="179" t="s">
        <v>49</v>
      </c>
      <c r="B112" s="221">
        <v>1537</v>
      </c>
      <c r="C112" s="577"/>
      <c r="D112" s="578"/>
      <c r="E112" s="224"/>
    </row>
    <row r="113" spans="1:5" ht="19.05" customHeight="1" thickBot="1" x14ac:dyDescent="0.3">
      <c r="A113" s="185" t="s">
        <v>50</v>
      </c>
      <c r="B113" s="225">
        <v>1927</v>
      </c>
      <c r="C113" s="579"/>
      <c r="D113" s="580"/>
      <c r="E113" s="226"/>
    </row>
    <row r="114" spans="1:5" ht="19.05" customHeight="1" thickTop="1" x14ac:dyDescent="0.25">
      <c r="A114" s="182" t="s">
        <v>52</v>
      </c>
      <c r="B114" s="208"/>
      <c r="C114" s="581" t="s">
        <v>197</v>
      </c>
      <c r="D114" s="582" t="s">
        <v>197</v>
      </c>
      <c r="E114" s="217" t="s">
        <v>196</v>
      </c>
    </row>
    <row r="115" spans="1:5" ht="19.05" customHeight="1" x14ac:dyDescent="0.25">
      <c r="A115" s="165" t="s">
        <v>111</v>
      </c>
      <c r="B115" s="219" t="s">
        <v>177</v>
      </c>
      <c r="C115" s="577"/>
      <c r="D115" s="578"/>
      <c r="E115" s="220"/>
    </row>
    <row r="116" spans="1:5" ht="19.05" customHeight="1" x14ac:dyDescent="0.25">
      <c r="A116" s="165" t="s">
        <v>59</v>
      </c>
      <c r="B116" s="219">
        <v>1668</v>
      </c>
      <c r="C116" s="577"/>
      <c r="D116" s="578"/>
      <c r="E116" s="220"/>
    </row>
    <row r="117" spans="1:5" ht="19.05" customHeight="1" x14ac:dyDescent="0.25">
      <c r="A117" s="165" t="s">
        <v>108</v>
      </c>
      <c r="B117" s="219">
        <v>1669</v>
      </c>
      <c r="C117" s="577"/>
      <c r="D117" s="578"/>
      <c r="E117" s="220"/>
    </row>
    <row r="118" spans="1:5" ht="19.05" customHeight="1" x14ac:dyDescent="0.25">
      <c r="A118" s="165" t="s">
        <v>57</v>
      </c>
      <c r="B118" s="219">
        <v>1670</v>
      </c>
      <c r="C118" s="577"/>
      <c r="D118" s="578"/>
      <c r="E118" s="220"/>
    </row>
    <row r="119" spans="1:5" ht="19.05" customHeight="1" x14ac:dyDescent="0.25">
      <c r="A119" s="165" t="s">
        <v>56</v>
      </c>
      <c r="B119" s="219">
        <v>1671</v>
      </c>
      <c r="C119" s="577"/>
      <c r="D119" s="578"/>
      <c r="E119" s="220"/>
    </row>
    <row r="120" spans="1:5" ht="19.05" customHeight="1" x14ac:dyDescent="0.25">
      <c r="A120" s="165" t="s">
        <v>100</v>
      </c>
      <c r="B120" s="219">
        <v>1673</v>
      </c>
      <c r="C120" s="577"/>
      <c r="D120" s="578"/>
      <c r="E120" s="220"/>
    </row>
    <row r="121" spans="1:5" ht="19.05" customHeight="1" x14ac:dyDescent="0.25">
      <c r="A121" s="165" t="s">
        <v>54</v>
      </c>
      <c r="B121" s="219">
        <v>1678</v>
      </c>
      <c r="C121" s="577"/>
      <c r="D121" s="578"/>
      <c r="E121" s="220"/>
    </row>
    <row r="122" spans="1:5" ht="19.05" customHeight="1" x14ac:dyDescent="0.25">
      <c r="A122" s="165" t="s">
        <v>55</v>
      </c>
      <c r="B122" s="219">
        <v>1679</v>
      </c>
      <c r="C122" s="577"/>
      <c r="D122" s="578"/>
      <c r="E122" s="220"/>
    </row>
    <row r="123" spans="1:5" ht="19.05" customHeight="1" x14ac:dyDescent="0.25">
      <c r="A123" s="165" t="s">
        <v>58</v>
      </c>
      <c r="B123" s="219">
        <v>1680</v>
      </c>
      <c r="C123" s="577"/>
      <c r="D123" s="578"/>
      <c r="E123" s="220"/>
    </row>
    <row r="124" spans="1:5" ht="19.05" customHeight="1" thickBot="1" x14ac:dyDescent="0.3">
      <c r="A124" s="185" t="s">
        <v>53</v>
      </c>
      <c r="B124" s="225">
        <v>1681</v>
      </c>
      <c r="C124" s="579"/>
      <c r="D124" s="580"/>
      <c r="E124" s="226"/>
    </row>
    <row r="125" spans="1:5" ht="19.05" customHeight="1" thickTop="1" x14ac:dyDescent="0.25">
      <c r="A125" s="182" t="s">
        <v>60</v>
      </c>
      <c r="B125" s="208"/>
      <c r="C125" s="581" t="s">
        <v>197</v>
      </c>
      <c r="D125" s="582" t="s">
        <v>197</v>
      </c>
      <c r="E125" s="217" t="s">
        <v>196</v>
      </c>
    </row>
    <row r="126" spans="1:5" ht="19.05" customHeight="1" x14ac:dyDescent="0.25">
      <c r="A126" s="165" t="s">
        <v>156</v>
      </c>
      <c r="B126" s="219" t="s">
        <v>178</v>
      </c>
      <c r="C126" s="577"/>
      <c r="D126" s="578"/>
      <c r="E126" s="220"/>
    </row>
    <row r="127" spans="1:5" ht="19.05" customHeight="1" x14ac:dyDescent="0.25">
      <c r="A127" s="165" t="s">
        <v>107</v>
      </c>
      <c r="B127" s="219" t="s">
        <v>179</v>
      </c>
      <c r="C127" s="577"/>
      <c r="D127" s="578"/>
      <c r="E127" s="220"/>
    </row>
    <row r="128" spans="1:5" ht="19.05" customHeight="1" x14ac:dyDescent="0.25">
      <c r="A128" s="165" t="s">
        <v>157</v>
      </c>
      <c r="B128" s="219" t="s">
        <v>180</v>
      </c>
      <c r="C128" s="577"/>
      <c r="D128" s="578"/>
      <c r="E128" s="220"/>
    </row>
    <row r="129" spans="1:5" ht="19.05" customHeight="1" x14ac:dyDescent="0.25">
      <c r="A129" s="165" t="s">
        <v>104</v>
      </c>
      <c r="B129" s="219">
        <v>1495</v>
      </c>
      <c r="C129" s="577"/>
      <c r="D129" s="578"/>
      <c r="E129" s="220"/>
    </row>
    <row r="130" spans="1:5" ht="19.05" customHeight="1" x14ac:dyDescent="0.25">
      <c r="A130" s="165" t="s">
        <v>66</v>
      </c>
      <c r="B130" s="219">
        <v>1526</v>
      </c>
      <c r="C130" s="577"/>
      <c r="D130" s="578"/>
      <c r="E130" s="220"/>
    </row>
    <row r="131" spans="1:5" ht="19.05" customHeight="1" x14ac:dyDescent="0.25">
      <c r="A131" s="165" t="s">
        <v>63</v>
      </c>
      <c r="B131" s="219">
        <v>1653</v>
      </c>
      <c r="C131" s="577"/>
      <c r="D131" s="578"/>
      <c r="E131" s="220"/>
    </row>
    <row r="132" spans="1:5" ht="19.05" customHeight="1" x14ac:dyDescent="0.25">
      <c r="A132" s="165" t="s">
        <v>67</v>
      </c>
      <c r="B132" s="219">
        <v>1688</v>
      </c>
      <c r="C132" s="577"/>
      <c r="D132" s="578"/>
      <c r="E132" s="220"/>
    </row>
    <row r="133" spans="1:5" ht="19.05" customHeight="1" x14ac:dyDescent="0.25">
      <c r="A133" s="165" t="s">
        <v>61</v>
      </c>
      <c r="B133" s="219">
        <v>1689</v>
      </c>
      <c r="C133" s="577"/>
      <c r="D133" s="578"/>
      <c r="E133" s="220"/>
    </row>
    <row r="134" spans="1:5" ht="19.05" customHeight="1" x14ac:dyDescent="0.25">
      <c r="A134" s="165" t="s">
        <v>62</v>
      </c>
      <c r="B134" s="219">
        <v>1690</v>
      </c>
      <c r="C134" s="577"/>
      <c r="D134" s="578"/>
      <c r="E134" s="220"/>
    </row>
    <row r="135" spans="1:5" ht="19.05" customHeight="1" x14ac:dyDescent="0.25">
      <c r="A135" s="165" t="s">
        <v>155</v>
      </c>
      <c r="B135" s="219">
        <v>1933</v>
      </c>
      <c r="C135" s="577"/>
      <c r="D135" s="578"/>
      <c r="E135" s="220"/>
    </row>
    <row r="136" spans="1:5" ht="19.05" customHeight="1" x14ac:dyDescent="0.25">
      <c r="A136" s="165" t="s">
        <v>109</v>
      </c>
      <c r="B136" s="219">
        <v>1946</v>
      </c>
      <c r="C136" s="577"/>
      <c r="D136" s="578"/>
      <c r="E136" s="220"/>
    </row>
    <row r="137" spans="1:5" ht="19.05" customHeight="1" x14ac:dyDescent="0.25">
      <c r="A137" s="165" t="s">
        <v>64</v>
      </c>
      <c r="B137" s="219">
        <v>1954</v>
      </c>
      <c r="C137" s="577"/>
      <c r="D137" s="578"/>
      <c r="E137" s="220"/>
    </row>
    <row r="138" spans="1:5" ht="19.05" customHeight="1" x14ac:dyDescent="0.25">
      <c r="A138" s="165" t="s">
        <v>154</v>
      </c>
      <c r="B138" s="219">
        <v>1955</v>
      </c>
      <c r="C138" s="577"/>
      <c r="D138" s="578"/>
      <c r="E138" s="220"/>
    </row>
    <row r="139" spans="1:5" ht="19.05" customHeight="1" thickBot="1" x14ac:dyDescent="0.3">
      <c r="A139" s="185" t="s">
        <v>65</v>
      </c>
      <c r="B139" s="225">
        <v>1957</v>
      </c>
      <c r="C139" s="579"/>
      <c r="D139" s="580"/>
      <c r="E139" s="226"/>
    </row>
    <row r="140" spans="1:5" ht="19.05" customHeight="1" thickTop="1" x14ac:dyDescent="0.25">
      <c r="A140" s="182" t="s">
        <v>68</v>
      </c>
      <c r="B140" s="208"/>
      <c r="C140" s="581" t="s">
        <v>197</v>
      </c>
      <c r="D140" s="582" t="s">
        <v>197</v>
      </c>
      <c r="E140" s="217" t="s">
        <v>196</v>
      </c>
    </row>
    <row r="141" spans="1:5" ht="19.05" customHeight="1" x14ac:dyDescent="0.25">
      <c r="A141" s="165" t="s">
        <v>73</v>
      </c>
      <c r="B141" s="219">
        <v>1626</v>
      </c>
      <c r="C141" s="577"/>
      <c r="D141" s="578"/>
      <c r="E141" s="220"/>
    </row>
    <row r="142" spans="1:5" ht="19.05" customHeight="1" x14ac:dyDescent="0.25">
      <c r="A142" s="165" t="s">
        <v>72</v>
      </c>
      <c r="B142" s="219">
        <v>1629</v>
      </c>
      <c r="C142" s="577"/>
      <c r="D142" s="578"/>
      <c r="E142" s="220"/>
    </row>
    <row r="143" spans="1:5" ht="19.05" customHeight="1" x14ac:dyDescent="0.25">
      <c r="A143" s="179" t="s">
        <v>183</v>
      </c>
      <c r="B143" s="221">
        <v>1810</v>
      </c>
      <c r="C143" s="577"/>
      <c r="D143" s="578"/>
      <c r="E143" s="220"/>
    </row>
    <row r="144" spans="1:5" ht="19.05" customHeight="1" x14ac:dyDescent="0.25">
      <c r="A144" s="165" t="s">
        <v>70</v>
      </c>
      <c r="B144" s="219">
        <v>1631</v>
      </c>
      <c r="C144" s="577"/>
      <c r="D144" s="578"/>
      <c r="E144" s="220"/>
    </row>
    <row r="145" spans="1:6" ht="19.05" customHeight="1" x14ac:dyDescent="0.25">
      <c r="A145" s="165" t="s">
        <v>71</v>
      </c>
      <c r="B145" s="219">
        <v>1632</v>
      </c>
      <c r="C145" s="577"/>
      <c r="D145" s="578"/>
      <c r="E145" s="220"/>
    </row>
    <row r="146" spans="1:6" ht="19.05" customHeight="1" x14ac:dyDescent="0.25">
      <c r="A146" s="165" t="s">
        <v>69</v>
      </c>
      <c r="B146" s="219">
        <v>1659</v>
      </c>
      <c r="C146" s="577"/>
      <c r="D146" s="578"/>
      <c r="E146" s="220"/>
    </row>
    <row r="147" spans="1:6" ht="19.05" customHeight="1" x14ac:dyDescent="0.25">
      <c r="A147" s="165" t="s">
        <v>74</v>
      </c>
      <c r="B147" s="219">
        <v>1661</v>
      </c>
      <c r="C147" s="577"/>
      <c r="D147" s="578"/>
      <c r="E147" s="220"/>
    </row>
    <row r="148" spans="1:6" ht="19.05" customHeight="1" thickBot="1" x14ac:dyDescent="0.3">
      <c r="A148" s="168" t="s">
        <v>75</v>
      </c>
      <c r="B148" s="222" t="s">
        <v>76</v>
      </c>
      <c r="C148" s="579"/>
      <c r="D148" s="580"/>
      <c r="E148" s="223"/>
    </row>
    <row r="149" spans="1:6" ht="19.05" customHeight="1" thickTop="1" x14ac:dyDescent="0.25">
      <c r="A149" s="182" t="s">
        <v>77</v>
      </c>
      <c r="B149" s="208"/>
      <c r="C149" s="581" t="s">
        <v>197</v>
      </c>
      <c r="D149" s="582" t="s">
        <v>197</v>
      </c>
      <c r="E149" s="217" t="s">
        <v>196</v>
      </c>
    </row>
    <row r="150" spans="1:6" ht="19.05" customHeight="1" x14ac:dyDescent="0.25">
      <c r="A150" s="165" t="s">
        <v>78</v>
      </c>
      <c r="B150" s="219">
        <v>1878</v>
      </c>
      <c r="C150" s="577"/>
      <c r="D150" s="578"/>
      <c r="E150" s="220"/>
    </row>
    <row r="151" spans="1:6" ht="19.05" customHeight="1" x14ac:dyDescent="0.25">
      <c r="A151" s="165" t="s">
        <v>82</v>
      </c>
      <c r="B151" s="219">
        <v>2035</v>
      </c>
      <c r="C151" s="577"/>
      <c r="D151" s="578"/>
      <c r="E151" s="220"/>
    </row>
    <row r="152" spans="1:6" ht="19.05" customHeight="1" x14ac:dyDescent="0.25">
      <c r="A152" s="165" t="s">
        <v>80</v>
      </c>
      <c r="B152" s="219">
        <v>2036</v>
      </c>
      <c r="C152" s="577"/>
      <c r="D152" s="578"/>
      <c r="E152" s="220"/>
    </row>
    <row r="153" spans="1:6" ht="19.05" customHeight="1" x14ac:dyDescent="0.25">
      <c r="A153" s="165" t="s">
        <v>79</v>
      </c>
      <c r="B153" s="219">
        <v>2042</v>
      </c>
      <c r="C153" s="577"/>
      <c r="D153" s="578"/>
      <c r="E153" s="220"/>
    </row>
    <row r="154" spans="1:6" ht="19.05" customHeight="1" thickBot="1" x14ac:dyDescent="0.3">
      <c r="A154" s="185" t="s">
        <v>81</v>
      </c>
      <c r="B154" s="222">
        <v>2043</v>
      </c>
      <c r="C154" s="579"/>
      <c r="D154" s="580"/>
      <c r="E154" s="226"/>
    </row>
    <row r="155" spans="1:6" ht="19.05" customHeight="1" thickTop="1" thickBot="1" x14ac:dyDescent="0.3">
      <c r="A155" s="189"/>
      <c r="B155" s="227"/>
      <c r="C155" s="227"/>
      <c r="D155" s="189"/>
      <c r="E155" s="189"/>
    </row>
    <row r="156" spans="1:6" ht="21" customHeight="1" thickTop="1" x14ac:dyDescent="0.25">
      <c r="A156" s="228" t="s">
        <v>200</v>
      </c>
      <c r="B156" s="590" t="s">
        <v>195</v>
      </c>
      <c r="C156" s="590"/>
      <c r="D156" s="591"/>
      <c r="E156" s="592"/>
      <c r="F156" s="26"/>
    </row>
    <row r="157" spans="1:6" ht="21" customHeight="1" x14ac:dyDescent="0.25">
      <c r="A157" s="229"/>
      <c r="B157" s="593"/>
      <c r="C157" s="593"/>
      <c r="D157" s="593"/>
      <c r="E157" s="594"/>
      <c r="F157" s="34"/>
    </row>
    <row r="158" spans="1:6" ht="21" customHeight="1" x14ac:dyDescent="0.25">
      <c r="A158" s="585" t="s">
        <v>203</v>
      </c>
      <c r="B158" s="586"/>
      <c r="C158" s="586"/>
      <c r="D158" s="586"/>
      <c r="E158" s="587"/>
      <c r="F158" s="34"/>
    </row>
    <row r="159" spans="1:6" ht="21" customHeight="1" x14ac:dyDescent="0.25">
      <c r="A159" s="588"/>
      <c r="B159" s="586"/>
      <c r="C159" s="586"/>
      <c r="D159" s="586"/>
      <c r="E159" s="587"/>
      <c r="F159" s="34"/>
    </row>
    <row r="160" spans="1:6" ht="21" customHeight="1" x14ac:dyDescent="0.25">
      <c r="A160" s="588"/>
      <c r="B160" s="586"/>
      <c r="C160" s="586"/>
      <c r="D160" s="586"/>
      <c r="E160" s="587"/>
    </row>
    <row r="161" spans="1:7" ht="21" customHeight="1" thickBot="1" x14ac:dyDescent="0.3">
      <c r="A161" s="583" t="s">
        <v>191</v>
      </c>
      <c r="B161" s="584"/>
      <c r="C161" s="230"/>
      <c r="D161" s="231"/>
      <c r="E161" s="232"/>
    </row>
    <row r="162" spans="1:7" s="36" customFormat="1" ht="21" customHeight="1" thickTop="1" x14ac:dyDescent="0.25">
      <c r="A162" s="155" t="s">
        <v>198</v>
      </c>
      <c r="B162" s="156" t="s">
        <v>202</v>
      </c>
      <c r="C162" s="156" t="s">
        <v>245</v>
      </c>
      <c r="D162" s="157" t="s">
        <v>197</v>
      </c>
      <c r="E162" s="158" t="s">
        <v>196</v>
      </c>
      <c r="F162" s="35"/>
      <c r="G162" s="35"/>
    </row>
    <row r="163" spans="1:7" ht="21.75" customHeight="1" x14ac:dyDescent="0.25">
      <c r="A163" s="233"/>
      <c r="B163" s="234"/>
      <c r="C163" s="234"/>
      <c r="D163" s="235"/>
      <c r="E163" s="236"/>
    </row>
    <row r="164" spans="1:7" ht="21.75" customHeight="1" x14ac:dyDescent="0.25">
      <c r="A164" s="233"/>
      <c r="B164" s="234"/>
      <c r="C164" s="234"/>
      <c r="D164" s="235"/>
      <c r="E164" s="236"/>
    </row>
    <row r="165" spans="1:7" ht="21" customHeight="1" x14ac:dyDescent="0.25">
      <c r="A165" s="237"/>
      <c r="B165" s="234"/>
      <c r="C165" s="234"/>
      <c r="D165" s="235"/>
      <c r="E165" s="236"/>
    </row>
    <row r="166" spans="1:7" ht="21" customHeight="1" x14ac:dyDescent="0.25">
      <c r="A166" s="237"/>
      <c r="B166" s="234"/>
      <c r="C166" s="234"/>
      <c r="D166" s="235"/>
      <c r="E166" s="236"/>
    </row>
    <row r="167" spans="1:7" ht="21" customHeight="1" x14ac:dyDescent="0.25">
      <c r="A167" s="237"/>
      <c r="B167" s="234"/>
      <c r="C167" s="234"/>
      <c r="D167" s="235"/>
      <c r="E167" s="236"/>
    </row>
    <row r="168" spans="1:7" ht="21" customHeight="1" x14ac:dyDescent="0.25">
      <c r="A168" s="237"/>
      <c r="B168" s="234"/>
      <c r="C168" s="234"/>
      <c r="D168" s="235"/>
      <c r="E168" s="236"/>
    </row>
    <row r="169" spans="1:7" ht="21" customHeight="1" x14ac:dyDescent="0.25">
      <c r="A169" s="237"/>
      <c r="B169" s="234"/>
      <c r="C169" s="234"/>
      <c r="D169" s="235"/>
      <c r="E169" s="236"/>
    </row>
    <row r="170" spans="1:7" ht="21" customHeight="1" x14ac:dyDescent="0.25">
      <c r="A170" s="237"/>
      <c r="B170" s="234"/>
      <c r="C170" s="234"/>
      <c r="D170" s="235"/>
      <c r="E170" s="236"/>
    </row>
    <row r="171" spans="1:7" ht="21" customHeight="1" x14ac:dyDescent="0.25">
      <c r="A171" s="237"/>
      <c r="B171" s="234"/>
      <c r="C171" s="234"/>
      <c r="D171" s="235"/>
      <c r="E171" s="236"/>
    </row>
    <row r="172" spans="1:7" ht="21" customHeight="1" x14ac:dyDescent="0.25">
      <c r="A172" s="237"/>
      <c r="B172" s="234"/>
      <c r="C172" s="234"/>
      <c r="D172" s="235"/>
      <c r="E172" s="236"/>
    </row>
    <row r="173" spans="1:7" ht="21" customHeight="1" x14ac:dyDescent="0.25">
      <c r="A173" s="237"/>
      <c r="B173" s="234"/>
      <c r="C173" s="234"/>
      <c r="D173" s="235"/>
      <c r="E173" s="236"/>
    </row>
    <row r="174" spans="1:7" ht="21" customHeight="1" x14ac:dyDescent="0.25">
      <c r="A174" s="238"/>
      <c r="B174" s="234"/>
      <c r="C174" s="234"/>
      <c r="D174" s="235"/>
      <c r="E174" s="236"/>
    </row>
    <row r="175" spans="1:7" ht="21" customHeight="1" x14ac:dyDescent="0.25">
      <c r="A175" s="238"/>
      <c r="B175" s="234"/>
      <c r="C175" s="234"/>
      <c r="D175" s="235"/>
      <c r="E175" s="236"/>
    </row>
    <row r="176" spans="1:7" ht="21" customHeight="1" x14ac:dyDescent="0.25">
      <c r="A176" s="238"/>
      <c r="B176" s="234"/>
      <c r="C176" s="234"/>
      <c r="D176" s="235"/>
      <c r="E176" s="236"/>
    </row>
    <row r="177" spans="1:5" ht="21" customHeight="1" thickBot="1" x14ac:dyDescent="0.3">
      <c r="A177" s="168"/>
      <c r="B177" s="239"/>
      <c r="C177" s="239"/>
      <c r="D177" s="240"/>
      <c r="E177" s="241"/>
    </row>
    <row r="178" spans="1:5" ht="21" customHeight="1" thickTop="1" x14ac:dyDescent="0.3"/>
  </sheetData>
  <sheetProtection sheet="1" objects="1" scenarios="1"/>
  <mergeCells count="141">
    <mergeCell ref="C60:D60"/>
    <mergeCell ref="C83:D83"/>
    <mergeCell ref="C42:D42"/>
    <mergeCell ref="C29:D29"/>
    <mergeCell ref="C38:D38"/>
    <mergeCell ref="C50:D50"/>
    <mergeCell ref="C33:D33"/>
    <mergeCell ref="C37:D37"/>
    <mergeCell ref="C44:D44"/>
    <mergeCell ref="A4:B4"/>
    <mergeCell ref="A56:B56"/>
    <mergeCell ref="C5:D5"/>
    <mergeCell ref="C6:D6"/>
    <mergeCell ref="C7:D7"/>
    <mergeCell ref="C48:D48"/>
    <mergeCell ref="C47:D47"/>
    <mergeCell ref="C34:D34"/>
    <mergeCell ref="C30:D30"/>
    <mergeCell ref="C31:D31"/>
    <mergeCell ref="C51:D51"/>
    <mergeCell ref="C46:D46"/>
    <mergeCell ref="C49:D49"/>
    <mergeCell ref="C40:D40"/>
    <mergeCell ref="C36:D36"/>
    <mergeCell ref="C35:D35"/>
    <mergeCell ref="C41:D41"/>
    <mergeCell ref="D1:D3"/>
    <mergeCell ref="C63:D63"/>
    <mergeCell ref="C23:D23"/>
    <mergeCell ref="C24:D24"/>
    <mergeCell ref="C26:D26"/>
    <mergeCell ref="C43:D43"/>
    <mergeCell ref="C57:D57"/>
    <mergeCell ref="C58:D58"/>
    <mergeCell ref="C59:D59"/>
    <mergeCell ref="D53:D55"/>
    <mergeCell ref="C27:D27"/>
    <mergeCell ref="C10:D10"/>
    <mergeCell ref="C17:D17"/>
    <mergeCell ref="C19:D19"/>
    <mergeCell ref="C18:D18"/>
    <mergeCell ref="C21:D21"/>
    <mergeCell ref="C13:D13"/>
    <mergeCell ref="C15:D15"/>
    <mergeCell ref="C14:D14"/>
    <mergeCell ref="C20:D20"/>
    <mergeCell ref="C25:D25"/>
    <mergeCell ref="C8:D8"/>
    <mergeCell ref="C11:D11"/>
    <mergeCell ref="C12:D12"/>
    <mergeCell ref="C61:D61"/>
    <mergeCell ref="C62:D62"/>
    <mergeCell ref="B95:E96"/>
    <mergeCell ref="C86:D86"/>
    <mergeCell ref="C87:D87"/>
    <mergeCell ref="C88:D88"/>
    <mergeCell ref="C89:D89"/>
    <mergeCell ref="C85:D85"/>
    <mergeCell ref="C66:D66"/>
    <mergeCell ref="C67:D67"/>
    <mergeCell ref="C73:D73"/>
    <mergeCell ref="C65:D65"/>
    <mergeCell ref="C64:D64"/>
    <mergeCell ref="C75:D75"/>
    <mergeCell ref="C84:D84"/>
    <mergeCell ref="C76:D76"/>
    <mergeCell ref="C79:D79"/>
    <mergeCell ref="C78:D78"/>
    <mergeCell ref="C92:D92"/>
    <mergeCell ref="C93:D93"/>
    <mergeCell ref="C91:D91"/>
    <mergeCell ref="C90:D90"/>
    <mergeCell ref="C69:D69"/>
    <mergeCell ref="C70:D70"/>
    <mergeCell ref="C71:D71"/>
    <mergeCell ref="C82:D82"/>
    <mergeCell ref="C81:D81"/>
    <mergeCell ref="C80:D80"/>
    <mergeCell ref="C72:D72"/>
    <mergeCell ref="C74:D74"/>
    <mergeCell ref="C99:D99"/>
    <mergeCell ref="C100:D100"/>
    <mergeCell ref="A161:B161"/>
    <mergeCell ref="A158:E160"/>
    <mergeCell ref="A97:B97"/>
    <mergeCell ref="C98:D98"/>
    <mergeCell ref="C107:D107"/>
    <mergeCell ref="C118:D118"/>
    <mergeCell ref="C109:D109"/>
    <mergeCell ref="B156:E157"/>
    <mergeCell ref="C101:D101"/>
    <mergeCell ref="C115:D115"/>
    <mergeCell ref="C116:D116"/>
    <mergeCell ref="C117:D117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14:D114"/>
    <mergeCell ref="C128:D128"/>
    <mergeCell ref="C119:D119"/>
    <mergeCell ref="C120:D120"/>
    <mergeCell ref="C121:D121"/>
    <mergeCell ref="C122:D122"/>
    <mergeCell ref="C108:D108"/>
    <mergeCell ref="C123:D123"/>
    <mergeCell ref="C124:D124"/>
    <mergeCell ref="C125:D125"/>
    <mergeCell ref="C126:D126"/>
    <mergeCell ref="C127:D127"/>
    <mergeCell ref="C138:D13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54:D154"/>
    <mergeCell ref="C149:D149"/>
    <mergeCell ref="C150:D150"/>
    <mergeCell ref="C151:D151"/>
    <mergeCell ref="C152:D152"/>
    <mergeCell ref="C147:D147"/>
    <mergeCell ref="C153:D153"/>
    <mergeCell ref="C148:D148"/>
    <mergeCell ref="C139:D139"/>
    <mergeCell ref="C140:D140"/>
    <mergeCell ref="C141:D141"/>
    <mergeCell ref="C142:D142"/>
    <mergeCell ref="C143:D143"/>
    <mergeCell ref="C144:D144"/>
    <mergeCell ref="C145:D145"/>
    <mergeCell ref="C146:D146"/>
  </mergeCells>
  <phoneticPr fontId="0" type="noConversion"/>
  <pageMargins left="0.6" right="0.14000000000000001" top="0.25" bottom="0.28000000000000003" header="0.27" footer="0.25"/>
  <pageSetup paperSize="9" scale="70" fitToHeight="2" orientation="portrait" horizontalDpi="4294967292" r:id="rId1"/>
  <headerFooter alignWithMargins="0">
    <oddFooter>&amp;R&amp;P of &amp;N</oddFooter>
  </headerFooter>
  <rowBreaks count="3" manualBreakCount="3">
    <brk id="52" max="3" man="1"/>
    <brk id="94" max="3" man="1"/>
    <brk id="155" max="3" man="1"/>
  </rowBreaks>
  <ignoredErrors>
    <ignoredError sqref="B126 B127:B128 B1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topLeftCell="A25" workbookViewId="0">
      <selection activeCell="F31" sqref="F31"/>
    </sheetView>
  </sheetViews>
  <sheetFormatPr defaultColWidth="9.21875" defaultRowHeight="13.8" x14ac:dyDescent="0.3"/>
  <cols>
    <col min="1" max="1" width="27" style="1" customWidth="1"/>
    <col min="2" max="2" width="36.77734375" style="1" customWidth="1"/>
    <col min="3" max="4" width="12.77734375" style="1" customWidth="1"/>
    <col min="5" max="5" width="16.77734375" style="1" customWidth="1"/>
    <col min="6" max="6" width="14.77734375" style="1" customWidth="1"/>
    <col min="7" max="8" width="10.21875" style="71" hidden="1" customWidth="1"/>
    <col min="9" max="16384" width="9.21875" style="1"/>
  </cols>
  <sheetData>
    <row r="1" spans="1:8" s="13" customFormat="1" ht="30" customHeight="1" thickTop="1" thickBot="1" x14ac:dyDescent="0.3">
      <c r="A1" s="387" t="s">
        <v>282</v>
      </c>
      <c r="B1" s="437"/>
      <c r="C1" s="526" t="s">
        <v>310</v>
      </c>
      <c r="D1" s="527"/>
      <c r="E1" s="528" t="s">
        <v>323</v>
      </c>
      <c r="F1" s="529"/>
      <c r="G1" s="438"/>
      <c r="H1" s="439"/>
    </row>
    <row r="2" spans="1:8" s="13" customFormat="1" ht="30" customHeight="1" thickTop="1" thickBot="1" x14ac:dyDescent="0.3">
      <c r="A2" s="530" t="s">
        <v>298</v>
      </c>
      <c r="B2" s="531"/>
      <c r="C2" s="409"/>
      <c r="D2" s="409"/>
      <c r="E2" s="409"/>
      <c r="F2" s="442"/>
      <c r="G2" s="433"/>
      <c r="H2" s="431"/>
    </row>
    <row r="3" spans="1:8" s="13" customFormat="1" ht="79.5" customHeight="1" thickTop="1" thickBot="1" x14ac:dyDescent="0.3">
      <c r="A3" s="66" t="s">
        <v>188</v>
      </c>
      <c r="B3" s="403" t="s">
        <v>187</v>
      </c>
      <c r="C3" s="67" t="s">
        <v>300</v>
      </c>
      <c r="D3" s="68" t="s">
        <v>306</v>
      </c>
      <c r="E3" s="443" t="s">
        <v>309</v>
      </c>
      <c r="F3" s="444" t="s">
        <v>294</v>
      </c>
      <c r="G3" s="414" t="s">
        <v>251</v>
      </c>
      <c r="H3" s="413" t="s">
        <v>252</v>
      </c>
    </row>
    <row r="4" spans="1:8" s="13" customFormat="1" ht="35.1" customHeight="1" thickTop="1" thickBot="1" x14ac:dyDescent="0.3">
      <c r="A4" s="408" t="s">
        <v>296</v>
      </c>
      <c r="B4" s="402"/>
      <c r="C4" s="428"/>
      <c r="D4" s="440"/>
      <c r="E4" s="425"/>
      <c r="F4" s="426"/>
      <c r="G4" s="415"/>
      <c r="H4" s="420"/>
    </row>
    <row r="5" spans="1:8" s="13" customFormat="1" ht="35.1" customHeight="1" thickTop="1" thickBot="1" x14ac:dyDescent="0.3">
      <c r="A5" s="408" t="s">
        <v>297</v>
      </c>
      <c r="B5" s="402"/>
      <c r="C5" s="428"/>
      <c r="D5" s="440"/>
      <c r="E5" s="425"/>
      <c r="F5" s="426"/>
      <c r="G5" s="415"/>
      <c r="H5" s="420"/>
    </row>
    <row r="6" spans="1:8" s="13" customFormat="1" ht="35.1" customHeight="1" thickTop="1" thickBot="1" x14ac:dyDescent="0.3">
      <c r="A6" s="408" t="s">
        <v>295</v>
      </c>
      <c r="B6" s="402"/>
      <c r="C6" s="428"/>
      <c r="D6" s="440"/>
      <c r="E6" s="425"/>
      <c r="F6" s="426"/>
      <c r="G6" s="415"/>
      <c r="H6" s="420"/>
    </row>
    <row r="7" spans="1:8" s="13" customFormat="1" ht="35.1" customHeight="1" thickTop="1" thickBot="1" x14ac:dyDescent="0.3">
      <c r="A7" s="408" t="s">
        <v>301</v>
      </c>
      <c r="B7" s="402"/>
      <c r="C7" s="440"/>
      <c r="D7" s="429"/>
      <c r="E7" s="425"/>
      <c r="F7" s="426"/>
      <c r="G7" s="421"/>
      <c r="H7" s="435"/>
    </row>
    <row r="8" spans="1:8" s="13" customFormat="1" ht="35.1" customHeight="1" thickTop="1" thickBot="1" x14ac:dyDescent="0.3">
      <c r="A8" s="408" t="s">
        <v>302</v>
      </c>
      <c r="B8" s="402"/>
      <c r="C8" s="440"/>
      <c r="D8" s="429"/>
      <c r="E8" s="425"/>
      <c r="F8" s="426"/>
      <c r="G8" s="417"/>
      <c r="H8" s="434"/>
    </row>
    <row r="9" spans="1:8" s="13" customFormat="1" ht="35.1" customHeight="1" thickTop="1" thickBot="1" x14ac:dyDescent="0.3">
      <c r="A9" s="408" t="s">
        <v>303</v>
      </c>
      <c r="B9" s="402"/>
      <c r="C9" s="440"/>
      <c r="D9" s="429"/>
      <c r="E9" s="425"/>
      <c r="F9" s="426"/>
      <c r="G9" s="417"/>
      <c r="H9" s="434"/>
    </row>
    <row r="10" spans="1:8" s="13" customFormat="1" ht="35.1" customHeight="1" thickTop="1" thickBot="1" x14ac:dyDescent="0.3">
      <c r="A10" s="122" t="s">
        <v>304</v>
      </c>
      <c r="B10" s="402"/>
      <c r="C10" s="440"/>
      <c r="D10" s="429"/>
      <c r="E10" s="425"/>
      <c r="F10" s="426"/>
      <c r="G10" s="417"/>
      <c r="H10" s="434"/>
    </row>
    <row r="11" spans="1:8" s="13" customFormat="1" ht="35.1" customHeight="1" thickTop="1" thickBot="1" x14ac:dyDescent="0.3">
      <c r="A11" s="122" t="s">
        <v>162</v>
      </c>
      <c r="B11" s="402"/>
      <c r="C11" s="440"/>
      <c r="D11" s="429"/>
      <c r="E11" s="427"/>
      <c r="F11" s="426"/>
      <c r="G11" s="417"/>
      <c r="H11" s="434"/>
    </row>
    <row r="12" spans="1:8" s="13" customFormat="1" ht="35.1" customHeight="1" thickTop="1" thickBot="1" x14ac:dyDescent="0.3">
      <c r="A12" s="122" t="s">
        <v>163</v>
      </c>
      <c r="B12" s="402"/>
      <c r="C12" s="440"/>
      <c r="D12" s="429"/>
      <c r="E12" s="427"/>
      <c r="F12" s="426"/>
      <c r="G12" s="417"/>
      <c r="H12" s="434"/>
    </row>
    <row r="13" spans="1:8" s="13" customFormat="1" ht="35.1" customHeight="1" thickTop="1" thickBot="1" x14ac:dyDescent="0.3">
      <c r="A13" s="122" t="s">
        <v>164</v>
      </c>
      <c r="B13" s="402"/>
      <c r="C13" s="440"/>
      <c r="D13" s="429"/>
      <c r="E13" s="427">
        <v>0</v>
      </c>
      <c r="F13" s="426"/>
      <c r="G13" s="417"/>
      <c r="H13" s="434"/>
    </row>
    <row r="14" spans="1:8" s="13" customFormat="1" ht="35.1" customHeight="1" thickTop="1" thickBot="1" x14ac:dyDescent="0.3">
      <c r="A14" s="122" t="s">
        <v>167</v>
      </c>
      <c r="B14" s="402" t="str">
        <f>IF('[1]Waste Data Qrt 2'!B14&gt;"",'[1]Waste Data Qrt 2'!B14,"")</f>
        <v/>
      </c>
      <c r="C14" s="440"/>
      <c r="D14" s="429"/>
      <c r="E14" s="427">
        <v>0</v>
      </c>
      <c r="F14" s="426"/>
      <c r="G14" s="417"/>
      <c r="H14" s="434"/>
    </row>
    <row r="15" spans="1:8" s="13" customFormat="1" ht="35.1" customHeight="1" thickTop="1" thickBot="1" x14ac:dyDescent="0.3">
      <c r="A15" s="122" t="s">
        <v>236</v>
      </c>
      <c r="B15" s="402"/>
      <c r="C15" s="440"/>
      <c r="D15" s="429"/>
      <c r="E15" s="427">
        <v>0</v>
      </c>
      <c r="F15" s="426"/>
      <c r="G15" s="417"/>
      <c r="H15" s="434"/>
    </row>
    <row r="16" spans="1:8" s="13" customFormat="1" ht="35.1" customHeight="1" thickTop="1" thickBot="1" x14ac:dyDescent="0.3">
      <c r="A16" s="122" t="s">
        <v>235</v>
      </c>
      <c r="B16" s="402"/>
      <c r="C16" s="440"/>
      <c r="D16" s="429"/>
      <c r="E16" s="427">
        <v>0</v>
      </c>
      <c r="F16" s="426"/>
      <c r="G16" s="417"/>
      <c r="H16" s="434"/>
    </row>
    <row r="17" spans="1:9" s="13" customFormat="1" ht="35.1" customHeight="1" thickTop="1" thickBot="1" x14ac:dyDescent="0.3">
      <c r="A17" s="122" t="s">
        <v>166</v>
      </c>
      <c r="B17" s="402" t="str">
        <f>IF('[1]Waste Data Qrt 2'!B17&gt;"",'[1]Waste Data Qrt 2'!B17,"")</f>
        <v/>
      </c>
      <c r="C17" s="440"/>
      <c r="D17" s="429"/>
      <c r="E17" s="427">
        <v>0</v>
      </c>
      <c r="F17" s="426"/>
      <c r="G17" s="417"/>
      <c r="H17" s="434"/>
    </row>
    <row r="18" spans="1:9" s="13" customFormat="1" ht="35.1" customHeight="1" thickTop="1" thickBot="1" x14ac:dyDescent="0.3">
      <c r="A18" s="122" t="s">
        <v>189</v>
      </c>
      <c r="B18" s="402"/>
      <c r="C18" s="440"/>
      <c r="D18" s="429"/>
      <c r="E18" s="427"/>
      <c r="F18" s="426"/>
      <c r="G18" s="417"/>
      <c r="H18" s="434"/>
    </row>
    <row r="19" spans="1:9" s="13" customFormat="1" ht="35.1" customHeight="1" thickTop="1" thickBot="1" x14ac:dyDescent="0.3">
      <c r="A19" s="122" t="s">
        <v>190</v>
      </c>
      <c r="B19" s="402" t="str">
        <f>IF('[1]Waste Data Qrt 2'!B19&gt;"",'[1]Waste Data Qrt 2'!B19,"")</f>
        <v/>
      </c>
      <c r="C19" s="440"/>
      <c r="D19" s="429"/>
      <c r="E19" s="427">
        <v>0</v>
      </c>
      <c r="F19" s="426"/>
      <c r="G19" s="417"/>
      <c r="H19" s="434"/>
    </row>
    <row r="20" spans="1:9" s="13" customFormat="1" ht="35.1" customHeight="1" thickTop="1" thickBot="1" x14ac:dyDescent="0.3">
      <c r="A20" s="122" t="s">
        <v>169</v>
      </c>
      <c r="B20" s="402" t="str">
        <f>IF('[1]Waste Data Qrt 2'!B20&gt;"",'[1]Waste Data Qrt 2'!B20,"")</f>
        <v/>
      </c>
      <c r="C20" s="440"/>
      <c r="D20" s="429"/>
      <c r="E20" s="427">
        <v>0</v>
      </c>
      <c r="F20" s="426"/>
      <c r="G20" s="417"/>
      <c r="H20" s="434"/>
    </row>
    <row r="21" spans="1:9" s="13" customFormat="1" ht="35.1" customHeight="1" thickTop="1" thickBot="1" x14ac:dyDescent="0.3">
      <c r="A21" s="441"/>
      <c r="B21" s="407"/>
      <c r="C21" s="410" t="s">
        <v>168</v>
      </c>
      <c r="D21" s="440"/>
      <c r="E21" s="411">
        <f>SUM(E4:E20)</f>
        <v>0</v>
      </c>
      <c r="F21" s="412">
        <f>SUM(F4:F20)</f>
        <v>0</v>
      </c>
      <c r="G21" s="417"/>
      <c r="H21" s="434"/>
    </row>
    <row r="22" spans="1:9" s="13" customFormat="1" ht="35.1" customHeight="1" thickTop="1" thickBot="1" x14ac:dyDescent="0.3">
      <c r="A22" s="532" t="s">
        <v>248</v>
      </c>
      <c r="B22" s="531"/>
      <c r="C22" s="533" t="s">
        <v>310</v>
      </c>
      <c r="D22" s="534"/>
      <c r="E22" s="535" t="s">
        <v>323</v>
      </c>
      <c r="F22" s="536"/>
      <c r="G22" s="417"/>
      <c r="H22" s="434"/>
    </row>
    <row r="23" spans="1:9" s="13" customFormat="1" ht="79.5" customHeight="1" thickTop="1" thickBot="1" x14ac:dyDescent="0.3">
      <c r="A23" s="66" t="s">
        <v>188</v>
      </c>
      <c r="B23" s="403" t="s">
        <v>187</v>
      </c>
      <c r="C23" s="67" t="s">
        <v>300</v>
      </c>
      <c r="D23" s="68" t="s">
        <v>307</v>
      </c>
      <c r="E23" s="69" t="s">
        <v>308</v>
      </c>
      <c r="F23" s="68" t="s">
        <v>294</v>
      </c>
      <c r="G23" s="433" t="s">
        <v>251</v>
      </c>
      <c r="H23" s="436" t="s">
        <v>252</v>
      </c>
      <c r="I23" s="432"/>
    </row>
    <row r="24" spans="1:9" s="13" customFormat="1" ht="35.1" customHeight="1" thickTop="1" thickBot="1" x14ac:dyDescent="0.3">
      <c r="A24" s="408" t="s">
        <v>289</v>
      </c>
      <c r="B24" s="405" t="s">
        <v>233</v>
      </c>
      <c r="C24" s="428"/>
      <c r="D24" s="440"/>
      <c r="E24" s="422">
        <f>SUM(C24)</f>
        <v>0</v>
      </c>
      <c r="F24" s="423"/>
      <c r="G24" s="416"/>
      <c r="H24" s="419"/>
    </row>
    <row r="25" spans="1:9" s="13" customFormat="1" ht="35.1" customHeight="1" thickTop="1" thickBot="1" x14ac:dyDescent="0.3">
      <c r="A25" s="408" t="s">
        <v>293</v>
      </c>
      <c r="B25" s="405" t="s">
        <v>292</v>
      </c>
      <c r="C25" s="428"/>
      <c r="D25" s="440"/>
      <c r="E25" s="422">
        <f>SUM(C25*48.85)</f>
        <v>0</v>
      </c>
      <c r="F25" s="423"/>
      <c r="G25" s="416"/>
      <c r="H25" s="419"/>
    </row>
    <row r="26" spans="1:9" s="13" customFormat="1" ht="35.1" customHeight="1" thickTop="1" thickBot="1" x14ac:dyDescent="0.3">
      <c r="A26" s="408" t="s">
        <v>299</v>
      </c>
      <c r="B26" s="405" t="s">
        <v>292</v>
      </c>
      <c r="C26" s="428"/>
      <c r="D26" s="440"/>
      <c r="E26" s="422">
        <f>SUM(C26*7.27)</f>
        <v>0</v>
      </c>
      <c r="F26" s="423"/>
      <c r="G26" s="416"/>
      <c r="H26" s="420"/>
    </row>
    <row r="27" spans="1:9" s="13" customFormat="1" ht="35.1" customHeight="1" thickTop="1" thickBot="1" x14ac:dyDescent="0.3">
      <c r="A27" s="408" t="s">
        <v>287</v>
      </c>
      <c r="B27" s="405" t="s">
        <v>290</v>
      </c>
      <c r="C27" s="440"/>
      <c r="D27" s="424"/>
      <c r="E27" s="430"/>
      <c r="F27" s="423"/>
      <c r="G27" s="417"/>
      <c r="H27" s="434"/>
    </row>
    <row r="28" spans="1:9" s="13" customFormat="1" ht="35.1" customHeight="1" thickTop="1" thickBot="1" x14ac:dyDescent="0.3">
      <c r="A28" s="408" t="s">
        <v>288</v>
      </c>
      <c r="B28" s="405" t="s">
        <v>291</v>
      </c>
      <c r="C28" s="440"/>
      <c r="D28" s="424"/>
      <c r="E28" s="430"/>
      <c r="F28" s="423"/>
      <c r="G28" s="417"/>
      <c r="H28" s="434"/>
    </row>
    <row r="29" spans="1:9" s="13" customFormat="1" ht="35.1" customHeight="1" thickTop="1" thickBot="1" x14ac:dyDescent="0.3">
      <c r="A29" s="408" t="s">
        <v>165</v>
      </c>
      <c r="B29" s="405" t="s">
        <v>237</v>
      </c>
      <c r="C29" s="440"/>
      <c r="D29" s="424"/>
      <c r="E29" s="430"/>
      <c r="F29" s="423"/>
      <c r="G29" s="417"/>
      <c r="H29" s="434"/>
    </row>
    <row r="30" spans="1:9" s="13" customFormat="1" ht="35.1" customHeight="1" thickTop="1" thickBot="1" x14ac:dyDescent="0.3">
      <c r="A30" s="408" t="s">
        <v>165</v>
      </c>
      <c r="B30" s="405" t="s">
        <v>305</v>
      </c>
      <c r="C30" s="440"/>
      <c r="D30" s="424"/>
      <c r="E30" s="430"/>
      <c r="F30" s="423"/>
      <c r="G30" s="417"/>
      <c r="H30" s="434"/>
    </row>
    <row r="31" spans="1:9" s="13" customFormat="1" ht="35.1" customHeight="1" thickTop="1" thickBot="1" x14ac:dyDescent="0.3">
      <c r="A31" s="408" t="s">
        <v>283</v>
      </c>
      <c r="B31" s="405" t="s">
        <v>234</v>
      </c>
      <c r="C31" s="440"/>
      <c r="D31" s="440"/>
      <c r="E31" s="422">
        <f>Clothing!S44</f>
        <v>0</v>
      </c>
      <c r="F31" s="423"/>
      <c r="G31" s="417"/>
      <c r="H31" s="434"/>
    </row>
    <row r="32" spans="1:9" s="13" customFormat="1" ht="35.1" customHeight="1" thickTop="1" thickBot="1" x14ac:dyDescent="0.3">
      <c r="A32" s="408" t="s">
        <v>284</v>
      </c>
      <c r="B32" s="405" t="s">
        <v>234</v>
      </c>
      <c r="C32" s="440"/>
      <c r="D32" s="440"/>
      <c r="E32" s="422">
        <f>SUM(Furniture!T38)</f>
        <v>0</v>
      </c>
      <c r="F32" s="423"/>
      <c r="G32" s="417"/>
      <c r="H32" s="434"/>
    </row>
    <row r="33" spans="1:8" s="13" customFormat="1" ht="35.1" customHeight="1" thickTop="1" thickBot="1" x14ac:dyDescent="0.3">
      <c r="A33" s="408" t="s">
        <v>285</v>
      </c>
      <c r="B33" s="405" t="s">
        <v>234</v>
      </c>
      <c r="C33" s="440"/>
      <c r="D33" s="440"/>
      <c r="E33" s="422"/>
      <c r="F33" s="423"/>
      <c r="G33" s="417"/>
      <c r="H33" s="434"/>
    </row>
    <row r="34" spans="1:8" s="13" customFormat="1" ht="35.1" customHeight="1" thickTop="1" thickBot="1" x14ac:dyDescent="0.3">
      <c r="A34" s="408" t="s">
        <v>286</v>
      </c>
      <c r="B34" s="405" t="s">
        <v>234</v>
      </c>
      <c r="C34" s="440"/>
      <c r="D34" s="440"/>
      <c r="E34" s="422"/>
      <c r="F34" s="423"/>
      <c r="G34" s="417"/>
      <c r="H34" s="434"/>
    </row>
    <row r="35" spans="1:8" s="13" customFormat="1" ht="35.1" customHeight="1" thickTop="1" thickBot="1" x14ac:dyDescent="0.3">
      <c r="A35" s="406"/>
      <c r="B35" s="407"/>
      <c r="C35" s="410"/>
      <c r="D35" s="473" t="s">
        <v>168</v>
      </c>
      <c r="E35" s="411">
        <f>SUM(E24:E34)</f>
        <v>0</v>
      </c>
      <c r="F35" s="412">
        <f>SUM(F24:F34)</f>
        <v>0</v>
      </c>
      <c r="G35" s="417"/>
      <c r="H35" s="418"/>
    </row>
    <row r="36" spans="1:8" ht="14.4" thickTop="1" x14ac:dyDescent="0.3">
      <c r="A36" s="70"/>
      <c r="B36" s="70"/>
      <c r="C36" s="70"/>
      <c r="D36" s="70"/>
      <c r="E36" s="70"/>
      <c r="F36" s="70"/>
    </row>
  </sheetData>
  <mergeCells count="6">
    <mergeCell ref="C1:D1"/>
    <mergeCell ref="E1:F1"/>
    <mergeCell ref="A2:B2"/>
    <mergeCell ref="A22:B22"/>
    <mergeCell ref="C22:D22"/>
    <mergeCell ref="E22:F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"/>
  <sheetViews>
    <sheetView topLeftCell="A4" workbookViewId="0">
      <selection activeCell="J13" sqref="J13"/>
    </sheetView>
  </sheetViews>
  <sheetFormatPr defaultColWidth="9.21875" defaultRowHeight="13.8" x14ac:dyDescent="0.3"/>
  <cols>
    <col min="1" max="1" width="27" style="1" customWidth="1"/>
    <col min="2" max="2" width="36.77734375" style="1" customWidth="1"/>
    <col min="3" max="4" width="12.77734375" style="1" customWidth="1"/>
    <col min="5" max="5" width="16.77734375" style="1" customWidth="1"/>
    <col min="6" max="6" width="14.77734375" style="1" customWidth="1"/>
    <col min="7" max="8" width="10.21875" style="71" hidden="1" customWidth="1"/>
    <col min="9" max="16384" width="9.21875" style="1"/>
  </cols>
  <sheetData>
    <row r="1" spans="1:8" s="13" customFormat="1" ht="30" customHeight="1" thickTop="1" thickBot="1" x14ac:dyDescent="0.3">
      <c r="A1" s="387" t="s">
        <v>282</v>
      </c>
      <c r="B1" s="437"/>
      <c r="C1" s="526" t="s">
        <v>318</v>
      </c>
      <c r="D1" s="527"/>
      <c r="E1" s="528" t="s">
        <v>324</v>
      </c>
      <c r="F1" s="529"/>
      <c r="G1" s="438"/>
      <c r="H1" s="439"/>
    </row>
    <row r="2" spans="1:8" s="13" customFormat="1" ht="30" customHeight="1" thickTop="1" thickBot="1" x14ac:dyDescent="0.3">
      <c r="A2" s="530" t="s">
        <v>298</v>
      </c>
      <c r="B2" s="531"/>
      <c r="C2" s="409"/>
      <c r="D2" s="409"/>
      <c r="E2" s="409"/>
      <c r="F2" s="442"/>
      <c r="G2" s="433"/>
      <c r="H2" s="431"/>
    </row>
    <row r="3" spans="1:8" s="13" customFormat="1" ht="79.5" customHeight="1" thickTop="1" thickBot="1" x14ac:dyDescent="0.3">
      <c r="A3" s="66" t="s">
        <v>188</v>
      </c>
      <c r="B3" s="403" t="s">
        <v>187</v>
      </c>
      <c r="C3" s="67" t="s">
        <v>300</v>
      </c>
      <c r="D3" s="68" t="s">
        <v>306</v>
      </c>
      <c r="E3" s="443" t="s">
        <v>309</v>
      </c>
      <c r="F3" s="444" t="s">
        <v>294</v>
      </c>
      <c r="G3" s="414" t="s">
        <v>251</v>
      </c>
      <c r="H3" s="413" t="s">
        <v>252</v>
      </c>
    </row>
    <row r="4" spans="1:8" s="13" customFormat="1" ht="35.1" customHeight="1" thickTop="1" thickBot="1" x14ac:dyDescent="0.3">
      <c r="A4" s="408" t="s">
        <v>296</v>
      </c>
      <c r="B4" s="402"/>
      <c r="C4" s="428"/>
      <c r="D4" s="440"/>
      <c r="E4" s="425">
        <v>0</v>
      </c>
      <c r="F4" s="426"/>
      <c r="G4" s="415"/>
      <c r="H4" s="420"/>
    </row>
    <row r="5" spans="1:8" s="13" customFormat="1" ht="35.1" customHeight="1" thickTop="1" thickBot="1" x14ac:dyDescent="0.3">
      <c r="A5" s="408" t="s">
        <v>297</v>
      </c>
      <c r="B5" s="402"/>
      <c r="C5" s="428"/>
      <c r="D5" s="440"/>
      <c r="E5" s="425">
        <v>0</v>
      </c>
      <c r="F5" s="426"/>
      <c r="G5" s="415"/>
      <c r="H5" s="420"/>
    </row>
    <row r="6" spans="1:8" s="13" customFormat="1" ht="35.1" customHeight="1" thickTop="1" thickBot="1" x14ac:dyDescent="0.3">
      <c r="A6" s="408" t="s">
        <v>295</v>
      </c>
      <c r="B6" s="402"/>
      <c r="C6" s="428"/>
      <c r="D6" s="440"/>
      <c r="E6" s="425">
        <v>0</v>
      </c>
      <c r="F6" s="426"/>
      <c r="G6" s="415"/>
      <c r="H6" s="420"/>
    </row>
    <row r="7" spans="1:8" s="13" customFormat="1" ht="35.1" customHeight="1" thickTop="1" thickBot="1" x14ac:dyDescent="0.3">
      <c r="A7" s="408" t="s">
        <v>301</v>
      </c>
      <c r="B7" s="402"/>
      <c r="C7" s="440"/>
      <c r="D7" s="429"/>
      <c r="E7" s="425">
        <v>0</v>
      </c>
      <c r="F7" s="426"/>
      <c r="G7" s="421"/>
      <c r="H7" s="435"/>
    </row>
    <row r="8" spans="1:8" s="13" customFormat="1" ht="35.1" customHeight="1" thickTop="1" thickBot="1" x14ac:dyDescent="0.3">
      <c r="A8" s="408" t="s">
        <v>302</v>
      </c>
      <c r="B8" s="402"/>
      <c r="C8" s="440"/>
      <c r="D8" s="429"/>
      <c r="E8" s="425">
        <v>0</v>
      </c>
      <c r="F8" s="426"/>
      <c r="G8" s="417"/>
      <c r="H8" s="434"/>
    </row>
    <row r="9" spans="1:8" s="13" customFormat="1" ht="35.1" customHeight="1" thickTop="1" thickBot="1" x14ac:dyDescent="0.3">
      <c r="A9" s="408" t="s">
        <v>303</v>
      </c>
      <c r="B9" s="402"/>
      <c r="C9" s="440"/>
      <c r="D9" s="429"/>
      <c r="E9" s="425">
        <v>0</v>
      </c>
      <c r="F9" s="426"/>
      <c r="G9" s="417"/>
      <c r="H9" s="434"/>
    </row>
    <row r="10" spans="1:8" s="13" customFormat="1" ht="35.1" customHeight="1" thickTop="1" thickBot="1" x14ac:dyDescent="0.3">
      <c r="A10" s="122" t="s">
        <v>304</v>
      </c>
      <c r="B10" s="402"/>
      <c r="C10" s="440"/>
      <c r="D10" s="429"/>
      <c r="E10" s="425"/>
      <c r="F10" s="426"/>
      <c r="G10" s="417"/>
      <c r="H10" s="434"/>
    </row>
    <row r="11" spans="1:8" s="13" customFormat="1" ht="35.1" customHeight="1" thickTop="1" thickBot="1" x14ac:dyDescent="0.3">
      <c r="A11" s="122" t="s">
        <v>162</v>
      </c>
      <c r="B11" s="402"/>
      <c r="C11" s="440"/>
      <c r="D11" s="429"/>
      <c r="E11" s="427"/>
      <c r="F11" s="426"/>
      <c r="G11" s="417"/>
      <c r="H11" s="434"/>
    </row>
    <row r="12" spans="1:8" s="13" customFormat="1" ht="35.1" customHeight="1" thickTop="1" thickBot="1" x14ac:dyDescent="0.3">
      <c r="A12" s="122" t="s">
        <v>163</v>
      </c>
      <c r="B12" s="402"/>
      <c r="C12" s="440"/>
      <c r="D12" s="429"/>
      <c r="E12" s="427">
        <v>0</v>
      </c>
      <c r="F12" s="426"/>
      <c r="G12" s="417"/>
      <c r="H12" s="434"/>
    </row>
    <row r="13" spans="1:8" s="13" customFormat="1" ht="35.1" customHeight="1" thickTop="1" thickBot="1" x14ac:dyDescent="0.3">
      <c r="A13" s="122" t="s">
        <v>164</v>
      </c>
      <c r="B13" s="402"/>
      <c r="C13" s="440"/>
      <c r="D13" s="429"/>
      <c r="E13" s="427"/>
      <c r="F13" s="426"/>
      <c r="G13" s="417"/>
      <c r="H13" s="434"/>
    </row>
    <row r="14" spans="1:8" s="13" customFormat="1" ht="35.1" customHeight="1" thickTop="1" thickBot="1" x14ac:dyDescent="0.3">
      <c r="A14" s="122" t="s">
        <v>167</v>
      </c>
      <c r="B14" s="402"/>
      <c r="C14" s="440"/>
      <c r="D14" s="429"/>
      <c r="E14" s="427">
        <v>0</v>
      </c>
      <c r="F14" s="426"/>
      <c r="G14" s="417"/>
      <c r="H14" s="434"/>
    </row>
    <row r="15" spans="1:8" s="13" customFormat="1" ht="35.1" customHeight="1" thickTop="1" thickBot="1" x14ac:dyDescent="0.3">
      <c r="A15" s="122" t="s">
        <v>236</v>
      </c>
      <c r="B15" s="402"/>
      <c r="C15" s="440"/>
      <c r="D15" s="429"/>
      <c r="E15" s="427"/>
      <c r="F15" s="426"/>
      <c r="G15" s="417"/>
      <c r="H15" s="434"/>
    </row>
    <row r="16" spans="1:8" s="13" customFormat="1" ht="35.1" customHeight="1" thickTop="1" thickBot="1" x14ac:dyDescent="0.3">
      <c r="A16" s="122" t="s">
        <v>235</v>
      </c>
      <c r="B16" s="402"/>
      <c r="C16" s="440"/>
      <c r="D16" s="429"/>
      <c r="E16" s="427"/>
      <c r="F16" s="426"/>
      <c r="G16" s="417"/>
      <c r="H16" s="434"/>
    </row>
    <row r="17" spans="1:9" s="13" customFormat="1" ht="35.1" customHeight="1" thickTop="1" thickBot="1" x14ac:dyDescent="0.3">
      <c r="A17" s="122" t="s">
        <v>166</v>
      </c>
      <c r="B17" s="402"/>
      <c r="C17" s="440"/>
      <c r="D17" s="429"/>
      <c r="E17" s="427">
        <v>0</v>
      </c>
      <c r="F17" s="426"/>
      <c r="G17" s="417"/>
      <c r="H17" s="434"/>
    </row>
    <row r="18" spans="1:9" s="13" customFormat="1" ht="35.1" customHeight="1" thickTop="1" thickBot="1" x14ac:dyDescent="0.3">
      <c r="A18" s="122" t="s">
        <v>189</v>
      </c>
      <c r="B18" s="402"/>
      <c r="C18" s="440"/>
      <c r="D18" s="429"/>
      <c r="E18" s="427"/>
      <c r="F18" s="426"/>
      <c r="G18" s="417"/>
      <c r="H18" s="434"/>
    </row>
    <row r="19" spans="1:9" s="13" customFormat="1" ht="35.1" customHeight="1" thickTop="1" thickBot="1" x14ac:dyDescent="0.3">
      <c r="A19" s="122" t="s">
        <v>190</v>
      </c>
      <c r="B19" s="402"/>
      <c r="C19" s="440"/>
      <c r="D19" s="429"/>
      <c r="E19" s="427"/>
      <c r="F19" s="426"/>
      <c r="G19" s="417"/>
      <c r="H19" s="434"/>
    </row>
    <row r="20" spans="1:9" s="13" customFormat="1" ht="35.1" customHeight="1" thickTop="1" thickBot="1" x14ac:dyDescent="0.3">
      <c r="A20" s="122" t="s">
        <v>169</v>
      </c>
      <c r="B20" s="404"/>
      <c r="C20" s="440"/>
      <c r="D20" s="429"/>
      <c r="E20" s="427"/>
      <c r="F20" s="426"/>
      <c r="G20" s="417"/>
      <c r="H20" s="434"/>
    </row>
    <row r="21" spans="1:9" s="13" customFormat="1" ht="35.1" customHeight="1" thickTop="1" thickBot="1" x14ac:dyDescent="0.3">
      <c r="A21" s="441"/>
      <c r="B21" s="407"/>
      <c r="C21" s="410" t="s">
        <v>168</v>
      </c>
      <c r="D21" s="440"/>
      <c r="E21" s="411">
        <f>SUM(E4:E20)</f>
        <v>0</v>
      </c>
      <c r="F21" s="412">
        <f>SUM(F4:F20)</f>
        <v>0</v>
      </c>
      <c r="G21" s="417"/>
      <c r="H21" s="434"/>
    </row>
    <row r="22" spans="1:9" s="13" customFormat="1" ht="35.1" customHeight="1" thickTop="1" thickBot="1" x14ac:dyDescent="0.3">
      <c r="A22" s="532" t="s">
        <v>248</v>
      </c>
      <c r="B22" s="531"/>
      <c r="C22" s="533" t="s">
        <v>310</v>
      </c>
      <c r="D22" s="534"/>
      <c r="E22" s="535" t="s">
        <v>324</v>
      </c>
      <c r="F22" s="536"/>
      <c r="G22" s="417"/>
      <c r="H22" s="434"/>
    </row>
    <row r="23" spans="1:9" s="13" customFormat="1" ht="79.5" customHeight="1" thickTop="1" thickBot="1" x14ac:dyDescent="0.3">
      <c r="A23" s="66" t="s">
        <v>188</v>
      </c>
      <c r="B23" s="403" t="s">
        <v>187</v>
      </c>
      <c r="C23" s="67" t="s">
        <v>300</v>
      </c>
      <c r="D23" s="68" t="s">
        <v>307</v>
      </c>
      <c r="E23" s="69" t="s">
        <v>308</v>
      </c>
      <c r="F23" s="68" t="s">
        <v>294</v>
      </c>
      <c r="G23" s="433"/>
      <c r="H23" s="436"/>
      <c r="I23" s="432"/>
    </row>
    <row r="24" spans="1:9" s="13" customFormat="1" ht="35.1" customHeight="1" thickTop="1" thickBot="1" x14ac:dyDescent="0.3">
      <c r="A24" s="408" t="s">
        <v>289</v>
      </c>
      <c r="B24" s="405" t="s">
        <v>233</v>
      </c>
      <c r="C24" s="428">
        <v>0</v>
      </c>
      <c r="D24" s="440"/>
      <c r="E24" s="422">
        <f>SUM(C24)</f>
        <v>0</v>
      </c>
      <c r="F24" s="423">
        <f>SUM(C24*0.0009)</f>
        <v>0</v>
      </c>
      <c r="G24" s="416"/>
      <c r="H24" s="419"/>
    </row>
    <row r="25" spans="1:9" s="13" customFormat="1" ht="35.1" customHeight="1" thickTop="1" thickBot="1" x14ac:dyDescent="0.3">
      <c r="A25" s="408" t="s">
        <v>293</v>
      </c>
      <c r="B25" s="405" t="s">
        <v>292</v>
      </c>
      <c r="C25" s="428">
        <v>0</v>
      </c>
      <c r="D25" s="440"/>
      <c r="E25" s="422">
        <f>SUM(C25*48.85)</f>
        <v>0</v>
      </c>
      <c r="F25" s="423">
        <f>SUM(C25*0.016)</f>
        <v>0</v>
      </c>
      <c r="G25" s="416"/>
      <c r="H25" s="419"/>
    </row>
    <row r="26" spans="1:9" s="13" customFormat="1" ht="35.1" customHeight="1" thickTop="1" thickBot="1" x14ac:dyDescent="0.3">
      <c r="A26" s="408" t="s">
        <v>299</v>
      </c>
      <c r="B26" s="405" t="s">
        <v>292</v>
      </c>
      <c r="C26" s="428">
        <v>0</v>
      </c>
      <c r="D26" s="440"/>
      <c r="E26" s="422">
        <f>SUM(C26*7.27)</f>
        <v>0</v>
      </c>
      <c r="F26" s="423">
        <f>SUM(C26*0.0015)</f>
        <v>0</v>
      </c>
      <c r="G26" s="416"/>
      <c r="H26" s="420"/>
    </row>
    <row r="27" spans="1:9" s="13" customFormat="1" ht="35.1" customHeight="1" thickTop="1" thickBot="1" x14ac:dyDescent="0.3">
      <c r="A27" s="408" t="s">
        <v>287</v>
      </c>
      <c r="B27" s="405" t="s">
        <v>290</v>
      </c>
      <c r="C27" s="440"/>
      <c r="D27" s="424">
        <v>0</v>
      </c>
      <c r="E27" s="430"/>
      <c r="F27" s="423">
        <f>SUM(D27)</f>
        <v>0</v>
      </c>
      <c r="G27" s="417"/>
      <c r="H27" s="434"/>
    </row>
    <row r="28" spans="1:9" s="13" customFormat="1" ht="35.1" customHeight="1" thickTop="1" thickBot="1" x14ac:dyDescent="0.3">
      <c r="A28" s="408" t="s">
        <v>288</v>
      </c>
      <c r="B28" s="405" t="s">
        <v>291</v>
      </c>
      <c r="C28" s="440"/>
      <c r="D28" s="424">
        <v>0</v>
      </c>
      <c r="E28" s="430"/>
      <c r="F28" s="423">
        <f>SUM(D28)</f>
        <v>0</v>
      </c>
      <c r="G28" s="417"/>
      <c r="H28" s="434"/>
    </row>
    <row r="29" spans="1:9" s="13" customFormat="1" ht="35.1" customHeight="1" thickTop="1" thickBot="1" x14ac:dyDescent="0.3">
      <c r="A29" s="408" t="s">
        <v>165</v>
      </c>
      <c r="B29" s="405" t="s">
        <v>237</v>
      </c>
      <c r="C29" s="440"/>
      <c r="D29" s="424">
        <v>0</v>
      </c>
      <c r="E29" s="430"/>
      <c r="F29" s="423">
        <f>SUM(D29)</f>
        <v>0</v>
      </c>
      <c r="G29" s="417"/>
      <c r="H29" s="434"/>
    </row>
    <row r="30" spans="1:9" s="13" customFormat="1" ht="35.1" customHeight="1" thickTop="1" thickBot="1" x14ac:dyDescent="0.3">
      <c r="A30" s="408" t="s">
        <v>165</v>
      </c>
      <c r="B30" s="405" t="s">
        <v>305</v>
      </c>
      <c r="C30" s="440"/>
      <c r="D30" s="424">
        <v>0</v>
      </c>
      <c r="E30" s="430"/>
      <c r="F30" s="423">
        <f>SUM(D30)</f>
        <v>0</v>
      </c>
      <c r="G30" s="417"/>
      <c r="H30" s="434"/>
    </row>
    <row r="31" spans="1:9" s="13" customFormat="1" ht="35.1" customHeight="1" thickTop="1" thickBot="1" x14ac:dyDescent="0.3">
      <c r="A31" s="408" t="s">
        <v>283</v>
      </c>
      <c r="B31" s="405" t="s">
        <v>234</v>
      </c>
      <c r="C31" s="440"/>
      <c r="D31" s="440"/>
      <c r="E31" s="422">
        <f>Clothing!AI44</f>
        <v>0</v>
      </c>
      <c r="F31" s="423">
        <f>SUM(Clothing!AJ44)</f>
        <v>0</v>
      </c>
      <c r="G31" s="417"/>
      <c r="H31" s="434"/>
    </row>
    <row r="32" spans="1:9" s="13" customFormat="1" ht="35.1" customHeight="1" thickTop="1" thickBot="1" x14ac:dyDescent="0.3">
      <c r="A32" s="408" t="s">
        <v>284</v>
      </c>
      <c r="B32" s="405" t="s">
        <v>234</v>
      </c>
      <c r="C32" s="440"/>
      <c r="D32" s="440"/>
      <c r="E32" s="422">
        <f>SUM(Furniture!AJ38)</f>
        <v>0</v>
      </c>
      <c r="F32" s="423">
        <f>SUM(Furniture!AK38)</f>
        <v>0</v>
      </c>
      <c r="G32" s="417"/>
      <c r="H32" s="434"/>
    </row>
    <row r="33" spans="1:8" s="13" customFormat="1" ht="35.1" customHeight="1" thickTop="1" thickBot="1" x14ac:dyDescent="0.3">
      <c r="A33" s="408" t="s">
        <v>285</v>
      </c>
      <c r="B33" s="405" t="s">
        <v>234</v>
      </c>
      <c r="C33" s="440"/>
      <c r="D33" s="440"/>
      <c r="E33" s="422">
        <f>SUM(Equipment!AI58)</f>
        <v>0</v>
      </c>
      <c r="F33" s="423">
        <f>SUM(Equipment!AJ58)</f>
        <v>0</v>
      </c>
      <c r="G33" s="417"/>
      <c r="H33" s="434"/>
    </row>
    <row r="34" spans="1:8" s="13" customFormat="1" ht="35.1" customHeight="1" thickTop="1" thickBot="1" x14ac:dyDescent="0.3">
      <c r="A34" s="408" t="s">
        <v>286</v>
      </c>
      <c r="B34" s="405" t="s">
        <v>234</v>
      </c>
      <c r="C34" s="440"/>
      <c r="D34" s="440"/>
      <c r="E34" s="422">
        <f>SUM('other Items'!L19)</f>
        <v>0</v>
      </c>
      <c r="F34" s="423">
        <f>SUM('other Items'!M19)</f>
        <v>0</v>
      </c>
      <c r="G34" s="417"/>
      <c r="H34" s="434"/>
    </row>
    <row r="35" spans="1:8" s="13" customFormat="1" ht="35.1" customHeight="1" thickTop="1" thickBot="1" x14ac:dyDescent="0.3">
      <c r="A35" s="406"/>
      <c r="B35" s="407"/>
      <c r="C35" s="410"/>
      <c r="D35" s="473" t="s">
        <v>168</v>
      </c>
      <c r="E35" s="411">
        <f>SUM(E24:E34)</f>
        <v>0</v>
      </c>
      <c r="F35" s="412">
        <f>SUM(F24:F34)</f>
        <v>0</v>
      </c>
      <c r="G35" s="417"/>
      <c r="H35" s="418"/>
    </row>
    <row r="36" spans="1:8" ht="14.4" thickTop="1" x14ac:dyDescent="0.3">
      <c r="A36" s="70"/>
      <c r="B36" s="70"/>
      <c r="C36" s="70"/>
      <c r="D36" s="70"/>
      <c r="E36" s="70"/>
      <c r="F36" s="70"/>
    </row>
  </sheetData>
  <mergeCells count="6">
    <mergeCell ref="C1:D1"/>
    <mergeCell ref="E1:F1"/>
    <mergeCell ref="A2:B2"/>
    <mergeCell ref="A22:B22"/>
    <mergeCell ref="C22:D22"/>
    <mergeCell ref="E22:F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topLeftCell="A22" workbookViewId="0">
      <selection activeCell="C26" sqref="C26"/>
    </sheetView>
  </sheetViews>
  <sheetFormatPr defaultColWidth="9.21875" defaultRowHeight="13.8" x14ac:dyDescent="0.3"/>
  <cols>
    <col min="1" max="1" width="27" style="1" customWidth="1"/>
    <col min="2" max="2" width="36.77734375" style="1" customWidth="1"/>
    <col min="3" max="4" width="12.77734375" style="1" customWidth="1"/>
    <col min="5" max="5" width="16.77734375" style="1" customWidth="1"/>
    <col min="6" max="6" width="15.77734375" style="1" customWidth="1"/>
    <col min="7" max="8" width="10.21875" style="71" hidden="1" customWidth="1"/>
    <col min="9" max="16384" width="9.21875" style="1"/>
  </cols>
  <sheetData>
    <row r="1" spans="1:8" s="13" customFormat="1" ht="30" customHeight="1" thickTop="1" thickBot="1" x14ac:dyDescent="0.3">
      <c r="A1" s="387" t="s">
        <v>282</v>
      </c>
      <c r="B1" s="437"/>
      <c r="C1" s="526" t="s">
        <v>319</v>
      </c>
      <c r="D1" s="527"/>
      <c r="E1" s="528" t="s">
        <v>325</v>
      </c>
      <c r="F1" s="529"/>
      <c r="G1" s="438"/>
      <c r="H1" s="439"/>
    </row>
    <row r="2" spans="1:8" s="13" customFormat="1" ht="30" customHeight="1" thickTop="1" thickBot="1" x14ac:dyDescent="0.3">
      <c r="A2" s="530" t="s">
        <v>298</v>
      </c>
      <c r="B2" s="531"/>
      <c r="C2" s="409"/>
      <c r="D2" s="409"/>
      <c r="E2" s="409"/>
      <c r="F2" s="442"/>
      <c r="G2" s="433"/>
      <c r="H2" s="431"/>
    </row>
    <row r="3" spans="1:8" s="13" customFormat="1" ht="79.5" customHeight="1" thickTop="1" thickBot="1" x14ac:dyDescent="0.3">
      <c r="A3" s="66" t="s">
        <v>188</v>
      </c>
      <c r="B3" s="403" t="s">
        <v>187</v>
      </c>
      <c r="C3" s="67" t="s">
        <v>300</v>
      </c>
      <c r="D3" s="68" t="s">
        <v>306</v>
      </c>
      <c r="E3" s="443" t="s">
        <v>309</v>
      </c>
      <c r="F3" s="444" t="s">
        <v>294</v>
      </c>
      <c r="G3" s="414" t="s">
        <v>251</v>
      </c>
      <c r="H3" s="413" t="s">
        <v>252</v>
      </c>
    </row>
    <row r="4" spans="1:8" s="13" customFormat="1" ht="35.1" customHeight="1" thickTop="1" thickBot="1" x14ac:dyDescent="0.3">
      <c r="A4" s="408" t="s">
        <v>296</v>
      </c>
      <c r="B4" s="402"/>
      <c r="C4" s="428">
        <v>0</v>
      </c>
      <c r="D4" s="440"/>
      <c r="E4" s="425">
        <v>0</v>
      </c>
      <c r="F4" s="426">
        <f>SUM(C4*0.0009)</f>
        <v>0</v>
      </c>
      <c r="G4" s="415"/>
      <c r="H4" s="420"/>
    </row>
    <row r="5" spans="1:8" s="13" customFormat="1" ht="35.1" customHeight="1" thickTop="1" thickBot="1" x14ac:dyDescent="0.3">
      <c r="A5" s="408" t="s">
        <v>297</v>
      </c>
      <c r="B5" s="402"/>
      <c r="C5" s="428">
        <v>0</v>
      </c>
      <c r="D5" s="440"/>
      <c r="E5" s="425">
        <v>0</v>
      </c>
      <c r="F5" s="426">
        <f>SUM(C5*0.016)</f>
        <v>0</v>
      </c>
      <c r="G5" s="415"/>
      <c r="H5" s="420"/>
    </row>
    <row r="6" spans="1:8" s="13" customFormat="1" ht="35.1" customHeight="1" thickTop="1" thickBot="1" x14ac:dyDescent="0.3">
      <c r="A6" s="408" t="s">
        <v>295</v>
      </c>
      <c r="B6" s="402"/>
      <c r="C6" s="428">
        <v>0</v>
      </c>
      <c r="D6" s="440"/>
      <c r="E6" s="425">
        <v>0</v>
      </c>
      <c r="F6" s="426">
        <f>SUM(C6*0.0015)</f>
        <v>0</v>
      </c>
      <c r="G6" s="415"/>
      <c r="H6" s="420"/>
    </row>
    <row r="7" spans="1:8" s="13" customFormat="1" ht="35.1" customHeight="1" thickTop="1" thickBot="1" x14ac:dyDescent="0.3">
      <c r="A7" s="408" t="s">
        <v>301</v>
      </c>
      <c r="B7" s="402"/>
      <c r="C7" s="440"/>
      <c r="D7" s="429">
        <v>0</v>
      </c>
      <c r="E7" s="425">
        <v>0</v>
      </c>
      <c r="F7" s="426">
        <f t="shared" ref="F7:F20" si="0">SUM(D7*1)</f>
        <v>0</v>
      </c>
      <c r="G7" s="421"/>
      <c r="H7" s="435"/>
    </row>
    <row r="8" spans="1:8" s="13" customFormat="1" ht="35.1" customHeight="1" thickTop="1" thickBot="1" x14ac:dyDescent="0.3">
      <c r="A8" s="408" t="s">
        <v>302</v>
      </c>
      <c r="B8" s="402"/>
      <c r="C8" s="440"/>
      <c r="D8" s="429">
        <v>0</v>
      </c>
      <c r="E8" s="425">
        <v>0</v>
      </c>
      <c r="F8" s="426">
        <f t="shared" si="0"/>
        <v>0</v>
      </c>
      <c r="G8" s="417"/>
      <c r="H8" s="434"/>
    </row>
    <row r="9" spans="1:8" s="13" customFormat="1" ht="35.1" customHeight="1" thickTop="1" thickBot="1" x14ac:dyDescent="0.3">
      <c r="A9" s="408" t="s">
        <v>303</v>
      </c>
      <c r="B9" s="402"/>
      <c r="C9" s="440"/>
      <c r="D9" s="429">
        <v>0</v>
      </c>
      <c r="E9" s="425">
        <v>0</v>
      </c>
      <c r="F9" s="426">
        <f t="shared" si="0"/>
        <v>0</v>
      </c>
      <c r="G9" s="417"/>
      <c r="H9" s="434"/>
    </row>
    <row r="10" spans="1:8" s="13" customFormat="1" ht="35.1" customHeight="1" thickTop="1" thickBot="1" x14ac:dyDescent="0.3">
      <c r="A10" s="122" t="s">
        <v>304</v>
      </c>
      <c r="B10" s="402"/>
      <c r="C10" s="440"/>
      <c r="D10" s="429"/>
      <c r="E10" s="425"/>
      <c r="F10" s="426">
        <f t="shared" si="0"/>
        <v>0</v>
      </c>
      <c r="G10" s="417"/>
      <c r="H10" s="434"/>
    </row>
    <row r="11" spans="1:8" s="13" customFormat="1" ht="35.1" customHeight="1" thickTop="1" thickBot="1" x14ac:dyDescent="0.3">
      <c r="A11" s="122" t="s">
        <v>162</v>
      </c>
      <c r="B11" s="402"/>
      <c r="C11" s="440"/>
      <c r="D11" s="429"/>
      <c r="E11" s="427"/>
      <c r="F11" s="426">
        <f t="shared" si="0"/>
        <v>0</v>
      </c>
      <c r="G11" s="417"/>
      <c r="H11" s="434"/>
    </row>
    <row r="12" spans="1:8" s="13" customFormat="1" ht="35.1" customHeight="1" thickTop="1" thickBot="1" x14ac:dyDescent="0.3">
      <c r="A12" s="122" t="s">
        <v>163</v>
      </c>
      <c r="B12" s="402"/>
      <c r="C12" s="440"/>
      <c r="D12" s="429">
        <v>0</v>
      </c>
      <c r="E12" s="427">
        <v>0</v>
      </c>
      <c r="F12" s="426">
        <f t="shared" si="0"/>
        <v>0</v>
      </c>
      <c r="G12" s="417"/>
      <c r="H12" s="434"/>
    </row>
    <row r="13" spans="1:8" s="13" customFormat="1" ht="35.1" customHeight="1" thickTop="1" thickBot="1" x14ac:dyDescent="0.3">
      <c r="A13" s="122" t="s">
        <v>164</v>
      </c>
      <c r="B13" s="402"/>
      <c r="C13" s="440"/>
      <c r="D13" s="429">
        <v>0</v>
      </c>
      <c r="E13" s="427">
        <v>0</v>
      </c>
      <c r="F13" s="426">
        <f t="shared" si="0"/>
        <v>0</v>
      </c>
      <c r="G13" s="417"/>
      <c r="H13" s="434"/>
    </row>
    <row r="14" spans="1:8" s="13" customFormat="1" ht="35.1" customHeight="1" thickTop="1" thickBot="1" x14ac:dyDescent="0.3">
      <c r="A14" s="122" t="s">
        <v>167</v>
      </c>
      <c r="B14" s="402"/>
      <c r="C14" s="440"/>
      <c r="D14" s="429">
        <v>0</v>
      </c>
      <c r="E14" s="427">
        <v>0</v>
      </c>
      <c r="F14" s="426">
        <f t="shared" si="0"/>
        <v>0</v>
      </c>
      <c r="G14" s="417"/>
      <c r="H14" s="434"/>
    </row>
    <row r="15" spans="1:8" s="13" customFormat="1" ht="35.1" customHeight="1" thickTop="1" thickBot="1" x14ac:dyDescent="0.3">
      <c r="A15" s="122" t="s">
        <v>236</v>
      </c>
      <c r="B15" s="402"/>
      <c r="C15" s="440"/>
      <c r="D15" s="429">
        <v>0</v>
      </c>
      <c r="E15" s="427">
        <v>0</v>
      </c>
      <c r="F15" s="426">
        <f t="shared" si="0"/>
        <v>0</v>
      </c>
      <c r="G15" s="417"/>
      <c r="H15" s="434"/>
    </row>
    <row r="16" spans="1:8" s="13" customFormat="1" ht="35.1" customHeight="1" thickTop="1" thickBot="1" x14ac:dyDescent="0.3">
      <c r="A16" s="122" t="s">
        <v>235</v>
      </c>
      <c r="B16" s="402"/>
      <c r="C16" s="440"/>
      <c r="D16" s="429">
        <v>0</v>
      </c>
      <c r="E16" s="427">
        <v>0</v>
      </c>
      <c r="F16" s="426">
        <f t="shared" si="0"/>
        <v>0</v>
      </c>
      <c r="G16" s="417"/>
      <c r="H16" s="434"/>
    </row>
    <row r="17" spans="1:9" s="13" customFormat="1" ht="35.1" customHeight="1" thickTop="1" thickBot="1" x14ac:dyDescent="0.3">
      <c r="A17" s="122" t="s">
        <v>166</v>
      </c>
      <c r="B17" s="402"/>
      <c r="C17" s="440"/>
      <c r="D17" s="429">
        <v>0</v>
      </c>
      <c r="E17" s="427">
        <v>0</v>
      </c>
      <c r="F17" s="426">
        <f t="shared" si="0"/>
        <v>0</v>
      </c>
      <c r="G17" s="417"/>
      <c r="H17" s="434"/>
    </row>
    <row r="18" spans="1:9" s="13" customFormat="1" ht="35.1" customHeight="1" thickTop="1" thickBot="1" x14ac:dyDescent="0.3">
      <c r="A18" s="122" t="s">
        <v>189</v>
      </c>
      <c r="B18" s="402"/>
      <c r="C18" s="440"/>
      <c r="D18" s="429">
        <v>0</v>
      </c>
      <c r="E18" s="427">
        <v>0</v>
      </c>
      <c r="F18" s="426">
        <f t="shared" si="0"/>
        <v>0</v>
      </c>
      <c r="G18" s="417"/>
      <c r="H18" s="434"/>
    </row>
    <row r="19" spans="1:9" s="13" customFormat="1" ht="35.1" customHeight="1" thickTop="1" thickBot="1" x14ac:dyDescent="0.3">
      <c r="A19" s="122" t="s">
        <v>190</v>
      </c>
      <c r="B19" s="402"/>
      <c r="C19" s="440"/>
      <c r="D19" s="429">
        <v>0</v>
      </c>
      <c r="E19" s="427">
        <v>0</v>
      </c>
      <c r="F19" s="426">
        <f t="shared" si="0"/>
        <v>0</v>
      </c>
      <c r="G19" s="417"/>
      <c r="H19" s="434"/>
    </row>
    <row r="20" spans="1:9" s="13" customFormat="1" ht="35.1" customHeight="1" thickTop="1" thickBot="1" x14ac:dyDescent="0.3">
      <c r="A20" s="122" t="s">
        <v>169</v>
      </c>
      <c r="B20" s="404"/>
      <c r="C20" s="440"/>
      <c r="D20" s="429">
        <v>0</v>
      </c>
      <c r="E20" s="427">
        <v>0</v>
      </c>
      <c r="F20" s="426">
        <f t="shared" si="0"/>
        <v>0</v>
      </c>
      <c r="G20" s="417"/>
      <c r="H20" s="434"/>
    </row>
    <row r="21" spans="1:9" s="13" customFormat="1" ht="35.1" customHeight="1" thickTop="1" thickBot="1" x14ac:dyDescent="0.3">
      <c r="A21" s="441"/>
      <c r="B21" s="407"/>
      <c r="C21" s="410" t="s">
        <v>168</v>
      </c>
      <c r="D21" s="440"/>
      <c r="E21" s="411">
        <f>SUM(E4:E20)</f>
        <v>0</v>
      </c>
      <c r="F21" s="412">
        <f>SUM(F4:F20)</f>
        <v>0</v>
      </c>
      <c r="G21" s="417"/>
      <c r="H21" s="434"/>
    </row>
    <row r="22" spans="1:9" s="13" customFormat="1" ht="35.1" customHeight="1" thickTop="1" thickBot="1" x14ac:dyDescent="0.3">
      <c r="A22" s="532" t="s">
        <v>248</v>
      </c>
      <c r="B22" s="531"/>
      <c r="C22" s="533" t="s">
        <v>319</v>
      </c>
      <c r="D22" s="534"/>
      <c r="E22" s="535" t="s">
        <v>325</v>
      </c>
      <c r="F22" s="536"/>
      <c r="G22" s="417"/>
      <c r="H22" s="434"/>
    </row>
    <row r="23" spans="1:9" s="13" customFormat="1" ht="79.5" customHeight="1" thickTop="1" thickBot="1" x14ac:dyDescent="0.3">
      <c r="A23" s="66" t="s">
        <v>188</v>
      </c>
      <c r="B23" s="403" t="s">
        <v>187</v>
      </c>
      <c r="C23" s="67" t="s">
        <v>300</v>
      </c>
      <c r="D23" s="68" t="s">
        <v>307</v>
      </c>
      <c r="E23" s="69" t="s">
        <v>308</v>
      </c>
      <c r="F23" s="68" t="s">
        <v>294</v>
      </c>
      <c r="G23" s="433"/>
      <c r="H23" s="436"/>
      <c r="I23" s="432"/>
    </row>
    <row r="24" spans="1:9" s="13" customFormat="1" ht="35.1" customHeight="1" thickTop="1" thickBot="1" x14ac:dyDescent="0.3">
      <c r="A24" s="408" t="s">
        <v>289</v>
      </c>
      <c r="B24" s="405" t="s">
        <v>233</v>
      </c>
      <c r="C24" s="428">
        <v>0</v>
      </c>
      <c r="D24" s="440"/>
      <c r="E24" s="422">
        <f>SUM(C24)</f>
        <v>0</v>
      </c>
      <c r="F24" s="423">
        <f>SUM(C24*0.0009)</f>
        <v>0</v>
      </c>
      <c r="G24" s="416"/>
      <c r="H24" s="419"/>
    </row>
    <row r="25" spans="1:9" s="13" customFormat="1" ht="35.1" customHeight="1" thickTop="1" thickBot="1" x14ac:dyDescent="0.3">
      <c r="A25" s="408" t="s">
        <v>293</v>
      </c>
      <c r="B25" s="405" t="s">
        <v>292</v>
      </c>
      <c r="C25" s="428">
        <v>0</v>
      </c>
      <c r="D25" s="440"/>
      <c r="E25" s="422">
        <f>SUM(C25*48.85)</f>
        <v>0</v>
      </c>
      <c r="F25" s="423">
        <f>SUM(C25*0.016)</f>
        <v>0</v>
      </c>
      <c r="G25" s="416"/>
      <c r="H25" s="419"/>
    </row>
    <row r="26" spans="1:9" s="13" customFormat="1" ht="35.1" customHeight="1" thickTop="1" thickBot="1" x14ac:dyDescent="0.3">
      <c r="A26" s="408" t="s">
        <v>299</v>
      </c>
      <c r="B26" s="405" t="s">
        <v>292</v>
      </c>
      <c r="C26" s="428">
        <v>0</v>
      </c>
      <c r="D26" s="440"/>
      <c r="E26" s="422">
        <f>SUM(C26*7.27)</f>
        <v>0</v>
      </c>
      <c r="F26" s="423">
        <f>SUM(C26*0.0015)</f>
        <v>0</v>
      </c>
      <c r="G26" s="416"/>
      <c r="H26" s="420"/>
    </row>
    <row r="27" spans="1:9" s="13" customFormat="1" ht="35.1" customHeight="1" thickTop="1" thickBot="1" x14ac:dyDescent="0.3">
      <c r="A27" s="408" t="s">
        <v>287</v>
      </c>
      <c r="B27" s="405" t="s">
        <v>290</v>
      </c>
      <c r="C27" s="440"/>
      <c r="D27" s="424">
        <v>0</v>
      </c>
      <c r="E27" s="430">
        <v>0</v>
      </c>
      <c r="F27" s="423">
        <f>SUM(D27)</f>
        <v>0</v>
      </c>
      <c r="G27" s="417"/>
      <c r="H27" s="434"/>
    </row>
    <row r="28" spans="1:9" s="13" customFormat="1" ht="35.1" customHeight="1" thickTop="1" thickBot="1" x14ac:dyDescent="0.3">
      <c r="A28" s="408" t="s">
        <v>288</v>
      </c>
      <c r="B28" s="405" t="s">
        <v>291</v>
      </c>
      <c r="C28" s="440"/>
      <c r="D28" s="424">
        <v>0</v>
      </c>
      <c r="E28" s="430">
        <v>0</v>
      </c>
      <c r="F28" s="423">
        <f>SUM(D28)</f>
        <v>0</v>
      </c>
      <c r="G28" s="417"/>
      <c r="H28" s="434"/>
    </row>
    <row r="29" spans="1:9" s="13" customFormat="1" ht="35.1" customHeight="1" thickTop="1" thickBot="1" x14ac:dyDescent="0.3">
      <c r="A29" s="408" t="s">
        <v>165</v>
      </c>
      <c r="B29" s="405" t="s">
        <v>237</v>
      </c>
      <c r="C29" s="440"/>
      <c r="D29" s="424">
        <v>0</v>
      </c>
      <c r="E29" s="430">
        <v>0</v>
      </c>
      <c r="F29" s="423">
        <f>SUM(D29)</f>
        <v>0</v>
      </c>
      <c r="G29" s="417"/>
      <c r="H29" s="434"/>
    </row>
    <row r="30" spans="1:9" s="13" customFormat="1" ht="35.1" customHeight="1" thickTop="1" thickBot="1" x14ac:dyDescent="0.3">
      <c r="A30" s="408" t="s">
        <v>165</v>
      </c>
      <c r="B30" s="405" t="s">
        <v>305</v>
      </c>
      <c r="C30" s="440"/>
      <c r="D30" s="424">
        <v>0</v>
      </c>
      <c r="E30" s="430">
        <v>0</v>
      </c>
      <c r="F30" s="423">
        <f>SUM(D30)</f>
        <v>0</v>
      </c>
      <c r="G30" s="417"/>
      <c r="H30" s="434"/>
    </row>
    <row r="31" spans="1:9" s="13" customFormat="1" ht="35.1" customHeight="1" thickTop="1" thickBot="1" x14ac:dyDescent="0.3">
      <c r="A31" s="408" t="s">
        <v>283</v>
      </c>
      <c r="B31" s="405" t="s">
        <v>234</v>
      </c>
      <c r="C31" s="440"/>
      <c r="D31" s="440"/>
      <c r="E31" s="422">
        <f>SUM(Clothing!AY44)</f>
        <v>0</v>
      </c>
      <c r="F31" s="423">
        <f>SUM(Clothing!AZ44)</f>
        <v>0</v>
      </c>
      <c r="G31" s="417"/>
      <c r="H31" s="434"/>
    </row>
    <row r="32" spans="1:9" s="13" customFormat="1" ht="35.1" customHeight="1" thickTop="1" thickBot="1" x14ac:dyDescent="0.3">
      <c r="A32" s="408" t="s">
        <v>284</v>
      </c>
      <c r="B32" s="405" t="s">
        <v>234</v>
      </c>
      <c r="C32" s="440"/>
      <c r="D32" s="440"/>
      <c r="E32" s="422">
        <f>SUM(Furniture!AZ38)</f>
        <v>0</v>
      </c>
      <c r="F32" s="423">
        <f>SUM(Furniture!BA38)</f>
        <v>0</v>
      </c>
      <c r="G32" s="417"/>
      <c r="H32" s="434"/>
    </row>
    <row r="33" spans="1:8" s="13" customFormat="1" ht="35.1" customHeight="1" thickTop="1" thickBot="1" x14ac:dyDescent="0.3">
      <c r="A33" s="408" t="s">
        <v>285</v>
      </c>
      <c r="B33" s="405" t="s">
        <v>234</v>
      </c>
      <c r="C33" s="440"/>
      <c r="D33" s="440"/>
      <c r="E33" s="422">
        <f>SUM(Equipment!AY58)</f>
        <v>0</v>
      </c>
      <c r="F33" s="423">
        <f>SUM(Equipment!AZ58)</f>
        <v>0</v>
      </c>
      <c r="G33" s="417"/>
      <c r="H33" s="434"/>
    </row>
    <row r="34" spans="1:8" s="13" customFormat="1" ht="35.1" customHeight="1" thickTop="1" thickBot="1" x14ac:dyDescent="0.3">
      <c r="A34" s="408" t="s">
        <v>286</v>
      </c>
      <c r="B34" s="405" t="s">
        <v>234</v>
      </c>
      <c r="C34" s="440"/>
      <c r="D34" s="440"/>
      <c r="E34" s="422">
        <f>SUM('other Items'!E39)</f>
        <v>0</v>
      </c>
      <c r="F34" s="423">
        <f>SUM('other Items'!F39)</f>
        <v>0</v>
      </c>
      <c r="G34" s="417"/>
      <c r="H34" s="434"/>
    </row>
    <row r="35" spans="1:8" s="13" customFormat="1" ht="35.1" customHeight="1" thickTop="1" thickBot="1" x14ac:dyDescent="0.3">
      <c r="A35" s="406"/>
      <c r="B35" s="407"/>
      <c r="C35" s="410"/>
      <c r="D35" s="473" t="s">
        <v>168</v>
      </c>
      <c r="E35" s="411">
        <f>SUM(E24:E34)</f>
        <v>0</v>
      </c>
      <c r="F35" s="412">
        <f>SUM(F24:F34)</f>
        <v>0</v>
      </c>
      <c r="G35" s="417"/>
      <c r="H35" s="418"/>
    </row>
    <row r="36" spans="1:8" ht="14.4" thickTop="1" x14ac:dyDescent="0.3">
      <c r="A36" s="70"/>
      <c r="B36" s="70"/>
      <c r="C36" s="70"/>
      <c r="D36" s="70"/>
      <c r="E36" s="70"/>
      <c r="F36" s="70"/>
    </row>
  </sheetData>
  <mergeCells count="6">
    <mergeCell ref="C1:D1"/>
    <mergeCell ref="E1:F1"/>
    <mergeCell ref="A2:B2"/>
    <mergeCell ref="A22:B22"/>
    <mergeCell ref="C22:D22"/>
    <mergeCell ref="E22:F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6"/>
  <sheetViews>
    <sheetView workbookViewId="0">
      <selection activeCell="E27" sqref="E27"/>
    </sheetView>
  </sheetViews>
  <sheetFormatPr defaultColWidth="9.21875" defaultRowHeight="13.8" x14ac:dyDescent="0.3"/>
  <cols>
    <col min="1" max="1" width="27" style="1" customWidth="1"/>
    <col min="2" max="2" width="36.77734375" style="1" customWidth="1"/>
    <col min="3" max="4" width="12.77734375" style="1" customWidth="1"/>
    <col min="5" max="5" width="16.77734375" style="1" customWidth="1"/>
    <col min="6" max="6" width="14.77734375" style="1" customWidth="1"/>
    <col min="7" max="8" width="10.21875" style="71" hidden="1" customWidth="1"/>
    <col min="9" max="16384" width="9.21875" style="1"/>
  </cols>
  <sheetData>
    <row r="1" spans="1:8" s="13" customFormat="1" ht="30" customHeight="1" thickTop="1" thickBot="1" x14ac:dyDescent="0.3">
      <c r="A1" s="387" t="s">
        <v>282</v>
      </c>
      <c r="B1" s="437"/>
      <c r="C1" s="526" t="s">
        <v>326</v>
      </c>
      <c r="D1" s="527"/>
      <c r="E1" s="528" t="s">
        <v>327</v>
      </c>
      <c r="F1" s="529"/>
      <c r="G1" s="438"/>
      <c r="H1" s="439"/>
    </row>
    <row r="2" spans="1:8" s="13" customFormat="1" ht="30" customHeight="1" thickTop="1" thickBot="1" x14ac:dyDescent="0.3">
      <c r="A2" s="530" t="s">
        <v>298</v>
      </c>
      <c r="B2" s="531"/>
      <c r="C2" s="409"/>
      <c r="D2" s="409"/>
      <c r="E2" s="409"/>
      <c r="F2" s="442"/>
      <c r="G2" s="433"/>
      <c r="H2" s="431"/>
    </row>
    <row r="3" spans="1:8" s="13" customFormat="1" ht="79.5" customHeight="1" thickTop="1" thickBot="1" x14ac:dyDescent="0.3">
      <c r="A3" s="66" t="s">
        <v>188</v>
      </c>
      <c r="B3" s="403" t="s">
        <v>187</v>
      </c>
      <c r="C3" s="67" t="s">
        <v>300</v>
      </c>
      <c r="D3" s="68" t="s">
        <v>306</v>
      </c>
      <c r="E3" s="443" t="s">
        <v>309</v>
      </c>
      <c r="F3" s="444" t="s">
        <v>294</v>
      </c>
      <c r="G3" s="414" t="s">
        <v>251</v>
      </c>
      <c r="H3" s="413" t="s">
        <v>252</v>
      </c>
    </row>
    <row r="4" spans="1:8" s="13" customFormat="1" ht="35.1" customHeight="1" thickTop="1" thickBot="1" x14ac:dyDescent="0.3">
      <c r="A4" s="408" t="s">
        <v>296</v>
      </c>
      <c r="B4" s="402"/>
      <c r="C4" s="428"/>
      <c r="D4" s="440"/>
      <c r="E4" s="425"/>
      <c r="F4" s="426">
        <f>SUM(C4*0.0009)</f>
        <v>0</v>
      </c>
      <c r="G4" s="415"/>
      <c r="H4" s="420"/>
    </row>
    <row r="5" spans="1:8" s="13" customFormat="1" ht="35.1" customHeight="1" thickTop="1" thickBot="1" x14ac:dyDescent="0.3">
      <c r="A5" s="408" t="s">
        <v>297</v>
      </c>
      <c r="B5" s="402"/>
      <c r="C5" s="428"/>
      <c r="D5" s="440"/>
      <c r="E5" s="425"/>
      <c r="F5" s="426">
        <f>SUM(C5*0.016)</f>
        <v>0</v>
      </c>
      <c r="G5" s="415"/>
      <c r="H5" s="420"/>
    </row>
    <row r="6" spans="1:8" s="13" customFormat="1" ht="35.1" customHeight="1" thickTop="1" thickBot="1" x14ac:dyDescent="0.3">
      <c r="A6" s="408" t="s">
        <v>295</v>
      </c>
      <c r="B6" s="402"/>
      <c r="C6" s="428"/>
      <c r="D6" s="440"/>
      <c r="E6" s="425"/>
      <c r="F6" s="426">
        <f>SUM(C6*0.0015)</f>
        <v>0</v>
      </c>
      <c r="G6" s="415"/>
      <c r="H6" s="420"/>
    </row>
    <row r="7" spans="1:8" s="13" customFormat="1" ht="35.1" customHeight="1" thickTop="1" thickBot="1" x14ac:dyDescent="0.3">
      <c r="A7" s="408" t="s">
        <v>301</v>
      </c>
      <c r="B7" s="402"/>
      <c r="C7" s="440"/>
      <c r="D7" s="429"/>
      <c r="E7" s="425"/>
      <c r="F7" s="426">
        <f t="shared" ref="F7:F20" si="0">SUM(D7*1)</f>
        <v>0</v>
      </c>
      <c r="G7" s="421"/>
      <c r="H7" s="435"/>
    </row>
    <row r="8" spans="1:8" s="13" customFormat="1" ht="35.1" customHeight="1" thickTop="1" thickBot="1" x14ac:dyDescent="0.3">
      <c r="A8" s="408" t="s">
        <v>302</v>
      </c>
      <c r="B8" s="402"/>
      <c r="C8" s="440"/>
      <c r="D8" s="429"/>
      <c r="E8" s="425"/>
      <c r="F8" s="426">
        <f t="shared" si="0"/>
        <v>0</v>
      </c>
      <c r="G8" s="417"/>
      <c r="H8" s="434"/>
    </row>
    <row r="9" spans="1:8" s="13" customFormat="1" ht="35.1" customHeight="1" thickTop="1" thickBot="1" x14ac:dyDescent="0.3">
      <c r="A9" s="408" t="s">
        <v>303</v>
      </c>
      <c r="B9" s="402"/>
      <c r="C9" s="440"/>
      <c r="D9" s="429"/>
      <c r="E9" s="425"/>
      <c r="F9" s="426">
        <f t="shared" si="0"/>
        <v>0</v>
      </c>
      <c r="G9" s="417"/>
      <c r="H9" s="434"/>
    </row>
    <row r="10" spans="1:8" s="13" customFormat="1" ht="35.1" customHeight="1" thickTop="1" thickBot="1" x14ac:dyDescent="0.3">
      <c r="A10" s="122" t="s">
        <v>304</v>
      </c>
      <c r="B10" s="402"/>
      <c r="C10" s="440"/>
      <c r="D10" s="429"/>
      <c r="E10" s="425"/>
      <c r="F10" s="426">
        <f t="shared" si="0"/>
        <v>0</v>
      </c>
      <c r="G10" s="417"/>
      <c r="H10" s="434"/>
    </row>
    <row r="11" spans="1:8" s="13" customFormat="1" ht="35.1" customHeight="1" thickTop="1" thickBot="1" x14ac:dyDescent="0.3">
      <c r="A11" s="122" t="s">
        <v>162</v>
      </c>
      <c r="B11" s="402"/>
      <c r="C11" s="440"/>
      <c r="D11" s="429"/>
      <c r="E11" s="427"/>
      <c r="F11" s="426">
        <f t="shared" si="0"/>
        <v>0</v>
      </c>
      <c r="G11" s="417"/>
      <c r="H11" s="434"/>
    </row>
    <row r="12" spans="1:8" s="13" customFormat="1" ht="35.1" customHeight="1" thickTop="1" thickBot="1" x14ac:dyDescent="0.3">
      <c r="A12" s="122" t="s">
        <v>163</v>
      </c>
      <c r="B12" s="402"/>
      <c r="C12" s="440"/>
      <c r="D12" s="429"/>
      <c r="E12" s="427"/>
      <c r="F12" s="426">
        <f t="shared" si="0"/>
        <v>0</v>
      </c>
      <c r="G12" s="417"/>
      <c r="H12" s="434"/>
    </row>
    <row r="13" spans="1:8" s="13" customFormat="1" ht="35.1" customHeight="1" thickTop="1" thickBot="1" x14ac:dyDescent="0.3">
      <c r="A13" s="122" t="s">
        <v>164</v>
      </c>
      <c r="B13" s="402"/>
      <c r="C13" s="440"/>
      <c r="D13" s="429"/>
      <c r="E13" s="427"/>
      <c r="F13" s="426">
        <f t="shared" si="0"/>
        <v>0</v>
      </c>
      <c r="G13" s="417"/>
      <c r="H13" s="434"/>
    </row>
    <row r="14" spans="1:8" s="13" customFormat="1" ht="35.1" customHeight="1" thickTop="1" thickBot="1" x14ac:dyDescent="0.3">
      <c r="A14" s="122" t="s">
        <v>167</v>
      </c>
      <c r="B14" s="402"/>
      <c r="C14" s="440"/>
      <c r="D14" s="429">
        <v>0</v>
      </c>
      <c r="E14" s="427"/>
      <c r="F14" s="426">
        <f t="shared" si="0"/>
        <v>0</v>
      </c>
      <c r="G14" s="417"/>
      <c r="H14" s="434"/>
    </row>
    <row r="15" spans="1:8" s="13" customFormat="1" ht="35.1" customHeight="1" thickTop="1" thickBot="1" x14ac:dyDescent="0.3">
      <c r="A15" s="122" t="s">
        <v>236</v>
      </c>
      <c r="B15" s="402"/>
      <c r="C15" s="440"/>
      <c r="D15" s="429"/>
      <c r="E15" s="427"/>
      <c r="F15" s="426">
        <f t="shared" si="0"/>
        <v>0</v>
      </c>
      <c r="G15" s="417"/>
      <c r="H15" s="434"/>
    </row>
    <row r="16" spans="1:8" s="13" customFormat="1" ht="35.1" customHeight="1" thickTop="1" thickBot="1" x14ac:dyDescent="0.3">
      <c r="A16" s="122" t="s">
        <v>235</v>
      </c>
      <c r="B16" s="402"/>
      <c r="C16" s="440"/>
      <c r="D16" s="429"/>
      <c r="E16" s="427"/>
      <c r="F16" s="426">
        <f t="shared" si="0"/>
        <v>0</v>
      </c>
      <c r="G16" s="417"/>
      <c r="H16" s="434"/>
    </row>
    <row r="17" spans="1:9" s="13" customFormat="1" ht="35.1" customHeight="1" thickTop="1" thickBot="1" x14ac:dyDescent="0.3">
      <c r="A17" s="122" t="s">
        <v>166</v>
      </c>
      <c r="B17" s="402"/>
      <c r="C17" s="440"/>
      <c r="D17" s="429">
        <v>0</v>
      </c>
      <c r="E17" s="427"/>
      <c r="F17" s="426">
        <f t="shared" si="0"/>
        <v>0</v>
      </c>
      <c r="G17" s="417"/>
      <c r="H17" s="434"/>
    </row>
    <row r="18" spans="1:9" s="13" customFormat="1" ht="35.1" customHeight="1" thickTop="1" thickBot="1" x14ac:dyDescent="0.3">
      <c r="A18" s="122" t="s">
        <v>189</v>
      </c>
      <c r="B18" s="402"/>
      <c r="C18" s="440"/>
      <c r="D18" s="429"/>
      <c r="E18" s="427"/>
      <c r="F18" s="426">
        <f t="shared" si="0"/>
        <v>0</v>
      </c>
      <c r="G18" s="417"/>
      <c r="H18" s="434"/>
    </row>
    <row r="19" spans="1:9" s="13" customFormat="1" ht="35.1" customHeight="1" thickTop="1" thickBot="1" x14ac:dyDescent="0.3">
      <c r="A19" s="122" t="s">
        <v>190</v>
      </c>
      <c r="B19" s="402"/>
      <c r="C19" s="440"/>
      <c r="D19" s="429">
        <v>0</v>
      </c>
      <c r="E19" s="427"/>
      <c r="F19" s="426">
        <f t="shared" si="0"/>
        <v>0</v>
      </c>
      <c r="G19" s="417"/>
      <c r="H19" s="434"/>
    </row>
    <row r="20" spans="1:9" s="13" customFormat="1" ht="35.1" customHeight="1" thickTop="1" thickBot="1" x14ac:dyDescent="0.3">
      <c r="A20" s="122" t="s">
        <v>169</v>
      </c>
      <c r="B20" s="404"/>
      <c r="C20" s="440"/>
      <c r="D20" s="429">
        <v>0</v>
      </c>
      <c r="E20" s="427"/>
      <c r="F20" s="426">
        <f t="shared" si="0"/>
        <v>0</v>
      </c>
      <c r="G20" s="417"/>
      <c r="H20" s="434"/>
    </row>
    <row r="21" spans="1:9" s="13" customFormat="1" ht="35.1" customHeight="1" thickTop="1" thickBot="1" x14ac:dyDescent="0.3">
      <c r="A21" s="441"/>
      <c r="B21" s="407"/>
      <c r="C21" s="410" t="s">
        <v>168</v>
      </c>
      <c r="D21" s="440"/>
      <c r="E21" s="411">
        <f>SUM(E4:E20)</f>
        <v>0</v>
      </c>
      <c r="F21" s="412">
        <f>SUM(F4:F20)</f>
        <v>0</v>
      </c>
      <c r="G21" s="417"/>
      <c r="H21" s="434"/>
    </row>
    <row r="22" spans="1:9" s="13" customFormat="1" ht="35.1" customHeight="1" thickTop="1" thickBot="1" x14ac:dyDescent="0.3">
      <c r="A22" s="532" t="s">
        <v>248</v>
      </c>
      <c r="B22" s="531"/>
      <c r="C22" s="533" t="s">
        <v>310</v>
      </c>
      <c r="D22" s="534"/>
      <c r="E22" s="535" t="s">
        <v>327</v>
      </c>
      <c r="F22" s="536"/>
      <c r="G22" s="417"/>
      <c r="H22" s="434"/>
    </row>
    <row r="23" spans="1:9" s="13" customFormat="1" ht="79.5" customHeight="1" thickTop="1" thickBot="1" x14ac:dyDescent="0.3">
      <c r="A23" s="66" t="s">
        <v>188</v>
      </c>
      <c r="B23" s="403" t="s">
        <v>187</v>
      </c>
      <c r="C23" s="67" t="s">
        <v>300</v>
      </c>
      <c r="D23" s="68" t="s">
        <v>307</v>
      </c>
      <c r="E23" s="69" t="s">
        <v>308</v>
      </c>
      <c r="F23" s="68" t="s">
        <v>294</v>
      </c>
      <c r="G23" s="433" t="s">
        <v>251</v>
      </c>
      <c r="H23" s="436" t="s">
        <v>252</v>
      </c>
      <c r="I23" s="432"/>
    </row>
    <row r="24" spans="1:9" s="13" customFormat="1" ht="35.1" customHeight="1" thickTop="1" thickBot="1" x14ac:dyDescent="0.3">
      <c r="A24" s="408" t="s">
        <v>289</v>
      </c>
      <c r="B24" s="405" t="s">
        <v>233</v>
      </c>
      <c r="C24" s="428">
        <v>0</v>
      </c>
      <c r="D24" s="440"/>
      <c r="E24" s="422">
        <f>SUM(C24)</f>
        <v>0</v>
      </c>
      <c r="F24" s="423">
        <f>SUM(C24*0.0009)</f>
        <v>0</v>
      </c>
      <c r="G24" s="416"/>
      <c r="H24" s="419"/>
    </row>
    <row r="25" spans="1:9" s="13" customFormat="1" ht="35.1" customHeight="1" thickTop="1" thickBot="1" x14ac:dyDescent="0.3">
      <c r="A25" s="408" t="s">
        <v>293</v>
      </c>
      <c r="B25" s="405" t="s">
        <v>292</v>
      </c>
      <c r="C25" s="428">
        <v>0</v>
      </c>
      <c r="D25" s="440"/>
      <c r="E25" s="422">
        <f>SUM(C25*48.85)</f>
        <v>0</v>
      </c>
      <c r="F25" s="423">
        <f>SUM(C25*0.016)</f>
        <v>0</v>
      </c>
      <c r="G25" s="416"/>
      <c r="H25" s="419"/>
    </row>
    <row r="26" spans="1:9" s="13" customFormat="1" ht="35.1" customHeight="1" thickTop="1" thickBot="1" x14ac:dyDescent="0.3">
      <c r="A26" s="408" t="s">
        <v>299</v>
      </c>
      <c r="B26" s="405" t="s">
        <v>292</v>
      </c>
      <c r="C26" s="428"/>
      <c r="D26" s="440"/>
      <c r="E26" s="422">
        <f>SUM(C26*7.27)</f>
        <v>0</v>
      </c>
      <c r="F26" s="423">
        <f>SUM(C26*0.0015)</f>
        <v>0</v>
      </c>
      <c r="G26" s="416"/>
      <c r="H26" s="420"/>
    </row>
    <row r="27" spans="1:9" s="13" customFormat="1" ht="35.1" customHeight="1" thickTop="1" thickBot="1" x14ac:dyDescent="0.3">
      <c r="A27" s="408" t="s">
        <v>287</v>
      </c>
      <c r="B27" s="405" t="s">
        <v>290</v>
      </c>
      <c r="C27" s="440"/>
      <c r="D27" s="424">
        <v>0</v>
      </c>
      <c r="E27" s="430">
        <v>0</v>
      </c>
      <c r="F27" s="423">
        <f>SUM(D27)</f>
        <v>0</v>
      </c>
      <c r="G27" s="417"/>
      <c r="H27" s="434"/>
    </row>
    <row r="28" spans="1:9" s="13" customFormat="1" ht="35.1" customHeight="1" thickTop="1" thickBot="1" x14ac:dyDescent="0.3">
      <c r="A28" s="408" t="s">
        <v>288</v>
      </c>
      <c r="B28" s="405" t="s">
        <v>291</v>
      </c>
      <c r="C28" s="440"/>
      <c r="D28" s="424">
        <v>0</v>
      </c>
      <c r="E28" s="430">
        <v>0</v>
      </c>
      <c r="F28" s="423">
        <f>SUM(D28)</f>
        <v>0</v>
      </c>
      <c r="G28" s="417"/>
      <c r="H28" s="434"/>
    </row>
    <row r="29" spans="1:9" s="13" customFormat="1" ht="35.1" customHeight="1" thickTop="1" thickBot="1" x14ac:dyDescent="0.3">
      <c r="A29" s="408" t="s">
        <v>165</v>
      </c>
      <c r="B29" s="405" t="s">
        <v>237</v>
      </c>
      <c r="C29" s="440"/>
      <c r="D29" s="424">
        <v>0</v>
      </c>
      <c r="E29" s="430">
        <v>0</v>
      </c>
      <c r="F29" s="423">
        <f>SUM(D29)</f>
        <v>0</v>
      </c>
      <c r="G29" s="417"/>
      <c r="H29" s="434"/>
    </row>
    <row r="30" spans="1:9" s="13" customFormat="1" ht="35.1" customHeight="1" thickTop="1" thickBot="1" x14ac:dyDescent="0.3">
      <c r="A30" s="408" t="s">
        <v>165</v>
      </c>
      <c r="B30" s="405" t="s">
        <v>305</v>
      </c>
      <c r="C30" s="440"/>
      <c r="D30" s="424">
        <v>0</v>
      </c>
      <c r="E30" s="430">
        <v>0</v>
      </c>
      <c r="F30" s="423">
        <f>SUM(D30)</f>
        <v>0</v>
      </c>
      <c r="G30" s="417"/>
      <c r="H30" s="434"/>
    </row>
    <row r="31" spans="1:9" s="13" customFormat="1" ht="35.1" customHeight="1" thickTop="1" thickBot="1" x14ac:dyDescent="0.3">
      <c r="A31" s="408" t="s">
        <v>283</v>
      </c>
      <c r="B31" s="405" t="s">
        <v>234</v>
      </c>
      <c r="C31" s="440"/>
      <c r="D31" s="440"/>
      <c r="E31" s="422">
        <f>SUM(Clothing!BO44)</f>
        <v>0</v>
      </c>
      <c r="F31" s="423">
        <f>SUM(Clothing!BP44)</f>
        <v>0</v>
      </c>
      <c r="G31" s="417"/>
      <c r="H31" s="434"/>
    </row>
    <row r="32" spans="1:9" s="13" customFormat="1" ht="35.1" customHeight="1" thickTop="1" thickBot="1" x14ac:dyDescent="0.3">
      <c r="A32" s="408" t="s">
        <v>284</v>
      </c>
      <c r="B32" s="405" t="s">
        <v>234</v>
      </c>
      <c r="C32" s="440"/>
      <c r="D32" s="440"/>
      <c r="E32" s="422">
        <f>SUM(Furniture!BP38)</f>
        <v>0</v>
      </c>
      <c r="F32" s="423">
        <f>SUM(Furniture!BQ38)</f>
        <v>0</v>
      </c>
      <c r="G32" s="417"/>
      <c r="H32" s="434"/>
    </row>
    <row r="33" spans="1:8" s="13" customFormat="1" ht="35.1" customHeight="1" thickTop="1" thickBot="1" x14ac:dyDescent="0.3">
      <c r="A33" s="408" t="s">
        <v>285</v>
      </c>
      <c r="B33" s="405" t="s">
        <v>234</v>
      </c>
      <c r="C33" s="440"/>
      <c r="D33" s="440"/>
      <c r="E33" s="422">
        <f>SUM(Equipment!BO58)</f>
        <v>0</v>
      </c>
      <c r="F33" s="423">
        <f>SUM(Equipment!BP58)</f>
        <v>0</v>
      </c>
      <c r="G33" s="417"/>
      <c r="H33" s="434"/>
    </row>
    <row r="34" spans="1:8" s="13" customFormat="1" ht="35.1" customHeight="1" thickTop="1" thickBot="1" x14ac:dyDescent="0.3">
      <c r="A34" s="408" t="s">
        <v>286</v>
      </c>
      <c r="B34" s="405" t="s">
        <v>234</v>
      </c>
      <c r="C34" s="440"/>
      <c r="D34" s="440"/>
      <c r="E34" s="422">
        <f>SUM('other Items'!L39)</f>
        <v>0</v>
      </c>
      <c r="F34" s="423">
        <f>SUM('other Items'!M39)</f>
        <v>0</v>
      </c>
      <c r="G34" s="417"/>
      <c r="H34" s="434"/>
    </row>
    <row r="35" spans="1:8" s="13" customFormat="1" ht="35.1" customHeight="1" thickTop="1" thickBot="1" x14ac:dyDescent="0.3">
      <c r="A35" s="406"/>
      <c r="B35" s="407"/>
      <c r="C35" s="410"/>
      <c r="D35" s="473" t="s">
        <v>168</v>
      </c>
      <c r="E35" s="411">
        <f>SUM(E24:E34)</f>
        <v>0</v>
      </c>
      <c r="F35" s="412">
        <f>SUM(F24:F34)</f>
        <v>0</v>
      </c>
      <c r="G35" s="417"/>
      <c r="H35" s="418"/>
    </row>
    <row r="36" spans="1:8" ht="14.4" thickTop="1" x14ac:dyDescent="0.3">
      <c r="A36" s="70"/>
      <c r="B36" s="70"/>
      <c r="C36" s="70"/>
      <c r="D36" s="70"/>
      <c r="E36" s="70"/>
      <c r="F36" s="70"/>
    </row>
  </sheetData>
  <mergeCells count="6">
    <mergeCell ref="C1:D1"/>
    <mergeCell ref="E1:F1"/>
    <mergeCell ref="A2:B2"/>
    <mergeCell ref="A22:B22"/>
    <mergeCell ref="C22:D22"/>
    <mergeCell ref="E22:F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L165"/>
  <sheetViews>
    <sheetView topLeftCell="K10" workbookViewId="0">
      <selection activeCell="S44" sqref="S44"/>
    </sheetView>
  </sheetViews>
  <sheetFormatPr defaultColWidth="9.21875" defaultRowHeight="15.6" x14ac:dyDescent="0.3"/>
  <cols>
    <col min="1" max="1" width="25.21875" style="22" customWidth="1"/>
    <col min="2" max="2" width="13.21875" style="24" customWidth="1"/>
    <col min="3" max="3" width="11.5546875" style="22" customWidth="1"/>
    <col min="4" max="4" width="13" style="124" customWidth="1"/>
    <col min="5" max="17" width="9.5546875" style="35" customWidth="1"/>
    <col min="18" max="18" width="9.5546875" style="51" customWidth="1"/>
    <col min="19" max="19" width="11.44140625" style="391" customWidth="1"/>
    <col min="20" max="20" width="10.21875" style="7" customWidth="1"/>
    <col min="21" max="21" width="9.21875" style="6" customWidth="1"/>
    <col min="22" max="22" width="11.21875" style="6" customWidth="1"/>
    <col min="23" max="34" width="9.5546875" style="6" customWidth="1"/>
    <col min="35" max="35" width="9.5546875" style="392" customWidth="1"/>
    <col min="36" max="50" width="9.5546875" style="6" customWidth="1"/>
    <col min="51" max="51" width="9.5546875" style="391" customWidth="1"/>
    <col min="52" max="66" width="9.5546875" style="6" customWidth="1"/>
    <col min="67" max="67" width="9.5546875" style="391" customWidth="1"/>
    <col min="68" max="68" width="9.5546875" style="6" customWidth="1"/>
    <col min="69" max="96" width="9.21875" style="6"/>
    <col min="97" max="16384" width="9.21875" style="1"/>
  </cols>
  <sheetData>
    <row r="1" spans="1:116" s="53" customFormat="1" ht="24.75" customHeight="1" thickTop="1" x14ac:dyDescent="0.25">
      <c r="A1" s="352" t="s">
        <v>192</v>
      </c>
      <c r="B1" s="353"/>
      <c r="C1" s="354"/>
      <c r="D1" s="355"/>
      <c r="E1" s="254" t="s">
        <v>0</v>
      </c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537" t="s">
        <v>270</v>
      </c>
      <c r="S1" s="538"/>
      <c r="T1" s="539"/>
      <c r="U1" s="190" t="s">
        <v>1</v>
      </c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537" t="s">
        <v>269</v>
      </c>
      <c r="AI1" s="538"/>
      <c r="AJ1" s="539"/>
      <c r="AK1" s="257" t="s">
        <v>5</v>
      </c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258"/>
      <c r="AX1" s="537" t="s">
        <v>268</v>
      </c>
      <c r="AY1" s="538"/>
      <c r="AZ1" s="539"/>
      <c r="BA1" s="257" t="s">
        <v>3</v>
      </c>
      <c r="BB1" s="482"/>
      <c r="BC1" s="482"/>
      <c r="BD1" s="482"/>
      <c r="BE1" s="482"/>
      <c r="BF1" s="482"/>
      <c r="BG1" s="482"/>
      <c r="BH1" s="482"/>
      <c r="BI1" s="482"/>
      <c r="BJ1" s="482"/>
      <c r="BK1" s="258"/>
      <c r="BL1" s="303"/>
      <c r="BM1" s="303"/>
      <c r="BN1" s="537" t="s">
        <v>267</v>
      </c>
      <c r="BO1" s="538"/>
      <c r="BP1" s="539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</row>
    <row r="2" spans="1:116" ht="15.75" customHeight="1" thickBot="1" x14ac:dyDescent="0.35">
      <c r="A2" s="540"/>
      <c r="B2" s="541"/>
      <c r="C2" s="542"/>
      <c r="D2" s="541"/>
      <c r="E2" s="259" t="s">
        <v>4</v>
      </c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4"/>
      <c r="S2" s="543"/>
      <c r="T2" s="544"/>
      <c r="U2" s="262" t="s">
        <v>4</v>
      </c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543"/>
      <c r="AI2" s="543"/>
      <c r="AJ2" s="264"/>
      <c r="AK2" s="266" t="s">
        <v>4</v>
      </c>
      <c r="AL2" s="485"/>
      <c r="AM2" s="485"/>
      <c r="AN2" s="485"/>
      <c r="AO2" s="485"/>
      <c r="AP2" s="485"/>
      <c r="AQ2" s="485"/>
      <c r="AR2" s="485"/>
      <c r="AS2" s="485"/>
      <c r="AT2" s="485"/>
      <c r="AU2" s="485"/>
      <c r="AV2" s="485"/>
      <c r="AW2" s="265"/>
      <c r="AX2" s="266"/>
      <c r="AY2" s="486"/>
      <c r="AZ2" s="487"/>
      <c r="BA2" s="266" t="s">
        <v>4</v>
      </c>
      <c r="BB2" s="485"/>
      <c r="BC2" s="485"/>
      <c r="BD2" s="485"/>
      <c r="BE2" s="485"/>
      <c r="BF2" s="485"/>
      <c r="BG2" s="485"/>
      <c r="BH2" s="485"/>
      <c r="BI2" s="485"/>
      <c r="BJ2" s="485"/>
      <c r="BK2" s="265"/>
      <c r="BL2" s="268"/>
      <c r="BM2" s="268"/>
      <c r="BN2" s="356"/>
      <c r="BO2" s="394"/>
      <c r="BP2" s="357"/>
    </row>
    <row r="3" spans="1:116" s="12" customFormat="1" ht="23.1" customHeight="1" thickTop="1" thickBot="1" x14ac:dyDescent="0.35">
      <c r="A3" s="270"/>
      <c r="B3" s="272" t="s">
        <v>6</v>
      </c>
      <c r="C3" s="271" t="s">
        <v>7</v>
      </c>
      <c r="D3" s="358" t="s">
        <v>182</v>
      </c>
      <c r="E3" s="359">
        <v>43192</v>
      </c>
      <c r="F3" s="351">
        <v>43199</v>
      </c>
      <c r="G3" s="359">
        <v>43206</v>
      </c>
      <c r="H3" s="351">
        <v>43213</v>
      </c>
      <c r="I3" s="359">
        <v>43220</v>
      </c>
      <c r="J3" s="351">
        <v>43227</v>
      </c>
      <c r="K3" s="359">
        <v>43234</v>
      </c>
      <c r="L3" s="351">
        <v>43241</v>
      </c>
      <c r="M3" s="359">
        <v>43248</v>
      </c>
      <c r="N3" s="351">
        <v>43255</v>
      </c>
      <c r="O3" s="359">
        <v>43262</v>
      </c>
      <c r="P3" s="351">
        <v>43269</v>
      </c>
      <c r="Q3" s="359">
        <v>43276</v>
      </c>
      <c r="R3" s="551" t="s">
        <v>260</v>
      </c>
      <c r="S3" s="553" t="s">
        <v>262</v>
      </c>
      <c r="T3" s="555" t="s">
        <v>261</v>
      </c>
      <c r="U3" s="508">
        <v>43283</v>
      </c>
      <c r="V3" s="508">
        <v>43290</v>
      </c>
      <c r="W3" s="508">
        <v>43297</v>
      </c>
      <c r="X3" s="508">
        <v>43304</v>
      </c>
      <c r="Y3" s="508">
        <v>43311</v>
      </c>
      <c r="Z3" s="508">
        <v>43318</v>
      </c>
      <c r="AA3" s="508">
        <v>43325</v>
      </c>
      <c r="AB3" s="508">
        <v>43332</v>
      </c>
      <c r="AC3" s="508">
        <v>43339</v>
      </c>
      <c r="AD3" s="508">
        <v>43346</v>
      </c>
      <c r="AE3" s="508">
        <v>43353</v>
      </c>
      <c r="AF3" s="508">
        <v>43360</v>
      </c>
      <c r="AG3" s="508">
        <v>43367</v>
      </c>
      <c r="AH3" s="545" t="s">
        <v>260</v>
      </c>
      <c r="AI3" s="547" t="s">
        <v>262</v>
      </c>
      <c r="AJ3" s="557" t="s">
        <v>261</v>
      </c>
      <c r="AK3" s="360">
        <v>43374</v>
      </c>
      <c r="AL3" s="242">
        <v>43381</v>
      </c>
      <c r="AM3" s="360">
        <v>43388</v>
      </c>
      <c r="AN3" s="242">
        <v>43395</v>
      </c>
      <c r="AO3" s="360">
        <v>43402</v>
      </c>
      <c r="AP3" s="242">
        <v>43409</v>
      </c>
      <c r="AQ3" s="360">
        <v>43416</v>
      </c>
      <c r="AR3" s="242">
        <v>43423</v>
      </c>
      <c r="AS3" s="360">
        <v>43430</v>
      </c>
      <c r="AT3" s="242">
        <v>43437</v>
      </c>
      <c r="AU3" s="360">
        <v>43444</v>
      </c>
      <c r="AV3" s="242">
        <v>43451</v>
      </c>
      <c r="AW3" s="360">
        <v>43458</v>
      </c>
      <c r="AX3" s="545" t="s">
        <v>260</v>
      </c>
      <c r="AY3" s="547" t="s">
        <v>262</v>
      </c>
      <c r="AZ3" s="557" t="s">
        <v>261</v>
      </c>
      <c r="BA3" s="360">
        <v>43466</v>
      </c>
      <c r="BB3" s="242">
        <v>43472</v>
      </c>
      <c r="BC3" s="360">
        <v>43479</v>
      </c>
      <c r="BD3" s="242">
        <v>43486</v>
      </c>
      <c r="BE3" s="360">
        <v>43493</v>
      </c>
      <c r="BF3" s="242">
        <v>43500</v>
      </c>
      <c r="BG3" s="360">
        <v>43507</v>
      </c>
      <c r="BH3" s="242">
        <v>43514</v>
      </c>
      <c r="BI3" s="360">
        <v>43521</v>
      </c>
      <c r="BJ3" s="242">
        <v>43528</v>
      </c>
      <c r="BK3" s="360">
        <v>43535</v>
      </c>
      <c r="BL3" s="242">
        <v>43542</v>
      </c>
      <c r="BM3" s="360">
        <v>43549</v>
      </c>
      <c r="BN3" s="545" t="s">
        <v>260</v>
      </c>
      <c r="BO3" s="547" t="s">
        <v>262</v>
      </c>
      <c r="BP3" s="549" t="s">
        <v>261</v>
      </c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1:116" s="6" customFormat="1" ht="16.05" customHeight="1" x14ac:dyDescent="0.3">
      <c r="A4" s="38" t="s">
        <v>8</v>
      </c>
      <c r="B4" s="361"/>
      <c r="C4" s="273"/>
      <c r="D4" s="46"/>
      <c r="E4" s="488" t="s">
        <v>9</v>
      </c>
      <c r="F4" s="489" t="s">
        <v>9</v>
      </c>
      <c r="G4" s="489" t="s">
        <v>9</v>
      </c>
      <c r="H4" s="489" t="s">
        <v>9</v>
      </c>
      <c r="I4" s="489" t="s">
        <v>9</v>
      </c>
      <c r="J4" s="489" t="s">
        <v>9</v>
      </c>
      <c r="K4" s="489" t="s">
        <v>9</v>
      </c>
      <c r="L4" s="489" t="s">
        <v>9</v>
      </c>
      <c r="M4" s="489" t="s">
        <v>9</v>
      </c>
      <c r="N4" s="489" t="s">
        <v>9</v>
      </c>
      <c r="O4" s="489" t="s">
        <v>9</v>
      </c>
      <c r="P4" s="489" t="s">
        <v>9</v>
      </c>
      <c r="Q4" s="489" t="s">
        <v>9</v>
      </c>
      <c r="R4" s="552"/>
      <c r="S4" s="554"/>
      <c r="T4" s="556"/>
      <c r="U4" s="509" t="s">
        <v>9</v>
      </c>
      <c r="V4" s="489" t="s">
        <v>9</v>
      </c>
      <c r="W4" s="489" t="s">
        <v>9</v>
      </c>
      <c r="X4" s="489" t="s">
        <v>9</v>
      </c>
      <c r="Y4" s="489" t="s">
        <v>9</v>
      </c>
      <c r="Z4" s="489" t="s">
        <v>9</v>
      </c>
      <c r="AA4" s="489" t="s">
        <v>9</v>
      </c>
      <c r="AB4" s="489" t="s">
        <v>9</v>
      </c>
      <c r="AC4" s="489" t="s">
        <v>9</v>
      </c>
      <c r="AD4" s="489" t="s">
        <v>9</v>
      </c>
      <c r="AE4" s="489" t="s">
        <v>9</v>
      </c>
      <c r="AF4" s="489" t="s">
        <v>9</v>
      </c>
      <c r="AG4" s="489" t="s">
        <v>9</v>
      </c>
      <c r="AH4" s="546"/>
      <c r="AI4" s="548"/>
      <c r="AJ4" s="558"/>
      <c r="AK4" s="488" t="s">
        <v>9</v>
      </c>
      <c r="AL4" s="489" t="s">
        <v>9</v>
      </c>
      <c r="AM4" s="489" t="s">
        <v>9</v>
      </c>
      <c r="AN4" s="489" t="s">
        <v>9</v>
      </c>
      <c r="AO4" s="489" t="s">
        <v>9</v>
      </c>
      <c r="AP4" s="489" t="s">
        <v>9</v>
      </c>
      <c r="AQ4" s="489" t="s">
        <v>9</v>
      </c>
      <c r="AR4" s="489" t="s">
        <v>9</v>
      </c>
      <c r="AS4" s="489" t="s">
        <v>9</v>
      </c>
      <c r="AT4" s="489" t="s">
        <v>9</v>
      </c>
      <c r="AU4" s="489" t="s">
        <v>9</v>
      </c>
      <c r="AV4" s="489" t="s">
        <v>9</v>
      </c>
      <c r="AW4" s="489" t="s">
        <v>9</v>
      </c>
      <c r="AX4" s="546"/>
      <c r="AY4" s="548"/>
      <c r="AZ4" s="558"/>
      <c r="BA4" s="488" t="s">
        <v>9</v>
      </c>
      <c r="BB4" s="489" t="s">
        <v>9</v>
      </c>
      <c r="BC4" s="489" t="s">
        <v>9</v>
      </c>
      <c r="BD4" s="489" t="s">
        <v>9</v>
      </c>
      <c r="BE4" s="489" t="s">
        <v>9</v>
      </c>
      <c r="BF4" s="489" t="s">
        <v>9</v>
      </c>
      <c r="BG4" s="489" t="s">
        <v>9</v>
      </c>
      <c r="BH4" s="489" t="s">
        <v>9</v>
      </c>
      <c r="BI4" s="489" t="s">
        <v>9</v>
      </c>
      <c r="BJ4" s="489" t="s">
        <v>9</v>
      </c>
      <c r="BK4" s="489" t="s">
        <v>9</v>
      </c>
      <c r="BL4" s="489" t="s">
        <v>9</v>
      </c>
      <c r="BM4" s="489" t="s">
        <v>9</v>
      </c>
      <c r="BN4" s="546"/>
      <c r="BO4" s="548"/>
      <c r="BP4" s="550"/>
    </row>
    <row r="5" spans="1:116" s="6" customFormat="1" ht="16.05" customHeight="1" x14ac:dyDescent="0.3">
      <c r="A5" s="312" t="s">
        <v>10</v>
      </c>
      <c r="B5" s="362" t="s">
        <v>85</v>
      </c>
      <c r="C5" s="277"/>
      <c r="D5" s="47"/>
      <c r="E5" s="389"/>
      <c r="F5" s="490"/>
      <c r="G5" s="490"/>
      <c r="H5" s="490"/>
      <c r="I5" s="490"/>
      <c r="J5" s="491"/>
      <c r="K5" s="490"/>
      <c r="L5" s="490"/>
      <c r="M5" s="490"/>
      <c r="N5" s="490"/>
      <c r="O5" s="490"/>
      <c r="P5" s="490"/>
      <c r="Q5" s="490"/>
      <c r="R5" s="492">
        <f>SUM(E5:Q5)</f>
        <v>0</v>
      </c>
      <c r="S5" s="493">
        <f>SUM(R5)*1.38</f>
        <v>0</v>
      </c>
      <c r="T5" s="494">
        <f>SUM(R5*0.0008)</f>
        <v>0</v>
      </c>
      <c r="U5" s="389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2">
        <f>SUM(U5:AG5)</f>
        <v>0</v>
      </c>
      <c r="AI5" s="493">
        <f>SUM(AH5)*1.38</f>
        <v>0</v>
      </c>
      <c r="AJ5" s="494">
        <f>SUM(AH5*0.0008)</f>
        <v>0</v>
      </c>
      <c r="AK5" s="389"/>
      <c r="AL5" s="490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90"/>
      <c r="AX5" s="492">
        <f>SUM(AK5:AW5)</f>
        <v>0</v>
      </c>
      <c r="AY5" s="493">
        <f>SUM(AX5)*1.38</f>
        <v>0</v>
      </c>
      <c r="AZ5" s="494">
        <f>SUM(AX5*0.0008)</f>
        <v>0</v>
      </c>
      <c r="BA5" s="389"/>
      <c r="BB5" s="490"/>
      <c r="BC5" s="490"/>
      <c r="BD5" s="490"/>
      <c r="BE5" s="490"/>
      <c r="BF5" s="490"/>
      <c r="BG5" s="490"/>
      <c r="BH5" s="490"/>
      <c r="BI5" s="490"/>
      <c r="BJ5" s="490"/>
      <c r="BK5" s="490"/>
      <c r="BL5" s="490"/>
      <c r="BM5" s="510"/>
      <c r="BN5" s="492">
        <f>SUM(BA5:BM5)</f>
        <v>0</v>
      </c>
      <c r="BO5" s="493">
        <f>SUM(BN5)*1.38</f>
        <v>0</v>
      </c>
      <c r="BP5" s="512">
        <f>SUM(BN5*0.0008)</f>
        <v>0</v>
      </c>
    </row>
    <row r="6" spans="1:116" s="6" customFormat="1" ht="16.05" customHeight="1" thickBot="1" x14ac:dyDescent="0.35">
      <c r="A6" s="316" t="s">
        <v>11</v>
      </c>
      <c r="B6" s="363" t="s">
        <v>112</v>
      </c>
      <c r="C6" s="281"/>
      <c r="D6" s="50"/>
      <c r="E6" s="389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2">
        <f>SUM(E6:Q6)</f>
        <v>0</v>
      </c>
      <c r="S6" s="493">
        <f>SUM(R6*0.47)</f>
        <v>0</v>
      </c>
      <c r="T6" s="494">
        <f>SUM(R6*0.00075)</f>
        <v>0</v>
      </c>
      <c r="U6" s="389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2">
        <f>SUM(U6:AG6)</f>
        <v>0</v>
      </c>
      <c r="AI6" s="493">
        <f>SUM(AH6*0.47)</f>
        <v>0</v>
      </c>
      <c r="AJ6" s="494">
        <f>SUM(AH6*0.00075)</f>
        <v>0</v>
      </c>
      <c r="AK6" s="389"/>
      <c r="AL6" s="490"/>
      <c r="AM6" s="490"/>
      <c r="AN6" s="490"/>
      <c r="AO6" s="490"/>
      <c r="AP6" s="490"/>
      <c r="AQ6" s="490"/>
      <c r="AR6" s="490"/>
      <c r="AS6" s="490"/>
      <c r="AT6" s="490"/>
      <c r="AU6" s="490"/>
      <c r="AV6" s="490"/>
      <c r="AW6" s="490"/>
      <c r="AX6" s="492">
        <f>SUM(AK6:AW6)</f>
        <v>0</v>
      </c>
      <c r="AY6" s="493">
        <f>SUM(AX6*0.47)</f>
        <v>0</v>
      </c>
      <c r="AZ6" s="494">
        <f>SUM(AX6*0.00075)</f>
        <v>0</v>
      </c>
      <c r="BA6" s="389"/>
      <c r="BB6" s="490"/>
      <c r="BC6" s="490"/>
      <c r="BD6" s="490"/>
      <c r="BE6" s="490"/>
      <c r="BF6" s="490"/>
      <c r="BG6" s="490"/>
      <c r="BH6" s="490"/>
      <c r="BI6" s="490"/>
      <c r="BJ6" s="490"/>
      <c r="BK6" s="490"/>
      <c r="BL6" s="490"/>
      <c r="BM6" s="510"/>
      <c r="BN6" s="492">
        <f>SUM(BA6:BM6)</f>
        <v>0</v>
      </c>
      <c r="BO6" s="493">
        <f>SUM(BN6*0.47)</f>
        <v>0</v>
      </c>
      <c r="BP6" s="512">
        <f>SUM(BN6*0.00075)</f>
        <v>0</v>
      </c>
    </row>
    <row r="7" spans="1:116" s="8" customFormat="1" ht="16.05" customHeight="1" thickTop="1" x14ac:dyDescent="0.3">
      <c r="A7" s="39" t="s">
        <v>12</v>
      </c>
      <c r="B7" s="364"/>
      <c r="C7" s="284"/>
      <c r="D7" s="293"/>
      <c r="E7" s="495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7"/>
      <c r="S7" s="498"/>
      <c r="T7" s="499"/>
      <c r="U7" s="495"/>
      <c r="V7" s="496"/>
      <c r="W7" s="496"/>
      <c r="X7" s="496"/>
      <c r="Y7" s="496"/>
      <c r="Z7" s="496"/>
      <c r="AA7" s="496"/>
      <c r="AB7" s="496"/>
      <c r="AC7" s="496"/>
      <c r="AD7" s="496"/>
      <c r="AE7" s="496"/>
      <c r="AF7" s="496"/>
      <c r="AG7" s="496"/>
      <c r="AH7" s="497"/>
      <c r="AI7" s="498"/>
      <c r="AJ7" s="499"/>
      <c r="AK7" s="495"/>
      <c r="AL7" s="496"/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7"/>
      <c r="AY7" s="498"/>
      <c r="AZ7" s="499"/>
      <c r="BA7" s="495"/>
      <c r="BB7" s="496"/>
      <c r="BC7" s="496"/>
      <c r="BD7" s="496"/>
      <c r="BE7" s="496"/>
      <c r="BF7" s="496"/>
      <c r="BG7" s="496"/>
      <c r="BH7" s="496"/>
      <c r="BI7" s="496"/>
      <c r="BJ7" s="496"/>
      <c r="BK7" s="496"/>
      <c r="BL7" s="496"/>
      <c r="BM7" s="496"/>
      <c r="BN7" s="492"/>
      <c r="BO7" s="493"/>
      <c r="BP7" s="512"/>
    </row>
    <row r="8" spans="1:116" s="6" customFormat="1" ht="16.05" customHeight="1" x14ac:dyDescent="0.3">
      <c r="A8" s="329" t="s">
        <v>102</v>
      </c>
      <c r="B8" s="362" t="s">
        <v>103</v>
      </c>
      <c r="C8" s="277"/>
      <c r="D8" s="47"/>
      <c r="E8" s="389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2">
        <f>SUM(E8:Q8)</f>
        <v>0</v>
      </c>
      <c r="S8" s="493">
        <f>SUM(R8*2.82)</f>
        <v>0</v>
      </c>
      <c r="T8" s="494">
        <f>SUM(R8*0.00025)</f>
        <v>0</v>
      </c>
      <c r="U8" s="389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2">
        <f>SUM(U8:AG8)</f>
        <v>0</v>
      </c>
      <c r="AI8" s="493">
        <f>SUM(AH8*2.82)</f>
        <v>0</v>
      </c>
      <c r="AJ8" s="494">
        <f>SUM(AH8*0.00025)</f>
        <v>0</v>
      </c>
      <c r="AK8" s="389"/>
      <c r="AL8" s="490"/>
      <c r="AM8" s="490"/>
      <c r="AN8" s="490"/>
      <c r="AO8" s="490"/>
      <c r="AP8" s="490"/>
      <c r="AQ8" s="490"/>
      <c r="AR8" s="490"/>
      <c r="AS8" s="490"/>
      <c r="AT8" s="490"/>
      <c r="AU8" s="490"/>
      <c r="AV8" s="490"/>
      <c r="AW8" s="490"/>
      <c r="AX8" s="492">
        <f>SUM(AK8:AW8)</f>
        <v>0</v>
      </c>
      <c r="AY8" s="493">
        <f>SUM(AX8*2.82)</f>
        <v>0</v>
      </c>
      <c r="AZ8" s="494">
        <f>SUM(AX8*0.00025)</f>
        <v>0</v>
      </c>
      <c r="BA8" s="389"/>
      <c r="BB8" s="490"/>
      <c r="BC8" s="490"/>
      <c r="BD8" s="490"/>
      <c r="BE8" s="490"/>
      <c r="BF8" s="490"/>
      <c r="BG8" s="490"/>
      <c r="BH8" s="490"/>
      <c r="BI8" s="490"/>
      <c r="BJ8" s="490"/>
      <c r="BK8" s="490"/>
      <c r="BL8" s="490"/>
      <c r="BM8" s="510"/>
      <c r="BN8" s="492">
        <f>SUM(BA8:BM8)</f>
        <v>0</v>
      </c>
      <c r="BO8" s="493">
        <f>SUM(BN8*2.82)</f>
        <v>0</v>
      </c>
      <c r="BP8" s="512">
        <f>SUM(BN8*0.00025)</f>
        <v>0</v>
      </c>
    </row>
    <row r="9" spans="1:116" s="6" customFormat="1" ht="16.05" customHeight="1" x14ac:dyDescent="0.3">
      <c r="A9" s="314" t="s">
        <v>144</v>
      </c>
      <c r="B9" s="365" t="s">
        <v>88</v>
      </c>
      <c r="C9" s="280"/>
      <c r="D9" s="47"/>
      <c r="E9" s="389"/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490"/>
      <c r="Q9" s="490"/>
      <c r="R9" s="492">
        <f>SUM(E9:Q9)</f>
        <v>0</v>
      </c>
      <c r="S9" s="493">
        <f>SUM(R9*5.41)</f>
        <v>0</v>
      </c>
      <c r="T9" s="494">
        <f>SUM(R9*0.001)</f>
        <v>0</v>
      </c>
      <c r="U9" s="389"/>
      <c r="V9" s="490"/>
      <c r="W9" s="490"/>
      <c r="X9" s="490"/>
      <c r="Y9" s="490"/>
      <c r="Z9" s="490"/>
      <c r="AA9" s="490"/>
      <c r="AB9" s="490"/>
      <c r="AC9" s="490"/>
      <c r="AD9" s="490"/>
      <c r="AE9" s="490"/>
      <c r="AF9" s="490"/>
      <c r="AG9" s="490"/>
      <c r="AH9" s="492">
        <f>SUM(U9:AG9)</f>
        <v>0</v>
      </c>
      <c r="AI9" s="493">
        <f>SUM(AH9*5.41)</f>
        <v>0</v>
      </c>
      <c r="AJ9" s="494">
        <f>SUM(AH9*0.001)</f>
        <v>0</v>
      </c>
      <c r="AK9" s="389"/>
      <c r="AL9" s="490"/>
      <c r="AM9" s="490"/>
      <c r="AN9" s="490"/>
      <c r="AO9" s="490"/>
      <c r="AP9" s="490"/>
      <c r="AQ9" s="490"/>
      <c r="AR9" s="490"/>
      <c r="AS9" s="490"/>
      <c r="AT9" s="490"/>
      <c r="AU9" s="490"/>
      <c r="AV9" s="490"/>
      <c r="AW9" s="490"/>
      <c r="AX9" s="492">
        <f>SUM(AK9:AW9)</f>
        <v>0</v>
      </c>
      <c r="AY9" s="493">
        <f>SUM(AX9*5.41)</f>
        <v>0</v>
      </c>
      <c r="AZ9" s="494">
        <f>SUM(AX9*0.001)</f>
        <v>0</v>
      </c>
      <c r="BA9" s="389"/>
      <c r="BB9" s="490"/>
      <c r="BC9" s="490"/>
      <c r="BD9" s="490"/>
      <c r="BE9" s="490"/>
      <c r="BF9" s="490"/>
      <c r="BG9" s="490"/>
      <c r="BH9" s="490"/>
      <c r="BI9" s="490"/>
      <c r="BJ9" s="490"/>
      <c r="BK9" s="490"/>
      <c r="BL9" s="490"/>
      <c r="BM9" s="510"/>
      <c r="BN9" s="492">
        <f>SUM(BA9:BM9)</f>
        <v>0</v>
      </c>
      <c r="BO9" s="493">
        <f>SUM(BN9*5.41)</f>
        <v>0</v>
      </c>
      <c r="BP9" s="512">
        <f>SUM(BN9*0.001)</f>
        <v>0</v>
      </c>
    </row>
    <row r="10" spans="1:116" ht="16.05" customHeight="1" x14ac:dyDescent="0.3">
      <c r="A10" s="312" t="s">
        <v>14</v>
      </c>
      <c r="B10" s="362" t="s">
        <v>87</v>
      </c>
      <c r="C10" s="277"/>
      <c r="D10" s="47"/>
      <c r="E10" s="389"/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2">
        <f>SUM(E10:Q10)</f>
        <v>0</v>
      </c>
      <c r="S10" s="493">
        <f>SUM(R10*5.03)</f>
        <v>0</v>
      </c>
      <c r="T10" s="494">
        <f>SUM(R10*0.00085)</f>
        <v>0</v>
      </c>
      <c r="U10" s="389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0"/>
      <c r="AG10" s="490"/>
      <c r="AH10" s="492">
        <f>SUM(U10:AG10)</f>
        <v>0</v>
      </c>
      <c r="AI10" s="493">
        <f>SUM(AH10*5.03)</f>
        <v>0</v>
      </c>
      <c r="AJ10" s="494">
        <f>SUM(AH10*0.00085)</f>
        <v>0</v>
      </c>
      <c r="AK10" s="389"/>
      <c r="AL10" s="490"/>
      <c r="AM10" s="490"/>
      <c r="AN10" s="490"/>
      <c r="AO10" s="490"/>
      <c r="AP10" s="490"/>
      <c r="AQ10" s="490"/>
      <c r="AR10" s="490"/>
      <c r="AS10" s="490"/>
      <c r="AT10" s="490"/>
      <c r="AU10" s="490"/>
      <c r="AV10" s="490"/>
      <c r="AW10" s="490"/>
      <c r="AX10" s="492">
        <f>SUM(AK10:AW10)</f>
        <v>0</v>
      </c>
      <c r="AY10" s="493">
        <f>SUM(AX10*5.03)</f>
        <v>0</v>
      </c>
      <c r="AZ10" s="494">
        <f>SUM(AX10*0.00085)</f>
        <v>0</v>
      </c>
      <c r="BA10" s="389"/>
      <c r="BB10" s="490"/>
      <c r="BC10" s="490"/>
      <c r="BD10" s="490"/>
      <c r="BE10" s="490"/>
      <c r="BF10" s="490"/>
      <c r="BG10" s="490"/>
      <c r="BH10" s="490"/>
      <c r="BI10" s="490"/>
      <c r="BJ10" s="490"/>
      <c r="BK10" s="490"/>
      <c r="BL10" s="490"/>
      <c r="BM10" s="510"/>
      <c r="BN10" s="492">
        <f>SUM(BA10:BM10)</f>
        <v>0</v>
      </c>
      <c r="BO10" s="493">
        <f>SUM(BN10*5.03)</f>
        <v>0</v>
      </c>
      <c r="BP10" s="512">
        <f>SUM(BN10*0.00085)</f>
        <v>0</v>
      </c>
    </row>
    <row r="11" spans="1:116" ht="16.05" customHeight="1" x14ac:dyDescent="0.3">
      <c r="A11" s="312" t="s">
        <v>13</v>
      </c>
      <c r="B11" s="362" t="s">
        <v>86</v>
      </c>
      <c r="C11" s="277"/>
      <c r="D11" s="47"/>
      <c r="E11" s="389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2">
        <f>SUM(E11:Q11)</f>
        <v>0</v>
      </c>
      <c r="S11" s="493">
        <f>SUM(R11*2.57)</f>
        <v>0</v>
      </c>
      <c r="T11" s="494">
        <f>SUM(R11*0.000175)</f>
        <v>0</v>
      </c>
      <c r="U11" s="389"/>
      <c r="V11" s="490"/>
      <c r="W11" s="490"/>
      <c r="X11" s="490"/>
      <c r="Y11" s="490"/>
      <c r="Z11" s="490"/>
      <c r="AA11" s="490"/>
      <c r="AB11" s="490"/>
      <c r="AC11" s="490"/>
      <c r="AD11" s="490"/>
      <c r="AE11" s="490"/>
      <c r="AF11" s="490"/>
      <c r="AG11" s="490"/>
      <c r="AH11" s="492">
        <f>SUM(U11:AG11)</f>
        <v>0</v>
      </c>
      <c r="AI11" s="493">
        <f>SUM(AH11*2.57)</f>
        <v>0</v>
      </c>
      <c r="AJ11" s="494">
        <f>SUM(AH11*0.000175)</f>
        <v>0</v>
      </c>
      <c r="AK11" s="389"/>
      <c r="AL11" s="490"/>
      <c r="AM11" s="490"/>
      <c r="AN11" s="490"/>
      <c r="AO11" s="490"/>
      <c r="AP11" s="490"/>
      <c r="AQ11" s="490"/>
      <c r="AR11" s="490"/>
      <c r="AS11" s="490"/>
      <c r="AT11" s="490"/>
      <c r="AU11" s="490"/>
      <c r="AV11" s="490"/>
      <c r="AW11" s="490"/>
      <c r="AX11" s="492">
        <f>SUM(AK11:AW11)</f>
        <v>0</v>
      </c>
      <c r="AY11" s="493">
        <f>SUM(AX11*2.57)</f>
        <v>0</v>
      </c>
      <c r="AZ11" s="494">
        <f>SUM(AX11*0.000175)</f>
        <v>0</v>
      </c>
      <c r="BA11" s="389"/>
      <c r="BB11" s="490"/>
      <c r="BC11" s="490"/>
      <c r="BD11" s="490"/>
      <c r="BE11" s="490"/>
      <c r="BF11" s="490"/>
      <c r="BG11" s="490"/>
      <c r="BH11" s="490"/>
      <c r="BI11" s="490"/>
      <c r="BJ11" s="490"/>
      <c r="BK11" s="490"/>
      <c r="BL11" s="490"/>
      <c r="BM11" s="510"/>
      <c r="BN11" s="492">
        <f>SUM(BA11:BM11)</f>
        <v>0</v>
      </c>
      <c r="BO11" s="493">
        <f>SUM(BN11*2.57)</f>
        <v>0</v>
      </c>
      <c r="BP11" s="512">
        <f>SUM(BN11*0.000175)</f>
        <v>0</v>
      </c>
    </row>
    <row r="12" spans="1:116" ht="16.05" customHeight="1" thickBot="1" x14ac:dyDescent="0.35">
      <c r="A12" s="366" t="s">
        <v>145</v>
      </c>
      <c r="B12" s="363" t="s">
        <v>89</v>
      </c>
      <c r="C12" s="281"/>
      <c r="D12" s="50"/>
      <c r="E12" s="389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2">
        <f>SUM(E12:Q12)</f>
        <v>0</v>
      </c>
      <c r="S12" s="493">
        <f>SUM(R12*2.33)</f>
        <v>0</v>
      </c>
      <c r="T12" s="494">
        <f>SUM(R12*0.0005)</f>
        <v>0</v>
      </c>
      <c r="U12" s="389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92">
        <f>SUM(U12:AG12)</f>
        <v>0</v>
      </c>
      <c r="AI12" s="493">
        <f>SUM(AH12*2.33)</f>
        <v>0</v>
      </c>
      <c r="AJ12" s="494">
        <f>SUM(AH12*0.0005)</f>
        <v>0</v>
      </c>
      <c r="AK12" s="389"/>
      <c r="AL12" s="490"/>
      <c r="AM12" s="490"/>
      <c r="AN12" s="490"/>
      <c r="AO12" s="490"/>
      <c r="AP12" s="490"/>
      <c r="AQ12" s="490"/>
      <c r="AR12" s="490"/>
      <c r="AS12" s="490"/>
      <c r="AT12" s="490"/>
      <c r="AU12" s="490"/>
      <c r="AV12" s="490"/>
      <c r="AW12" s="490"/>
      <c r="AX12" s="492">
        <f>SUM(AK12:AW12)</f>
        <v>0</v>
      </c>
      <c r="AY12" s="493">
        <f>SUM(AX12*2.33)</f>
        <v>0</v>
      </c>
      <c r="AZ12" s="494">
        <f>SUM(AX12*0.0005)</f>
        <v>0</v>
      </c>
      <c r="BA12" s="389"/>
      <c r="BB12" s="490"/>
      <c r="BC12" s="490"/>
      <c r="BD12" s="490"/>
      <c r="BE12" s="490"/>
      <c r="BF12" s="490"/>
      <c r="BG12" s="490"/>
      <c r="BH12" s="490"/>
      <c r="BI12" s="490"/>
      <c r="BJ12" s="490"/>
      <c r="BK12" s="490"/>
      <c r="BL12" s="490"/>
      <c r="BM12" s="510"/>
      <c r="BN12" s="492">
        <f>SUM(BA12:BM12)</f>
        <v>0</v>
      </c>
      <c r="BO12" s="493">
        <f>SUM(BN12*2.33)</f>
        <v>0</v>
      </c>
      <c r="BP12" s="512">
        <f>SUM(BN12*0.0005)</f>
        <v>0</v>
      </c>
    </row>
    <row r="13" spans="1:116" s="5" customFormat="1" ht="16.05" customHeight="1" thickTop="1" x14ac:dyDescent="0.3">
      <c r="A13" s="41" t="s">
        <v>16</v>
      </c>
      <c r="B13" s="367"/>
      <c r="C13" s="284"/>
      <c r="D13" s="293"/>
      <c r="E13" s="500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492"/>
      <c r="S13" s="493"/>
      <c r="T13" s="494"/>
      <c r="U13" s="500"/>
      <c r="V13" s="501"/>
      <c r="W13" s="501"/>
      <c r="X13" s="501"/>
      <c r="Y13" s="501"/>
      <c r="Z13" s="501"/>
      <c r="AA13" s="501"/>
      <c r="AB13" s="501"/>
      <c r="AC13" s="501"/>
      <c r="AD13" s="501"/>
      <c r="AE13" s="501"/>
      <c r="AF13" s="501"/>
      <c r="AG13" s="501"/>
      <c r="AH13" s="492"/>
      <c r="AI13" s="493"/>
      <c r="AJ13" s="494"/>
      <c r="AK13" s="500"/>
      <c r="AL13" s="501"/>
      <c r="AM13" s="501"/>
      <c r="AN13" s="501"/>
      <c r="AO13" s="501"/>
      <c r="AP13" s="501"/>
      <c r="AQ13" s="501"/>
      <c r="AR13" s="501"/>
      <c r="AS13" s="501"/>
      <c r="AT13" s="501"/>
      <c r="AU13" s="501"/>
      <c r="AV13" s="501"/>
      <c r="AW13" s="501"/>
      <c r="AX13" s="492"/>
      <c r="AY13" s="493"/>
      <c r="AZ13" s="494"/>
      <c r="BA13" s="500"/>
      <c r="BB13" s="501"/>
      <c r="BC13" s="501"/>
      <c r="BD13" s="501"/>
      <c r="BE13" s="501"/>
      <c r="BF13" s="501"/>
      <c r="BG13" s="501"/>
      <c r="BH13" s="501"/>
      <c r="BI13" s="501"/>
      <c r="BJ13" s="501"/>
      <c r="BK13" s="501"/>
      <c r="BL13" s="501"/>
      <c r="BM13" s="511"/>
      <c r="BN13" s="492"/>
      <c r="BO13" s="493"/>
      <c r="BP13" s="512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</row>
    <row r="14" spans="1:116" ht="16.05" customHeight="1" x14ac:dyDescent="0.3">
      <c r="A14" s="368" t="s">
        <v>17</v>
      </c>
      <c r="B14" s="362" t="s">
        <v>90</v>
      </c>
      <c r="C14" s="277"/>
      <c r="D14" s="47"/>
      <c r="E14" s="389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0"/>
      <c r="R14" s="492">
        <f>SUM(E14:Q14)</f>
        <v>0</v>
      </c>
      <c r="S14" s="493">
        <f>SUM(R14*9.09)</f>
        <v>0</v>
      </c>
      <c r="T14" s="494">
        <f>SUM(R14*0.0006)</f>
        <v>0</v>
      </c>
      <c r="U14" s="389"/>
      <c r="V14" s="490"/>
      <c r="W14" s="490"/>
      <c r="X14" s="490"/>
      <c r="Y14" s="490"/>
      <c r="Z14" s="490"/>
      <c r="AA14" s="490"/>
      <c r="AB14" s="490"/>
      <c r="AC14" s="490"/>
      <c r="AD14" s="490"/>
      <c r="AE14" s="490"/>
      <c r="AF14" s="490"/>
      <c r="AG14" s="490"/>
      <c r="AH14" s="492">
        <f>SUM(U14:AG14)</f>
        <v>0</v>
      </c>
      <c r="AI14" s="493">
        <f>SUM(AH14*9.09)</f>
        <v>0</v>
      </c>
      <c r="AJ14" s="494">
        <f>SUM(AH14*0.0006)</f>
        <v>0</v>
      </c>
      <c r="AK14" s="389"/>
      <c r="AL14" s="490"/>
      <c r="AM14" s="490"/>
      <c r="AN14" s="490"/>
      <c r="AO14" s="490"/>
      <c r="AP14" s="490"/>
      <c r="AQ14" s="490"/>
      <c r="AR14" s="490"/>
      <c r="AS14" s="490"/>
      <c r="AT14" s="490"/>
      <c r="AU14" s="490"/>
      <c r="AV14" s="490"/>
      <c r="AW14" s="490"/>
      <c r="AX14" s="492">
        <f>SUM(AK14:AW14)</f>
        <v>0</v>
      </c>
      <c r="AY14" s="493">
        <f>SUM(AX14*9.09)</f>
        <v>0</v>
      </c>
      <c r="AZ14" s="494">
        <f>SUM(AX14*0.0006)</f>
        <v>0</v>
      </c>
      <c r="BA14" s="389"/>
      <c r="BB14" s="490"/>
      <c r="BC14" s="490"/>
      <c r="BD14" s="490"/>
      <c r="BE14" s="490"/>
      <c r="BF14" s="490"/>
      <c r="BG14" s="490"/>
      <c r="BH14" s="490"/>
      <c r="BI14" s="490"/>
      <c r="BJ14" s="490"/>
      <c r="BK14" s="490"/>
      <c r="BL14" s="490"/>
      <c r="BM14" s="510"/>
      <c r="BN14" s="492">
        <f>SUM(BA14:BM14)</f>
        <v>0</v>
      </c>
      <c r="BO14" s="493">
        <f>SUM(BN14*9.09)</f>
        <v>0</v>
      </c>
      <c r="BP14" s="512">
        <f>SUM(BN14*0.0006)</f>
        <v>0</v>
      </c>
    </row>
    <row r="15" spans="1:116" ht="16.05" customHeight="1" x14ac:dyDescent="0.3">
      <c r="A15" s="312" t="s">
        <v>22</v>
      </c>
      <c r="B15" s="362" t="s">
        <v>91</v>
      </c>
      <c r="C15" s="277"/>
      <c r="D15" s="47"/>
      <c r="E15" s="389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2">
        <f>SUM(E15:Q15)</f>
        <v>0</v>
      </c>
      <c r="S15" s="493">
        <f>SUM(R15*2.7)</f>
        <v>0</v>
      </c>
      <c r="T15" s="494">
        <f>SUM(R15*0.0006)</f>
        <v>0</v>
      </c>
      <c r="U15" s="389"/>
      <c r="V15" s="490"/>
      <c r="W15" s="490"/>
      <c r="X15" s="490"/>
      <c r="Y15" s="490"/>
      <c r="Z15" s="490"/>
      <c r="AA15" s="490"/>
      <c r="AB15" s="490"/>
      <c r="AC15" s="490"/>
      <c r="AD15" s="490"/>
      <c r="AE15" s="490"/>
      <c r="AF15" s="490"/>
      <c r="AG15" s="490"/>
      <c r="AH15" s="492">
        <f>SUM(U15:AG15)</f>
        <v>0</v>
      </c>
      <c r="AI15" s="493">
        <f>SUM(AH15*2.7)</f>
        <v>0</v>
      </c>
      <c r="AJ15" s="494">
        <f>SUM(AH15*0.0006)</f>
        <v>0</v>
      </c>
      <c r="AK15" s="389"/>
      <c r="AL15" s="490"/>
      <c r="AM15" s="490"/>
      <c r="AN15" s="490"/>
      <c r="AO15" s="490"/>
      <c r="AP15" s="490"/>
      <c r="AQ15" s="490"/>
      <c r="AR15" s="490"/>
      <c r="AS15" s="490"/>
      <c r="AT15" s="490"/>
      <c r="AU15" s="490"/>
      <c r="AV15" s="490"/>
      <c r="AW15" s="490"/>
      <c r="AX15" s="492">
        <f>SUM(AK15:AW15)</f>
        <v>0</v>
      </c>
      <c r="AY15" s="493">
        <f>SUM(AX15*2.7)</f>
        <v>0</v>
      </c>
      <c r="AZ15" s="494">
        <f>SUM(AX15*0.0006)</f>
        <v>0</v>
      </c>
      <c r="BA15" s="389"/>
      <c r="BB15" s="490"/>
      <c r="BC15" s="490"/>
      <c r="BD15" s="490"/>
      <c r="BE15" s="490"/>
      <c r="BF15" s="490"/>
      <c r="BG15" s="490"/>
      <c r="BH15" s="490"/>
      <c r="BI15" s="490"/>
      <c r="BJ15" s="490"/>
      <c r="BK15" s="490"/>
      <c r="BL15" s="490"/>
      <c r="BM15" s="510"/>
      <c r="BN15" s="492">
        <f>SUM(BA15:BM15)</f>
        <v>0</v>
      </c>
      <c r="BO15" s="493">
        <f>SUM(BN15*2.7)</f>
        <v>0</v>
      </c>
      <c r="BP15" s="512">
        <f>SUM(BN15*0.0006)</f>
        <v>0</v>
      </c>
    </row>
    <row r="16" spans="1:116" ht="16.05" customHeight="1" x14ac:dyDescent="0.3">
      <c r="A16" s="312" t="s">
        <v>18</v>
      </c>
      <c r="B16" s="362" t="s">
        <v>19</v>
      </c>
      <c r="C16" s="277"/>
      <c r="D16" s="47"/>
      <c r="E16" s="389"/>
      <c r="F16" s="490"/>
      <c r="G16" s="490"/>
      <c r="H16" s="490"/>
      <c r="I16" s="490"/>
      <c r="J16" s="490"/>
      <c r="K16" s="490"/>
      <c r="L16" s="490"/>
      <c r="M16" s="490"/>
      <c r="N16" s="490"/>
      <c r="O16" s="490"/>
      <c r="P16" s="490"/>
      <c r="Q16" s="490"/>
      <c r="R16" s="492">
        <f>SUM(E16:Q16)</f>
        <v>0</v>
      </c>
      <c r="S16" s="493">
        <f>SUM(R16*2.21)</f>
        <v>0</v>
      </c>
      <c r="T16" s="494">
        <f>SUM(R16*0.00029)</f>
        <v>0</v>
      </c>
      <c r="U16" s="389"/>
      <c r="V16" s="490"/>
      <c r="W16" s="490"/>
      <c r="X16" s="490"/>
      <c r="Y16" s="490"/>
      <c r="Z16" s="490"/>
      <c r="AA16" s="490"/>
      <c r="AB16" s="490"/>
      <c r="AC16" s="490"/>
      <c r="AD16" s="490"/>
      <c r="AE16" s="490"/>
      <c r="AF16" s="490"/>
      <c r="AG16" s="490"/>
      <c r="AH16" s="492">
        <f>SUM(U16:AG16)</f>
        <v>0</v>
      </c>
      <c r="AI16" s="493">
        <f>SUM(AH16*2.21)</f>
        <v>0</v>
      </c>
      <c r="AJ16" s="494">
        <f>SUM(AH16*0.00029)</f>
        <v>0</v>
      </c>
      <c r="AK16" s="389"/>
      <c r="AL16" s="490"/>
      <c r="AM16" s="490"/>
      <c r="AN16" s="490"/>
      <c r="AO16" s="490"/>
      <c r="AP16" s="490"/>
      <c r="AQ16" s="490"/>
      <c r="AR16" s="490"/>
      <c r="AS16" s="490"/>
      <c r="AT16" s="490"/>
      <c r="AU16" s="490"/>
      <c r="AV16" s="490"/>
      <c r="AW16" s="490"/>
      <c r="AX16" s="492">
        <f>SUM(AK16:AW16)</f>
        <v>0</v>
      </c>
      <c r="AY16" s="493">
        <f>SUM(AX16*2.21)</f>
        <v>0</v>
      </c>
      <c r="AZ16" s="494">
        <f>SUM(AX16*0.00029)</f>
        <v>0</v>
      </c>
      <c r="BA16" s="389"/>
      <c r="BB16" s="490"/>
      <c r="BC16" s="490"/>
      <c r="BD16" s="490"/>
      <c r="BE16" s="490"/>
      <c r="BF16" s="490"/>
      <c r="BG16" s="490"/>
      <c r="BH16" s="490"/>
      <c r="BI16" s="490"/>
      <c r="BJ16" s="490"/>
      <c r="BK16" s="490"/>
      <c r="BL16" s="490"/>
      <c r="BM16" s="510"/>
      <c r="BN16" s="492">
        <f>SUM(BA16:BM16)</f>
        <v>0</v>
      </c>
      <c r="BO16" s="493">
        <f>SUM(BN16*2.21)</f>
        <v>0</v>
      </c>
      <c r="BP16" s="512">
        <f>SUM(BN16*0.00029)</f>
        <v>0</v>
      </c>
    </row>
    <row r="17" spans="1:96" ht="16.05" customHeight="1" thickBot="1" x14ac:dyDescent="0.35">
      <c r="A17" s="318" t="s">
        <v>20</v>
      </c>
      <c r="B17" s="369" t="s">
        <v>21</v>
      </c>
      <c r="C17" s="291"/>
      <c r="D17" s="48"/>
      <c r="E17" s="389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2">
        <f>SUM(E17:Q17)</f>
        <v>0</v>
      </c>
      <c r="S17" s="493">
        <f>SUM(R17*1.93)</f>
        <v>0</v>
      </c>
      <c r="T17" s="494">
        <f>SUM(R17*0.0002)</f>
        <v>0</v>
      </c>
      <c r="U17" s="389"/>
      <c r="V17" s="490"/>
      <c r="W17" s="490"/>
      <c r="X17" s="490"/>
      <c r="Y17" s="490"/>
      <c r="Z17" s="490"/>
      <c r="AA17" s="490"/>
      <c r="AB17" s="490"/>
      <c r="AC17" s="490"/>
      <c r="AD17" s="490"/>
      <c r="AE17" s="490"/>
      <c r="AF17" s="490"/>
      <c r="AG17" s="490"/>
      <c r="AH17" s="492">
        <f>SUM(U17:AG17)</f>
        <v>0</v>
      </c>
      <c r="AI17" s="493">
        <f>SUM(AH17*1.93)</f>
        <v>0</v>
      </c>
      <c r="AJ17" s="494">
        <f>SUM(AH17*0.0002)</f>
        <v>0</v>
      </c>
      <c r="AK17" s="389"/>
      <c r="AL17" s="490"/>
      <c r="AM17" s="490"/>
      <c r="AN17" s="490"/>
      <c r="AO17" s="490"/>
      <c r="AP17" s="490"/>
      <c r="AQ17" s="490"/>
      <c r="AR17" s="490"/>
      <c r="AS17" s="490"/>
      <c r="AT17" s="490"/>
      <c r="AU17" s="490"/>
      <c r="AV17" s="490"/>
      <c r="AW17" s="490"/>
      <c r="AX17" s="492">
        <f>SUM(AK17:AW17)</f>
        <v>0</v>
      </c>
      <c r="AY17" s="493">
        <f>SUM(AX17*1.93)</f>
        <v>0</v>
      </c>
      <c r="AZ17" s="494">
        <f>SUM(AX17*0.0002)</f>
        <v>0</v>
      </c>
      <c r="BA17" s="389"/>
      <c r="BB17" s="490"/>
      <c r="BC17" s="490"/>
      <c r="BD17" s="490"/>
      <c r="BE17" s="490"/>
      <c r="BF17" s="490"/>
      <c r="BG17" s="490"/>
      <c r="BH17" s="490"/>
      <c r="BI17" s="490"/>
      <c r="BJ17" s="490"/>
      <c r="BK17" s="490"/>
      <c r="BL17" s="490"/>
      <c r="BM17" s="510"/>
      <c r="BN17" s="492">
        <f>SUM(BA17:BM17)</f>
        <v>0</v>
      </c>
      <c r="BO17" s="493">
        <f>SUM(BN17*1.93)</f>
        <v>0</v>
      </c>
      <c r="BP17" s="512">
        <f>SUM(BN17*0.0002)</f>
        <v>0</v>
      </c>
    </row>
    <row r="18" spans="1:96" s="5" customFormat="1" ht="16.05" customHeight="1" thickTop="1" x14ac:dyDescent="0.3">
      <c r="A18" s="41" t="s">
        <v>23</v>
      </c>
      <c r="B18" s="367"/>
      <c r="C18" s="284"/>
      <c r="D18" s="293"/>
      <c r="E18" s="500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492"/>
      <c r="S18" s="493"/>
      <c r="T18" s="494"/>
      <c r="U18" s="500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501"/>
      <c r="AH18" s="492"/>
      <c r="AI18" s="493"/>
      <c r="AJ18" s="494"/>
      <c r="AK18" s="500"/>
      <c r="AL18" s="501"/>
      <c r="AM18" s="501"/>
      <c r="AN18" s="501"/>
      <c r="AO18" s="501"/>
      <c r="AP18" s="501"/>
      <c r="AQ18" s="501"/>
      <c r="AR18" s="501"/>
      <c r="AS18" s="501"/>
      <c r="AT18" s="501"/>
      <c r="AU18" s="501"/>
      <c r="AV18" s="501"/>
      <c r="AW18" s="501"/>
      <c r="AX18" s="492"/>
      <c r="AY18" s="493"/>
      <c r="AZ18" s="494"/>
      <c r="BA18" s="500"/>
      <c r="BB18" s="501"/>
      <c r="BC18" s="501"/>
      <c r="BD18" s="501"/>
      <c r="BE18" s="501"/>
      <c r="BF18" s="501"/>
      <c r="BG18" s="501"/>
      <c r="BH18" s="501"/>
      <c r="BI18" s="501"/>
      <c r="BJ18" s="501"/>
      <c r="BK18" s="501"/>
      <c r="BL18" s="501"/>
      <c r="BM18" s="511"/>
      <c r="BN18" s="492"/>
      <c r="BO18" s="493"/>
      <c r="BP18" s="512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</row>
    <row r="19" spans="1:96" ht="16.05" customHeight="1" x14ac:dyDescent="0.3">
      <c r="A19" s="312" t="s">
        <v>26</v>
      </c>
      <c r="B19" s="362" t="s">
        <v>92</v>
      </c>
      <c r="C19" s="277"/>
      <c r="D19" s="47"/>
      <c r="E19" s="389"/>
      <c r="F19" s="490"/>
      <c r="G19" s="490"/>
      <c r="H19" s="490"/>
      <c r="I19" s="490"/>
      <c r="J19" s="490"/>
      <c r="K19" s="490"/>
      <c r="L19" s="490"/>
      <c r="M19" s="490"/>
      <c r="N19" s="490"/>
      <c r="O19" s="490"/>
      <c r="P19" s="490"/>
      <c r="Q19" s="490"/>
      <c r="R19" s="492">
        <f>SUM(E19:Q19)</f>
        <v>0</v>
      </c>
      <c r="S19" s="493">
        <f>SUM(R19*4.75)</f>
        <v>0</v>
      </c>
      <c r="T19" s="494">
        <f>SUM(R19*0.00021)</f>
        <v>0</v>
      </c>
      <c r="U19" s="389"/>
      <c r="V19" s="490"/>
      <c r="W19" s="490"/>
      <c r="X19" s="490"/>
      <c r="Y19" s="490"/>
      <c r="Z19" s="490"/>
      <c r="AA19" s="490"/>
      <c r="AB19" s="490"/>
      <c r="AC19" s="490"/>
      <c r="AD19" s="490"/>
      <c r="AE19" s="490"/>
      <c r="AF19" s="490"/>
      <c r="AG19" s="490"/>
      <c r="AH19" s="492">
        <f>SUM(U19:AG19)</f>
        <v>0</v>
      </c>
      <c r="AI19" s="493">
        <f>SUM(AH19*4.75)</f>
        <v>0</v>
      </c>
      <c r="AJ19" s="494">
        <f>SUM(AH19*0.00021)</f>
        <v>0</v>
      </c>
      <c r="AK19" s="389"/>
      <c r="AL19" s="490"/>
      <c r="AM19" s="490"/>
      <c r="AN19" s="490"/>
      <c r="AO19" s="490"/>
      <c r="AP19" s="490"/>
      <c r="AQ19" s="490"/>
      <c r="AR19" s="490"/>
      <c r="AS19" s="490"/>
      <c r="AT19" s="490"/>
      <c r="AU19" s="490"/>
      <c r="AV19" s="490"/>
      <c r="AW19" s="490"/>
      <c r="AX19" s="492">
        <f>SUM(AK19:AW19)</f>
        <v>0</v>
      </c>
      <c r="AY19" s="493">
        <f>SUM(AX19*4.75)</f>
        <v>0</v>
      </c>
      <c r="AZ19" s="494">
        <f>SUM(AX19*0.00021)</f>
        <v>0</v>
      </c>
      <c r="BA19" s="389"/>
      <c r="BB19" s="490"/>
      <c r="BC19" s="490"/>
      <c r="BD19" s="490"/>
      <c r="BE19" s="490"/>
      <c r="BF19" s="490"/>
      <c r="BG19" s="490"/>
      <c r="BH19" s="490"/>
      <c r="BI19" s="490"/>
      <c r="BJ19" s="490"/>
      <c r="BK19" s="490"/>
      <c r="BL19" s="490"/>
      <c r="BM19" s="510"/>
      <c r="BN19" s="492">
        <f>SUM(BA19:BM19)</f>
        <v>0</v>
      </c>
      <c r="BO19" s="493">
        <f>SUM(BN19*4.75)</f>
        <v>0</v>
      </c>
      <c r="BP19" s="512">
        <f>SUM(BN19*0.00021)</f>
        <v>0</v>
      </c>
    </row>
    <row r="20" spans="1:96" ht="16.05" customHeight="1" x14ac:dyDescent="0.3">
      <c r="A20" s="312" t="s">
        <v>27</v>
      </c>
      <c r="B20" s="362" t="s">
        <v>93</v>
      </c>
      <c r="C20" s="277"/>
      <c r="D20" s="47"/>
      <c r="E20" s="389"/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2">
        <f>SUM(E20:Q20)</f>
        <v>0</v>
      </c>
      <c r="S20" s="493">
        <f>SUM(R20*5.25)</f>
        <v>0</v>
      </c>
      <c r="T20" s="494">
        <f>SUM(R20*0.00058)</f>
        <v>0</v>
      </c>
      <c r="U20" s="389"/>
      <c r="V20" s="490"/>
      <c r="W20" s="490"/>
      <c r="X20" s="490"/>
      <c r="Y20" s="490"/>
      <c r="Z20" s="490"/>
      <c r="AA20" s="490"/>
      <c r="AB20" s="490"/>
      <c r="AC20" s="490"/>
      <c r="AD20" s="490"/>
      <c r="AE20" s="490"/>
      <c r="AF20" s="490"/>
      <c r="AG20" s="490"/>
      <c r="AH20" s="492">
        <f>SUM(U20:AG20)</f>
        <v>0</v>
      </c>
      <c r="AI20" s="493">
        <f>SUM(AH20*5.25)</f>
        <v>0</v>
      </c>
      <c r="AJ20" s="494">
        <f>SUM(AH20*0.00058)</f>
        <v>0</v>
      </c>
      <c r="AK20" s="389"/>
      <c r="AL20" s="490"/>
      <c r="AM20" s="490"/>
      <c r="AN20" s="490"/>
      <c r="AO20" s="490"/>
      <c r="AP20" s="490"/>
      <c r="AQ20" s="490"/>
      <c r="AR20" s="490"/>
      <c r="AS20" s="490"/>
      <c r="AT20" s="490"/>
      <c r="AU20" s="490"/>
      <c r="AV20" s="490"/>
      <c r="AW20" s="490"/>
      <c r="AX20" s="492">
        <f>SUM(AK20:AW20)</f>
        <v>0</v>
      </c>
      <c r="AY20" s="493">
        <f>SUM(AX20*5.25)</f>
        <v>0</v>
      </c>
      <c r="AZ20" s="494">
        <f>SUM(AX20*0.00058)</f>
        <v>0</v>
      </c>
      <c r="BA20" s="389"/>
      <c r="BB20" s="490"/>
      <c r="BC20" s="490"/>
      <c r="BD20" s="490"/>
      <c r="BE20" s="490"/>
      <c r="BF20" s="490"/>
      <c r="BG20" s="490"/>
      <c r="BH20" s="490"/>
      <c r="BI20" s="490"/>
      <c r="BJ20" s="490"/>
      <c r="BK20" s="490"/>
      <c r="BL20" s="490"/>
      <c r="BM20" s="510"/>
      <c r="BN20" s="492">
        <f>SUM(BA20:BM20)</f>
        <v>0</v>
      </c>
      <c r="BO20" s="493">
        <f>SUM(BN20*5.25)</f>
        <v>0</v>
      </c>
      <c r="BP20" s="512">
        <f>SUM(BN20*0.00058)</f>
        <v>0</v>
      </c>
    </row>
    <row r="21" spans="1:96" ht="16.05" customHeight="1" x14ac:dyDescent="0.3">
      <c r="A21" s="312" t="s">
        <v>172</v>
      </c>
      <c r="B21" s="362" t="s">
        <v>94</v>
      </c>
      <c r="C21" s="277"/>
      <c r="D21" s="47"/>
      <c r="E21" s="389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492">
        <f>SUM(E21:Q21)</f>
        <v>0</v>
      </c>
      <c r="S21" s="493">
        <f>SUM(R21*4.67)</f>
        <v>0</v>
      </c>
      <c r="T21" s="494">
        <f>SUM(R21*0.0005)</f>
        <v>0</v>
      </c>
      <c r="U21" s="389"/>
      <c r="V21" s="490"/>
      <c r="W21" s="490"/>
      <c r="X21" s="490"/>
      <c r="Y21" s="490"/>
      <c r="Z21" s="490"/>
      <c r="AA21" s="490"/>
      <c r="AB21" s="490"/>
      <c r="AC21" s="490"/>
      <c r="AD21" s="490"/>
      <c r="AE21" s="490"/>
      <c r="AF21" s="490"/>
      <c r="AG21" s="490"/>
      <c r="AH21" s="492">
        <f>SUM(U21:AG21)</f>
        <v>0</v>
      </c>
      <c r="AI21" s="493">
        <f>SUM(AH21*4.67)</f>
        <v>0</v>
      </c>
      <c r="AJ21" s="494">
        <f>SUM(AH21*0.0005)</f>
        <v>0</v>
      </c>
      <c r="AK21" s="389"/>
      <c r="AL21" s="490"/>
      <c r="AM21" s="490"/>
      <c r="AN21" s="490"/>
      <c r="AO21" s="490"/>
      <c r="AP21" s="490"/>
      <c r="AQ21" s="490"/>
      <c r="AR21" s="490"/>
      <c r="AS21" s="490"/>
      <c r="AT21" s="490"/>
      <c r="AU21" s="490"/>
      <c r="AV21" s="490"/>
      <c r="AW21" s="490"/>
      <c r="AX21" s="492">
        <f>SUM(AK21:AW21)</f>
        <v>0</v>
      </c>
      <c r="AY21" s="493">
        <f>SUM(AX21*4.67)</f>
        <v>0</v>
      </c>
      <c r="AZ21" s="494">
        <f>SUM(AX21*0.0005)</f>
        <v>0</v>
      </c>
      <c r="BA21" s="389"/>
      <c r="BB21" s="490"/>
      <c r="BC21" s="490"/>
      <c r="BD21" s="490"/>
      <c r="BE21" s="490"/>
      <c r="BF21" s="490"/>
      <c r="BG21" s="490"/>
      <c r="BH21" s="490"/>
      <c r="BI21" s="490"/>
      <c r="BJ21" s="490"/>
      <c r="BK21" s="490"/>
      <c r="BL21" s="490"/>
      <c r="BM21" s="510"/>
      <c r="BN21" s="492">
        <f>SUM(BA21:BM21)</f>
        <v>0</v>
      </c>
      <c r="BO21" s="493">
        <f>SUM(BN21*4.67)</f>
        <v>0</v>
      </c>
      <c r="BP21" s="512">
        <f>SUM(BN21*0.0005)</f>
        <v>0</v>
      </c>
    </row>
    <row r="22" spans="1:96" ht="16.05" customHeight="1" thickBot="1" x14ac:dyDescent="0.35">
      <c r="A22" s="370" t="s">
        <v>24</v>
      </c>
      <c r="B22" s="369" t="s">
        <v>25</v>
      </c>
      <c r="C22" s="291"/>
      <c r="D22" s="48"/>
      <c r="E22" s="389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490"/>
      <c r="Q22" s="490"/>
      <c r="R22" s="492">
        <f>SUM(E22:Q22)</f>
        <v>0</v>
      </c>
      <c r="S22" s="493">
        <f>SUM(R22*2.43)</f>
        <v>0</v>
      </c>
      <c r="T22" s="494">
        <f>SUM(R22*0.00018)</f>
        <v>0</v>
      </c>
      <c r="U22" s="389"/>
      <c r="V22" s="490"/>
      <c r="W22" s="490"/>
      <c r="X22" s="490"/>
      <c r="Y22" s="490"/>
      <c r="Z22" s="490"/>
      <c r="AA22" s="490"/>
      <c r="AB22" s="490"/>
      <c r="AC22" s="490"/>
      <c r="AD22" s="490"/>
      <c r="AE22" s="490"/>
      <c r="AF22" s="490"/>
      <c r="AG22" s="490"/>
      <c r="AH22" s="492">
        <f>SUM(U22:AG22)</f>
        <v>0</v>
      </c>
      <c r="AI22" s="493">
        <f>SUM(AH22*2.43)</f>
        <v>0</v>
      </c>
      <c r="AJ22" s="494">
        <f>SUM(AH22*0.00018)</f>
        <v>0</v>
      </c>
      <c r="AK22" s="389"/>
      <c r="AL22" s="490"/>
      <c r="AM22" s="490"/>
      <c r="AN22" s="490"/>
      <c r="AO22" s="490"/>
      <c r="AP22" s="490"/>
      <c r="AQ22" s="490"/>
      <c r="AR22" s="490"/>
      <c r="AS22" s="490"/>
      <c r="AT22" s="490"/>
      <c r="AU22" s="490"/>
      <c r="AV22" s="490"/>
      <c r="AW22" s="490"/>
      <c r="AX22" s="492">
        <f>SUM(AK22:AW22)</f>
        <v>0</v>
      </c>
      <c r="AY22" s="493">
        <f>SUM(AX22*2.43)</f>
        <v>0</v>
      </c>
      <c r="AZ22" s="494">
        <f>SUM(AX22*0.00018)</f>
        <v>0</v>
      </c>
      <c r="BA22" s="389"/>
      <c r="BB22" s="490"/>
      <c r="BC22" s="490"/>
      <c r="BD22" s="490"/>
      <c r="BE22" s="490"/>
      <c r="BF22" s="490"/>
      <c r="BG22" s="490"/>
      <c r="BH22" s="490"/>
      <c r="BI22" s="490"/>
      <c r="BJ22" s="490"/>
      <c r="BK22" s="490"/>
      <c r="BL22" s="490"/>
      <c r="BM22" s="510"/>
      <c r="BN22" s="492">
        <f>SUM(BA22:BM22)</f>
        <v>0</v>
      </c>
      <c r="BO22" s="493">
        <f>SUM(BN22*2.43)</f>
        <v>0</v>
      </c>
      <c r="BP22" s="512">
        <f>SUM(BN22*0.00018)</f>
        <v>0</v>
      </c>
    </row>
    <row r="23" spans="1:96" s="5" customFormat="1" ht="16.05" customHeight="1" thickTop="1" x14ac:dyDescent="0.3">
      <c r="A23" s="39" t="s">
        <v>28</v>
      </c>
      <c r="B23" s="364"/>
      <c r="C23" s="284"/>
      <c r="D23" s="293"/>
      <c r="E23" s="500"/>
      <c r="F23" s="501"/>
      <c r="G23" s="501"/>
      <c r="H23" s="501"/>
      <c r="I23" s="501"/>
      <c r="J23" s="501"/>
      <c r="K23" s="501"/>
      <c r="L23" s="501"/>
      <c r="M23" s="501"/>
      <c r="N23" s="501"/>
      <c r="O23" s="501"/>
      <c r="P23" s="501"/>
      <c r="Q23" s="501"/>
      <c r="R23" s="492"/>
      <c r="S23" s="493"/>
      <c r="T23" s="494"/>
      <c r="U23" s="500"/>
      <c r="V23" s="501"/>
      <c r="W23" s="501"/>
      <c r="X23" s="501"/>
      <c r="Y23" s="501"/>
      <c r="Z23" s="501"/>
      <c r="AA23" s="501"/>
      <c r="AB23" s="501"/>
      <c r="AC23" s="501"/>
      <c r="AD23" s="501"/>
      <c r="AE23" s="501"/>
      <c r="AF23" s="501"/>
      <c r="AG23" s="501"/>
      <c r="AH23" s="492"/>
      <c r="AI23" s="493"/>
      <c r="AJ23" s="494"/>
      <c r="AK23" s="500"/>
      <c r="AL23" s="501"/>
      <c r="AM23" s="501"/>
      <c r="AN23" s="501"/>
      <c r="AO23" s="501"/>
      <c r="AP23" s="501"/>
      <c r="AQ23" s="501"/>
      <c r="AR23" s="501"/>
      <c r="AS23" s="501"/>
      <c r="AT23" s="501"/>
      <c r="AU23" s="501"/>
      <c r="AV23" s="501"/>
      <c r="AW23" s="501"/>
      <c r="AX23" s="492"/>
      <c r="AY23" s="493"/>
      <c r="AZ23" s="494"/>
      <c r="BA23" s="500"/>
      <c r="BB23" s="501"/>
      <c r="BC23" s="501"/>
      <c r="BD23" s="501"/>
      <c r="BE23" s="501"/>
      <c r="BF23" s="501"/>
      <c r="BG23" s="501"/>
      <c r="BH23" s="501"/>
      <c r="BI23" s="501"/>
      <c r="BJ23" s="501"/>
      <c r="BK23" s="501"/>
      <c r="BL23" s="501"/>
      <c r="BM23" s="511"/>
      <c r="BN23" s="492"/>
      <c r="BO23" s="493"/>
      <c r="BP23" s="512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</row>
    <row r="24" spans="1:96" ht="16.05" customHeight="1" x14ac:dyDescent="0.3">
      <c r="A24" s="312" t="s">
        <v>31</v>
      </c>
      <c r="B24" s="362" t="s">
        <v>95</v>
      </c>
      <c r="C24" s="277"/>
      <c r="D24" s="47"/>
      <c r="E24" s="389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492">
        <f>SUM(E24:Q24)</f>
        <v>0</v>
      </c>
      <c r="S24" s="493">
        <f>SUM(R24*5.4)</f>
        <v>0</v>
      </c>
      <c r="T24" s="494">
        <f>SUM(R24*0.00097)</f>
        <v>0</v>
      </c>
      <c r="U24" s="389"/>
      <c r="V24" s="490"/>
      <c r="W24" s="490"/>
      <c r="X24" s="490"/>
      <c r="Y24" s="490"/>
      <c r="Z24" s="490"/>
      <c r="AA24" s="490"/>
      <c r="AB24" s="490"/>
      <c r="AC24" s="490"/>
      <c r="AD24" s="490"/>
      <c r="AE24" s="490"/>
      <c r="AF24" s="490"/>
      <c r="AG24" s="490"/>
      <c r="AH24" s="492">
        <f>SUM(U24:AG24)</f>
        <v>0</v>
      </c>
      <c r="AI24" s="493">
        <f>SUM(AH24*5.4)</f>
        <v>0</v>
      </c>
      <c r="AJ24" s="494">
        <f>SUM(AH24*0.00097)</f>
        <v>0</v>
      </c>
      <c r="AK24" s="389"/>
      <c r="AL24" s="490"/>
      <c r="AM24" s="490"/>
      <c r="AN24" s="490"/>
      <c r="AO24" s="490"/>
      <c r="AP24" s="490"/>
      <c r="AQ24" s="490"/>
      <c r="AR24" s="490"/>
      <c r="AS24" s="490"/>
      <c r="AT24" s="490"/>
      <c r="AU24" s="490"/>
      <c r="AV24" s="490"/>
      <c r="AW24" s="490"/>
      <c r="AX24" s="492">
        <f>SUM(AK24:AW24)</f>
        <v>0</v>
      </c>
      <c r="AY24" s="493">
        <f>SUM(AX24*5.4)</f>
        <v>0</v>
      </c>
      <c r="AZ24" s="494">
        <f>SUM(AX24*0.00097)</f>
        <v>0</v>
      </c>
      <c r="BA24" s="389"/>
      <c r="BB24" s="490"/>
      <c r="BC24" s="490"/>
      <c r="BD24" s="490"/>
      <c r="BE24" s="490"/>
      <c r="BF24" s="490"/>
      <c r="BG24" s="490"/>
      <c r="BH24" s="490"/>
      <c r="BI24" s="490"/>
      <c r="BJ24" s="490"/>
      <c r="BK24" s="490"/>
      <c r="BL24" s="490"/>
      <c r="BM24" s="510"/>
      <c r="BN24" s="492">
        <f>SUM(BA24:BM24)</f>
        <v>0</v>
      </c>
      <c r="BO24" s="493">
        <f>SUM(BN24*5.4)</f>
        <v>0</v>
      </c>
      <c r="BP24" s="512">
        <f>SUM(BN24*0.00097)</f>
        <v>0</v>
      </c>
    </row>
    <row r="25" spans="1:96" ht="16.05" customHeight="1" x14ac:dyDescent="0.3">
      <c r="A25" s="314" t="s">
        <v>22</v>
      </c>
      <c r="B25" s="365"/>
      <c r="C25" s="280"/>
      <c r="D25" s="474"/>
      <c r="E25" s="389"/>
      <c r="F25" s="490"/>
      <c r="G25" s="490"/>
      <c r="H25" s="490"/>
      <c r="I25" s="490"/>
      <c r="J25" s="490"/>
      <c r="K25" s="490"/>
      <c r="L25" s="490"/>
      <c r="M25" s="490"/>
      <c r="N25" s="490"/>
      <c r="O25" s="490"/>
      <c r="P25" s="490"/>
      <c r="Q25" s="490"/>
      <c r="R25" s="492">
        <f>SUM(E25:Q25)</f>
        <v>0</v>
      </c>
      <c r="S25" s="493"/>
      <c r="T25" s="494"/>
      <c r="U25" s="389"/>
      <c r="V25" s="490"/>
      <c r="W25" s="490"/>
      <c r="X25" s="490"/>
      <c r="Y25" s="490"/>
      <c r="Z25" s="490"/>
      <c r="AA25" s="490"/>
      <c r="AB25" s="490"/>
      <c r="AC25" s="490"/>
      <c r="AD25" s="490"/>
      <c r="AE25" s="490"/>
      <c r="AF25" s="490"/>
      <c r="AG25" s="490"/>
      <c r="AH25" s="492">
        <f>SUM(U25:AG25)</f>
        <v>0</v>
      </c>
      <c r="AI25" s="493"/>
      <c r="AJ25" s="494"/>
      <c r="AK25" s="389"/>
      <c r="AL25" s="490"/>
      <c r="AM25" s="490"/>
      <c r="AN25" s="490"/>
      <c r="AO25" s="490"/>
      <c r="AP25" s="490"/>
      <c r="AQ25" s="490"/>
      <c r="AR25" s="490"/>
      <c r="AS25" s="490"/>
      <c r="AT25" s="490"/>
      <c r="AU25" s="490"/>
      <c r="AV25" s="490"/>
      <c r="AW25" s="490"/>
      <c r="AX25" s="492">
        <f>SUM(AK25:AW25)</f>
        <v>0</v>
      </c>
      <c r="AY25" s="493"/>
      <c r="AZ25" s="494"/>
      <c r="BA25" s="389"/>
      <c r="BB25" s="490"/>
      <c r="BC25" s="490"/>
      <c r="BD25" s="490"/>
      <c r="BE25" s="490"/>
      <c r="BF25" s="490"/>
      <c r="BG25" s="490"/>
      <c r="BH25" s="490"/>
      <c r="BI25" s="490"/>
      <c r="BJ25" s="490"/>
      <c r="BK25" s="490"/>
      <c r="BL25" s="490"/>
      <c r="BM25" s="510"/>
      <c r="BN25" s="492"/>
      <c r="BO25" s="493"/>
      <c r="BP25" s="512"/>
    </row>
    <row r="26" spans="1:96" ht="16.05" customHeight="1" thickBot="1" x14ac:dyDescent="0.35">
      <c r="A26" s="318" t="s">
        <v>29</v>
      </c>
      <c r="B26" s="369" t="s">
        <v>30</v>
      </c>
      <c r="C26" s="291"/>
      <c r="D26" s="48"/>
      <c r="E26" s="389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2">
        <f>SUM(E26:Q26)</f>
        <v>0</v>
      </c>
      <c r="S26" s="493">
        <f>SUM(R26*9.91)</f>
        <v>0</v>
      </c>
      <c r="T26" s="494">
        <f>SUM(R26*0.001)</f>
        <v>0</v>
      </c>
      <c r="U26" s="389"/>
      <c r="V26" s="490"/>
      <c r="W26" s="490"/>
      <c r="X26" s="490"/>
      <c r="Y26" s="490"/>
      <c r="Z26" s="490"/>
      <c r="AA26" s="490"/>
      <c r="AB26" s="490"/>
      <c r="AC26" s="490"/>
      <c r="AD26" s="490"/>
      <c r="AE26" s="490"/>
      <c r="AF26" s="490"/>
      <c r="AG26" s="490"/>
      <c r="AH26" s="492">
        <f>SUM(U26:AG26)</f>
        <v>0</v>
      </c>
      <c r="AI26" s="493">
        <f>SUM(AH26*9.91)</f>
        <v>0</v>
      </c>
      <c r="AJ26" s="494">
        <f>SUM(AH26*0.001)</f>
        <v>0</v>
      </c>
      <c r="AK26" s="389"/>
      <c r="AL26" s="490"/>
      <c r="AM26" s="490"/>
      <c r="AN26" s="490"/>
      <c r="AO26" s="490"/>
      <c r="AP26" s="490"/>
      <c r="AQ26" s="490"/>
      <c r="AR26" s="490"/>
      <c r="AS26" s="490"/>
      <c r="AT26" s="490"/>
      <c r="AU26" s="490"/>
      <c r="AV26" s="490"/>
      <c r="AW26" s="490"/>
      <c r="AX26" s="492">
        <f>SUM(AK26:AW26)</f>
        <v>0</v>
      </c>
      <c r="AY26" s="493">
        <f>SUM(AX26*9.91)</f>
        <v>0</v>
      </c>
      <c r="AZ26" s="494">
        <f>SUM(AX26*0.001)</f>
        <v>0</v>
      </c>
      <c r="BA26" s="389"/>
      <c r="BB26" s="490"/>
      <c r="BC26" s="490"/>
      <c r="BD26" s="490"/>
      <c r="BE26" s="490"/>
      <c r="BF26" s="490"/>
      <c r="BG26" s="490"/>
      <c r="BH26" s="490"/>
      <c r="BI26" s="490"/>
      <c r="BJ26" s="490"/>
      <c r="BK26" s="490"/>
      <c r="BL26" s="490"/>
      <c r="BM26" s="510"/>
      <c r="BN26" s="492">
        <f>SUM(BA26:BM26)</f>
        <v>0</v>
      </c>
      <c r="BO26" s="493">
        <f>SUM(BN26*9.91)</f>
        <v>0</v>
      </c>
      <c r="BP26" s="512">
        <f>SUM(BN26*0.001)</f>
        <v>0</v>
      </c>
    </row>
    <row r="27" spans="1:96" ht="16.05" customHeight="1" thickTop="1" x14ac:dyDescent="0.3">
      <c r="A27" s="44" t="s">
        <v>32</v>
      </c>
      <c r="B27" s="371"/>
      <c r="C27" s="372"/>
      <c r="D27" s="373"/>
      <c r="E27" s="500"/>
      <c r="F27" s="501"/>
      <c r="G27" s="501"/>
      <c r="H27" s="501"/>
      <c r="I27" s="501"/>
      <c r="J27" s="501"/>
      <c r="K27" s="501"/>
      <c r="L27" s="501"/>
      <c r="M27" s="501"/>
      <c r="N27" s="501"/>
      <c r="O27" s="501"/>
      <c r="P27" s="501"/>
      <c r="Q27" s="501"/>
      <c r="R27" s="492"/>
      <c r="S27" s="493"/>
      <c r="T27" s="494"/>
      <c r="U27" s="500"/>
      <c r="V27" s="501"/>
      <c r="W27" s="501"/>
      <c r="X27" s="501"/>
      <c r="Y27" s="501"/>
      <c r="Z27" s="501"/>
      <c r="AA27" s="501"/>
      <c r="AB27" s="501"/>
      <c r="AC27" s="501"/>
      <c r="AD27" s="501"/>
      <c r="AE27" s="501"/>
      <c r="AF27" s="501"/>
      <c r="AG27" s="501"/>
      <c r="AH27" s="492"/>
      <c r="AI27" s="493"/>
      <c r="AJ27" s="494"/>
      <c r="AK27" s="500"/>
      <c r="AL27" s="501"/>
      <c r="AM27" s="501"/>
      <c r="AN27" s="501"/>
      <c r="AO27" s="501"/>
      <c r="AP27" s="501"/>
      <c r="AQ27" s="501"/>
      <c r="AR27" s="501"/>
      <c r="AS27" s="501"/>
      <c r="AT27" s="501"/>
      <c r="AU27" s="501"/>
      <c r="AV27" s="501"/>
      <c r="AW27" s="501"/>
      <c r="AX27" s="492"/>
      <c r="AY27" s="493"/>
      <c r="AZ27" s="494"/>
      <c r="BA27" s="500"/>
      <c r="BB27" s="501"/>
      <c r="BC27" s="501"/>
      <c r="BD27" s="501"/>
      <c r="BE27" s="501"/>
      <c r="BF27" s="501"/>
      <c r="BG27" s="501"/>
      <c r="BH27" s="501"/>
      <c r="BI27" s="501"/>
      <c r="BJ27" s="501"/>
      <c r="BK27" s="501"/>
      <c r="BL27" s="501"/>
      <c r="BM27" s="511"/>
      <c r="BN27" s="492"/>
      <c r="BO27" s="493"/>
      <c r="BP27" s="512"/>
    </row>
    <row r="28" spans="1:96" ht="16.05" customHeight="1" x14ac:dyDescent="0.3">
      <c r="A28" s="314" t="s">
        <v>173</v>
      </c>
      <c r="B28" s="365" t="s">
        <v>174</v>
      </c>
      <c r="C28" s="280"/>
      <c r="D28" s="49"/>
      <c r="E28" s="389"/>
      <c r="F28" s="490"/>
      <c r="G28" s="490"/>
      <c r="H28" s="490"/>
      <c r="I28" s="490"/>
      <c r="J28" s="490"/>
      <c r="K28" s="490"/>
      <c r="L28" s="490"/>
      <c r="M28" s="490"/>
      <c r="N28" s="490"/>
      <c r="O28" s="490"/>
      <c r="P28" s="490"/>
      <c r="Q28" s="490"/>
      <c r="R28" s="492">
        <f>SUM(E28:Q28)</f>
        <v>0</v>
      </c>
      <c r="S28" s="493">
        <f>SUM(R28*8.47)</f>
        <v>0</v>
      </c>
      <c r="T28" s="494">
        <f>SUM(R28*0.0008)</f>
        <v>0</v>
      </c>
      <c r="U28" s="389"/>
      <c r="V28" s="490"/>
      <c r="W28" s="490"/>
      <c r="X28" s="490"/>
      <c r="Y28" s="490"/>
      <c r="Z28" s="490"/>
      <c r="AA28" s="490"/>
      <c r="AB28" s="490"/>
      <c r="AC28" s="490"/>
      <c r="AD28" s="490"/>
      <c r="AE28" s="490"/>
      <c r="AF28" s="490"/>
      <c r="AG28" s="490"/>
      <c r="AH28" s="492">
        <f>SUM(U28:AG28)</f>
        <v>0</v>
      </c>
      <c r="AI28" s="493">
        <f>SUM(AH28*8.47)</f>
        <v>0</v>
      </c>
      <c r="AJ28" s="494">
        <f>SUM(AH28*0.0008)</f>
        <v>0</v>
      </c>
      <c r="AK28" s="389"/>
      <c r="AL28" s="490"/>
      <c r="AM28" s="490"/>
      <c r="AN28" s="490"/>
      <c r="AO28" s="490"/>
      <c r="AP28" s="490"/>
      <c r="AQ28" s="490"/>
      <c r="AR28" s="490"/>
      <c r="AS28" s="490"/>
      <c r="AT28" s="490"/>
      <c r="AU28" s="490"/>
      <c r="AV28" s="490"/>
      <c r="AW28" s="490"/>
      <c r="AX28" s="492">
        <f>SUM(AK28:AW28)</f>
        <v>0</v>
      </c>
      <c r="AY28" s="493">
        <f>SUM(AX28*8.47)</f>
        <v>0</v>
      </c>
      <c r="AZ28" s="494">
        <f>SUM(AX28*0.0008)</f>
        <v>0</v>
      </c>
      <c r="BA28" s="389"/>
      <c r="BB28" s="490"/>
      <c r="BC28" s="490"/>
      <c r="BD28" s="490"/>
      <c r="BE28" s="490"/>
      <c r="BF28" s="490"/>
      <c r="BG28" s="490"/>
      <c r="BH28" s="490"/>
      <c r="BI28" s="490"/>
      <c r="BJ28" s="490"/>
      <c r="BK28" s="490"/>
      <c r="BL28" s="490"/>
      <c r="BM28" s="510"/>
      <c r="BN28" s="492">
        <f>SUM(BA28:BM28)</f>
        <v>0</v>
      </c>
      <c r="BO28" s="493">
        <f>SUM(BN28*8.47)</f>
        <v>0</v>
      </c>
      <c r="BP28" s="512">
        <f>SUM(BN28*0.0008)</f>
        <v>0</v>
      </c>
    </row>
    <row r="29" spans="1:96" ht="16.05" customHeight="1" x14ac:dyDescent="0.3">
      <c r="A29" s="368" t="s">
        <v>33</v>
      </c>
      <c r="B29" s="362" t="s">
        <v>34</v>
      </c>
      <c r="C29" s="277"/>
      <c r="D29" s="47"/>
      <c r="E29" s="389"/>
      <c r="F29" s="490"/>
      <c r="G29" s="490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492">
        <f>SUM(E29:Q29)</f>
        <v>0</v>
      </c>
      <c r="S29" s="493">
        <f>SUM(R29*4.73)</f>
        <v>0</v>
      </c>
      <c r="T29" s="494">
        <f>SUM(R29*0.00042)</f>
        <v>0</v>
      </c>
      <c r="U29" s="389"/>
      <c r="V29" s="490"/>
      <c r="W29" s="490"/>
      <c r="X29" s="490"/>
      <c r="Y29" s="490"/>
      <c r="Z29" s="490"/>
      <c r="AA29" s="490"/>
      <c r="AB29" s="490"/>
      <c r="AC29" s="490"/>
      <c r="AD29" s="490"/>
      <c r="AE29" s="490"/>
      <c r="AF29" s="490"/>
      <c r="AG29" s="490"/>
      <c r="AH29" s="492">
        <f>SUM(U29:AG29)</f>
        <v>0</v>
      </c>
      <c r="AI29" s="493">
        <f>SUM(AH29*4.73)</f>
        <v>0</v>
      </c>
      <c r="AJ29" s="494">
        <f>SUM(AH29*0.00042)</f>
        <v>0</v>
      </c>
      <c r="AK29" s="389"/>
      <c r="AL29" s="490"/>
      <c r="AM29" s="490"/>
      <c r="AN29" s="490"/>
      <c r="AO29" s="490"/>
      <c r="AP29" s="490"/>
      <c r="AQ29" s="490"/>
      <c r="AR29" s="490"/>
      <c r="AS29" s="490"/>
      <c r="AT29" s="490"/>
      <c r="AU29" s="490"/>
      <c r="AV29" s="490"/>
      <c r="AW29" s="490"/>
      <c r="AX29" s="492">
        <f>SUM(AK29:AW29)</f>
        <v>0</v>
      </c>
      <c r="AY29" s="493">
        <f>SUM(AX29*4.73)</f>
        <v>0</v>
      </c>
      <c r="AZ29" s="494">
        <f>SUM(AX29*0.00042)</f>
        <v>0</v>
      </c>
      <c r="BA29" s="389"/>
      <c r="BB29" s="490"/>
      <c r="BC29" s="490"/>
      <c r="BD29" s="490"/>
      <c r="BE29" s="490"/>
      <c r="BF29" s="490"/>
      <c r="BG29" s="490"/>
      <c r="BH29" s="490"/>
      <c r="BI29" s="490"/>
      <c r="BJ29" s="490"/>
      <c r="BK29" s="490"/>
      <c r="BL29" s="490"/>
      <c r="BM29" s="510"/>
      <c r="BN29" s="492">
        <f>SUM(BA29:BM29)</f>
        <v>0</v>
      </c>
      <c r="BO29" s="493">
        <f>SUM(BN29*4.73)</f>
        <v>0</v>
      </c>
      <c r="BP29" s="512">
        <f>SUM(BN29*0.00042)</f>
        <v>0</v>
      </c>
    </row>
    <row r="30" spans="1:96" ht="16.05" customHeight="1" x14ac:dyDescent="0.3">
      <c r="A30" s="329" t="s">
        <v>146</v>
      </c>
      <c r="B30" s="362" t="s">
        <v>147</v>
      </c>
      <c r="C30" s="277"/>
      <c r="D30" s="47"/>
      <c r="E30" s="389"/>
      <c r="F30" s="490"/>
      <c r="G30" s="490"/>
      <c r="H30" s="490"/>
      <c r="I30" s="490"/>
      <c r="J30" s="490"/>
      <c r="K30" s="490"/>
      <c r="L30" s="490"/>
      <c r="M30" s="490"/>
      <c r="N30" s="490"/>
      <c r="O30" s="490"/>
      <c r="P30" s="490"/>
      <c r="Q30" s="490"/>
      <c r="R30" s="492">
        <f>SUM(E30:Q30)</f>
        <v>0</v>
      </c>
      <c r="S30" s="493">
        <f>SUM(R30*9.15)</f>
        <v>0</v>
      </c>
      <c r="T30" s="494">
        <f>SUM(R30*0.001)</f>
        <v>0</v>
      </c>
      <c r="U30" s="389"/>
      <c r="V30" s="490"/>
      <c r="W30" s="490"/>
      <c r="X30" s="490"/>
      <c r="Y30" s="490"/>
      <c r="Z30" s="490"/>
      <c r="AA30" s="490"/>
      <c r="AB30" s="490"/>
      <c r="AC30" s="490"/>
      <c r="AD30" s="490"/>
      <c r="AE30" s="490"/>
      <c r="AF30" s="490"/>
      <c r="AG30" s="490"/>
      <c r="AH30" s="492">
        <f>SUM(U30:AG30)</f>
        <v>0</v>
      </c>
      <c r="AI30" s="493">
        <f>SUM(AH30*9.15)</f>
        <v>0</v>
      </c>
      <c r="AJ30" s="494">
        <f>SUM(AH30*0.001)</f>
        <v>0</v>
      </c>
      <c r="AK30" s="389"/>
      <c r="AL30" s="490"/>
      <c r="AM30" s="490"/>
      <c r="AN30" s="490"/>
      <c r="AO30" s="490"/>
      <c r="AP30" s="490"/>
      <c r="AQ30" s="490"/>
      <c r="AR30" s="490"/>
      <c r="AS30" s="490"/>
      <c r="AT30" s="490"/>
      <c r="AU30" s="490"/>
      <c r="AV30" s="490"/>
      <c r="AW30" s="490"/>
      <c r="AX30" s="492">
        <f>SUM(AK30:AW30)</f>
        <v>0</v>
      </c>
      <c r="AY30" s="493">
        <f>SUM(AX30*9.15)</f>
        <v>0</v>
      </c>
      <c r="AZ30" s="494">
        <f>SUM(AX30*0.001)</f>
        <v>0</v>
      </c>
      <c r="BA30" s="389"/>
      <c r="BB30" s="490"/>
      <c r="BC30" s="490"/>
      <c r="BD30" s="490"/>
      <c r="BE30" s="490"/>
      <c r="BF30" s="490"/>
      <c r="BG30" s="490"/>
      <c r="BH30" s="490"/>
      <c r="BI30" s="490"/>
      <c r="BJ30" s="490"/>
      <c r="BK30" s="490"/>
      <c r="BL30" s="490"/>
      <c r="BM30" s="510"/>
      <c r="BN30" s="492">
        <f>SUM(BA30:BM30)</f>
        <v>0</v>
      </c>
      <c r="BO30" s="493">
        <f>SUM(BN30*9.15)</f>
        <v>0</v>
      </c>
      <c r="BP30" s="512">
        <f>SUM(BN30*0.001)</f>
        <v>0</v>
      </c>
    </row>
    <row r="31" spans="1:96" ht="16.05" customHeight="1" x14ac:dyDescent="0.3">
      <c r="A31" s="368" t="s">
        <v>149</v>
      </c>
      <c r="B31" s="362" t="s">
        <v>15</v>
      </c>
      <c r="C31" s="277"/>
      <c r="D31" s="47"/>
      <c r="E31" s="389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  <c r="Q31" s="490"/>
      <c r="R31" s="492">
        <f>SUM(E31:Q31)</f>
        <v>0</v>
      </c>
      <c r="S31" s="493">
        <f>SUM(R31*4.75)</f>
        <v>0</v>
      </c>
      <c r="T31" s="494">
        <f>SUM(R31*0.00054)</f>
        <v>0</v>
      </c>
      <c r="U31" s="389"/>
      <c r="V31" s="490"/>
      <c r="W31" s="490"/>
      <c r="X31" s="490"/>
      <c r="Y31" s="490"/>
      <c r="Z31" s="490"/>
      <c r="AA31" s="490"/>
      <c r="AB31" s="490"/>
      <c r="AC31" s="490"/>
      <c r="AD31" s="490"/>
      <c r="AE31" s="490"/>
      <c r="AF31" s="490"/>
      <c r="AG31" s="490"/>
      <c r="AH31" s="492">
        <f>SUM(U31:AG31)</f>
        <v>0</v>
      </c>
      <c r="AI31" s="493">
        <f>SUM(AH31*4.75)</f>
        <v>0</v>
      </c>
      <c r="AJ31" s="494">
        <f>SUM(AH31*0.00054)</f>
        <v>0</v>
      </c>
      <c r="AK31" s="389"/>
      <c r="AL31" s="490"/>
      <c r="AM31" s="490"/>
      <c r="AN31" s="490"/>
      <c r="AO31" s="490"/>
      <c r="AP31" s="490"/>
      <c r="AQ31" s="490"/>
      <c r="AR31" s="490"/>
      <c r="AS31" s="490"/>
      <c r="AT31" s="490"/>
      <c r="AU31" s="490"/>
      <c r="AV31" s="490"/>
      <c r="AW31" s="490"/>
      <c r="AX31" s="492">
        <f>SUM(AK31:AW31)</f>
        <v>0</v>
      </c>
      <c r="AY31" s="493">
        <f>SUM(AX31*4.75)</f>
        <v>0</v>
      </c>
      <c r="AZ31" s="494">
        <f>SUM(AX31*0.00054)</f>
        <v>0</v>
      </c>
      <c r="BA31" s="389"/>
      <c r="BB31" s="490"/>
      <c r="BC31" s="490"/>
      <c r="BD31" s="490"/>
      <c r="BE31" s="490"/>
      <c r="BF31" s="490"/>
      <c r="BG31" s="490"/>
      <c r="BH31" s="490"/>
      <c r="BI31" s="490"/>
      <c r="BJ31" s="490"/>
      <c r="BK31" s="490"/>
      <c r="BL31" s="490"/>
      <c r="BM31" s="510"/>
      <c r="BN31" s="492">
        <f>SUM(BA31:BM31)</f>
        <v>0</v>
      </c>
      <c r="BO31" s="493">
        <f>SUM(BN31*4.75)</f>
        <v>0</v>
      </c>
      <c r="BP31" s="512">
        <f>SUM(BN31*0.00054)</f>
        <v>0</v>
      </c>
    </row>
    <row r="32" spans="1:96" ht="16.05" customHeight="1" thickBot="1" x14ac:dyDescent="0.35">
      <c r="A32" s="316" t="s">
        <v>148</v>
      </c>
      <c r="B32" s="363" t="s">
        <v>96</v>
      </c>
      <c r="C32" s="281"/>
      <c r="D32" s="50"/>
      <c r="E32" s="389"/>
      <c r="F32" s="490"/>
      <c r="G32" s="490"/>
      <c r="H32" s="490"/>
      <c r="I32" s="490"/>
      <c r="J32" s="490"/>
      <c r="K32" s="490"/>
      <c r="L32" s="490"/>
      <c r="M32" s="490"/>
      <c r="N32" s="490"/>
      <c r="O32" s="490"/>
      <c r="P32" s="490"/>
      <c r="Q32" s="490"/>
      <c r="R32" s="492">
        <f>SUM(E32:Q32)</f>
        <v>0</v>
      </c>
      <c r="S32" s="493">
        <f>SUM(R32*5.08)</f>
        <v>0</v>
      </c>
      <c r="T32" s="494">
        <f>SUM(R32*0.0008)</f>
        <v>0</v>
      </c>
      <c r="U32" s="389"/>
      <c r="V32" s="490"/>
      <c r="W32" s="490"/>
      <c r="X32" s="490"/>
      <c r="Y32" s="490"/>
      <c r="Z32" s="490"/>
      <c r="AA32" s="490"/>
      <c r="AB32" s="490"/>
      <c r="AC32" s="490"/>
      <c r="AD32" s="490"/>
      <c r="AE32" s="490"/>
      <c r="AF32" s="490"/>
      <c r="AG32" s="490"/>
      <c r="AH32" s="492">
        <f>SUM(U32:AG32)</f>
        <v>0</v>
      </c>
      <c r="AI32" s="493">
        <f>SUM(AH32*5.08)</f>
        <v>0</v>
      </c>
      <c r="AJ32" s="494">
        <f>SUM(AH32*0.0008)</f>
        <v>0</v>
      </c>
      <c r="AK32" s="389"/>
      <c r="AL32" s="490"/>
      <c r="AM32" s="490"/>
      <c r="AN32" s="490"/>
      <c r="AO32" s="490"/>
      <c r="AP32" s="490"/>
      <c r="AQ32" s="490"/>
      <c r="AR32" s="490"/>
      <c r="AS32" s="490"/>
      <c r="AT32" s="490"/>
      <c r="AU32" s="490"/>
      <c r="AV32" s="490"/>
      <c r="AW32" s="490"/>
      <c r="AX32" s="492">
        <f>SUM(AK32:AW32)</f>
        <v>0</v>
      </c>
      <c r="AY32" s="493">
        <f>SUM(AX32*5.08)</f>
        <v>0</v>
      </c>
      <c r="AZ32" s="494">
        <f>SUM(AX32*0.0008)</f>
        <v>0</v>
      </c>
      <c r="BA32" s="389"/>
      <c r="BB32" s="490"/>
      <c r="BC32" s="490"/>
      <c r="BD32" s="490"/>
      <c r="BE32" s="490"/>
      <c r="BF32" s="490"/>
      <c r="BG32" s="490"/>
      <c r="BH32" s="490"/>
      <c r="BI32" s="490"/>
      <c r="BJ32" s="490"/>
      <c r="BK32" s="490"/>
      <c r="BL32" s="490"/>
      <c r="BM32" s="510"/>
      <c r="BN32" s="492">
        <f>SUM(BA32:BM32)</f>
        <v>0</v>
      </c>
      <c r="BO32" s="493">
        <f>SUM(BN32*5.08)</f>
        <v>0</v>
      </c>
      <c r="BP32" s="512">
        <f>SUM(BN32*0.0008)</f>
        <v>0</v>
      </c>
    </row>
    <row r="33" spans="1:96" s="5" customFormat="1" ht="16.05" customHeight="1" thickTop="1" x14ac:dyDescent="0.3">
      <c r="A33" s="39" t="s">
        <v>35</v>
      </c>
      <c r="B33" s="364"/>
      <c r="C33" s="284"/>
      <c r="D33" s="293"/>
      <c r="E33" s="500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492"/>
      <c r="S33" s="493"/>
      <c r="T33" s="494"/>
      <c r="U33" s="500"/>
      <c r="V33" s="501"/>
      <c r="W33" s="501"/>
      <c r="X33" s="501"/>
      <c r="Y33" s="501"/>
      <c r="Z33" s="501"/>
      <c r="AA33" s="501"/>
      <c r="AB33" s="501"/>
      <c r="AC33" s="501"/>
      <c r="AD33" s="501"/>
      <c r="AE33" s="501"/>
      <c r="AF33" s="501"/>
      <c r="AG33" s="501"/>
      <c r="AH33" s="492"/>
      <c r="AI33" s="493"/>
      <c r="AJ33" s="494"/>
      <c r="AK33" s="500"/>
      <c r="AL33" s="501"/>
      <c r="AM33" s="501"/>
      <c r="AN33" s="501"/>
      <c r="AO33" s="501"/>
      <c r="AP33" s="501"/>
      <c r="AQ33" s="501"/>
      <c r="AR33" s="501"/>
      <c r="AS33" s="501"/>
      <c r="AT33" s="501"/>
      <c r="AU33" s="501"/>
      <c r="AV33" s="501"/>
      <c r="AW33" s="501"/>
      <c r="AX33" s="492"/>
      <c r="AY33" s="493"/>
      <c r="AZ33" s="494"/>
      <c r="BA33" s="500"/>
      <c r="BB33" s="501"/>
      <c r="BC33" s="501"/>
      <c r="BD33" s="501"/>
      <c r="BE33" s="501"/>
      <c r="BF33" s="501"/>
      <c r="BG33" s="501"/>
      <c r="BH33" s="501"/>
      <c r="BI33" s="501"/>
      <c r="BJ33" s="501"/>
      <c r="BK33" s="501"/>
      <c r="BL33" s="501"/>
      <c r="BM33" s="511"/>
      <c r="BN33" s="492"/>
      <c r="BO33" s="493"/>
      <c r="BP33" s="512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</row>
    <row r="34" spans="1:96" ht="16.05" customHeight="1" x14ac:dyDescent="0.3">
      <c r="A34" s="312" t="s">
        <v>36</v>
      </c>
      <c r="B34" s="374">
        <v>701</v>
      </c>
      <c r="C34" s="277"/>
      <c r="D34" s="47"/>
      <c r="E34" s="389"/>
      <c r="F34" s="490"/>
      <c r="G34" s="490"/>
      <c r="H34" s="490"/>
      <c r="I34" s="490"/>
      <c r="J34" s="490"/>
      <c r="K34" s="490"/>
      <c r="L34" s="490"/>
      <c r="M34" s="490"/>
      <c r="N34" s="490"/>
      <c r="O34" s="490"/>
      <c r="P34" s="490"/>
      <c r="Q34" s="490"/>
      <c r="R34" s="492">
        <f>SUM(E34:Q34)</f>
        <v>0</v>
      </c>
      <c r="S34" s="493">
        <f>SUM(R34*1.68)</f>
        <v>0</v>
      </c>
      <c r="T34" s="494">
        <f>SUM(R34*0.0003)</f>
        <v>0</v>
      </c>
      <c r="U34" s="389"/>
      <c r="V34" s="389"/>
      <c r="W34" s="490"/>
      <c r="X34" s="490"/>
      <c r="Y34" s="490"/>
      <c r="Z34" s="490"/>
      <c r="AA34" s="490"/>
      <c r="AB34" s="490"/>
      <c r="AC34" s="490"/>
      <c r="AD34" s="490"/>
      <c r="AE34" s="490"/>
      <c r="AF34" s="490"/>
      <c r="AG34" s="490"/>
      <c r="AH34" s="492">
        <f>SUM(U34:AG34)</f>
        <v>0</v>
      </c>
      <c r="AI34" s="493">
        <f>SUM(AH34*1.68)</f>
        <v>0</v>
      </c>
      <c r="AJ34" s="494">
        <f>SUM(AH34*0.0003)</f>
        <v>0</v>
      </c>
      <c r="AK34" s="389"/>
      <c r="AL34" s="490"/>
      <c r="AM34" s="490"/>
      <c r="AN34" s="490"/>
      <c r="AO34" s="490"/>
      <c r="AP34" s="490"/>
      <c r="AQ34" s="490"/>
      <c r="AR34" s="490"/>
      <c r="AS34" s="490"/>
      <c r="AT34" s="490"/>
      <c r="AU34" s="490"/>
      <c r="AV34" s="490"/>
      <c r="AW34" s="490"/>
      <c r="AX34" s="492">
        <f>SUM(AK34:AW34)</f>
        <v>0</v>
      </c>
      <c r="AY34" s="493">
        <f>SUM(AX34*1.68)</f>
        <v>0</v>
      </c>
      <c r="AZ34" s="494">
        <f>SUM(AX34*0.0003)</f>
        <v>0</v>
      </c>
      <c r="BA34" s="389"/>
      <c r="BB34" s="490"/>
      <c r="BC34" s="490"/>
      <c r="BD34" s="490"/>
      <c r="BE34" s="490"/>
      <c r="BF34" s="490"/>
      <c r="BG34" s="490"/>
      <c r="BH34" s="490"/>
      <c r="BI34" s="490"/>
      <c r="BJ34" s="490"/>
      <c r="BK34" s="490"/>
      <c r="BL34" s="490"/>
      <c r="BM34" s="510"/>
      <c r="BN34" s="492">
        <f>SUM(BA34:BM34)</f>
        <v>0</v>
      </c>
      <c r="BO34" s="493">
        <f>SUM(BN34*1.68)</f>
        <v>0</v>
      </c>
      <c r="BP34" s="512">
        <f>SUM(BN34*0.0003)</f>
        <v>0</v>
      </c>
    </row>
    <row r="35" spans="1:96" ht="16.05" customHeight="1" x14ac:dyDescent="0.3">
      <c r="A35" s="312" t="s">
        <v>38</v>
      </c>
      <c r="B35" s="362">
        <v>915</v>
      </c>
      <c r="C35" s="277"/>
      <c r="D35" s="47"/>
      <c r="E35" s="389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90"/>
      <c r="Q35" s="490"/>
      <c r="R35" s="492">
        <f>SUM(E35:Q35)</f>
        <v>0</v>
      </c>
      <c r="S35" s="493">
        <f>SUM(R35*3.67)</f>
        <v>0</v>
      </c>
      <c r="T35" s="494">
        <f>SUM(R35*0.00015)</f>
        <v>0</v>
      </c>
      <c r="U35" s="389"/>
      <c r="V35" s="389"/>
      <c r="W35" s="490"/>
      <c r="X35" s="490"/>
      <c r="Y35" s="490"/>
      <c r="Z35" s="490"/>
      <c r="AA35" s="490"/>
      <c r="AB35" s="490"/>
      <c r="AC35" s="490"/>
      <c r="AD35" s="490"/>
      <c r="AE35" s="490"/>
      <c r="AF35" s="490"/>
      <c r="AG35" s="490"/>
      <c r="AH35" s="492">
        <f>SUM(U35:AG35)</f>
        <v>0</v>
      </c>
      <c r="AI35" s="493">
        <f>SUM(AH35*3.67)</f>
        <v>0</v>
      </c>
      <c r="AJ35" s="494">
        <f>SUM(AH35*0.00015)</f>
        <v>0</v>
      </c>
      <c r="AK35" s="389"/>
      <c r="AL35" s="490"/>
      <c r="AM35" s="490"/>
      <c r="AN35" s="490"/>
      <c r="AO35" s="490"/>
      <c r="AP35" s="490"/>
      <c r="AQ35" s="490"/>
      <c r="AR35" s="490"/>
      <c r="AS35" s="490"/>
      <c r="AT35" s="490"/>
      <c r="AU35" s="490"/>
      <c r="AV35" s="490"/>
      <c r="AW35" s="490"/>
      <c r="AX35" s="492">
        <f>SUM(AK35:AW35)</f>
        <v>0</v>
      </c>
      <c r="AY35" s="493">
        <f>SUM(AX35*3.67)</f>
        <v>0</v>
      </c>
      <c r="AZ35" s="494">
        <f>SUM(AX35*0.00015)</f>
        <v>0</v>
      </c>
      <c r="BA35" s="389"/>
      <c r="BB35" s="490"/>
      <c r="BC35" s="490"/>
      <c r="BD35" s="490"/>
      <c r="BE35" s="490"/>
      <c r="BF35" s="490"/>
      <c r="BG35" s="490"/>
      <c r="BH35" s="490"/>
      <c r="BI35" s="490"/>
      <c r="BJ35" s="490"/>
      <c r="BK35" s="490"/>
      <c r="BL35" s="490"/>
      <c r="BM35" s="510"/>
      <c r="BN35" s="492">
        <f>SUM(BA35:BM35)</f>
        <v>0</v>
      </c>
      <c r="BO35" s="493">
        <f>SUM(BN35*3.67)</f>
        <v>0</v>
      </c>
      <c r="BP35" s="512">
        <f>SUM(BN35*0.00015)</f>
        <v>0</v>
      </c>
    </row>
    <row r="36" spans="1:96" ht="16.05" customHeight="1" x14ac:dyDescent="0.3">
      <c r="A36" s="312" t="s">
        <v>142</v>
      </c>
      <c r="B36" s="362" t="s">
        <v>37</v>
      </c>
      <c r="C36" s="277"/>
      <c r="D36" s="47"/>
      <c r="E36" s="389"/>
      <c r="F36" s="490"/>
      <c r="G36" s="490"/>
      <c r="H36" s="490"/>
      <c r="I36" s="490"/>
      <c r="J36" s="490"/>
      <c r="K36" s="490"/>
      <c r="L36" s="490"/>
      <c r="M36" s="490"/>
      <c r="N36" s="490"/>
      <c r="O36" s="490"/>
      <c r="P36" s="490"/>
      <c r="Q36" s="490"/>
      <c r="R36" s="492">
        <f>SUM(E36:Q36)</f>
        <v>0</v>
      </c>
      <c r="S36" s="493">
        <f>SUM(R36*5)</f>
        <v>0</v>
      </c>
      <c r="T36" s="494">
        <f>SUM(R36*0.0008)</f>
        <v>0</v>
      </c>
      <c r="U36" s="389"/>
      <c r="V36" s="389"/>
      <c r="W36" s="490"/>
      <c r="X36" s="490"/>
      <c r="Y36" s="490"/>
      <c r="Z36" s="490"/>
      <c r="AA36" s="490"/>
      <c r="AB36" s="490"/>
      <c r="AC36" s="490"/>
      <c r="AD36" s="490"/>
      <c r="AE36" s="490"/>
      <c r="AF36" s="490"/>
      <c r="AG36" s="490"/>
      <c r="AH36" s="492">
        <f>SUM(U36:AG36)</f>
        <v>0</v>
      </c>
      <c r="AI36" s="493">
        <f>SUM(AH36*5)</f>
        <v>0</v>
      </c>
      <c r="AJ36" s="494">
        <f>SUM(AH36*0.0008)</f>
        <v>0</v>
      </c>
      <c r="AK36" s="389"/>
      <c r="AL36" s="490"/>
      <c r="AM36" s="490"/>
      <c r="AN36" s="490"/>
      <c r="AO36" s="490"/>
      <c r="AP36" s="490"/>
      <c r="AQ36" s="490"/>
      <c r="AR36" s="490"/>
      <c r="AS36" s="490"/>
      <c r="AT36" s="490"/>
      <c r="AU36" s="490"/>
      <c r="AV36" s="490"/>
      <c r="AW36" s="490"/>
      <c r="AX36" s="492">
        <f>SUM(AK36:AW36)</f>
        <v>0</v>
      </c>
      <c r="AY36" s="493">
        <f>SUM(AX36*5)</f>
        <v>0</v>
      </c>
      <c r="AZ36" s="494">
        <f>SUM(AX36*0.0008)</f>
        <v>0</v>
      </c>
      <c r="BA36" s="389"/>
      <c r="BB36" s="490"/>
      <c r="BC36" s="490"/>
      <c r="BD36" s="490"/>
      <c r="BE36" s="490"/>
      <c r="BF36" s="490"/>
      <c r="BG36" s="490"/>
      <c r="BH36" s="490"/>
      <c r="BI36" s="490"/>
      <c r="BJ36" s="490"/>
      <c r="BK36" s="490"/>
      <c r="BL36" s="490"/>
      <c r="BM36" s="510"/>
      <c r="BN36" s="492">
        <f>SUM(BA36:BM36)</f>
        <v>0</v>
      </c>
      <c r="BO36" s="493">
        <f>SUM(BN36*5)</f>
        <v>0</v>
      </c>
      <c r="BP36" s="512">
        <f>SUM(BN36*0.0008)</f>
        <v>0</v>
      </c>
    </row>
    <row r="37" spans="1:96" ht="16.05" customHeight="1" thickBot="1" x14ac:dyDescent="0.35">
      <c r="A37" s="316" t="s">
        <v>143</v>
      </c>
      <c r="B37" s="363" t="s">
        <v>97</v>
      </c>
      <c r="C37" s="281"/>
      <c r="D37" s="50"/>
      <c r="E37" s="389"/>
      <c r="F37" s="490"/>
      <c r="G37" s="490"/>
      <c r="H37" s="490"/>
      <c r="I37" s="490"/>
      <c r="J37" s="490"/>
      <c r="K37" s="490"/>
      <c r="L37" s="490"/>
      <c r="M37" s="490"/>
      <c r="N37" s="490"/>
      <c r="O37" s="490"/>
      <c r="P37" s="490"/>
      <c r="Q37" s="490"/>
      <c r="R37" s="492">
        <f>SUM(E37:Q37)</f>
        <v>0</v>
      </c>
      <c r="S37" s="493">
        <f>SUM(R37*5.16)</f>
        <v>0</v>
      </c>
      <c r="T37" s="494">
        <f>SUM(R37*0.00072)</f>
        <v>0</v>
      </c>
      <c r="U37" s="389"/>
      <c r="V37" s="389"/>
      <c r="W37" s="490"/>
      <c r="X37" s="490"/>
      <c r="Y37" s="490"/>
      <c r="Z37" s="490"/>
      <c r="AA37" s="490"/>
      <c r="AB37" s="490"/>
      <c r="AC37" s="490"/>
      <c r="AD37" s="490"/>
      <c r="AE37" s="490"/>
      <c r="AF37" s="490"/>
      <c r="AG37" s="490"/>
      <c r="AH37" s="492">
        <f>SUM(U37:AG37)</f>
        <v>0</v>
      </c>
      <c r="AI37" s="493">
        <f>SUM(AH37*5.16)</f>
        <v>0</v>
      </c>
      <c r="AJ37" s="494">
        <f>SUM(AH37*0.00072)</f>
        <v>0</v>
      </c>
      <c r="AK37" s="389"/>
      <c r="AL37" s="490"/>
      <c r="AM37" s="490"/>
      <c r="AN37" s="490"/>
      <c r="AO37" s="490"/>
      <c r="AP37" s="490"/>
      <c r="AQ37" s="490"/>
      <c r="AR37" s="490"/>
      <c r="AS37" s="490"/>
      <c r="AT37" s="490"/>
      <c r="AU37" s="490"/>
      <c r="AV37" s="490"/>
      <c r="AW37" s="490"/>
      <c r="AX37" s="492">
        <f>SUM(AK37:AW37)</f>
        <v>0</v>
      </c>
      <c r="AY37" s="493">
        <f>SUM(AX37*5.16)</f>
        <v>0</v>
      </c>
      <c r="AZ37" s="494">
        <f>SUM(AX37*0.00072)</f>
        <v>0</v>
      </c>
      <c r="BA37" s="389"/>
      <c r="BB37" s="490"/>
      <c r="BC37" s="490"/>
      <c r="BD37" s="490"/>
      <c r="BE37" s="490"/>
      <c r="BF37" s="490"/>
      <c r="BG37" s="490"/>
      <c r="BH37" s="490"/>
      <c r="BI37" s="490"/>
      <c r="BJ37" s="490"/>
      <c r="BK37" s="490"/>
      <c r="BL37" s="490"/>
      <c r="BM37" s="510"/>
      <c r="BN37" s="492">
        <f>SUM(BA37:BM37)</f>
        <v>0</v>
      </c>
      <c r="BO37" s="493">
        <f>SUM(BN37*5.16)</f>
        <v>0</v>
      </c>
      <c r="BP37" s="512">
        <f>SUM(BN37*0.00072)</f>
        <v>0</v>
      </c>
    </row>
    <row r="38" spans="1:96" s="5" customFormat="1" ht="16.05" customHeight="1" thickTop="1" x14ac:dyDescent="0.3">
      <c r="A38" s="41" t="s">
        <v>39</v>
      </c>
      <c r="B38" s="367"/>
      <c r="C38" s="284"/>
      <c r="D38" s="293"/>
      <c r="E38" s="500"/>
      <c r="F38" s="501"/>
      <c r="G38" s="501"/>
      <c r="H38" s="501"/>
      <c r="I38" s="501"/>
      <c r="J38" s="501"/>
      <c r="K38" s="501"/>
      <c r="L38" s="501"/>
      <c r="M38" s="501"/>
      <c r="N38" s="501"/>
      <c r="O38" s="501"/>
      <c r="P38" s="501"/>
      <c r="Q38" s="501"/>
      <c r="R38" s="492"/>
      <c r="S38" s="493"/>
      <c r="T38" s="494"/>
      <c r="U38" s="500"/>
      <c r="V38" s="501"/>
      <c r="W38" s="501"/>
      <c r="X38" s="501"/>
      <c r="Y38" s="501"/>
      <c r="Z38" s="501"/>
      <c r="AA38" s="501"/>
      <c r="AB38" s="501"/>
      <c r="AC38" s="501"/>
      <c r="AD38" s="501"/>
      <c r="AE38" s="501"/>
      <c r="AF38" s="501"/>
      <c r="AG38" s="501"/>
      <c r="AH38" s="492"/>
      <c r="AI38" s="493"/>
      <c r="AJ38" s="494"/>
      <c r="AK38" s="500"/>
      <c r="AL38" s="501"/>
      <c r="AM38" s="501"/>
      <c r="AN38" s="501"/>
      <c r="AO38" s="501"/>
      <c r="AP38" s="501"/>
      <c r="AQ38" s="501"/>
      <c r="AR38" s="501"/>
      <c r="AS38" s="501"/>
      <c r="AT38" s="501"/>
      <c r="AU38" s="501"/>
      <c r="AV38" s="501"/>
      <c r="AW38" s="501"/>
      <c r="AX38" s="492"/>
      <c r="AY38" s="493"/>
      <c r="AZ38" s="494"/>
      <c r="BA38" s="500"/>
      <c r="BB38" s="501"/>
      <c r="BC38" s="501"/>
      <c r="BD38" s="501"/>
      <c r="BE38" s="501"/>
      <c r="BF38" s="501"/>
      <c r="BG38" s="501"/>
      <c r="BH38" s="501"/>
      <c r="BI38" s="501"/>
      <c r="BJ38" s="501"/>
      <c r="BK38" s="501"/>
      <c r="BL38" s="501"/>
      <c r="BM38" s="511"/>
      <c r="BN38" s="492"/>
      <c r="BO38" s="493"/>
      <c r="BP38" s="512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1:96" ht="16.05" customHeight="1" x14ac:dyDescent="0.3">
      <c r="A39" s="312" t="s">
        <v>151</v>
      </c>
      <c r="B39" s="362">
        <v>836</v>
      </c>
      <c r="C39" s="277"/>
      <c r="D39" s="47"/>
      <c r="E39" s="389"/>
      <c r="F39" s="490"/>
      <c r="G39" s="490"/>
      <c r="H39" s="490"/>
      <c r="I39" s="490"/>
      <c r="J39" s="490"/>
      <c r="K39" s="389"/>
      <c r="L39" s="490"/>
      <c r="M39" s="490"/>
      <c r="N39" s="490"/>
      <c r="O39" s="490"/>
      <c r="P39" s="490"/>
      <c r="Q39" s="490"/>
      <c r="R39" s="492">
        <f>SUM(E39:Q39)</f>
        <v>0</v>
      </c>
      <c r="S39" s="493">
        <f>SUM(R39*2.63)</f>
        <v>0</v>
      </c>
      <c r="T39" s="494">
        <f>SUM(R39*0.0003)</f>
        <v>0</v>
      </c>
      <c r="U39" s="389"/>
      <c r="V39" s="389"/>
      <c r="W39" s="490"/>
      <c r="X39" s="490"/>
      <c r="Y39" s="490"/>
      <c r="Z39" s="490"/>
      <c r="AA39" s="490"/>
      <c r="AB39" s="490"/>
      <c r="AC39" s="490"/>
      <c r="AD39" s="490"/>
      <c r="AE39" s="490"/>
      <c r="AF39" s="490"/>
      <c r="AG39" s="490"/>
      <c r="AH39" s="492">
        <f>SUM(U39:AG39)</f>
        <v>0</v>
      </c>
      <c r="AI39" s="493">
        <f>SUM(AH39*2.63)</f>
        <v>0</v>
      </c>
      <c r="AJ39" s="494">
        <f>SUM(AH39*0.0003)</f>
        <v>0</v>
      </c>
      <c r="AK39" s="389"/>
      <c r="AL39" s="490"/>
      <c r="AM39" s="490"/>
      <c r="AN39" s="490"/>
      <c r="AO39" s="490"/>
      <c r="AP39" s="490"/>
      <c r="AQ39" s="490"/>
      <c r="AR39" s="490"/>
      <c r="AS39" s="490"/>
      <c r="AT39" s="490"/>
      <c r="AU39" s="490"/>
      <c r="AV39" s="490"/>
      <c r="AW39" s="490"/>
      <c r="AX39" s="492">
        <f>SUM(AK39:AW39)</f>
        <v>0</v>
      </c>
      <c r="AY39" s="493">
        <f>SUM(AX39*2.63)</f>
        <v>0</v>
      </c>
      <c r="AZ39" s="494">
        <f>SUM(AX39*0.0003)</f>
        <v>0</v>
      </c>
      <c r="BA39" s="389"/>
      <c r="BB39" s="490"/>
      <c r="BC39" s="490"/>
      <c r="BD39" s="490"/>
      <c r="BE39" s="490"/>
      <c r="BF39" s="490"/>
      <c r="BG39" s="490"/>
      <c r="BH39" s="490"/>
      <c r="BI39" s="490"/>
      <c r="BJ39" s="490"/>
      <c r="BK39" s="490"/>
      <c r="BL39" s="490"/>
      <c r="BM39" s="510"/>
      <c r="BN39" s="492">
        <f>SUM(BA39:BM39)</f>
        <v>0</v>
      </c>
      <c r="BO39" s="493">
        <f>SUM(BN39*2.63)</f>
        <v>0</v>
      </c>
      <c r="BP39" s="512">
        <f>SUM(BN39*0.0003)</f>
        <v>0</v>
      </c>
    </row>
    <row r="40" spans="1:96" ht="16.05" customHeight="1" x14ac:dyDescent="0.3">
      <c r="A40" s="312" t="s">
        <v>152</v>
      </c>
      <c r="B40" s="362">
        <v>837</v>
      </c>
      <c r="C40" s="277"/>
      <c r="D40" s="47"/>
      <c r="E40" s="389"/>
      <c r="F40" s="490"/>
      <c r="G40" s="490"/>
      <c r="H40" s="490"/>
      <c r="I40" s="490"/>
      <c r="J40" s="490"/>
      <c r="K40" s="389"/>
      <c r="L40" s="490"/>
      <c r="M40" s="490"/>
      <c r="N40" s="490"/>
      <c r="O40" s="490"/>
      <c r="P40" s="490"/>
      <c r="Q40" s="490"/>
      <c r="R40" s="492">
        <f>SUM(E40:Q40)</f>
        <v>0</v>
      </c>
      <c r="S40" s="493">
        <f>SUM(R40*1.99)</f>
        <v>0</v>
      </c>
      <c r="T40" s="494">
        <f>SUM(R40*0.00037)</f>
        <v>0</v>
      </c>
      <c r="U40" s="389"/>
      <c r="V40" s="389"/>
      <c r="W40" s="490"/>
      <c r="X40" s="490"/>
      <c r="Y40" s="490"/>
      <c r="Z40" s="490"/>
      <c r="AA40" s="490"/>
      <c r="AB40" s="490"/>
      <c r="AC40" s="490"/>
      <c r="AD40" s="490"/>
      <c r="AE40" s="490"/>
      <c r="AF40" s="490"/>
      <c r="AG40" s="490"/>
      <c r="AH40" s="492">
        <f>SUM(U40:AG40)</f>
        <v>0</v>
      </c>
      <c r="AI40" s="493">
        <f>SUM(AH40*1.99)</f>
        <v>0</v>
      </c>
      <c r="AJ40" s="494">
        <f>SUM(AH40*0.00037)</f>
        <v>0</v>
      </c>
      <c r="AK40" s="389"/>
      <c r="AL40" s="490"/>
      <c r="AM40" s="490"/>
      <c r="AN40" s="490"/>
      <c r="AO40" s="490"/>
      <c r="AP40" s="490"/>
      <c r="AQ40" s="490"/>
      <c r="AR40" s="490"/>
      <c r="AS40" s="490"/>
      <c r="AT40" s="490"/>
      <c r="AU40" s="490"/>
      <c r="AV40" s="490"/>
      <c r="AW40" s="490"/>
      <c r="AX40" s="492">
        <f>SUM(AK40:AW40)</f>
        <v>0</v>
      </c>
      <c r="AY40" s="493">
        <f>SUM(AX40*1.99)</f>
        <v>0</v>
      </c>
      <c r="AZ40" s="494">
        <f>SUM(AX40*0.00037)</f>
        <v>0</v>
      </c>
      <c r="BA40" s="389"/>
      <c r="BB40" s="490"/>
      <c r="BC40" s="490"/>
      <c r="BD40" s="490"/>
      <c r="BE40" s="490"/>
      <c r="BF40" s="490"/>
      <c r="BG40" s="490"/>
      <c r="BH40" s="490"/>
      <c r="BI40" s="490"/>
      <c r="BJ40" s="490"/>
      <c r="BK40" s="490"/>
      <c r="BL40" s="490"/>
      <c r="BM40" s="510"/>
      <c r="BN40" s="492">
        <f>SUM(BA40:BM40)</f>
        <v>0</v>
      </c>
      <c r="BO40" s="493">
        <f>SUM(BN40*1.99)</f>
        <v>0</v>
      </c>
      <c r="BP40" s="512">
        <f>SUM(BN40*0.00037)</f>
        <v>0</v>
      </c>
    </row>
    <row r="41" spans="1:96" ht="16.05" customHeight="1" x14ac:dyDescent="0.3">
      <c r="A41" s="368" t="s">
        <v>41</v>
      </c>
      <c r="B41" s="362" t="s">
        <v>98</v>
      </c>
      <c r="C41" s="277"/>
      <c r="D41" s="47"/>
      <c r="E41" s="389"/>
      <c r="F41" s="490"/>
      <c r="G41" s="490"/>
      <c r="H41" s="490"/>
      <c r="I41" s="490"/>
      <c r="J41" s="490"/>
      <c r="K41" s="389"/>
      <c r="L41" s="490"/>
      <c r="M41" s="490"/>
      <c r="N41" s="490"/>
      <c r="O41" s="490"/>
      <c r="P41" s="490"/>
      <c r="Q41" s="490"/>
      <c r="R41" s="492">
        <f>SUM(E41:Q41)</f>
        <v>0</v>
      </c>
      <c r="S41" s="493">
        <f>SUM(R41*12.35)</f>
        <v>0</v>
      </c>
      <c r="T41" s="494">
        <f>SUM(R41*0.00119)</f>
        <v>0</v>
      </c>
      <c r="U41" s="389"/>
      <c r="V41" s="389"/>
      <c r="W41" s="490"/>
      <c r="X41" s="490"/>
      <c r="Y41" s="490"/>
      <c r="Z41" s="490"/>
      <c r="AA41" s="490"/>
      <c r="AB41" s="490"/>
      <c r="AC41" s="490"/>
      <c r="AD41" s="490"/>
      <c r="AE41" s="490"/>
      <c r="AF41" s="490"/>
      <c r="AG41" s="490"/>
      <c r="AH41" s="492">
        <f>SUM(U41:AG41)</f>
        <v>0</v>
      </c>
      <c r="AI41" s="493">
        <f>SUM(AH41*12.35)</f>
        <v>0</v>
      </c>
      <c r="AJ41" s="494">
        <f>SUM(AH41*0.00119)</f>
        <v>0</v>
      </c>
      <c r="AK41" s="389"/>
      <c r="AL41" s="490"/>
      <c r="AM41" s="490"/>
      <c r="AN41" s="490"/>
      <c r="AO41" s="490"/>
      <c r="AP41" s="490"/>
      <c r="AQ41" s="490"/>
      <c r="AR41" s="490"/>
      <c r="AS41" s="490"/>
      <c r="AT41" s="490"/>
      <c r="AU41" s="490"/>
      <c r="AV41" s="490"/>
      <c r="AW41" s="490"/>
      <c r="AX41" s="492">
        <f>SUM(AK41:AW41)</f>
        <v>0</v>
      </c>
      <c r="AY41" s="493">
        <f>SUM(AX41*12.35)</f>
        <v>0</v>
      </c>
      <c r="AZ41" s="494">
        <f>SUM(AX41*0.00119)</f>
        <v>0</v>
      </c>
      <c r="BA41" s="389"/>
      <c r="BB41" s="490"/>
      <c r="BC41" s="490"/>
      <c r="BD41" s="490"/>
      <c r="BE41" s="490"/>
      <c r="BF41" s="490"/>
      <c r="BG41" s="490"/>
      <c r="BH41" s="490"/>
      <c r="BI41" s="490"/>
      <c r="BJ41" s="490"/>
      <c r="BK41" s="490"/>
      <c r="BL41" s="490"/>
      <c r="BM41" s="510"/>
      <c r="BN41" s="492">
        <f>SUM(BA41:BM41)</f>
        <v>0</v>
      </c>
      <c r="BO41" s="493">
        <f>SUM(BN41*12.35)</f>
        <v>0</v>
      </c>
      <c r="BP41" s="512">
        <f>SUM(BN41*0.00119)</f>
        <v>0</v>
      </c>
    </row>
    <row r="42" spans="1:96" ht="16.05" customHeight="1" x14ac:dyDescent="0.3">
      <c r="A42" s="368" t="s">
        <v>175</v>
      </c>
      <c r="B42" s="362" t="s">
        <v>40</v>
      </c>
      <c r="C42" s="277"/>
      <c r="D42" s="47"/>
      <c r="E42" s="389"/>
      <c r="F42" s="490"/>
      <c r="G42" s="490"/>
      <c r="H42" s="490"/>
      <c r="I42" s="490"/>
      <c r="J42" s="490"/>
      <c r="K42" s="389"/>
      <c r="L42" s="490"/>
      <c r="M42" s="490"/>
      <c r="N42" s="490"/>
      <c r="O42" s="490"/>
      <c r="P42" s="490"/>
      <c r="Q42" s="490"/>
      <c r="R42" s="492">
        <f>SUM(E42:Q42)</f>
        <v>0</v>
      </c>
      <c r="S42" s="493">
        <f>SUM(R42*10.85)</f>
        <v>0</v>
      </c>
      <c r="T42" s="494">
        <f>SUM(R42*0.00027)</f>
        <v>0</v>
      </c>
      <c r="U42" s="389"/>
      <c r="V42" s="389"/>
      <c r="W42" s="490"/>
      <c r="X42" s="490"/>
      <c r="Y42" s="490"/>
      <c r="Z42" s="490"/>
      <c r="AA42" s="490"/>
      <c r="AB42" s="490"/>
      <c r="AC42" s="490"/>
      <c r="AD42" s="490"/>
      <c r="AE42" s="490"/>
      <c r="AF42" s="490"/>
      <c r="AG42" s="490"/>
      <c r="AH42" s="492">
        <f>SUM(U42:AG42)</f>
        <v>0</v>
      </c>
      <c r="AI42" s="493">
        <f>SUM(AH42*10.85)</f>
        <v>0</v>
      </c>
      <c r="AJ42" s="494">
        <f>SUM(AH42*0.00027)</f>
        <v>0</v>
      </c>
      <c r="AK42" s="389"/>
      <c r="AL42" s="490"/>
      <c r="AM42" s="490"/>
      <c r="AN42" s="490"/>
      <c r="AO42" s="490"/>
      <c r="AP42" s="490"/>
      <c r="AQ42" s="490"/>
      <c r="AR42" s="490"/>
      <c r="AS42" s="490"/>
      <c r="AT42" s="490"/>
      <c r="AU42" s="490"/>
      <c r="AV42" s="490"/>
      <c r="AW42" s="490"/>
      <c r="AX42" s="492">
        <f>SUM(AK42:AW42)</f>
        <v>0</v>
      </c>
      <c r="AY42" s="493">
        <f>SUM(AX42*10.85)</f>
        <v>0</v>
      </c>
      <c r="AZ42" s="494">
        <f>SUM(AX42*0.00027)</f>
        <v>0</v>
      </c>
      <c r="BA42" s="389"/>
      <c r="BB42" s="490"/>
      <c r="BC42" s="490"/>
      <c r="BD42" s="490"/>
      <c r="BE42" s="490"/>
      <c r="BF42" s="490"/>
      <c r="BG42" s="490"/>
      <c r="BH42" s="490"/>
      <c r="BI42" s="490"/>
      <c r="BJ42" s="490"/>
      <c r="BK42" s="490"/>
      <c r="BL42" s="490"/>
      <c r="BM42" s="510"/>
      <c r="BN42" s="492">
        <f>SUM(BA42:BM42)</f>
        <v>0</v>
      </c>
      <c r="BO42" s="493">
        <f>SUM(BN42*10.85)</f>
        <v>0</v>
      </c>
      <c r="BP42" s="512">
        <f>SUM(BN42*0.00027)</f>
        <v>0</v>
      </c>
    </row>
    <row r="43" spans="1:96" ht="16.05" customHeight="1" thickBot="1" x14ac:dyDescent="0.35">
      <c r="A43" s="316" t="s">
        <v>150</v>
      </c>
      <c r="B43" s="363" t="s">
        <v>99</v>
      </c>
      <c r="C43" s="281"/>
      <c r="D43" s="50"/>
      <c r="E43" s="502"/>
      <c r="F43" s="503"/>
      <c r="G43" s="503"/>
      <c r="H43" s="503"/>
      <c r="I43" s="503"/>
      <c r="J43" s="503"/>
      <c r="K43" s="502"/>
      <c r="L43" s="503"/>
      <c r="M43" s="503"/>
      <c r="N43" s="503"/>
      <c r="O43" s="503"/>
      <c r="P43" s="503"/>
      <c r="Q43" s="490"/>
      <c r="R43" s="492">
        <f>SUM(E43:Q43)</f>
        <v>0</v>
      </c>
      <c r="S43" s="493">
        <f>SUM(R43*0.53)</f>
        <v>0</v>
      </c>
      <c r="T43" s="494">
        <f>SUM(R43*0.0007)</f>
        <v>0</v>
      </c>
      <c r="U43" s="504"/>
      <c r="V43" s="504"/>
      <c r="W43" s="505"/>
      <c r="X43" s="505"/>
      <c r="Y43" s="505"/>
      <c r="Z43" s="505"/>
      <c r="AA43" s="505"/>
      <c r="AB43" s="505"/>
      <c r="AC43" s="505"/>
      <c r="AD43" s="505"/>
      <c r="AE43" s="505"/>
      <c r="AF43" s="505"/>
      <c r="AG43" s="490"/>
      <c r="AH43" s="492">
        <f>SUM(U43:AG43)</f>
        <v>0</v>
      </c>
      <c r="AI43" s="493">
        <f>SUM(AH43*0.53)</f>
        <v>0</v>
      </c>
      <c r="AJ43" s="494">
        <f>SUM(AH43*0.0007)</f>
        <v>0</v>
      </c>
      <c r="AK43" s="504"/>
      <c r="AL43" s="505"/>
      <c r="AM43" s="505"/>
      <c r="AN43" s="505"/>
      <c r="AO43" s="505"/>
      <c r="AP43" s="505"/>
      <c r="AQ43" s="505"/>
      <c r="AR43" s="505"/>
      <c r="AS43" s="505"/>
      <c r="AT43" s="505"/>
      <c r="AU43" s="505"/>
      <c r="AV43" s="505"/>
      <c r="AW43" s="490"/>
      <c r="AX43" s="492">
        <f>SUM(AK43:AW43)</f>
        <v>0</v>
      </c>
      <c r="AY43" s="493">
        <f>SUM(AX43*0.53)</f>
        <v>0</v>
      </c>
      <c r="AZ43" s="494">
        <f>SUM(AX43*0.0007)</f>
        <v>0</v>
      </c>
      <c r="BA43" s="504"/>
      <c r="BB43" s="505"/>
      <c r="BC43" s="505"/>
      <c r="BD43" s="505"/>
      <c r="BE43" s="505"/>
      <c r="BF43" s="505"/>
      <c r="BG43" s="505"/>
      <c r="BH43" s="505"/>
      <c r="BI43" s="505"/>
      <c r="BJ43" s="505"/>
      <c r="BK43" s="505"/>
      <c r="BL43" s="505"/>
      <c r="BM43" s="510"/>
      <c r="BN43" s="492">
        <f>SUM(BA43:BM43)</f>
        <v>0</v>
      </c>
      <c r="BO43" s="493">
        <f>SUM(BN43*0.53)</f>
        <v>0</v>
      </c>
      <c r="BP43" s="512">
        <f>SUM(BN43*0.0007)</f>
        <v>0</v>
      </c>
    </row>
    <row r="44" spans="1:96" ht="16.05" customHeight="1" thickTop="1" thickBot="1" x14ac:dyDescent="0.35">
      <c r="A44" s="25"/>
      <c r="B44" s="375"/>
      <c r="C44" s="43"/>
      <c r="D44" s="376"/>
      <c r="E44" s="506"/>
      <c r="F44" s="506"/>
      <c r="G44" s="506"/>
      <c r="H44" s="506"/>
      <c r="I44" s="506"/>
      <c r="J44" s="506"/>
      <c r="K44" s="506"/>
      <c r="L44" s="506"/>
      <c r="M44" s="506"/>
      <c r="N44" s="506"/>
      <c r="O44" s="506"/>
      <c r="P44" s="559" t="s">
        <v>271</v>
      </c>
      <c r="Q44" s="560"/>
      <c r="R44" s="377">
        <f>SUM(R5:R43)</f>
        <v>0</v>
      </c>
      <c r="S44" s="377">
        <f>SUM(S5:S43)</f>
        <v>0</v>
      </c>
      <c r="T44" s="377">
        <f>SUM(T5:T43)</f>
        <v>0</v>
      </c>
      <c r="U44" s="507"/>
      <c r="V44" s="506"/>
      <c r="W44" s="506"/>
      <c r="X44" s="506"/>
      <c r="Y44" s="506"/>
      <c r="Z44" s="506"/>
      <c r="AA44" s="506"/>
      <c r="AB44" s="506"/>
      <c r="AC44" s="506"/>
      <c r="AD44" s="506"/>
      <c r="AE44" s="506"/>
      <c r="AF44" s="559" t="s">
        <v>272</v>
      </c>
      <c r="AG44" s="560" t="s">
        <v>168</v>
      </c>
      <c r="AH44" s="377">
        <f>SUM(AH5:AH43)</f>
        <v>0</v>
      </c>
      <c r="AI44" s="377">
        <f>SUM(AI5:AI43)</f>
        <v>0</v>
      </c>
      <c r="AJ44" s="377">
        <f>SUM(AJ5:AJ43)</f>
        <v>0</v>
      </c>
      <c r="AK44" s="507"/>
      <c r="AL44" s="506"/>
      <c r="AM44" s="506"/>
      <c r="AN44" s="506"/>
      <c r="AO44" s="506"/>
      <c r="AP44" s="506"/>
      <c r="AQ44" s="506"/>
      <c r="AR44" s="506"/>
      <c r="AS44" s="506"/>
      <c r="AT44" s="506"/>
      <c r="AU44" s="506"/>
      <c r="AV44" s="559" t="s">
        <v>273</v>
      </c>
      <c r="AW44" s="560" t="s">
        <v>168</v>
      </c>
      <c r="AX44" s="377">
        <f>SUM(AX5:AX43)</f>
        <v>0</v>
      </c>
      <c r="AY44" s="377">
        <f>SUM(AY5:AY43)</f>
        <v>0</v>
      </c>
      <c r="AZ44" s="377">
        <f>SUM(AZ5:AZ43)</f>
        <v>0</v>
      </c>
      <c r="BA44" s="507"/>
      <c r="BB44" s="506"/>
      <c r="BC44" s="506"/>
      <c r="BD44" s="506"/>
      <c r="BE44" s="506"/>
      <c r="BF44" s="506"/>
      <c r="BG44" s="506"/>
      <c r="BH44" s="506"/>
      <c r="BI44" s="506"/>
      <c r="BJ44" s="506"/>
      <c r="BK44" s="506"/>
      <c r="BL44" s="559" t="s">
        <v>274</v>
      </c>
      <c r="BM44" s="561" t="s">
        <v>168</v>
      </c>
      <c r="BN44" s="513">
        <f>SUM(BN5:BN43)</f>
        <v>0</v>
      </c>
      <c r="BO44" s="513">
        <f>SUM(BO5:BO43)</f>
        <v>0</v>
      </c>
      <c r="BP44" s="513">
        <f>SUM(BP5:BP43)</f>
        <v>0</v>
      </c>
    </row>
    <row r="45" spans="1:96" ht="12.75" customHeight="1" thickTop="1" x14ac:dyDescent="0.3">
      <c r="A45" s="21"/>
      <c r="B45" s="23"/>
    </row>
    <row r="46" spans="1:96" ht="12.75" customHeight="1" x14ac:dyDescent="0.3">
      <c r="A46" s="21"/>
      <c r="B46" s="23"/>
    </row>
    <row r="47" spans="1:96" ht="12.75" customHeight="1" x14ac:dyDescent="0.3">
      <c r="A47" s="21"/>
      <c r="B47" s="23"/>
    </row>
    <row r="48" spans="1:96" ht="12.75" customHeight="1" x14ac:dyDescent="0.3">
      <c r="A48" s="21"/>
      <c r="B48" s="23"/>
    </row>
    <row r="49" spans="1:2" ht="12.75" customHeight="1" x14ac:dyDescent="0.3">
      <c r="A49" s="21"/>
      <c r="B49" s="23"/>
    </row>
    <row r="50" spans="1:2" ht="12.75" customHeight="1" x14ac:dyDescent="0.3">
      <c r="A50" s="21"/>
      <c r="B50" s="23"/>
    </row>
    <row r="51" spans="1:2" ht="12.75" customHeight="1" x14ac:dyDescent="0.3">
      <c r="A51" s="21"/>
      <c r="B51" s="23"/>
    </row>
    <row r="52" spans="1:2" ht="12.75" customHeight="1" x14ac:dyDescent="0.3">
      <c r="A52" s="21"/>
      <c r="B52" s="23"/>
    </row>
    <row r="53" spans="1:2" ht="12.75" customHeight="1" x14ac:dyDescent="0.3">
      <c r="A53" s="21"/>
      <c r="B53" s="23"/>
    </row>
    <row r="54" spans="1:2" ht="12.75" customHeight="1" x14ac:dyDescent="0.3">
      <c r="A54" s="21"/>
      <c r="B54" s="23"/>
    </row>
    <row r="55" spans="1:2" ht="12.75" customHeight="1" x14ac:dyDescent="0.3">
      <c r="A55" s="21"/>
      <c r="B55" s="23"/>
    </row>
    <row r="56" spans="1:2" ht="12.75" customHeight="1" x14ac:dyDescent="0.3">
      <c r="A56" s="21"/>
      <c r="B56" s="23"/>
    </row>
    <row r="57" spans="1:2" ht="12.75" customHeight="1" x14ac:dyDescent="0.3">
      <c r="A57" s="21"/>
      <c r="B57" s="23"/>
    </row>
    <row r="58" spans="1:2" ht="12.75" customHeight="1" x14ac:dyDescent="0.3">
      <c r="A58" s="21"/>
      <c r="B58" s="23"/>
    </row>
    <row r="59" spans="1:2" ht="12.75" customHeight="1" x14ac:dyDescent="0.3">
      <c r="A59" s="21"/>
      <c r="B59" s="23"/>
    </row>
    <row r="60" spans="1:2" ht="12.75" customHeight="1" x14ac:dyDescent="0.3">
      <c r="A60" s="21"/>
      <c r="B60" s="23"/>
    </row>
    <row r="61" spans="1:2" ht="12.75" customHeight="1" x14ac:dyDescent="0.3">
      <c r="A61" s="21"/>
      <c r="B61" s="23"/>
    </row>
    <row r="62" spans="1:2" ht="12.75" customHeight="1" x14ac:dyDescent="0.3">
      <c r="A62" s="21"/>
      <c r="B62" s="23"/>
    </row>
    <row r="63" spans="1:2" ht="12.75" customHeight="1" x14ac:dyDescent="0.3">
      <c r="A63" s="21"/>
      <c r="B63" s="23"/>
    </row>
    <row r="64" spans="1:2" ht="12.75" customHeight="1" x14ac:dyDescent="0.3">
      <c r="A64" s="21"/>
      <c r="B64" s="23"/>
    </row>
    <row r="65" spans="1:2" ht="12.75" customHeight="1" x14ac:dyDescent="0.3">
      <c r="A65" s="21"/>
      <c r="B65" s="23"/>
    </row>
    <row r="66" spans="1:2" ht="12.75" customHeight="1" x14ac:dyDescent="0.3">
      <c r="A66" s="21"/>
      <c r="B66" s="23"/>
    </row>
    <row r="67" spans="1:2" ht="12.75" customHeight="1" x14ac:dyDescent="0.3">
      <c r="A67" s="21"/>
      <c r="B67" s="23"/>
    </row>
    <row r="68" spans="1:2" x14ac:dyDescent="0.3">
      <c r="A68" s="21"/>
      <c r="B68" s="23"/>
    </row>
    <row r="69" spans="1:2" ht="12.75" customHeight="1" x14ac:dyDescent="0.3">
      <c r="A69" s="21"/>
      <c r="B69" s="23"/>
    </row>
    <row r="70" spans="1:2" ht="12.75" customHeight="1" x14ac:dyDescent="0.3">
      <c r="A70" s="21"/>
      <c r="B70" s="23"/>
    </row>
    <row r="71" spans="1:2" ht="12.75" customHeight="1" x14ac:dyDescent="0.3">
      <c r="A71" s="21"/>
      <c r="B71" s="23"/>
    </row>
    <row r="72" spans="1:2" ht="12.75" customHeight="1" x14ac:dyDescent="0.3">
      <c r="A72" s="21"/>
      <c r="B72" s="23"/>
    </row>
    <row r="73" spans="1:2" ht="12.75" customHeight="1" x14ac:dyDescent="0.3">
      <c r="A73" s="21"/>
      <c r="B73" s="23"/>
    </row>
    <row r="74" spans="1:2" ht="12.75" customHeight="1" x14ac:dyDescent="0.3">
      <c r="A74" s="21"/>
      <c r="B74" s="23"/>
    </row>
    <row r="75" spans="1:2" ht="12.75" customHeight="1" x14ac:dyDescent="0.3">
      <c r="A75" s="21"/>
      <c r="B75" s="23"/>
    </row>
    <row r="76" spans="1:2" ht="12.75" customHeight="1" x14ac:dyDescent="0.3">
      <c r="A76" s="21"/>
      <c r="B76" s="23"/>
    </row>
    <row r="77" spans="1:2" ht="12.75" customHeight="1" x14ac:dyDescent="0.3">
      <c r="A77" s="21"/>
      <c r="B77" s="23"/>
    </row>
    <row r="78" spans="1:2" ht="12.75" customHeight="1" x14ac:dyDescent="0.3">
      <c r="A78" s="21"/>
      <c r="B78" s="23"/>
    </row>
    <row r="79" spans="1:2" ht="12.75" customHeight="1" x14ac:dyDescent="0.3">
      <c r="A79" s="21"/>
      <c r="B79" s="23"/>
    </row>
    <row r="80" spans="1:2" ht="12.75" customHeight="1" x14ac:dyDescent="0.3">
      <c r="A80" s="21"/>
      <c r="B80" s="23"/>
    </row>
    <row r="81" spans="1:2" ht="12.75" customHeight="1" x14ac:dyDescent="0.3">
      <c r="A81" s="21"/>
      <c r="B81" s="23"/>
    </row>
    <row r="82" spans="1:2" ht="12.75" customHeight="1" x14ac:dyDescent="0.3">
      <c r="A82" s="21"/>
      <c r="B82" s="23"/>
    </row>
    <row r="83" spans="1:2" ht="12.75" customHeight="1" x14ac:dyDescent="0.3">
      <c r="A83" s="21"/>
      <c r="B83" s="23"/>
    </row>
    <row r="84" spans="1:2" ht="12.75" customHeight="1" x14ac:dyDescent="0.3">
      <c r="A84" s="21"/>
      <c r="B84" s="23"/>
    </row>
    <row r="85" spans="1:2" ht="12.75" customHeight="1" x14ac:dyDescent="0.3">
      <c r="A85" s="21"/>
      <c r="B85" s="23"/>
    </row>
    <row r="86" spans="1:2" ht="12.75" customHeight="1" x14ac:dyDescent="0.3">
      <c r="A86" s="21"/>
      <c r="B86" s="23"/>
    </row>
    <row r="87" spans="1:2" ht="12.75" customHeight="1" x14ac:dyDescent="0.3">
      <c r="A87" s="21"/>
      <c r="B87" s="23"/>
    </row>
    <row r="88" spans="1:2" ht="12.75" customHeight="1" x14ac:dyDescent="0.3"/>
    <row r="89" spans="1:2" ht="12.75" customHeight="1" x14ac:dyDescent="0.3"/>
    <row r="90" spans="1:2" ht="12.75" customHeight="1" x14ac:dyDescent="0.3"/>
    <row r="91" spans="1:2" ht="12.75" customHeight="1" x14ac:dyDescent="0.3"/>
    <row r="92" spans="1:2" ht="12.75" customHeight="1" x14ac:dyDescent="0.3"/>
    <row r="93" spans="1:2" ht="12.75" customHeight="1" x14ac:dyDescent="0.3"/>
    <row r="94" spans="1:2" ht="12.75" customHeight="1" x14ac:dyDescent="0.3"/>
    <row r="95" spans="1:2" ht="12.75" customHeight="1" x14ac:dyDescent="0.3"/>
    <row r="96" spans="1:2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</sheetData>
  <mergeCells count="24">
    <mergeCell ref="P44:Q44"/>
    <mergeCell ref="AF44:AG44"/>
    <mergeCell ref="AV44:AW44"/>
    <mergeCell ref="BL44:BM44"/>
    <mergeCell ref="AX3:AX4"/>
    <mergeCell ref="AY3:AY4"/>
    <mergeCell ref="AZ3:AZ4"/>
    <mergeCell ref="BN3:BN4"/>
    <mergeCell ref="BO3:BO4"/>
    <mergeCell ref="BP3:BP4"/>
    <mergeCell ref="R3:R4"/>
    <mergeCell ref="S3:S4"/>
    <mergeCell ref="T3:T4"/>
    <mergeCell ref="AH3:AH4"/>
    <mergeCell ref="AI3:AI4"/>
    <mergeCell ref="AJ3:AJ4"/>
    <mergeCell ref="R1:T1"/>
    <mergeCell ref="AH1:AJ1"/>
    <mergeCell ref="AX1:AZ1"/>
    <mergeCell ref="BN1:BP1"/>
    <mergeCell ref="A2:B2"/>
    <mergeCell ref="C2:D2"/>
    <mergeCell ref="S2:T2"/>
    <mergeCell ref="AH2:A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M159"/>
  <sheetViews>
    <sheetView topLeftCell="M4" workbookViewId="0">
      <selection activeCell="T38" sqref="T38"/>
    </sheetView>
  </sheetViews>
  <sheetFormatPr defaultColWidth="9.21875" defaultRowHeight="15.6" x14ac:dyDescent="0.3"/>
  <cols>
    <col min="1" max="1" width="36.77734375" style="22" customWidth="1"/>
    <col min="2" max="2" width="13.21875" style="28" customWidth="1"/>
    <col min="3" max="3" width="11.5546875" style="22" customWidth="1"/>
    <col min="4" max="4" width="13" style="123" customWidth="1"/>
    <col min="5" max="5" width="0.21875" style="35" customWidth="1"/>
    <col min="6" max="18" width="9.5546875" style="35" customWidth="1"/>
    <col min="19" max="19" width="9.5546875" style="51" customWidth="1"/>
    <col min="20" max="20" width="13.21875" style="391" customWidth="1"/>
    <col min="21" max="21" width="9.5546875" style="7" customWidth="1"/>
    <col min="22" max="25" width="9.5546875" style="6" customWidth="1"/>
    <col min="26" max="35" width="9" style="6" customWidth="1"/>
    <col min="36" max="36" width="9" style="392" customWidth="1"/>
    <col min="37" max="39" width="9" style="6" customWidth="1"/>
    <col min="40" max="51" width="9.5546875" style="6" customWidth="1"/>
    <col min="52" max="52" width="9.5546875" style="391" customWidth="1"/>
    <col min="53" max="53" width="9.44140625" style="6" customWidth="1"/>
    <col min="54" max="67" width="9.5546875" style="6" customWidth="1"/>
    <col min="68" max="68" width="9.5546875" style="391" customWidth="1"/>
    <col min="69" max="69" width="9.5546875" style="6" customWidth="1"/>
    <col min="70" max="97" width="9.21875" style="6"/>
    <col min="98" max="16384" width="9.21875" style="1"/>
  </cols>
  <sheetData>
    <row r="1" spans="1:117" s="53" customFormat="1" ht="24.75" customHeight="1" thickTop="1" x14ac:dyDescent="0.25">
      <c r="A1" s="251" t="s">
        <v>193</v>
      </c>
      <c r="B1" s="96"/>
      <c r="C1" s="297"/>
      <c r="D1" s="320"/>
      <c r="E1" s="254" t="s">
        <v>0</v>
      </c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537" t="s">
        <v>270</v>
      </c>
      <c r="T1" s="538"/>
      <c r="U1" s="538"/>
      <c r="V1" s="190" t="s">
        <v>1</v>
      </c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537" t="s">
        <v>269</v>
      </c>
      <c r="AJ1" s="538"/>
      <c r="AK1" s="538"/>
      <c r="AL1" s="190" t="s">
        <v>5</v>
      </c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8"/>
      <c r="AY1" s="537" t="s">
        <v>268</v>
      </c>
      <c r="AZ1" s="538"/>
      <c r="BA1" s="539"/>
      <c r="BB1" s="257" t="s">
        <v>3</v>
      </c>
      <c r="BC1" s="256"/>
      <c r="BD1" s="256"/>
      <c r="BE1" s="256"/>
      <c r="BF1" s="256"/>
      <c r="BG1" s="256"/>
      <c r="BH1" s="256"/>
      <c r="BI1" s="256"/>
      <c r="BJ1" s="256"/>
      <c r="BK1" s="256"/>
      <c r="BL1" s="258"/>
      <c r="BM1" s="303"/>
      <c r="BN1" s="303"/>
      <c r="BO1" s="537" t="s">
        <v>267</v>
      </c>
      <c r="BP1" s="538"/>
      <c r="BQ1" s="539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</row>
    <row r="2" spans="1:117" ht="15.75" customHeight="1" thickBot="1" x14ac:dyDescent="0.35">
      <c r="A2" s="542"/>
      <c r="B2" s="542"/>
      <c r="C2" s="542"/>
      <c r="D2" s="562"/>
      <c r="E2" s="259" t="s">
        <v>4</v>
      </c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1"/>
      <c r="T2" s="543"/>
      <c r="U2" s="543"/>
      <c r="V2" s="262" t="s">
        <v>4</v>
      </c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543"/>
      <c r="AJ2" s="543"/>
      <c r="AK2" s="266"/>
      <c r="AL2" s="262" t="s">
        <v>4</v>
      </c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5"/>
      <c r="AY2" s="266"/>
      <c r="AZ2" s="393"/>
      <c r="BA2" s="267"/>
      <c r="BB2" s="266" t="s">
        <v>4</v>
      </c>
      <c r="BC2" s="263"/>
      <c r="BD2" s="263"/>
      <c r="BE2" s="263"/>
      <c r="BF2" s="263"/>
      <c r="BG2" s="263"/>
      <c r="BH2" s="263"/>
      <c r="BI2" s="263"/>
      <c r="BJ2" s="263"/>
      <c r="BK2" s="263"/>
      <c r="BL2" s="265"/>
      <c r="BM2" s="321"/>
      <c r="BN2" s="321"/>
      <c r="BO2" s="268"/>
      <c r="BP2" s="396"/>
      <c r="BQ2" s="269"/>
    </row>
    <row r="3" spans="1:117" s="12" customFormat="1" ht="23.1" customHeight="1" thickTop="1" thickBot="1" x14ac:dyDescent="0.35">
      <c r="A3" s="270"/>
      <c r="B3" s="272" t="s">
        <v>6</v>
      </c>
      <c r="C3" s="271" t="s">
        <v>7</v>
      </c>
      <c r="D3" s="358" t="s">
        <v>182</v>
      </c>
      <c r="E3" s="359">
        <v>42828</v>
      </c>
      <c r="F3" s="351">
        <v>43192</v>
      </c>
      <c r="G3" s="359">
        <v>43199</v>
      </c>
      <c r="H3" s="351">
        <v>43206</v>
      </c>
      <c r="I3" s="359">
        <v>43213</v>
      </c>
      <c r="J3" s="351">
        <v>43220</v>
      </c>
      <c r="K3" s="359">
        <v>43227</v>
      </c>
      <c r="L3" s="351">
        <v>43234</v>
      </c>
      <c r="M3" s="359">
        <v>43241</v>
      </c>
      <c r="N3" s="351">
        <v>43248</v>
      </c>
      <c r="O3" s="359">
        <v>43255</v>
      </c>
      <c r="P3" s="351">
        <v>43262</v>
      </c>
      <c r="Q3" s="359">
        <v>43269</v>
      </c>
      <c r="R3" s="351">
        <v>43276</v>
      </c>
      <c r="S3" s="545" t="s">
        <v>260</v>
      </c>
      <c r="T3" s="547" t="s">
        <v>262</v>
      </c>
      <c r="U3" s="557" t="s">
        <v>261</v>
      </c>
      <c r="V3" s="508">
        <v>43283</v>
      </c>
      <c r="W3" s="508">
        <v>43290</v>
      </c>
      <c r="X3" s="508">
        <v>43297</v>
      </c>
      <c r="Y3" s="508">
        <v>43304</v>
      </c>
      <c r="Z3" s="508">
        <v>43311</v>
      </c>
      <c r="AA3" s="508">
        <v>43318</v>
      </c>
      <c r="AB3" s="508">
        <v>43325</v>
      </c>
      <c r="AC3" s="508">
        <v>43332</v>
      </c>
      <c r="AD3" s="508">
        <v>43339</v>
      </c>
      <c r="AE3" s="508">
        <v>43346</v>
      </c>
      <c r="AF3" s="508">
        <v>43353</v>
      </c>
      <c r="AG3" s="508">
        <v>43360</v>
      </c>
      <c r="AH3" s="508">
        <v>43367</v>
      </c>
      <c r="AI3" s="545" t="s">
        <v>260</v>
      </c>
      <c r="AJ3" s="547" t="s">
        <v>262</v>
      </c>
      <c r="AK3" s="557" t="s">
        <v>261</v>
      </c>
      <c r="AL3" s="360">
        <v>43374</v>
      </c>
      <c r="AM3" s="242">
        <v>43381</v>
      </c>
      <c r="AN3" s="360">
        <v>43388</v>
      </c>
      <c r="AO3" s="242">
        <v>43395</v>
      </c>
      <c r="AP3" s="360">
        <v>43402</v>
      </c>
      <c r="AQ3" s="242">
        <v>43409</v>
      </c>
      <c r="AR3" s="360">
        <v>43416</v>
      </c>
      <c r="AS3" s="242">
        <v>43423</v>
      </c>
      <c r="AT3" s="360">
        <v>43430</v>
      </c>
      <c r="AU3" s="242">
        <v>43437</v>
      </c>
      <c r="AV3" s="360">
        <v>43444</v>
      </c>
      <c r="AW3" s="242">
        <v>43451</v>
      </c>
      <c r="AX3" s="360">
        <v>43458</v>
      </c>
      <c r="AY3" s="545" t="s">
        <v>260</v>
      </c>
      <c r="AZ3" s="547" t="s">
        <v>262</v>
      </c>
      <c r="BA3" s="565" t="s">
        <v>261</v>
      </c>
      <c r="BB3" s="360">
        <v>43466</v>
      </c>
      <c r="BC3" s="242">
        <v>43472</v>
      </c>
      <c r="BD3" s="360">
        <v>43479</v>
      </c>
      <c r="BE3" s="242">
        <v>43486</v>
      </c>
      <c r="BF3" s="360">
        <v>43493</v>
      </c>
      <c r="BG3" s="242">
        <v>43500</v>
      </c>
      <c r="BH3" s="360">
        <v>43507</v>
      </c>
      <c r="BI3" s="242">
        <v>43514</v>
      </c>
      <c r="BJ3" s="360">
        <v>43521</v>
      </c>
      <c r="BK3" s="242">
        <v>43528</v>
      </c>
      <c r="BL3" s="360">
        <v>43535</v>
      </c>
      <c r="BM3" s="242">
        <v>43542</v>
      </c>
      <c r="BN3" s="360">
        <v>43549</v>
      </c>
      <c r="BO3" s="545" t="s">
        <v>260</v>
      </c>
      <c r="BP3" s="547" t="s">
        <v>262</v>
      </c>
      <c r="BQ3" s="565" t="s">
        <v>261</v>
      </c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</row>
    <row r="4" spans="1:117" s="6" customFormat="1" ht="16.05" customHeight="1" x14ac:dyDescent="0.3">
      <c r="A4" s="322" t="s">
        <v>42</v>
      </c>
      <c r="B4" s="323"/>
      <c r="C4" s="273"/>
      <c r="D4" s="324"/>
      <c r="E4" s="325" t="s">
        <v>9</v>
      </c>
      <c r="F4" s="298" t="s">
        <v>9</v>
      </c>
      <c r="G4" s="298" t="s">
        <v>9</v>
      </c>
      <c r="H4" s="298" t="s">
        <v>9</v>
      </c>
      <c r="I4" s="298" t="s">
        <v>9</v>
      </c>
      <c r="J4" s="298" t="s">
        <v>9</v>
      </c>
      <c r="K4" s="298" t="s">
        <v>9</v>
      </c>
      <c r="L4" s="298" t="s">
        <v>9</v>
      </c>
      <c r="M4" s="298" t="s">
        <v>9</v>
      </c>
      <c r="N4" s="298" t="s">
        <v>9</v>
      </c>
      <c r="O4" s="298" t="s">
        <v>9</v>
      </c>
      <c r="P4" s="298" t="s">
        <v>9</v>
      </c>
      <c r="Q4" s="298"/>
      <c r="R4" s="298" t="s">
        <v>9</v>
      </c>
      <c r="S4" s="546"/>
      <c r="T4" s="548"/>
      <c r="U4" s="558"/>
      <c r="V4" s="325" t="s">
        <v>9</v>
      </c>
      <c r="W4" s="298" t="s">
        <v>9</v>
      </c>
      <c r="X4" s="298" t="s">
        <v>9</v>
      </c>
      <c r="Y4" s="298" t="s">
        <v>9</v>
      </c>
      <c r="Z4" s="298" t="s">
        <v>9</v>
      </c>
      <c r="AA4" s="298" t="s">
        <v>9</v>
      </c>
      <c r="AB4" s="298" t="s">
        <v>9</v>
      </c>
      <c r="AC4" s="298" t="s">
        <v>9</v>
      </c>
      <c r="AD4" s="298" t="s">
        <v>9</v>
      </c>
      <c r="AE4" s="298" t="s">
        <v>9</v>
      </c>
      <c r="AF4" s="298" t="s">
        <v>9</v>
      </c>
      <c r="AG4" s="298" t="s">
        <v>9</v>
      </c>
      <c r="AH4" s="298" t="s">
        <v>9</v>
      </c>
      <c r="AI4" s="546"/>
      <c r="AJ4" s="548"/>
      <c r="AK4" s="558"/>
      <c r="AL4" s="325" t="s">
        <v>9</v>
      </c>
      <c r="AM4" s="298" t="s">
        <v>9</v>
      </c>
      <c r="AN4" s="298" t="s">
        <v>9</v>
      </c>
      <c r="AO4" s="298" t="s">
        <v>9</v>
      </c>
      <c r="AP4" s="298" t="s">
        <v>9</v>
      </c>
      <c r="AQ4" s="298" t="s">
        <v>9</v>
      </c>
      <c r="AR4" s="298" t="s">
        <v>9</v>
      </c>
      <c r="AS4" s="298" t="s">
        <v>9</v>
      </c>
      <c r="AT4" s="298" t="s">
        <v>9</v>
      </c>
      <c r="AU4" s="298" t="s">
        <v>9</v>
      </c>
      <c r="AV4" s="298" t="s">
        <v>9</v>
      </c>
      <c r="AW4" s="298" t="s">
        <v>9</v>
      </c>
      <c r="AX4" s="298" t="s">
        <v>9</v>
      </c>
      <c r="AY4" s="546"/>
      <c r="AZ4" s="548"/>
      <c r="BA4" s="567"/>
      <c r="BB4" s="298" t="s">
        <v>9</v>
      </c>
      <c r="BC4" s="298" t="s">
        <v>9</v>
      </c>
      <c r="BD4" s="298" t="s">
        <v>9</v>
      </c>
      <c r="BE4" s="298" t="s">
        <v>9</v>
      </c>
      <c r="BF4" s="326" t="s">
        <v>9</v>
      </c>
      <c r="BG4" s="298" t="s">
        <v>9</v>
      </c>
      <c r="BH4" s="298" t="s">
        <v>9</v>
      </c>
      <c r="BI4" s="298" t="s">
        <v>9</v>
      </c>
      <c r="BJ4" s="298" t="s">
        <v>9</v>
      </c>
      <c r="BK4" s="298" t="s">
        <v>9</v>
      </c>
      <c r="BL4" s="298" t="s">
        <v>9</v>
      </c>
      <c r="BM4" s="298" t="s">
        <v>9</v>
      </c>
      <c r="BN4" s="298" t="s">
        <v>9</v>
      </c>
      <c r="BO4" s="563"/>
      <c r="BP4" s="564"/>
      <c r="BQ4" s="550"/>
    </row>
    <row r="5" spans="1:117" s="6" customFormat="1" ht="16.05" customHeight="1" x14ac:dyDescent="0.3">
      <c r="A5" s="312" t="s">
        <v>210</v>
      </c>
      <c r="B5" s="306">
        <v>1770</v>
      </c>
      <c r="C5" s="327"/>
      <c r="D5" s="328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79">
        <f t="shared" ref="S5:S13" si="0">SUM(E5:R5)</f>
        <v>0</v>
      </c>
      <c r="T5" s="390">
        <f>SUM(S5*37.85)</f>
        <v>0</v>
      </c>
      <c r="U5" s="494">
        <f>SUM(S5*0.021)</f>
        <v>0</v>
      </c>
      <c r="V5" s="246">
        <v>0</v>
      </c>
      <c r="W5" s="246">
        <v>0</v>
      </c>
      <c r="X5" s="246">
        <v>0</v>
      </c>
      <c r="Y5" s="246">
        <v>0</v>
      </c>
      <c r="Z5" s="246">
        <v>0</v>
      </c>
      <c r="AA5" s="246">
        <v>0</v>
      </c>
      <c r="AB5" s="246">
        <v>0</v>
      </c>
      <c r="AC5" s="246">
        <v>0</v>
      </c>
      <c r="AD5" s="246">
        <v>0</v>
      </c>
      <c r="AE5" s="246">
        <v>0</v>
      </c>
      <c r="AF5" s="246">
        <v>0</v>
      </c>
      <c r="AG5" s="246">
        <v>0</v>
      </c>
      <c r="AH5" s="246">
        <v>0</v>
      </c>
      <c r="AI5" s="279">
        <f t="shared" ref="AI5:AI13" si="1">SUM(V5:AH5)</f>
        <v>0</v>
      </c>
      <c r="AJ5" s="390">
        <f>SUM(AI5*37.85)</f>
        <v>0</v>
      </c>
      <c r="AK5" s="494">
        <f>SUM(AI5*0.021)</f>
        <v>0</v>
      </c>
      <c r="AL5" s="246">
        <v>0</v>
      </c>
      <c r="AM5" s="246">
        <v>0</v>
      </c>
      <c r="AN5" s="246">
        <v>0</v>
      </c>
      <c r="AO5" s="246">
        <v>0</v>
      </c>
      <c r="AP5" s="246">
        <v>0</v>
      </c>
      <c r="AQ5" s="246">
        <v>0</v>
      </c>
      <c r="AR5" s="246">
        <v>0</v>
      </c>
      <c r="AS5" s="246">
        <v>0</v>
      </c>
      <c r="AT5" s="246">
        <v>0</v>
      </c>
      <c r="AU5" s="246">
        <v>0</v>
      </c>
      <c r="AV5" s="246">
        <v>0</v>
      </c>
      <c r="AW5" s="246">
        <v>0</v>
      </c>
      <c r="AX5" s="246">
        <v>0</v>
      </c>
      <c r="AY5" s="279">
        <f t="shared" ref="AY5:AY13" si="2">SUM(AL5:AX5)</f>
        <v>0</v>
      </c>
      <c r="AZ5" s="390">
        <f>SUM(AY5*37.85)</f>
        <v>0</v>
      </c>
      <c r="BA5" s="494">
        <f>SUM(AY5*0.021)</f>
        <v>0</v>
      </c>
      <c r="BB5" s="247"/>
      <c r="BC5" s="247"/>
      <c r="BD5" s="247"/>
      <c r="BE5" s="247"/>
      <c r="BF5" s="301"/>
      <c r="BG5" s="247"/>
      <c r="BH5" s="247"/>
      <c r="BI5" s="247"/>
      <c r="BJ5" s="247"/>
      <c r="BK5" s="247"/>
      <c r="BL5" s="247"/>
      <c r="BM5" s="247"/>
      <c r="BN5" s="247"/>
      <c r="BO5" s="279">
        <f t="shared" ref="BO5:BO13" si="3">SUM(BB5:BN5)</f>
        <v>0</v>
      </c>
      <c r="BP5" s="390">
        <f>SUM(BO5*37.85)</f>
        <v>0</v>
      </c>
      <c r="BQ5" s="494">
        <f>SUM(BO5*0.021)</f>
        <v>0</v>
      </c>
    </row>
    <row r="6" spans="1:117" s="6" customFormat="1" ht="16.05" customHeight="1" x14ac:dyDescent="0.3">
      <c r="A6" s="314" t="s">
        <v>153</v>
      </c>
      <c r="B6" s="306">
        <v>1772</v>
      </c>
      <c r="C6" s="327"/>
      <c r="D6" s="328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79">
        <f t="shared" si="0"/>
        <v>0</v>
      </c>
      <c r="T6" s="390">
        <f>SUM(S6*67.02)</f>
        <v>0</v>
      </c>
      <c r="U6" s="494">
        <f>SUM(S6*0.039)</f>
        <v>0</v>
      </c>
      <c r="V6" s="246">
        <v>0</v>
      </c>
      <c r="W6" s="246">
        <v>0</v>
      </c>
      <c r="X6" s="246">
        <v>0</v>
      </c>
      <c r="Y6" s="246">
        <v>0</v>
      </c>
      <c r="Z6" s="246">
        <v>0</v>
      </c>
      <c r="AA6" s="246">
        <v>0</v>
      </c>
      <c r="AB6" s="246">
        <v>0</v>
      </c>
      <c r="AC6" s="246">
        <v>0</v>
      </c>
      <c r="AD6" s="246">
        <v>0</v>
      </c>
      <c r="AE6" s="246">
        <v>0</v>
      </c>
      <c r="AF6" s="246">
        <v>0</v>
      </c>
      <c r="AG6" s="246">
        <v>0</v>
      </c>
      <c r="AH6" s="246">
        <v>0</v>
      </c>
      <c r="AI6" s="279">
        <f t="shared" si="1"/>
        <v>0</v>
      </c>
      <c r="AJ6" s="390">
        <f>SUM(AI6*67.02)</f>
        <v>0</v>
      </c>
      <c r="AK6" s="494">
        <f>SUM(AI6*0.039)</f>
        <v>0</v>
      </c>
      <c r="AL6" s="246">
        <v>0</v>
      </c>
      <c r="AM6" s="246">
        <v>0</v>
      </c>
      <c r="AN6" s="246">
        <v>0</v>
      </c>
      <c r="AO6" s="246">
        <v>0</v>
      </c>
      <c r="AP6" s="246">
        <v>0</v>
      </c>
      <c r="AQ6" s="246">
        <v>0</v>
      </c>
      <c r="AR6" s="246">
        <v>0</v>
      </c>
      <c r="AS6" s="246">
        <v>0</v>
      </c>
      <c r="AT6" s="246">
        <v>0</v>
      </c>
      <c r="AU6" s="246">
        <v>0</v>
      </c>
      <c r="AV6" s="246">
        <v>0</v>
      </c>
      <c r="AW6" s="246">
        <v>0</v>
      </c>
      <c r="AX6" s="246">
        <v>0</v>
      </c>
      <c r="AY6" s="279">
        <f t="shared" si="2"/>
        <v>0</v>
      </c>
      <c r="AZ6" s="390">
        <f>SUM(AY6*67.02)</f>
        <v>0</v>
      </c>
      <c r="BA6" s="494">
        <f>SUM(AY6*0.039)</f>
        <v>0</v>
      </c>
      <c r="BB6" s="247"/>
      <c r="BC6" s="247"/>
      <c r="BD6" s="247"/>
      <c r="BE6" s="247"/>
      <c r="BF6" s="301"/>
      <c r="BG6" s="247"/>
      <c r="BH6" s="247"/>
      <c r="BI6" s="247"/>
      <c r="BJ6" s="247"/>
      <c r="BK6" s="247"/>
      <c r="BL6" s="247"/>
      <c r="BM6" s="247"/>
      <c r="BN6" s="247"/>
      <c r="BO6" s="279">
        <f t="shared" si="3"/>
        <v>0</v>
      </c>
      <c r="BP6" s="390">
        <f>SUM(BO6*67.02)</f>
        <v>0</v>
      </c>
      <c r="BQ6" s="494">
        <f>SUM(BO6*0.039)</f>
        <v>0</v>
      </c>
    </row>
    <row r="7" spans="1:117" s="6" customFormat="1" ht="16.05" customHeight="1" x14ac:dyDescent="0.3">
      <c r="A7" s="329" t="s">
        <v>118</v>
      </c>
      <c r="B7" s="306">
        <v>1838</v>
      </c>
      <c r="C7" s="327"/>
      <c r="D7" s="328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79">
        <f t="shared" si="0"/>
        <v>0</v>
      </c>
      <c r="T7" s="390">
        <f>SUM(S7*17.16)</f>
        <v>0</v>
      </c>
      <c r="U7" s="494">
        <f>SUM(S7*0.0051)</f>
        <v>0</v>
      </c>
      <c r="V7" s="246">
        <v>0</v>
      </c>
      <c r="W7" s="246">
        <v>0</v>
      </c>
      <c r="X7" s="246">
        <v>0</v>
      </c>
      <c r="Y7" s="246">
        <v>0</v>
      </c>
      <c r="Z7" s="246">
        <v>0</v>
      </c>
      <c r="AA7" s="246">
        <v>0</v>
      </c>
      <c r="AB7" s="246">
        <v>0</v>
      </c>
      <c r="AC7" s="246">
        <v>0</v>
      </c>
      <c r="AD7" s="246">
        <v>0</v>
      </c>
      <c r="AE7" s="246">
        <v>0</v>
      </c>
      <c r="AF7" s="246">
        <v>0</v>
      </c>
      <c r="AG7" s="246">
        <v>0</v>
      </c>
      <c r="AH7" s="246">
        <v>0</v>
      </c>
      <c r="AI7" s="279">
        <f t="shared" si="1"/>
        <v>0</v>
      </c>
      <c r="AJ7" s="390">
        <f>SUM(AI7*17.16)</f>
        <v>0</v>
      </c>
      <c r="AK7" s="494">
        <f>SUM(AI7*0.0051)</f>
        <v>0</v>
      </c>
      <c r="AL7" s="246">
        <v>0</v>
      </c>
      <c r="AM7" s="246">
        <v>0</v>
      </c>
      <c r="AN7" s="246">
        <v>0</v>
      </c>
      <c r="AO7" s="246">
        <v>0</v>
      </c>
      <c r="AP7" s="246">
        <v>0</v>
      </c>
      <c r="AQ7" s="246">
        <v>0</v>
      </c>
      <c r="AR7" s="246">
        <v>0</v>
      </c>
      <c r="AS7" s="246">
        <v>0</v>
      </c>
      <c r="AT7" s="246">
        <v>0</v>
      </c>
      <c r="AU7" s="246">
        <v>0</v>
      </c>
      <c r="AV7" s="246">
        <v>0</v>
      </c>
      <c r="AW7" s="246">
        <v>0</v>
      </c>
      <c r="AX7" s="246">
        <v>0</v>
      </c>
      <c r="AY7" s="279">
        <f t="shared" si="2"/>
        <v>0</v>
      </c>
      <c r="AZ7" s="390">
        <f>SUM(AY7*17.16)</f>
        <v>0</v>
      </c>
      <c r="BA7" s="494">
        <f>SUM(AY7*0.0051)</f>
        <v>0</v>
      </c>
      <c r="BB7" s="247"/>
      <c r="BC7" s="247"/>
      <c r="BD7" s="247"/>
      <c r="BE7" s="247"/>
      <c r="BF7" s="301"/>
      <c r="BG7" s="247"/>
      <c r="BH7" s="247"/>
      <c r="BI7" s="247"/>
      <c r="BJ7" s="247"/>
      <c r="BK7" s="247"/>
      <c r="BL7" s="247"/>
      <c r="BM7" s="247"/>
      <c r="BN7" s="247"/>
      <c r="BO7" s="279">
        <f t="shared" si="3"/>
        <v>0</v>
      </c>
      <c r="BP7" s="390">
        <f>SUM(BO7*17.16)</f>
        <v>0</v>
      </c>
      <c r="BQ7" s="494">
        <f>SUM(BO7*0.0051)</f>
        <v>0</v>
      </c>
    </row>
    <row r="8" spans="1:117" s="6" customFormat="1" ht="16.05" customHeight="1" x14ac:dyDescent="0.3">
      <c r="A8" s="314" t="s">
        <v>120</v>
      </c>
      <c r="B8" s="306">
        <v>1844</v>
      </c>
      <c r="C8" s="327"/>
      <c r="D8" s="328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79">
        <f t="shared" si="0"/>
        <v>0</v>
      </c>
      <c r="T8" s="390">
        <f>SUM(S8*1.4)</f>
        <v>0</v>
      </c>
      <c r="U8" s="494">
        <f>SUM(S8*0.001)</f>
        <v>0</v>
      </c>
      <c r="V8" s="246">
        <v>0</v>
      </c>
      <c r="W8" s="246">
        <v>0</v>
      </c>
      <c r="X8" s="246">
        <v>0</v>
      </c>
      <c r="Y8" s="246">
        <v>0</v>
      </c>
      <c r="Z8" s="246">
        <v>0</v>
      </c>
      <c r="AA8" s="246">
        <v>0</v>
      </c>
      <c r="AB8" s="246">
        <v>0</v>
      </c>
      <c r="AC8" s="246">
        <v>0</v>
      </c>
      <c r="AD8" s="246">
        <v>0</v>
      </c>
      <c r="AE8" s="246">
        <v>0</v>
      </c>
      <c r="AF8" s="246">
        <v>0</v>
      </c>
      <c r="AG8" s="246">
        <v>0</v>
      </c>
      <c r="AH8" s="246">
        <v>0</v>
      </c>
      <c r="AI8" s="279">
        <f t="shared" si="1"/>
        <v>0</v>
      </c>
      <c r="AJ8" s="390">
        <f>SUM(AI8*1.4)</f>
        <v>0</v>
      </c>
      <c r="AK8" s="494">
        <f>SUM(AI8*0.001)</f>
        <v>0</v>
      </c>
      <c r="AL8" s="246">
        <v>0</v>
      </c>
      <c r="AM8" s="246">
        <v>0</v>
      </c>
      <c r="AN8" s="246">
        <v>0</v>
      </c>
      <c r="AO8" s="246">
        <v>0</v>
      </c>
      <c r="AP8" s="246">
        <v>0</v>
      </c>
      <c r="AQ8" s="246">
        <v>0</v>
      </c>
      <c r="AR8" s="246">
        <v>0</v>
      </c>
      <c r="AS8" s="246">
        <v>0</v>
      </c>
      <c r="AT8" s="246">
        <v>0</v>
      </c>
      <c r="AU8" s="246">
        <v>0</v>
      </c>
      <c r="AV8" s="246">
        <v>0</v>
      </c>
      <c r="AW8" s="246">
        <v>0</v>
      </c>
      <c r="AX8" s="246">
        <v>0</v>
      </c>
      <c r="AY8" s="279">
        <f t="shared" si="2"/>
        <v>0</v>
      </c>
      <c r="AZ8" s="390">
        <f>SUM(AY8*1.4)</f>
        <v>0</v>
      </c>
      <c r="BA8" s="494">
        <f>SUM(AY8*0.001)</f>
        <v>0</v>
      </c>
      <c r="BB8" s="246"/>
      <c r="BC8" s="247"/>
      <c r="BD8" s="247"/>
      <c r="BE8" s="247"/>
      <c r="BF8" s="301"/>
      <c r="BG8" s="247"/>
      <c r="BH8" s="247"/>
      <c r="BI8" s="247"/>
      <c r="BJ8" s="247"/>
      <c r="BK8" s="247"/>
      <c r="BL8" s="247"/>
      <c r="BM8" s="247"/>
      <c r="BN8" s="247"/>
      <c r="BO8" s="279">
        <f t="shared" si="3"/>
        <v>0</v>
      </c>
      <c r="BP8" s="390">
        <f>SUM(BO8*1.4)</f>
        <v>0</v>
      </c>
      <c r="BQ8" s="494">
        <f>SUM(BO8*0.001)</f>
        <v>0</v>
      </c>
    </row>
    <row r="9" spans="1:117" ht="16.05" customHeight="1" x14ac:dyDescent="0.3">
      <c r="A9" s="312" t="s">
        <v>117</v>
      </c>
      <c r="B9" s="306">
        <v>1852</v>
      </c>
      <c r="C9" s="327"/>
      <c r="D9" s="328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79">
        <f t="shared" si="0"/>
        <v>0</v>
      </c>
      <c r="T9" s="390">
        <f>SUM(S9*49.46)</f>
        <v>0</v>
      </c>
      <c r="U9" s="494">
        <f>SUM(S9*0.018)</f>
        <v>0</v>
      </c>
      <c r="V9" s="246">
        <v>0</v>
      </c>
      <c r="W9" s="246">
        <v>0</v>
      </c>
      <c r="X9" s="246">
        <v>0</v>
      </c>
      <c r="Y9" s="246">
        <v>0</v>
      </c>
      <c r="Z9" s="246">
        <v>0</v>
      </c>
      <c r="AA9" s="246">
        <v>0</v>
      </c>
      <c r="AB9" s="246">
        <v>0</v>
      </c>
      <c r="AC9" s="246">
        <v>0</v>
      </c>
      <c r="AD9" s="246">
        <v>0</v>
      </c>
      <c r="AE9" s="246">
        <v>0</v>
      </c>
      <c r="AF9" s="246">
        <v>0</v>
      </c>
      <c r="AG9" s="246">
        <v>0</v>
      </c>
      <c r="AH9" s="246">
        <v>0</v>
      </c>
      <c r="AI9" s="279">
        <f t="shared" si="1"/>
        <v>0</v>
      </c>
      <c r="AJ9" s="390">
        <f>SUM(AI9*49.46)</f>
        <v>0</v>
      </c>
      <c r="AK9" s="494">
        <f>SUM(AI9*0.018)</f>
        <v>0</v>
      </c>
      <c r="AL9" s="246">
        <v>0</v>
      </c>
      <c r="AM9" s="246">
        <v>0</v>
      </c>
      <c r="AN9" s="246">
        <v>0</v>
      </c>
      <c r="AO9" s="246">
        <v>0</v>
      </c>
      <c r="AP9" s="246">
        <v>0</v>
      </c>
      <c r="AQ9" s="246">
        <v>0</v>
      </c>
      <c r="AR9" s="246">
        <v>0</v>
      </c>
      <c r="AS9" s="246">
        <v>0</v>
      </c>
      <c r="AT9" s="246">
        <v>0</v>
      </c>
      <c r="AU9" s="246">
        <v>0</v>
      </c>
      <c r="AV9" s="246">
        <v>0</v>
      </c>
      <c r="AW9" s="246">
        <v>0</v>
      </c>
      <c r="AX9" s="246">
        <v>0</v>
      </c>
      <c r="AY9" s="279">
        <f t="shared" si="2"/>
        <v>0</v>
      </c>
      <c r="AZ9" s="390">
        <f>SUM(AY9*49.46)</f>
        <v>0</v>
      </c>
      <c r="BA9" s="494">
        <f>SUM(AY9*0.018)</f>
        <v>0</v>
      </c>
      <c r="BB9" s="246"/>
      <c r="BC9" s="247"/>
      <c r="BD9" s="247"/>
      <c r="BE9" s="247"/>
      <c r="BF9" s="301"/>
      <c r="BG9" s="247"/>
      <c r="BH9" s="247"/>
      <c r="BI9" s="247"/>
      <c r="BJ9" s="247"/>
      <c r="BK9" s="247"/>
      <c r="BL9" s="247"/>
      <c r="BM9" s="247"/>
      <c r="BN9" s="247"/>
      <c r="BO9" s="279">
        <f t="shared" si="3"/>
        <v>0</v>
      </c>
      <c r="BP9" s="390">
        <f>SUM(BO9*49.46)</f>
        <v>0</v>
      </c>
      <c r="BQ9" s="494">
        <f>SUM(BO9*0.018)</f>
        <v>0</v>
      </c>
    </row>
    <row r="10" spans="1:117" ht="16.05" customHeight="1" x14ac:dyDescent="0.3">
      <c r="A10" s="312" t="s">
        <v>119</v>
      </c>
      <c r="B10" s="306">
        <v>1916</v>
      </c>
      <c r="C10" s="327"/>
      <c r="D10" s="328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79">
        <f t="shared" si="0"/>
        <v>0</v>
      </c>
      <c r="T10" s="390">
        <f>SUM(S10*15.82)</f>
        <v>0</v>
      </c>
      <c r="U10" s="494">
        <f>SUM(S10*0.02)</f>
        <v>0</v>
      </c>
      <c r="V10" s="246">
        <v>0</v>
      </c>
      <c r="W10" s="246">
        <v>0</v>
      </c>
      <c r="X10" s="246">
        <v>0</v>
      </c>
      <c r="Y10" s="246">
        <v>0</v>
      </c>
      <c r="Z10" s="246">
        <v>0</v>
      </c>
      <c r="AA10" s="246">
        <v>0</v>
      </c>
      <c r="AB10" s="246">
        <v>0</v>
      </c>
      <c r="AC10" s="246">
        <v>0</v>
      </c>
      <c r="AD10" s="246">
        <v>0</v>
      </c>
      <c r="AE10" s="246">
        <v>0</v>
      </c>
      <c r="AF10" s="246">
        <v>0</v>
      </c>
      <c r="AG10" s="246">
        <v>0</v>
      </c>
      <c r="AH10" s="246">
        <v>0</v>
      </c>
      <c r="AI10" s="279">
        <f t="shared" si="1"/>
        <v>0</v>
      </c>
      <c r="AJ10" s="390">
        <f>SUM(AI10*15.82)</f>
        <v>0</v>
      </c>
      <c r="AK10" s="494">
        <f>SUM(AI10*0.02)</f>
        <v>0</v>
      </c>
      <c r="AL10" s="246">
        <v>0</v>
      </c>
      <c r="AM10" s="246">
        <v>0</v>
      </c>
      <c r="AN10" s="246">
        <v>0</v>
      </c>
      <c r="AO10" s="246">
        <v>0</v>
      </c>
      <c r="AP10" s="246">
        <v>0</v>
      </c>
      <c r="AQ10" s="246">
        <v>0</v>
      </c>
      <c r="AR10" s="246">
        <v>0</v>
      </c>
      <c r="AS10" s="246">
        <v>0</v>
      </c>
      <c r="AT10" s="246">
        <v>0</v>
      </c>
      <c r="AU10" s="246">
        <v>0</v>
      </c>
      <c r="AV10" s="246">
        <v>0</v>
      </c>
      <c r="AW10" s="246">
        <v>0</v>
      </c>
      <c r="AX10" s="246">
        <v>0</v>
      </c>
      <c r="AY10" s="279">
        <f t="shared" si="2"/>
        <v>0</v>
      </c>
      <c r="AZ10" s="390">
        <f>SUM(AY10*15.82)</f>
        <v>0</v>
      </c>
      <c r="BA10" s="494">
        <f>SUM(AY10*0.02)</f>
        <v>0</v>
      </c>
      <c r="BB10" s="246"/>
      <c r="BC10" s="247"/>
      <c r="BD10" s="247"/>
      <c r="BE10" s="247"/>
      <c r="BF10" s="301"/>
      <c r="BG10" s="247"/>
      <c r="BH10" s="247"/>
      <c r="BI10" s="247"/>
      <c r="BJ10" s="247"/>
      <c r="BK10" s="247"/>
      <c r="BL10" s="247"/>
      <c r="BM10" s="247"/>
      <c r="BN10" s="247"/>
      <c r="BO10" s="279">
        <f t="shared" si="3"/>
        <v>0</v>
      </c>
      <c r="BP10" s="390">
        <f>SUM(BO10*15.82)</f>
        <v>0</v>
      </c>
      <c r="BQ10" s="494">
        <f>SUM(BO10*0.02)</f>
        <v>0</v>
      </c>
    </row>
    <row r="11" spans="1:117" ht="16.05" customHeight="1" x14ac:dyDescent="0.3">
      <c r="A11" s="330" t="s">
        <v>113</v>
      </c>
      <c r="B11" s="306">
        <v>2078</v>
      </c>
      <c r="C11" s="327"/>
      <c r="D11" s="328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79">
        <f t="shared" si="0"/>
        <v>0</v>
      </c>
      <c r="T11" s="390">
        <f>SUM(S11*19.88)</f>
        <v>0</v>
      </c>
      <c r="U11" s="494">
        <f>SUM(S11*0.00775)</f>
        <v>0</v>
      </c>
      <c r="V11" s="246">
        <v>0</v>
      </c>
      <c r="W11" s="246">
        <v>0</v>
      </c>
      <c r="X11" s="246">
        <v>0</v>
      </c>
      <c r="Y11" s="246">
        <v>0</v>
      </c>
      <c r="Z11" s="246">
        <v>0</v>
      </c>
      <c r="AA11" s="246">
        <v>0</v>
      </c>
      <c r="AB11" s="246">
        <v>0</v>
      </c>
      <c r="AC11" s="246">
        <v>0</v>
      </c>
      <c r="AD11" s="246">
        <v>0</v>
      </c>
      <c r="AE11" s="246">
        <v>0</v>
      </c>
      <c r="AF11" s="246">
        <v>0</v>
      </c>
      <c r="AG11" s="246">
        <v>0</v>
      </c>
      <c r="AH11" s="246">
        <v>0</v>
      </c>
      <c r="AI11" s="279">
        <f t="shared" si="1"/>
        <v>0</v>
      </c>
      <c r="AJ11" s="390">
        <f>SUM(AI11*19.88)</f>
        <v>0</v>
      </c>
      <c r="AK11" s="494">
        <f>SUM(AI11*0.00775)</f>
        <v>0</v>
      </c>
      <c r="AL11" s="246">
        <v>0</v>
      </c>
      <c r="AM11" s="246">
        <v>0</v>
      </c>
      <c r="AN11" s="246">
        <v>0</v>
      </c>
      <c r="AO11" s="246">
        <v>0</v>
      </c>
      <c r="AP11" s="246">
        <v>0</v>
      </c>
      <c r="AQ11" s="246">
        <v>0</v>
      </c>
      <c r="AR11" s="246">
        <v>0</v>
      </c>
      <c r="AS11" s="246">
        <v>0</v>
      </c>
      <c r="AT11" s="246">
        <v>0</v>
      </c>
      <c r="AU11" s="246">
        <v>0</v>
      </c>
      <c r="AV11" s="246">
        <v>0</v>
      </c>
      <c r="AW11" s="246">
        <v>0</v>
      </c>
      <c r="AX11" s="246">
        <v>0</v>
      </c>
      <c r="AY11" s="279">
        <f t="shared" si="2"/>
        <v>0</v>
      </c>
      <c r="AZ11" s="390">
        <f>SUM(AY11*19.88)</f>
        <v>0</v>
      </c>
      <c r="BA11" s="494">
        <f>SUM(AY11*0.00775)</f>
        <v>0</v>
      </c>
      <c r="BB11" s="246"/>
      <c r="BC11" s="247"/>
      <c r="BD11" s="247"/>
      <c r="BE11" s="247"/>
      <c r="BF11" s="301"/>
      <c r="BG11" s="247"/>
      <c r="BH11" s="247"/>
      <c r="BI11" s="247"/>
      <c r="BJ11" s="247"/>
      <c r="BK11" s="247"/>
      <c r="BL11" s="247"/>
      <c r="BM11" s="247"/>
      <c r="BN11" s="247"/>
      <c r="BO11" s="279">
        <f t="shared" si="3"/>
        <v>0</v>
      </c>
      <c r="BP11" s="390">
        <f>SUM(BO11*19.88)</f>
        <v>0</v>
      </c>
      <c r="BQ11" s="494">
        <f>SUM(BO11*0.00775)</f>
        <v>0</v>
      </c>
    </row>
    <row r="12" spans="1:117" ht="16.05" customHeight="1" x14ac:dyDescent="0.3">
      <c r="A12" s="330" t="s">
        <v>115</v>
      </c>
      <c r="B12" s="306">
        <v>2081</v>
      </c>
      <c r="C12" s="327"/>
      <c r="D12" s="328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79">
        <f t="shared" si="0"/>
        <v>0</v>
      </c>
      <c r="T12" s="390">
        <f>SUM(S12*13.25)</f>
        <v>0</v>
      </c>
      <c r="U12" s="494">
        <f>SUM(S12*0.005)</f>
        <v>0</v>
      </c>
      <c r="V12" s="246">
        <v>0</v>
      </c>
      <c r="W12" s="246">
        <v>0</v>
      </c>
      <c r="X12" s="246">
        <v>0</v>
      </c>
      <c r="Y12" s="246">
        <v>0</v>
      </c>
      <c r="Z12" s="246">
        <v>0</v>
      </c>
      <c r="AA12" s="246">
        <v>0</v>
      </c>
      <c r="AB12" s="246">
        <v>0</v>
      </c>
      <c r="AC12" s="246">
        <v>0</v>
      </c>
      <c r="AD12" s="246">
        <v>0</v>
      </c>
      <c r="AE12" s="246">
        <v>0</v>
      </c>
      <c r="AF12" s="246">
        <v>0</v>
      </c>
      <c r="AG12" s="246">
        <v>0</v>
      </c>
      <c r="AH12" s="246">
        <v>0</v>
      </c>
      <c r="AI12" s="279">
        <f t="shared" si="1"/>
        <v>0</v>
      </c>
      <c r="AJ12" s="390">
        <f>SUM(AI12*13.25)</f>
        <v>0</v>
      </c>
      <c r="AK12" s="494">
        <f>SUM(AI12*0.005)</f>
        <v>0</v>
      </c>
      <c r="AL12" s="246">
        <v>0</v>
      </c>
      <c r="AM12" s="246">
        <v>0</v>
      </c>
      <c r="AN12" s="246">
        <v>0</v>
      </c>
      <c r="AO12" s="246">
        <v>0</v>
      </c>
      <c r="AP12" s="246">
        <v>0</v>
      </c>
      <c r="AQ12" s="246">
        <v>0</v>
      </c>
      <c r="AR12" s="246">
        <v>0</v>
      </c>
      <c r="AS12" s="246">
        <v>0</v>
      </c>
      <c r="AT12" s="246">
        <v>0</v>
      </c>
      <c r="AU12" s="246">
        <v>0</v>
      </c>
      <c r="AV12" s="246">
        <v>0</v>
      </c>
      <c r="AW12" s="246">
        <v>0</v>
      </c>
      <c r="AX12" s="246">
        <v>0</v>
      </c>
      <c r="AY12" s="279">
        <f t="shared" si="2"/>
        <v>0</v>
      </c>
      <c r="AZ12" s="390">
        <f>SUM(AY12*13.25)</f>
        <v>0</v>
      </c>
      <c r="BA12" s="494">
        <f>SUM(AY12*0.005)</f>
        <v>0</v>
      </c>
      <c r="BB12" s="246"/>
      <c r="BC12" s="247"/>
      <c r="BD12" s="247"/>
      <c r="BE12" s="247"/>
      <c r="BF12" s="301"/>
      <c r="BG12" s="247"/>
      <c r="BH12" s="247"/>
      <c r="BI12" s="247"/>
      <c r="BJ12" s="247"/>
      <c r="BK12" s="247"/>
      <c r="BL12" s="247"/>
      <c r="BM12" s="247"/>
      <c r="BN12" s="247"/>
      <c r="BO12" s="279">
        <f t="shared" si="3"/>
        <v>0</v>
      </c>
      <c r="BP12" s="390">
        <f>SUM(BO12*13.25)</f>
        <v>0</v>
      </c>
      <c r="BQ12" s="494">
        <f>SUM(BO12*0.005)</f>
        <v>0</v>
      </c>
    </row>
    <row r="13" spans="1:117" s="2" customFormat="1" ht="16.05" customHeight="1" thickBot="1" x14ac:dyDescent="0.35">
      <c r="A13" s="331" t="s">
        <v>114</v>
      </c>
      <c r="B13" s="307">
        <v>2084</v>
      </c>
      <c r="C13" s="332"/>
      <c r="D13" s="333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79">
        <f t="shared" si="0"/>
        <v>0</v>
      </c>
      <c r="T13" s="390">
        <f>SUM(S13*47.5)</f>
        <v>0</v>
      </c>
      <c r="U13" s="494">
        <f>SUM(S13*0.015)</f>
        <v>0</v>
      </c>
      <c r="V13" s="248">
        <v>0</v>
      </c>
      <c r="W13" s="248">
        <v>0</v>
      </c>
      <c r="X13" s="248">
        <v>0</v>
      </c>
      <c r="Y13" s="248">
        <v>0</v>
      </c>
      <c r="Z13" s="248">
        <v>0</v>
      </c>
      <c r="AA13" s="248">
        <v>0</v>
      </c>
      <c r="AB13" s="248">
        <v>0</v>
      </c>
      <c r="AC13" s="248">
        <v>0</v>
      </c>
      <c r="AD13" s="248">
        <v>0</v>
      </c>
      <c r="AE13" s="248">
        <v>0</v>
      </c>
      <c r="AF13" s="248">
        <v>0</v>
      </c>
      <c r="AG13" s="248">
        <v>0</v>
      </c>
      <c r="AH13" s="248">
        <v>0</v>
      </c>
      <c r="AI13" s="279">
        <f t="shared" si="1"/>
        <v>0</v>
      </c>
      <c r="AJ13" s="390">
        <f>SUM(AI13*47.5)</f>
        <v>0</v>
      </c>
      <c r="AK13" s="494">
        <f>SUM(AI13*0.015)</f>
        <v>0</v>
      </c>
      <c r="AL13" s="248">
        <v>0</v>
      </c>
      <c r="AM13" s="248">
        <v>0</v>
      </c>
      <c r="AN13" s="248">
        <v>0</v>
      </c>
      <c r="AO13" s="248">
        <v>0</v>
      </c>
      <c r="AP13" s="248">
        <v>0</v>
      </c>
      <c r="AQ13" s="248">
        <v>0</v>
      </c>
      <c r="AR13" s="248">
        <v>0</v>
      </c>
      <c r="AS13" s="248">
        <v>0</v>
      </c>
      <c r="AT13" s="248">
        <v>0</v>
      </c>
      <c r="AU13" s="248">
        <v>0</v>
      </c>
      <c r="AV13" s="248">
        <v>0</v>
      </c>
      <c r="AW13" s="248">
        <v>0</v>
      </c>
      <c r="AX13" s="248">
        <v>0</v>
      </c>
      <c r="AY13" s="279">
        <f t="shared" si="2"/>
        <v>0</v>
      </c>
      <c r="AZ13" s="390">
        <f>SUM(AY13*47.5)</f>
        <v>0</v>
      </c>
      <c r="BA13" s="494">
        <f>SUM(AY13*0.015)</f>
        <v>0</v>
      </c>
      <c r="BB13" s="248"/>
      <c r="BC13" s="249"/>
      <c r="BD13" s="249"/>
      <c r="BE13" s="249"/>
      <c r="BF13" s="302"/>
      <c r="BG13" s="249"/>
      <c r="BH13" s="249"/>
      <c r="BI13" s="249"/>
      <c r="BJ13" s="249"/>
      <c r="BK13" s="249"/>
      <c r="BL13" s="249"/>
      <c r="BM13" s="249"/>
      <c r="BN13" s="249"/>
      <c r="BO13" s="279">
        <f t="shared" si="3"/>
        <v>0</v>
      </c>
      <c r="BP13" s="390">
        <f>SUM(BO13*47.5)</f>
        <v>0</v>
      </c>
      <c r="BQ13" s="494">
        <f>SUM(BO13*0.015)</f>
        <v>0</v>
      </c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</row>
    <row r="14" spans="1:117" s="5" customFormat="1" ht="16.05" customHeight="1" thickTop="1" x14ac:dyDescent="0.3">
      <c r="A14" s="283" t="s">
        <v>211</v>
      </c>
      <c r="B14" s="334"/>
      <c r="C14" s="284"/>
      <c r="D14" s="335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336"/>
      <c r="T14" s="395"/>
      <c r="U14" s="299"/>
      <c r="V14" s="30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336"/>
      <c r="AJ14" s="395"/>
      <c r="AK14" s="299"/>
      <c r="AL14" s="30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336"/>
      <c r="AZ14" s="395"/>
      <c r="BA14" s="299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336"/>
      <c r="BP14" s="395"/>
      <c r="BQ14" s="299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</row>
    <row r="15" spans="1:117" ht="16.05" customHeight="1" x14ac:dyDescent="0.3">
      <c r="A15" s="312" t="s">
        <v>212</v>
      </c>
      <c r="B15" s="306">
        <v>1850</v>
      </c>
      <c r="C15" s="327"/>
      <c r="D15" s="328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79">
        <f t="shared" ref="S15:S21" si="4">SUM(E15:R15)</f>
        <v>0</v>
      </c>
      <c r="T15" s="390">
        <f>SUM(S15*52.59)</f>
        <v>0</v>
      </c>
      <c r="U15" s="494">
        <f>SUM(S15*0.018)</f>
        <v>0</v>
      </c>
      <c r="V15" s="246">
        <v>0</v>
      </c>
      <c r="W15" s="246">
        <v>0</v>
      </c>
      <c r="X15" s="246">
        <v>0</v>
      </c>
      <c r="Y15" s="246">
        <v>0</v>
      </c>
      <c r="Z15" s="246">
        <v>0</v>
      </c>
      <c r="AA15" s="246">
        <v>0</v>
      </c>
      <c r="AB15" s="246">
        <v>0</v>
      </c>
      <c r="AC15" s="246">
        <v>0</v>
      </c>
      <c r="AD15" s="246">
        <v>0</v>
      </c>
      <c r="AE15" s="246">
        <v>0</v>
      </c>
      <c r="AF15" s="246">
        <v>0</v>
      </c>
      <c r="AG15" s="246">
        <v>0</v>
      </c>
      <c r="AH15" s="246">
        <v>0</v>
      </c>
      <c r="AI15" s="279">
        <f t="shared" ref="AI15:AI21" si="5">SUM(V15:AH15)</f>
        <v>0</v>
      </c>
      <c r="AJ15" s="390">
        <f>SUM(AI15*52.59)</f>
        <v>0</v>
      </c>
      <c r="AK15" s="494">
        <f>SUM(AI15*0.018)</f>
        <v>0</v>
      </c>
      <c r="AL15" s="246">
        <v>0</v>
      </c>
      <c r="AM15" s="246">
        <v>0</v>
      </c>
      <c r="AN15" s="246">
        <v>0</v>
      </c>
      <c r="AO15" s="246">
        <v>0</v>
      </c>
      <c r="AP15" s="246">
        <v>0</v>
      </c>
      <c r="AQ15" s="246">
        <v>0</v>
      </c>
      <c r="AR15" s="246">
        <v>0</v>
      </c>
      <c r="AS15" s="246">
        <v>0</v>
      </c>
      <c r="AT15" s="246">
        <v>0</v>
      </c>
      <c r="AU15" s="246">
        <v>0</v>
      </c>
      <c r="AV15" s="246">
        <v>0</v>
      </c>
      <c r="AW15" s="246">
        <v>0</v>
      </c>
      <c r="AX15" s="246">
        <v>0</v>
      </c>
      <c r="AY15" s="279">
        <f t="shared" ref="AY15:AY21" si="6">SUM(AL15:AX15)</f>
        <v>0</v>
      </c>
      <c r="AZ15" s="390">
        <f>SUM(AY15*52.59)</f>
        <v>0</v>
      </c>
      <c r="BA15" s="494">
        <f>SUM(AY15*0.018)</f>
        <v>0</v>
      </c>
      <c r="BB15" s="246"/>
      <c r="BC15" s="247"/>
      <c r="BD15" s="247"/>
      <c r="BE15" s="247"/>
      <c r="BF15" s="301"/>
      <c r="BG15" s="247"/>
      <c r="BH15" s="247"/>
      <c r="BI15" s="247"/>
      <c r="BJ15" s="247"/>
      <c r="BK15" s="247"/>
      <c r="BL15" s="247"/>
      <c r="BM15" s="247"/>
      <c r="BN15" s="247"/>
      <c r="BO15" s="279">
        <f t="shared" ref="BO15:BO21" si="7">SUM(BB15:BN15)</f>
        <v>0</v>
      </c>
      <c r="BP15" s="390">
        <f>SUM(BO15*52.59)</f>
        <v>0</v>
      </c>
      <c r="BQ15" s="494">
        <f>SUM(BO15*0.018)</f>
        <v>0</v>
      </c>
    </row>
    <row r="16" spans="1:117" ht="16.05" customHeight="1" x14ac:dyDescent="0.3">
      <c r="A16" s="312" t="s">
        <v>122</v>
      </c>
      <c r="B16" s="306">
        <v>1875</v>
      </c>
      <c r="C16" s="327"/>
      <c r="D16" s="328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79">
        <f t="shared" si="4"/>
        <v>0</v>
      </c>
      <c r="T16" s="390">
        <f>SUM(S16*47.14)</f>
        <v>0</v>
      </c>
      <c r="U16" s="494">
        <f>SUM(S16*0.01)</f>
        <v>0</v>
      </c>
      <c r="V16" s="246">
        <v>0</v>
      </c>
      <c r="W16" s="246">
        <v>0</v>
      </c>
      <c r="X16" s="246">
        <v>0</v>
      </c>
      <c r="Y16" s="246">
        <v>0</v>
      </c>
      <c r="Z16" s="246">
        <v>0</v>
      </c>
      <c r="AA16" s="246">
        <v>0</v>
      </c>
      <c r="AB16" s="246">
        <v>0</v>
      </c>
      <c r="AC16" s="246">
        <v>0</v>
      </c>
      <c r="AD16" s="246">
        <v>0</v>
      </c>
      <c r="AE16" s="246">
        <v>0</v>
      </c>
      <c r="AF16" s="246">
        <v>0</v>
      </c>
      <c r="AG16" s="246">
        <v>0</v>
      </c>
      <c r="AH16" s="246">
        <v>0</v>
      </c>
      <c r="AI16" s="279">
        <f t="shared" si="5"/>
        <v>0</v>
      </c>
      <c r="AJ16" s="390">
        <f>SUM(AI16*47.14)</f>
        <v>0</v>
      </c>
      <c r="AK16" s="494">
        <f>SUM(AI16*0.01)</f>
        <v>0</v>
      </c>
      <c r="AL16" s="246">
        <v>0</v>
      </c>
      <c r="AM16" s="246">
        <v>0</v>
      </c>
      <c r="AN16" s="246">
        <v>0</v>
      </c>
      <c r="AO16" s="246">
        <v>0</v>
      </c>
      <c r="AP16" s="246">
        <v>0</v>
      </c>
      <c r="AQ16" s="246">
        <v>0</v>
      </c>
      <c r="AR16" s="246">
        <v>0</v>
      </c>
      <c r="AS16" s="246">
        <v>0</v>
      </c>
      <c r="AT16" s="246">
        <v>0</v>
      </c>
      <c r="AU16" s="246">
        <v>0</v>
      </c>
      <c r="AV16" s="246">
        <v>0</v>
      </c>
      <c r="AW16" s="246">
        <v>0</v>
      </c>
      <c r="AX16" s="246">
        <v>0</v>
      </c>
      <c r="AY16" s="279">
        <f t="shared" si="6"/>
        <v>0</v>
      </c>
      <c r="AZ16" s="390">
        <f>SUM(AY16*47.14)</f>
        <v>0</v>
      </c>
      <c r="BA16" s="494">
        <f>SUM(AY16*0.01)</f>
        <v>0</v>
      </c>
      <c r="BB16" s="246"/>
      <c r="BC16" s="247"/>
      <c r="BD16" s="247"/>
      <c r="BE16" s="247"/>
      <c r="BF16" s="301"/>
      <c r="BG16" s="247"/>
      <c r="BH16" s="247"/>
      <c r="BI16" s="247"/>
      <c r="BJ16" s="247"/>
      <c r="BK16" s="247"/>
      <c r="BL16" s="247"/>
      <c r="BM16" s="247"/>
      <c r="BN16" s="247"/>
      <c r="BO16" s="279">
        <f t="shared" si="7"/>
        <v>0</v>
      </c>
      <c r="BP16" s="390">
        <f>SUM(BO16*47.14)</f>
        <v>0</v>
      </c>
      <c r="BQ16" s="494">
        <f>SUM(BO16*0.01)</f>
        <v>0</v>
      </c>
    </row>
    <row r="17" spans="1:97" ht="16.05" customHeight="1" x14ac:dyDescent="0.3">
      <c r="A17" s="312" t="s">
        <v>213</v>
      </c>
      <c r="B17" s="306">
        <v>1881</v>
      </c>
      <c r="C17" s="327"/>
      <c r="D17" s="328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79">
        <f t="shared" si="4"/>
        <v>0</v>
      </c>
      <c r="T17" s="390">
        <f>SUM(S17*86.91)</f>
        <v>0</v>
      </c>
      <c r="U17" s="494">
        <f>SUM(S17*0.012)</f>
        <v>0</v>
      </c>
      <c r="V17" s="246">
        <v>0</v>
      </c>
      <c r="W17" s="246">
        <v>0</v>
      </c>
      <c r="X17" s="246">
        <v>0</v>
      </c>
      <c r="Y17" s="246">
        <v>0</v>
      </c>
      <c r="Z17" s="246">
        <v>0</v>
      </c>
      <c r="AA17" s="246">
        <v>0</v>
      </c>
      <c r="AB17" s="246">
        <v>0</v>
      </c>
      <c r="AC17" s="246">
        <v>0</v>
      </c>
      <c r="AD17" s="246">
        <v>0</v>
      </c>
      <c r="AE17" s="246">
        <v>0</v>
      </c>
      <c r="AF17" s="246">
        <v>0</v>
      </c>
      <c r="AG17" s="246">
        <v>0</v>
      </c>
      <c r="AH17" s="246">
        <v>0</v>
      </c>
      <c r="AI17" s="279">
        <f t="shared" si="5"/>
        <v>0</v>
      </c>
      <c r="AJ17" s="390">
        <f>SUM(AI17*86.91)</f>
        <v>0</v>
      </c>
      <c r="AK17" s="494">
        <f>SUM(AI17*0.012)</f>
        <v>0</v>
      </c>
      <c r="AL17" s="246">
        <v>0</v>
      </c>
      <c r="AM17" s="246">
        <v>0</v>
      </c>
      <c r="AN17" s="246">
        <v>0</v>
      </c>
      <c r="AO17" s="246">
        <v>0</v>
      </c>
      <c r="AP17" s="246">
        <v>0</v>
      </c>
      <c r="AQ17" s="246">
        <v>0</v>
      </c>
      <c r="AR17" s="246">
        <v>0</v>
      </c>
      <c r="AS17" s="246">
        <v>0</v>
      </c>
      <c r="AT17" s="246">
        <v>0</v>
      </c>
      <c r="AU17" s="246">
        <v>0</v>
      </c>
      <c r="AV17" s="246">
        <v>0</v>
      </c>
      <c r="AW17" s="246">
        <v>0</v>
      </c>
      <c r="AX17" s="246">
        <v>0</v>
      </c>
      <c r="AY17" s="279">
        <f t="shared" si="6"/>
        <v>0</v>
      </c>
      <c r="AZ17" s="390">
        <f>SUM(AY17*86.91)</f>
        <v>0</v>
      </c>
      <c r="BA17" s="494">
        <f>SUM(AY17*0.012)</f>
        <v>0</v>
      </c>
      <c r="BB17" s="246"/>
      <c r="BC17" s="247"/>
      <c r="BD17" s="247"/>
      <c r="BE17" s="247"/>
      <c r="BF17" s="301"/>
      <c r="BG17" s="247"/>
      <c r="BH17" s="247"/>
      <c r="BI17" s="247"/>
      <c r="BJ17" s="247"/>
      <c r="BK17" s="247"/>
      <c r="BL17" s="247"/>
      <c r="BM17" s="247"/>
      <c r="BN17" s="247"/>
      <c r="BO17" s="279">
        <f t="shared" si="7"/>
        <v>0</v>
      </c>
      <c r="BP17" s="390">
        <f>SUM(BO17*86.91)</f>
        <v>0</v>
      </c>
      <c r="BQ17" s="494">
        <f>SUM(BO17*0.012)</f>
        <v>0</v>
      </c>
    </row>
    <row r="18" spans="1:97" ht="16.05" customHeight="1" x14ac:dyDescent="0.3">
      <c r="A18" s="337" t="s">
        <v>214</v>
      </c>
      <c r="B18" s="308">
        <v>1887</v>
      </c>
      <c r="C18" s="327"/>
      <c r="D18" s="328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79">
        <f t="shared" si="4"/>
        <v>0</v>
      </c>
      <c r="T18" s="390">
        <f>SUM(S18*125.84)</f>
        <v>0</v>
      </c>
      <c r="U18" s="494">
        <f>SUM(S18*0.015)</f>
        <v>0</v>
      </c>
      <c r="V18" s="246">
        <v>0</v>
      </c>
      <c r="W18" s="246">
        <v>0</v>
      </c>
      <c r="X18" s="246">
        <v>0</v>
      </c>
      <c r="Y18" s="246">
        <v>0</v>
      </c>
      <c r="Z18" s="246">
        <v>0</v>
      </c>
      <c r="AA18" s="246">
        <v>0</v>
      </c>
      <c r="AB18" s="246">
        <v>0</v>
      </c>
      <c r="AC18" s="246">
        <v>0</v>
      </c>
      <c r="AD18" s="246">
        <v>0</v>
      </c>
      <c r="AE18" s="246">
        <v>0</v>
      </c>
      <c r="AF18" s="246">
        <v>0</v>
      </c>
      <c r="AG18" s="246">
        <v>0</v>
      </c>
      <c r="AH18" s="246">
        <v>0</v>
      </c>
      <c r="AI18" s="279">
        <f t="shared" si="5"/>
        <v>0</v>
      </c>
      <c r="AJ18" s="390">
        <f>SUM(AI18*125.84)</f>
        <v>0</v>
      </c>
      <c r="AK18" s="494">
        <f>SUM(AI18*0.015)</f>
        <v>0</v>
      </c>
      <c r="AL18" s="246">
        <v>0</v>
      </c>
      <c r="AM18" s="246">
        <v>0</v>
      </c>
      <c r="AN18" s="246">
        <v>0</v>
      </c>
      <c r="AO18" s="246">
        <v>0</v>
      </c>
      <c r="AP18" s="246">
        <v>0</v>
      </c>
      <c r="AQ18" s="246">
        <v>0</v>
      </c>
      <c r="AR18" s="246">
        <v>0</v>
      </c>
      <c r="AS18" s="246">
        <v>0</v>
      </c>
      <c r="AT18" s="246">
        <v>0</v>
      </c>
      <c r="AU18" s="246">
        <v>0</v>
      </c>
      <c r="AV18" s="246">
        <v>0</v>
      </c>
      <c r="AW18" s="246">
        <v>0</v>
      </c>
      <c r="AX18" s="246">
        <v>0</v>
      </c>
      <c r="AY18" s="279">
        <f t="shared" si="6"/>
        <v>0</v>
      </c>
      <c r="AZ18" s="390">
        <f>SUM(AY18*125.84)</f>
        <v>0</v>
      </c>
      <c r="BA18" s="494">
        <f>SUM(AY18*0.015)</f>
        <v>0</v>
      </c>
      <c r="BB18" s="246"/>
      <c r="BC18" s="247"/>
      <c r="BD18" s="247"/>
      <c r="BE18" s="247"/>
      <c r="BF18" s="301"/>
      <c r="BG18" s="247"/>
      <c r="BH18" s="247"/>
      <c r="BI18" s="247"/>
      <c r="BJ18" s="247"/>
      <c r="BK18" s="247"/>
      <c r="BL18" s="247"/>
      <c r="BM18" s="247"/>
      <c r="BN18" s="247"/>
      <c r="BO18" s="279">
        <f t="shared" si="7"/>
        <v>0</v>
      </c>
      <c r="BP18" s="390">
        <f>SUM(BO18*125.84)</f>
        <v>0</v>
      </c>
      <c r="BQ18" s="494">
        <f>SUM(BO18*0.015)</f>
        <v>0</v>
      </c>
    </row>
    <row r="19" spans="1:97" ht="16.05" customHeight="1" x14ac:dyDescent="0.3">
      <c r="A19" s="314" t="s">
        <v>215</v>
      </c>
      <c r="B19" s="309">
        <v>2021</v>
      </c>
      <c r="C19" s="338"/>
      <c r="D19" s="339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79">
        <f t="shared" si="4"/>
        <v>0</v>
      </c>
      <c r="T19" s="390">
        <f>SUM(S19*48.32)</f>
        <v>0</v>
      </c>
      <c r="U19" s="494">
        <f>SUM(S19*0.01)</f>
        <v>0</v>
      </c>
      <c r="V19" s="246">
        <v>0</v>
      </c>
      <c r="W19" s="246">
        <v>0</v>
      </c>
      <c r="X19" s="246">
        <v>0</v>
      </c>
      <c r="Y19" s="246">
        <v>0</v>
      </c>
      <c r="Z19" s="246">
        <v>0</v>
      </c>
      <c r="AA19" s="246">
        <v>0</v>
      </c>
      <c r="AB19" s="246">
        <v>0</v>
      </c>
      <c r="AC19" s="246">
        <v>0</v>
      </c>
      <c r="AD19" s="246">
        <v>0</v>
      </c>
      <c r="AE19" s="246">
        <v>0</v>
      </c>
      <c r="AF19" s="246">
        <v>0</v>
      </c>
      <c r="AG19" s="246">
        <v>0</v>
      </c>
      <c r="AH19" s="246">
        <v>0</v>
      </c>
      <c r="AI19" s="279">
        <f t="shared" si="5"/>
        <v>0</v>
      </c>
      <c r="AJ19" s="390">
        <f>SUM(AI19*48.32)</f>
        <v>0</v>
      </c>
      <c r="AK19" s="494">
        <f>SUM(AI19*0.01)</f>
        <v>0</v>
      </c>
      <c r="AL19" s="246">
        <v>0</v>
      </c>
      <c r="AM19" s="246">
        <v>0</v>
      </c>
      <c r="AN19" s="246">
        <v>0</v>
      </c>
      <c r="AO19" s="246">
        <v>0</v>
      </c>
      <c r="AP19" s="246">
        <v>0</v>
      </c>
      <c r="AQ19" s="246">
        <v>0</v>
      </c>
      <c r="AR19" s="246">
        <v>0</v>
      </c>
      <c r="AS19" s="246">
        <v>0</v>
      </c>
      <c r="AT19" s="246">
        <v>0</v>
      </c>
      <c r="AU19" s="246">
        <v>0</v>
      </c>
      <c r="AV19" s="246">
        <v>0</v>
      </c>
      <c r="AW19" s="246">
        <v>0</v>
      </c>
      <c r="AX19" s="246">
        <v>0</v>
      </c>
      <c r="AY19" s="279">
        <f t="shared" si="6"/>
        <v>0</v>
      </c>
      <c r="AZ19" s="390">
        <f>SUM(AY19*48.32)</f>
        <v>0</v>
      </c>
      <c r="BA19" s="494">
        <f>SUM(AY19*0.01)</f>
        <v>0</v>
      </c>
      <c r="BB19" s="246"/>
      <c r="BC19" s="247"/>
      <c r="BD19" s="247"/>
      <c r="BE19" s="247"/>
      <c r="BF19" s="301"/>
      <c r="BG19" s="247"/>
      <c r="BH19" s="247"/>
      <c r="BI19" s="247"/>
      <c r="BJ19" s="247"/>
      <c r="BK19" s="247"/>
      <c r="BL19" s="247"/>
      <c r="BM19" s="247"/>
      <c r="BN19" s="247"/>
      <c r="BO19" s="279">
        <f t="shared" si="7"/>
        <v>0</v>
      </c>
      <c r="BP19" s="390">
        <f>SUM(BO19*48.32)</f>
        <v>0</v>
      </c>
      <c r="BQ19" s="494">
        <f>SUM(BO19*0.01)</f>
        <v>0</v>
      </c>
    </row>
    <row r="20" spans="1:97" ht="16.05" customHeight="1" x14ac:dyDescent="0.3">
      <c r="A20" s="312" t="s">
        <v>216</v>
      </c>
      <c r="B20" s="306">
        <v>2022</v>
      </c>
      <c r="C20" s="327"/>
      <c r="D20" s="328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79">
        <f t="shared" si="4"/>
        <v>0</v>
      </c>
      <c r="T20" s="390">
        <f>SUM(S20*32.58)</f>
        <v>0</v>
      </c>
      <c r="U20" s="494">
        <f>SUM(S20*0.008)</f>
        <v>0</v>
      </c>
      <c r="V20" s="246">
        <v>0</v>
      </c>
      <c r="W20" s="246">
        <v>0</v>
      </c>
      <c r="X20" s="246">
        <v>0</v>
      </c>
      <c r="Y20" s="246">
        <v>0</v>
      </c>
      <c r="Z20" s="246">
        <v>0</v>
      </c>
      <c r="AA20" s="246">
        <v>0</v>
      </c>
      <c r="AB20" s="246">
        <v>0</v>
      </c>
      <c r="AC20" s="246">
        <v>0</v>
      </c>
      <c r="AD20" s="246">
        <v>0</v>
      </c>
      <c r="AE20" s="246">
        <v>0</v>
      </c>
      <c r="AF20" s="246">
        <v>0</v>
      </c>
      <c r="AG20" s="246">
        <v>0</v>
      </c>
      <c r="AH20" s="246">
        <v>0</v>
      </c>
      <c r="AI20" s="279">
        <f t="shared" si="5"/>
        <v>0</v>
      </c>
      <c r="AJ20" s="390">
        <f>SUM(AI20*32.58)</f>
        <v>0</v>
      </c>
      <c r="AK20" s="494">
        <f>SUM(AI20*0.008)</f>
        <v>0</v>
      </c>
      <c r="AL20" s="246">
        <v>0</v>
      </c>
      <c r="AM20" s="246">
        <v>0</v>
      </c>
      <c r="AN20" s="246">
        <v>0</v>
      </c>
      <c r="AO20" s="246">
        <v>0</v>
      </c>
      <c r="AP20" s="246">
        <v>0</v>
      </c>
      <c r="AQ20" s="246">
        <v>0</v>
      </c>
      <c r="AR20" s="246">
        <v>0</v>
      </c>
      <c r="AS20" s="246">
        <v>0</v>
      </c>
      <c r="AT20" s="246">
        <v>0</v>
      </c>
      <c r="AU20" s="246">
        <v>0</v>
      </c>
      <c r="AV20" s="246">
        <v>0</v>
      </c>
      <c r="AW20" s="246">
        <v>0</v>
      </c>
      <c r="AX20" s="246">
        <v>0</v>
      </c>
      <c r="AY20" s="279">
        <f t="shared" si="6"/>
        <v>0</v>
      </c>
      <c r="AZ20" s="390">
        <f>SUM(AY20*32.58)</f>
        <v>0</v>
      </c>
      <c r="BA20" s="494">
        <f>SUM(AY20*0.008)</f>
        <v>0</v>
      </c>
      <c r="BB20" s="246"/>
      <c r="BC20" s="247"/>
      <c r="BD20" s="247"/>
      <c r="BE20" s="247"/>
      <c r="BF20" s="301"/>
      <c r="BG20" s="247"/>
      <c r="BH20" s="247"/>
      <c r="BI20" s="247"/>
      <c r="BJ20" s="247"/>
      <c r="BK20" s="247"/>
      <c r="BL20" s="247"/>
      <c r="BM20" s="247"/>
      <c r="BN20" s="247"/>
      <c r="BO20" s="279">
        <f t="shared" si="7"/>
        <v>0</v>
      </c>
      <c r="BP20" s="390">
        <f>SUM(BO20*32.58)</f>
        <v>0</v>
      </c>
      <c r="BQ20" s="494">
        <f>SUM(BO20*0.008)</f>
        <v>0</v>
      </c>
    </row>
    <row r="21" spans="1:97" ht="16.05" customHeight="1" thickBot="1" x14ac:dyDescent="0.35">
      <c r="A21" s="316" t="s">
        <v>242</v>
      </c>
      <c r="B21" s="310">
        <v>2029</v>
      </c>
      <c r="C21" s="340"/>
      <c r="D21" s="341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79">
        <f t="shared" si="4"/>
        <v>0</v>
      </c>
      <c r="T21" s="390">
        <f>SUM(S21*48.25)</f>
        <v>0</v>
      </c>
      <c r="U21" s="494">
        <f>SUM(S21*0.003)</f>
        <v>0</v>
      </c>
      <c r="V21" s="248">
        <v>0</v>
      </c>
      <c r="W21" s="248">
        <v>0</v>
      </c>
      <c r="X21" s="248">
        <v>0</v>
      </c>
      <c r="Y21" s="248">
        <v>0</v>
      </c>
      <c r="Z21" s="248">
        <v>0</v>
      </c>
      <c r="AA21" s="248">
        <v>0</v>
      </c>
      <c r="AB21" s="248">
        <v>0</v>
      </c>
      <c r="AC21" s="248">
        <v>0</v>
      </c>
      <c r="AD21" s="248">
        <v>0</v>
      </c>
      <c r="AE21" s="248">
        <v>0</v>
      </c>
      <c r="AF21" s="248">
        <v>0</v>
      </c>
      <c r="AG21" s="248">
        <v>0</v>
      </c>
      <c r="AH21" s="248">
        <v>0</v>
      </c>
      <c r="AI21" s="279">
        <f t="shared" si="5"/>
        <v>0</v>
      </c>
      <c r="AJ21" s="390">
        <f>SUM(AI21*48.25)</f>
        <v>0</v>
      </c>
      <c r="AK21" s="494">
        <f>SUM(AI21*0.003)</f>
        <v>0</v>
      </c>
      <c r="AL21" s="248">
        <v>0</v>
      </c>
      <c r="AM21" s="248">
        <v>0</v>
      </c>
      <c r="AN21" s="248">
        <v>0</v>
      </c>
      <c r="AO21" s="248">
        <v>0</v>
      </c>
      <c r="AP21" s="248">
        <v>0</v>
      </c>
      <c r="AQ21" s="248">
        <v>0</v>
      </c>
      <c r="AR21" s="248">
        <v>0</v>
      </c>
      <c r="AS21" s="248">
        <v>0</v>
      </c>
      <c r="AT21" s="248">
        <v>0</v>
      </c>
      <c r="AU21" s="248">
        <v>0</v>
      </c>
      <c r="AV21" s="248">
        <v>0</v>
      </c>
      <c r="AW21" s="248">
        <v>0</v>
      </c>
      <c r="AX21" s="248">
        <v>0</v>
      </c>
      <c r="AY21" s="279">
        <f t="shared" si="6"/>
        <v>0</v>
      </c>
      <c r="AZ21" s="390">
        <f>SUM(AY21*48.25)</f>
        <v>0</v>
      </c>
      <c r="BA21" s="494">
        <f>SUM(AY21*0.003)</f>
        <v>0</v>
      </c>
      <c r="BB21" s="248"/>
      <c r="BC21" s="249"/>
      <c r="BD21" s="249"/>
      <c r="BE21" s="249"/>
      <c r="BF21" s="302"/>
      <c r="BG21" s="249"/>
      <c r="BH21" s="249"/>
      <c r="BI21" s="249"/>
      <c r="BJ21" s="249"/>
      <c r="BK21" s="249"/>
      <c r="BL21" s="249"/>
      <c r="BM21" s="249"/>
      <c r="BN21" s="249"/>
      <c r="BO21" s="279">
        <f t="shared" si="7"/>
        <v>0</v>
      </c>
      <c r="BP21" s="390">
        <f>SUM(BO21*48.25)</f>
        <v>0</v>
      </c>
      <c r="BQ21" s="494">
        <f>SUM(BO21*0.003)</f>
        <v>0</v>
      </c>
    </row>
    <row r="22" spans="1:97" s="5" customFormat="1" ht="16.05" customHeight="1" thickTop="1" x14ac:dyDescent="0.3">
      <c r="A22" s="39" t="s">
        <v>217</v>
      </c>
      <c r="B22" s="342"/>
      <c r="C22" s="284"/>
      <c r="D22" s="335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336"/>
      <c r="T22" s="395"/>
      <c r="U22" s="299"/>
      <c r="V22" s="30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336"/>
      <c r="AJ22" s="395"/>
      <c r="AK22" s="299"/>
      <c r="AL22" s="30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336"/>
      <c r="AZ22" s="395"/>
      <c r="BA22" s="299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336"/>
      <c r="BP22" s="395"/>
      <c r="BQ22" s="299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</row>
    <row r="23" spans="1:97" ht="16.05" customHeight="1" x14ac:dyDescent="0.3">
      <c r="A23" s="343" t="s">
        <v>139</v>
      </c>
      <c r="B23" s="306">
        <v>1806</v>
      </c>
      <c r="C23" s="327"/>
      <c r="D23" s="328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79">
        <f t="shared" ref="S23:S37" si="8">SUM(E23:R23)</f>
        <v>0</v>
      </c>
      <c r="T23" s="390">
        <f>SUM(S23*54.95)</f>
        <v>0</v>
      </c>
      <c r="U23" s="494">
        <f>SUM(S23*0.018)</f>
        <v>0</v>
      </c>
      <c r="V23" s="246">
        <v>0</v>
      </c>
      <c r="W23" s="246">
        <v>0</v>
      </c>
      <c r="X23" s="246">
        <v>0</v>
      </c>
      <c r="Y23" s="246">
        <v>0</v>
      </c>
      <c r="Z23" s="246">
        <v>0</v>
      </c>
      <c r="AA23" s="246">
        <v>0</v>
      </c>
      <c r="AB23" s="246">
        <v>0</v>
      </c>
      <c r="AC23" s="246">
        <v>0</v>
      </c>
      <c r="AD23" s="246">
        <v>0</v>
      </c>
      <c r="AE23" s="246">
        <v>0</v>
      </c>
      <c r="AF23" s="246">
        <v>0</v>
      </c>
      <c r="AG23" s="246">
        <v>0</v>
      </c>
      <c r="AH23" s="246">
        <v>0</v>
      </c>
      <c r="AI23" s="279">
        <f t="shared" ref="AI23:AI37" si="9">SUM(V23:AH23)</f>
        <v>0</v>
      </c>
      <c r="AJ23" s="390">
        <f>SUM(AI23*54.95)</f>
        <v>0</v>
      </c>
      <c r="AK23" s="494">
        <f>SUM(AI23*0.018)</f>
        <v>0</v>
      </c>
      <c r="AL23" s="246">
        <v>0</v>
      </c>
      <c r="AM23" s="246">
        <v>0</v>
      </c>
      <c r="AN23" s="246">
        <v>0</v>
      </c>
      <c r="AO23" s="246">
        <v>0</v>
      </c>
      <c r="AP23" s="246">
        <v>0</v>
      </c>
      <c r="AQ23" s="246">
        <v>0</v>
      </c>
      <c r="AR23" s="246">
        <v>0</v>
      </c>
      <c r="AS23" s="246">
        <v>0</v>
      </c>
      <c r="AT23" s="246">
        <v>0</v>
      </c>
      <c r="AU23" s="246">
        <v>0</v>
      </c>
      <c r="AV23" s="246">
        <v>0</v>
      </c>
      <c r="AW23" s="246">
        <v>0</v>
      </c>
      <c r="AX23" s="246">
        <v>0</v>
      </c>
      <c r="AY23" s="279">
        <f t="shared" ref="AY23:AY37" si="10">SUM(AL23:AX23)</f>
        <v>0</v>
      </c>
      <c r="AZ23" s="390">
        <f>SUM(AY23*54.95)</f>
        <v>0</v>
      </c>
      <c r="BA23" s="494">
        <f>SUM(AY23*0.018)</f>
        <v>0</v>
      </c>
      <c r="BB23" s="246"/>
      <c r="BC23" s="247"/>
      <c r="BD23" s="247"/>
      <c r="BE23" s="247"/>
      <c r="BF23" s="301"/>
      <c r="BG23" s="247"/>
      <c r="BH23" s="247"/>
      <c r="BI23" s="247"/>
      <c r="BJ23" s="247"/>
      <c r="BK23" s="247"/>
      <c r="BL23" s="247"/>
      <c r="BM23" s="247"/>
      <c r="BN23" s="247"/>
      <c r="BO23" s="279">
        <f t="shared" ref="BO23:BO37" si="11">SUM(BB23:BN23)</f>
        <v>0</v>
      </c>
      <c r="BP23" s="390">
        <f>SUM(BO23*54.95)</f>
        <v>0</v>
      </c>
      <c r="BQ23" s="494">
        <f>SUM(BO23*0.018)</f>
        <v>0</v>
      </c>
    </row>
    <row r="24" spans="1:97" ht="16.05" customHeight="1" x14ac:dyDescent="0.3">
      <c r="A24" s="343" t="s">
        <v>140</v>
      </c>
      <c r="B24" s="306">
        <v>1813</v>
      </c>
      <c r="C24" s="327"/>
      <c r="D24" s="328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79">
        <f t="shared" si="8"/>
        <v>0</v>
      </c>
      <c r="T24" s="390">
        <f>SUM(S24*24.22)</f>
        <v>0</v>
      </c>
      <c r="U24" s="494">
        <f>SUM(S24*0.012)</f>
        <v>0</v>
      </c>
      <c r="V24" s="246">
        <v>0</v>
      </c>
      <c r="W24" s="246">
        <v>0</v>
      </c>
      <c r="X24" s="246">
        <v>0</v>
      </c>
      <c r="Y24" s="246">
        <v>0</v>
      </c>
      <c r="Z24" s="246">
        <v>0</v>
      </c>
      <c r="AA24" s="246">
        <v>0</v>
      </c>
      <c r="AB24" s="246">
        <v>0</v>
      </c>
      <c r="AC24" s="246">
        <v>0</v>
      </c>
      <c r="AD24" s="246">
        <v>0</v>
      </c>
      <c r="AE24" s="246">
        <v>0</v>
      </c>
      <c r="AF24" s="246">
        <v>0</v>
      </c>
      <c r="AG24" s="246">
        <v>0</v>
      </c>
      <c r="AH24" s="246">
        <v>0</v>
      </c>
      <c r="AI24" s="279">
        <f t="shared" si="9"/>
        <v>0</v>
      </c>
      <c r="AJ24" s="390">
        <f>SUM(AI24*24.22)</f>
        <v>0</v>
      </c>
      <c r="AK24" s="494">
        <f>SUM(AI24*0.012)</f>
        <v>0</v>
      </c>
      <c r="AL24" s="246">
        <v>0</v>
      </c>
      <c r="AM24" s="246">
        <v>0</v>
      </c>
      <c r="AN24" s="246">
        <v>0</v>
      </c>
      <c r="AO24" s="246">
        <v>0</v>
      </c>
      <c r="AP24" s="246">
        <v>0</v>
      </c>
      <c r="AQ24" s="246">
        <v>0</v>
      </c>
      <c r="AR24" s="246">
        <v>0</v>
      </c>
      <c r="AS24" s="246">
        <v>0</v>
      </c>
      <c r="AT24" s="246">
        <v>0</v>
      </c>
      <c r="AU24" s="246">
        <v>0</v>
      </c>
      <c r="AV24" s="246">
        <v>0</v>
      </c>
      <c r="AW24" s="246">
        <v>0</v>
      </c>
      <c r="AX24" s="246">
        <v>0</v>
      </c>
      <c r="AY24" s="279">
        <f t="shared" si="10"/>
        <v>0</v>
      </c>
      <c r="AZ24" s="390">
        <f>SUM(AY24*24.22)</f>
        <v>0</v>
      </c>
      <c r="BA24" s="494">
        <f>SUM(AY24*0.012)</f>
        <v>0</v>
      </c>
      <c r="BB24" s="246"/>
      <c r="BC24" s="247"/>
      <c r="BD24" s="247"/>
      <c r="BE24" s="247"/>
      <c r="BF24" s="301"/>
      <c r="BG24" s="247"/>
      <c r="BH24" s="247"/>
      <c r="BI24" s="247"/>
      <c r="BJ24" s="247"/>
      <c r="BK24" s="247"/>
      <c r="BL24" s="247"/>
      <c r="BM24" s="247"/>
      <c r="BN24" s="247"/>
      <c r="BO24" s="279">
        <f t="shared" si="11"/>
        <v>0</v>
      </c>
      <c r="BP24" s="390">
        <f>SUM(BO24*24.22)</f>
        <v>0</v>
      </c>
      <c r="BQ24" s="494">
        <f>SUM(BO24*0.012)</f>
        <v>0</v>
      </c>
    </row>
    <row r="25" spans="1:97" ht="16.05" customHeight="1" x14ac:dyDescent="0.3">
      <c r="A25" s="343" t="s">
        <v>130</v>
      </c>
      <c r="B25" s="306">
        <v>1816</v>
      </c>
      <c r="C25" s="327"/>
      <c r="D25" s="328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79">
        <f t="shared" si="8"/>
        <v>0</v>
      </c>
      <c r="T25" s="390">
        <f>SUM(S25*72.42)</f>
        <v>0</v>
      </c>
      <c r="U25" s="494">
        <f>SUM(S25*0.01265)</f>
        <v>0</v>
      </c>
      <c r="V25" s="246">
        <v>0</v>
      </c>
      <c r="W25" s="246">
        <v>0</v>
      </c>
      <c r="X25" s="246">
        <v>0</v>
      </c>
      <c r="Y25" s="246">
        <v>0</v>
      </c>
      <c r="Z25" s="246">
        <v>0</v>
      </c>
      <c r="AA25" s="246">
        <v>0</v>
      </c>
      <c r="AB25" s="246">
        <v>0</v>
      </c>
      <c r="AC25" s="246">
        <v>0</v>
      </c>
      <c r="AD25" s="246">
        <v>0</v>
      </c>
      <c r="AE25" s="246">
        <v>0</v>
      </c>
      <c r="AF25" s="246">
        <v>0</v>
      </c>
      <c r="AG25" s="246">
        <v>0</v>
      </c>
      <c r="AH25" s="246">
        <v>0</v>
      </c>
      <c r="AI25" s="279">
        <f t="shared" si="9"/>
        <v>0</v>
      </c>
      <c r="AJ25" s="390">
        <f>SUM(AI25*72.42)</f>
        <v>0</v>
      </c>
      <c r="AK25" s="494">
        <f>SUM(AI25*0.01265)</f>
        <v>0</v>
      </c>
      <c r="AL25" s="246">
        <v>0</v>
      </c>
      <c r="AM25" s="246">
        <v>0</v>
      </c>
      <c r="AN25" s="246">
        <v>0</v>
      </c>
      <c r="AO25" s="246">
        <v>0</v>
      </c>
      <c r="AP25" s="246">
        <v>0</v>
      </c>
      <c r="AQ25" s="246">
        <v>0</v>
      </c>
      <c r="AR25" s="246">
        <v>0</v>
      </c>
      <c r="AS25" s="246">
        <v>0</v>
      </c>
      <c r="AT25" s="246">
        <v>0</v>
      </c>
      <c r="AU25" s="246">
        <v>0</v>
      </c>
      <c r="AV25" s="246">
        <v>0</v>
      </c>
      <c r="AW25" s="246">
        <v>0</v>
      </c>
      <c r="AX25" s="246">
        <v>0</v>
      </c>
      <c r="AY25" s="279">
        <f t="shared" si="10"/>
        <v>0</v>
      </c>
      <c r="AZ25" s="390">
        <f>SUM(AY25*72.42)</f>
        <v>0</v>
      </c>
      <c r="BA25" s="494">
        <f>SUM(AY25*0.01265)</f>
        <v>0</v>
      </c>
      <c r="BB25" s="246"/>
      <c r="BC25" s="247"/>
      <c r="BD25" s="247"/>
      <c r="BE25" s="247"/>
      <c r="BF25" s="301"/>
      <c r="BG25" s="247"/>
      <c r="BH25" s="247"/>
      <c r="BI25" s="247"/>
      <c r="BJ25" s="247"/>
      <c r="BK25" s="247"/>
      <c r="BL25" s="247"/>
      <c r="BM25" s="247"/>
      <c r="BN25" s="247"/>
      <c r="BO25" s="279">
        <f t="shared" si="11"/>
        <v>0</v>
      </c>
      <c r="BP25" s="390">
        <f>SUM(BO25*72.42)</f>
        <v>0</v>
      </c>
      <c r="BQ25" s="494">
        <f>SUM(BO25*0.01265)</f>
        <v>0</v>
      </c>
    </row>
    <row r="26" spans="1:97" ht="16.05" customHeight="1" x14ac:dyDescent="0.3">
      <c r="A26" s="343" t="s">
        <v>131</v>
      </c>
      <c r="B26" s="306">
        <v>1824</v>
      </c>
      <c r="C26" s="327"/>
      <c r="D26" s="328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79">
        <f t="shared" si="8"/>
        <v>0</v>
      </c>
      <c r="T26" s="390">
        <f>SUM(S26*30.99)</f>
        <v>0</v>
      </c>
      <c r="U26" s="494">
        <f>SUM(S26*0.0031)</f>
        <v>0</v>
      </c>
      <c r="V26" s="246">
        <v>0</v>
      </c>
      <c r="W26" s="246">
        <v>0</v>
      </c>
      <c r="X26" s="246">
        <v>0</v>
      </c>
      <c r="Y26" s="246">
        <v>0</v>
      </c>
      <c r="Z26" s="246">
        <v>0</v>
      </c>
      <c r="AA26" s="246">
        <v>0</v>
      </c>
      <c r="AB26" s="246">
        <v>0</v>
      </c>
      <c r="AC26" s="246">
        <v>0</v>
      </c>
      <c r="AD26" s="246">
        <v>0</v>
      </c>
      <c r="AE26" s="246">
        <v>0</v>
      </c>
      <c r="AF26" s="246">
        <v>0</v>
      </c>
      <c r="AG26" s="246">
        <v>0</v>
      </c>
      <c r="AH26" s="246">
        <v>0</v>
      </c>
      <c r="AI26" s="279">
        <f t="shared" si="9"/>
        <v>0</v>
      </c>
      <c r="AJ26" s="390">
        <f>SUM(AI26*30.99)</f>
        <v>0</v>
      </c>
      <c r="AK26" s="494">
        <f>SUM(AI26*0.0031)</f>
        <v>0</v>
      </c>
      <c r="AL26" s="246">
        <v>0</v>
      </c>
      <c r="AM26" s="246">
        <v>0</v>
      </c>
      <c r="AN26" s="246">
        <v>0</v>
      </c>
      <c r="AO26" s="246">
        <v>0</v>
      </c>
      <c r="AP26" s="246">
        <v>0</v>
      </c>
      <c r="AQ26" s="246">
        <v>0</v>
      </c>
      <c r="AR26" s="246">
        <v>0</v>
      </c>
      <c r="AS26" s="246">
        <v>0</v>
      </c>
      <c r="AT26" s="246">
        <v>0</v>
      </c>
      <c r="AU26" s="246">
        <v>0</v>
      </c>
      <c r="AV26" s="246">
        <v>0</v>
      </c>
      <c r="AW26" s="246">
        <v>0</v>
      </c>
      <c r="AX26" s="246">
        <v>0</v>
      </c>
      <c r="AY26" s="279">
        <f t="shared" si="10"/>
        <v>0</v>
      </c>
      <c r="AZ26" s="390">
        <f>SUM(AY26*30.99)</f>
        <v>0</v>
      </c>
      <c r="BA26" s="494">
        <f>SUM(AY26*0.0031)</f>
        <v>0</v>
      </c>
      <c r="BB26" s="246"/>
      <c r="BC26" s="247"/>
      <c r="BD26" s="247"/>
      <c r="BE26" s="247"/>
      <c r="BF26" s="301"/>
      <c r="BG26" s="247"/>
      <c r="BH26" s="247"/>
      <c r="BI26" s="247"/>
      <c r="BJ26" s="247"/>
      <c r="BK26" s="247"/>
      <c r="BL26" s="247"/>
      <c r="BM26" s="247"/>
      <c r="BN26" s="247"/>
      <c r="BO26" s="279">
        <f t="shared" si="11"/>
        <v>0</v>
      </c>
      <c r="BP26" s="390">
        <f>SUM(BO26*30.99)</f>
        <v>0</v>
      </c>
      <c r="BQ26" s="494">
        <f>SUM(BO26*0.0031)</f>
        <v>0</v>
      </c>
    </row>
    <row r="27" spans="1:97" ht="16.05" customHeight="1" x14ac:dyDescent="0.3">
      <c r="A27" s="343" t="s">
        <v>132</v>
      </c>
      <c r="B27" s="306">
        <v>1825</v>
      </c>
      <c r="C27" s="327"/>
      <c r="D27" s="328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79">
        <f t="shared" si="8"/>
        <v>0</v>
      </c>
      <c r="T27" s="390">
        <f>SUM(S27*24.55)</f>
        <v>0</v>
      </c>
      <c r="U27" s="494">
        <f>SUM(S27*0.0031)</f>
        <v>0</v>
      </c>
      <c r="V27" s="246">
        <v>0</v>
      </c>
      <c r="W27" s="246">
        <v>0</v>
      </c>
      <c r="X27" s="246">
        <v>0</v>
      </c>
      <c r="Y27" s="246">
        <v>0</v>
      </c>
      <c r="Z27" s="246">
        <v>0</v>
      </c>
      <c r="AA27" s="246">
        <v>0</v>
      </c>
      <c r="AB27" s="246">
        <v>0</v>
      </c>
      <c r="AC27" s="246">
        <v>0</v>
      </c>
      <c r="AD27" s="246">
        <v>0</v>
      </c>
      <c r="AE27" s="246">
        <v>0</v>
      </c>
      <c r="AF27" s="246">
        <v>0</v>
      </c>
      <c r="AG27" s="246">
        <v>0</v>
      </c>
      <c r="AH27" s="246">
        <v>0</v>
      </c>
      <c r="AI27" s="279">
        <f t="shared" si="9"/>
        <v>0</v>
      </c>
      <c r="AJ27" s="390">
        <f>SUM(AI27*24.55)</f>
        <v>0</v>
      </c>
      <c r="AK27" s="494">
        <f>SUM(AI27*0.0031)</f>
        <v>0</v>
      </c>
      <c r="AL27" s="246">
        <v>0</v>
      </c>
      <c r="AM27" s="246">
        <v>0</v>
      </c>
      <c r="AN27" s="246">
        <v>0</v>
      </c>
      <c r="AO27" s="246">
        <v>0</v>
      </c>
      <c r="AP27" s="246">
        <v>0</v>
      </c>
      <c r="AQ27" s="246">
        <v>0</v>
      </c>
      <c r="AR27" s="246">
        <v>0</v>
      </c>
      <c r="AS27" s="246">
        <v>0</v>
      </c>
      <c r="AT27" s="246">
        <v>0</v>
      </c>
      <c r="AU27" s="246">
        <v>0</v>
      </c>
      <c r="AV27" s="246">
        <v>0</v>
      </c>
      <c r="AW27" s="246">
        <v>0</v>
      </c>
      <c r="AX27" s="246">
        <v>0</v>
      </c>
      <c r="AY27" s="279">
        <f t="shared" si="10"/>
        <v>0</v>
      </c>
      <c r="AZ27" s="390">
        <f>SUM(AY27*24.55)</f>
        <v>0</v>
      </c>
      <c r="BA27" s="494">
        <f>SUM(AY27*0.0031)</f>
        <v>0</v>
      </c>
      <c r="BB27" s="246"/>
      <c r="BC27" s="247"/>
      <c r="BD27" s="247"/>
      <c r="BE27" s="247"/>
      <c r="BF27" s="301"/>
      <c r="BG27" s="247"/>
      <c r="BH27" s="247"/>
      <c r="BI27" s="247"/>
      <c r="BJ27" s="247"/>
      <c r="BK27" s="247"/>
      <c r="BL27" s="247"/>
      <c r="BM27" s="247"/>
      <c r="BN27" s="247"/>
      <c r="BO27" s="279">
        <f t="shared" si="11"/>
        <v>0</v>
      </c>
      <c r="BP27" s="390">
        <f>SUM(BO27*24.55)</f>
        <v>0</v>
      </c>
      <c r="BQ27" s="494">
        <f>SUM(BO27*0.0031)</f>
        <v>0</v>
      </c>
    </row>
    <row r="28" spans="1:97" ht="16.05" customHeight="1" x14ac:dyDescent="0.3">
      <c r="A28" s="343" t="s">
        <v>128</v>
      </c>
      <c r="B28" s="306">
        <v>1909</v>
      </c>
      <c r="C28" s="327"/>
      <c r="D28" s="328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79">
        <f t="shared" si="8"/>
        <v>0</v>
      </c>
      <c r="T28" s="390">
        <f>SUM(S28*28.27)</f>
        <v>0</v>
      </c>
      <c r="U28" s="494">
        <f>SUM(S28*0.003)</f>
        <v>0</v>
      </c>
      <c r="V28" s="246">
        <v>0</v>
      </c>
      <c r="W28" s="246">
        <v>0</v>
      </c>
      <c r="X28" s="246">
        <v>0</v>
      </c>
      <c r="Y28" s="246">
        <v>0</v>
      </c>
      <c r="Z28" s="246">
        <v>0</v>
      </c>
      <c r="AA28" s="246">
        <v>0</v>
      </c>
      <c r="AB28" s="246">
        <v>0</v>
      </c>
      <c r="AC28" s="246">
        <v>0</v>
      </c>
      <c r="AD28" s="246">
        <v>0</v>
      </c>
      <c r="AE28" s="246">
        <v>0</v>
      </c>
      <c r="AF28" s="246">
        <v>0</v>
      </c>
      <c r="AG28" s="246">
        <v>0</v>
      </c>
      <c r="AH28" s="246">
        <v>0</v>
      </c>
      <c r="AI28" s="279">
        <f t="shared" si="9"/>
        <v>0</v>
      </c>
      <c r="AJ28" s="390">
        <f>SUM(AI28*28.27)</f>
        <v>0</v>
      </c>
      <c r="AK28" s="494">
        <f>SUM(AI28*0.003)</f>
        <v>0</v>
      </c>
      <c r="AL28" s="246">
        <v>0</v>
      </c>
      <c r="AM28" s="246">
        <v>0</v>
      </c>
      <c r="AN28" s="246">
        <v>0</v>
      </c>
      <c r="AO28" s="246">
        <v>0</v>
      </c>
      <c r="AP28" s="246">
        <v>0</v>
      </c>
      <c r="AQ28" s="246">
        <v>0</v>
      </c>
      <c r="AR28" s="246">
        <v>0</v>
      </c>
      <c r="AS28" s="246">
        <v>0</v>
      </c>
      <c r="AT28" s="246">
        <v>0</v>
      </c>
      <c r="AU28" s="246">
        <v>0</v>
      </c>
      <c r="AV28" s="246">
        <v>0</v>
      </c>
      <c r="AW28" s="246">
        <v>0</v>
      </c>
      <c r="AX28" s="246">
        <v>0</v>
      </c>
      <c r="AY28" s="279">
        <f t="shared" si="10"/>
        <v>0</v>
      </c>
      <c r="AZ28" s="390">
        <f>SUM(AY28*28.27)</f>
        <v>0</v>
      </c>
      <c r="BA28" s="494">
        <f>SUM(AY28*0.003)</f>
        <v>0</v>
      </c>
      <c r="BB28" s="246"/>
      <c r="BC28" s="247"/>
      <c r="BD28" s="247"/>
      <c r="BE28" s="247"/>
      <c r="BF28" s="301"/>
      <c r="BG28" s="247"/>
      <c r="BH28" s="247"/>
      <c r="BI28" s="247"/>
      <c r="BJ28" s="247"/>
      <c r="BK28" s="247"/>
      <c r="BL28" s="247"/>
      <c r="BM28" s="247"/>
      <c r="BN28" s="247"/>
      <c r="BO28" s="279">
        <f t="shared" si="11"/>
        <v>0</v>
      </c>
      <c r="BP28" s="390">
        <f>SUM(BO28*28.27)</f>
        <v>0</v>
      </c>
      <c r="BQ28" s="494">
        <f>SUM(BO28*0.003)</f>
        <v>0</v>
      </c>
    </row>
    <row r="29" spans="1:97" ht="16.05" customHeight="1" x14ac:dyDescent="0.3">
      <c r="A29" s="343" t="s">
        <v>129</v>
      </c>
      <c r="B29" s="306">
        <v>1910</v>
      </c>
      <c r="C29" s="327"/>
      <c r="D29" s="328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79">
        <f t="shared" si="8"/>
        <v>0</v>
      </c>
      <c r="T29" s="390">
        <f>SUM(S29*37.06)</f>
        <v>0</v>
      </c>
      <c r="U29" s="494">
        <f>SUM(S29*0.0046)</f>
        <v>0</v>
      </c>
      <c r="V29" s="246">
        <v>0</v>
      </c>
      <c r="W29" s="246">
        <v>0</v>
      </c>
      <c r="X29" s="246">
        <v>0</v>
      </c>
      <c r="Y29" s="246">
        <v>0</v>
      </c>
      <c r="Z29" s="246">
        <v>0</v>
      </c>
      <c r="AA29" s="246">
        <v>0</v>
      </c>
      <c r="AB29" s="246">
        <v>0</v>
      </c>
      <c r="AC29" s="246">
        <v>0</v>
      </c>
      <c r="AD29" s="246">
        <v>0</v>
      </c>
      <c r="AE29" s="246">
        <v>0</v>
      </c>
      <c r="AF29" s="246">
        <v>0</v>
      </c>
      <c r="AG29" s="246">
        <v>0</v>
      </c>
      <c r="AH29" s="246">
        <v>0</v>
      </c>
      <c r="AI29" s="279">
        <f t="shared" si="9"/>
        <v>0</v>
      </c>
      <c r="AJ29" s="390">
        <f>SUM(AI29*37.06)</f>
        <v>0</v>
      </c>
      <c r="AK29" s="494">
        <f>SUM(AI29*0.0046)</f>
        <v>0</v>
      </c>
      <c r="AL29" s="246">
        <v>0</v>
      </c>
      <c r="AM29" s="246">
        <v>0</v>
      </c>
      <c r="AN29" s="246">
        <v>0</v>
      </c>
      <c r="AO29" s="246">
        <v>0</v>
      </c>
      <c r="AP29" s="246">
        <v>0</v>
      </c>
      <c r="AQ29" s="246">
        <v>0</v>
      </c>
      <c r="AR29" s="246">
        <v>0</v>
      </c>
      <c r="AS29" s="246">
        <v>0</v>
      </c>
      <c r="AT29" s="246">
        <v>0</v>
      </c>
      <c r="AU29" s="246">
        <v>0</v>
      </c>
      <c r="AV29" s="246">
        <v>0</v>
      </c>
      <c r="AW29" s="246">
        <v>0</v>
      </c>
      <c r="AX29" s="246">
        <v>0</v>
      </c>
      <c r="AY29" s="279">
        <f t="shared" si="10"/>
        <v>0</v>
      </c>
      <c r="AZ29" s="390">
        <f>SUM(AY29*37.06)</f>
        <v>0</v>
      </c>
      <c r="BA29" s="494">
        <f>SUM(AY29*0.0046)</f>
        <v>0</v>
      </c>
      <c r="BB29" s="246"/>
      <c r="BC29" s="247"/>
      <c r="BD29" s="247"/>
      <c r="BE29" s="247"/>
      <c r="BF29" s="301"/>
      <c r="BG29" s="247"/>
      <c r="BH29" s="247"/>
      <c r="BI29" s="247"/>
      <c r="BJ29" s="247"/>
      <c r="BK29" s="247"/>
      <c r="BL29" s="247"/>
      <c r="BM29" s="247"/>
      <c r="BN29" s="247"/>
      <c r="BO29" s="279">
        <f t="shared" si="11"/>
        <v>0</v>
      </c>
      <c r="BP29" s="390">
        <f>SUM(BO29*37.06)</f>
        <v>0</v>
      </c>
      <c r="BQ29" s="494">
        <f>SUM(BO29*0.0046)</f>
        <v>0</v>
      </c>
    </row>
    <row r="30" spans="1:97" ht="16.05" customHeight="1" x14ac:dyDescent="0.3">
      <c r="A30" s="343" t="s">
        <v>45</v>
      </c>
      <c r="B30" s="306">
        <v>1923</v>
      </c>
      <c r="C30" s="327"/>
      <c r="D30" s="328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79">
        <f t="shared" si="8"/>
        <v>0</v>
      </c>
      <c r="T30" s="390">
        <f>SUM(S30*8.23)</f>
        <v>0</v>
      </c>
      <c r="U30" s="494">
        <f>SUM(S30*0.0034)</f>
        <v>0</v>
      </c>
      <c r="V30" s="246">
        <v>0</v>
      </c>
      <c r="W30" s="246">
        <v>0</v>
      </c>
      <c r="X30" s="246">
        <v>0</v>
      </c>
      <c r="Y30" s="246">
        <v>0</v>
      </c>
      <c r="Z30" s="246">
        <v>0</v>
      </c>
      <c r="AA30" s="246">
        <v>0</v>
      </c>
      <c r="AB30" s="246">
        <v>0</v>
      </c>
      <c r="AC30" s="246">
        <v>0</v>
      </c>
      <c r="AD30" s="246">
        <v>0</v>
      </c>
      <c r="AE30" s="246">
        <v>0</v>
      </c>
      <c r="AF30" s="246">
        <v>0</v>
      </c>
      <c r="AG30" s="246">
        <v>0</v>
      </c>
      <c r="AH30" s="246">
        <v>0</v>
      </c>
      <c r="AI30" s="279">
        <f t="shared" si="9"/>
        <v>0</v>
      </c>
      <c r="AJ30" s="390">
        <f>SUM(AI30*8.23)</f>
        <v>0</v>
      </c>
      <c r="AK30" s="494">
        <f>SUM(AI30*0.0034)</f>
        <v>0</v>
      </c>
      <c r="AL30" s="246">
        <v>0</v>
      </c>
      <c r="AM30" s="246">
        <v>0</v>
      </c>
      <c r="AN30" s="246">
        <v>0</v>
      </c>
      <c r="AO30" s="246">
        <v>0</v>
      </c>
      <c r="AP30" s="246">
        <v>0</v>
      </c>
      <c r="AQ30" s="246">
        <v>0</v>
      </c>
      <c r="AR30" s="246">
        <v>0</v>
      </c>
      <c r="AS30" s="246">
        <v>0</v>
      </c>
      <c r="AT30" s="246">
        <v>0</v>
      </c>
      <c r="AU30" s="246">
        <v>0</v>
      </c>
      <c r="AV30" s="246">
        <v>0</v>
      </c>
      <c r="AW30" s="246">
        <v>0</v>
      </c>
      <c r="AX30" s="246">
        <v>0</v>
      </c>
      <c r="AY30" s="279">
        <f t="shared" si="10"/>
        <v>0</v>
      </c>
      <c r="AZ30" s="390">
        <f>SUM(AY30*8.23)</f>
        <v>0</v>
      </c>
      <c r="BA30" s="494">
        <f>SUM(AY30*0.0034)</f>
        <v>0</v>
      </c>
      <c r="BB30" s="246"/>
      <c r="BC30" s="247"/>
      <c r="BD30" s="247"/>
      <c r="BE30" s="247"/>
      <c r="BF30" s="301"/>
      <c r="BG30" s="247"/>
      <c r="BH30" s="247"/>
      <c r="BI30" s="247"/>
      <c r="BJ30" s="247"/>
      <c r="BK30" s="247"/>
      <c r="BL30" s="247"/>
      <c r="BM30" s="247"/>
      <c r="BN30" s="247"/>
      <c r="BO30" s="279">
        <f t="shared" si="11"/>
        <v>0</v>
      </c>
      <c r="BP30" s="390">
        <f>SUM(BO30*8.23)</f>
        <v>0</v>
      </c>
      <c r="BQ30" s="494">
        <f>SUM(BO30*0.0034)</f>
        <v>0</v>
      </c>
    </row>
    <row r="31" spans="1:97" ht="16.05" customHeight="1" x14ac:dyDescent="0.3">
      <c r="A31" s="343" t="s">
        <v>138</v>
      </c>
      <c r="B31" s="306">
        <v>2136</v>
      </c>
      <c r="C31" s="327"/>
      <c r="D31" s="328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79">
        <f t="shared" si="8"/>
        <v>0</v>
      </c>
      <c r="T31" s="390">
        <f>SUM(S31*55.37)</f>
        <v>0</v>
      </c>
      <c r="U31" s="494">
        <f>SUM(S31*0.01)</f>
        <v>0</v>
      </c>
      <c r="V31" s="246">
        <v>0</v>
      </c>
      <c r="W31" s="246">
        <v>0</v>
      </c>
      <c r="X31" s="246">
        <v>0</v>
      </c>
      <c r="Y31" s="246">
        <v>0</v>
      </c>
      <c r="Z31" s="246">
        <v>0</v>
      </c>
      <c r="AA31" s="246">
        <v>0</v>
      </c>
      <c r="AB31" s="246">
        <v>0</v>
      </c>
      <c r="AC31" s="246">
        <v>0</v>
      </c>
      <c r="AD31" s="246">
        <v>0</v>
      </c>
      <c r="AE31" s="246">
        <v>0</v>
      </c>
      <c r="AF31" s="246">
        <v>0</v>
      </c>
      <c r="AG31" s="246">
        <v>0</v>
      </c>
      <c r="AH31" s="246">
        <v>0</v>
      </c>
      <c r="AI31" s="279">
        <f t="shared" si="9"/>
        <v>0</v>
      </c>
      <c r="AJ31" s="390">
        <f>SUM(AI31*55.37)</f>
        <v>0</v>
      </c>
      <c r="AK31" s="494">
        <f>SUM(AI31*0.01)</f>
        <v>0</v>
      </c>
      <c r="AL31" s="246">
        <v>0</v>
      </c>
      <c r="AM31" s="246">
        <v>0</v>
      </c>
      <c r="AN31" s="246">
        <v>0</v>
      </c>
      <c r="AO31" s="246">
        <v>0</v>
      </c>
      <c r="AP31" s="246">
        <v>0</v>
      </c>
      <c r="AQ31" s="246">
        <v>0</v>
      </c>
      <c r="AR31" s="246">
        <v>0</v>
      </c>
      <c r="AS31" s="246">
        <v>0</v>
      </c>
      <c r="AT31" s="246">
        <v>0</v>
      </c>
      <c r="AU31" s="246">
        <v>0</v>
      </c>
      <c r="AV31" s="246">
        <v>0</v>
      </c>
      <c r="AW31" s="246">
        <v>0</v>
      </c>
      <c r="AX31" s="246">
        <v>0</v>
      </c>
      <c r="AY31" s="279">
        <f t="shared" si="10"/>
        <v>0</v>
      </c>
      <c r="AZ31" s="390">
        <f>SUM(AY31*55.37)</f>
        <v>0</v>
      </c>
      <c r="BA31" s="494">
        <f>SUM(AY31*0.01)</f>
        <v>0</v>
      </c>
      <c r="BB31" s="246"/>
      <c r="BC31" s="247"/>
      <c r="BD31" s="247"/>
      <c r="BE31" s="247"/>
      <c r="BF31" s="301"/>
      <c r="BG31" s="247"/>
      <c r="BH31" s="247"/>
      <c r="BI31" s="247"/>
      <c r="BJ31" s="247"/>
      <c r="BK31" s="247"/>
      <c r="BL31" s="247"/>
      <c r="BM31" s="247"/>
      <c r="BN31" s="247"/>
      <c r="BO31" s="279">
        <f t="shared" si="11"/>
        <v>0</v>
      </c>
      <c r="BP31" s="390">
        <f>SUM(BO31*55.37)</f>
        <v>0</v>
      </c>
      <c r="BQ31" s="494">
        <f>SUM(BO31*0.01)</f>
        <v>0</v>
      </c>
    </row>
    <row r="32" spans="1:97" ht="16.05" customHeight="1" x14ac:dyDescent="0.3">
      <c r="A32" s="343" t="s">
        <v>137</v>
      </c>
      <c r="B32" s="306">
        <v>2137</v>
      </c>
      <c r="C32" s="327"/>
      <c r="D32" s="328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79">
        <f t="shared" si="8"/>
        <v>0</v>
      </c>
      <c r="T32" s="390">
        <f>SUM(S32*95.86)</f>
        <v>0</v>
      </c>
      <c r="U32" s="494">
        <f>SUM(S32*0.013)</f>
        <v>0</v>
      </c>
      <c r="V32" s="246">
        <v>0</v>
      </c>
      <c r="W32" s="246">
        <v>0</v>
      </c>
      <c r="X32" s="246">
        <v>0</v>
      </c>
      <c r="Y32" s="246">
        <v>0</v>
      </c>
      <c r="Z32" s="246">
        <v>0</v>
      </c>
      <c r="AA32" s="246">
        <v>0</v>
      </c>
      <c r="AB32" s="246">
        <v>0</v>
      </c>
      <c r="AC32" s="246">
        <v>0</v>
      </c>
      <c r="AD32" s="246">
        <v>0</v>
      </c>
      <c r="AE32" s="246">
        <v>0</v>
      </c>
      <c r="AF32" s="246">
        <v>0</v>
      </c>
      <c r="AG32" s="246">
        <v>0</v>
      </c>
      <c r="AH32" s="246">
        <v>0</v>
      </c>
      <c r="AI32" s="279">
        <f t="shared" si="9"/>
        <v>0</v>
      </c>
      <c r="AJ32" s="390">
        <f>SUM(AI32*95.86)</f>
        <v>0</v>
      </c>
      <c r="AK32" s="494">
        <f>SUM(AI32*0.013)</f>
        <v>0</v>
      </c>
      <c r="AL32" s="246">
        <v>0</v>
      </c>
      <c r="AM32" s="246">
        <v>0</v>
      </c>
      <c r="AN32" s="246">
        <v>0</v>
      </c>
      <c r="AO32" s="246">
        <v>0</v>
      </c>
      <c r="AP32" s="246">
        <v>0</v>
      </c>
      <c r="AQ32" s="246">
        <v>0</v>
      </c>
      <c r="AR32" s="246">
        <v>0</v>
      </c>
      <c r="AS32" s="246">
        <v>0</v>
      </c>
      <c r="AT32" s="246">
        <v>0</v>
      </c>
      <c r="AU32" s="246">
        <v>0</v>
      </c>
      <c r="AV32" s="246">
        <v>0</v>
      </c>
      <c r="AW32" s="246">
        <v>0</v>
      </c>
      <c r="AX32" s="246">
        <v>0</v>
      </c>
      <c r="AY32" s="279">
        <f t="shared" si="10"/>
        <v>0</v>
      </c>
      <c r="AZ32" s="390">
        <f>SUM(AY32*95.86)</f>
        <v>0</v>
      </c>
      <c r="BA32" s="494">
        <f>SUM(AY32*0.013)</f>
        <v>0</v>
      </c>
      <c r="BB32" s="246"/>
      <c r="BC32" s="247"/>
      <c r="BD32" s="247"/>
      <c r="BE32" s="247"/>
      <c r="BF32" s="301"/>
      <c r="BG32" s="247"/>
      <c r="BH32" s="247"/>
      <c r="BI32" s="247"/>
      <c r="BJ32" s="247"/>
      <c r="BK32" s="247"/>
      <c r="BL32" s="247"/>
      <c r="BM32" s="247"/>
      <c r="BN32" s="247"/>
      <c r="BO32" s="279">
        <f t="shared" si="11"/>
        <v>0</v>
      </c>
      <c r="BP32" s="390">
        <f>SUM(BO32*95.86)</f>
        <v>0</v>
      </c>
      <c r="BQ32" s="494">
        <f>SUM(BO32*0.013)</f>
        <v>0</v>
      </c>
    </row>
    <row r="33" spans="1:69" ht="16.05" customHeight="1" x14ac:dyDescent="0.3">
      <c r="A33" s="343" t="s">
        <v>133</v>
      </c>
      <c r="B33" s="306">
        <v>2139</v>
      </c>
      <c r="C33" s="327"/>
      <c r="D33" s="328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79">
        <f t="shared" si="8"/>
        <v>0</v>
      </c>
      <c r="T33" s="390">
        <f>SUM(S33*4.99)</f>
        <v>0</v>
      </c>
      <c r="U33" s="494">
        <f>SUM(S33*0.00235)</f>
        <v>0</v>
      </c>
      <c r="V33" s="246">
        <v>0</v>
      </c>
      <c r="W33" s="246">
        <v>0</v>
      </c>
      <c r="X33" s="246">
        <v>0</v>
      </c>
      <c r="Y33" s="246">
        <v>0</v>
      </c>
      <c r="Z33" s="246">
        <v>0</v>
      </c>
      <c r="AA33" s="246">
        <v>0</v>
      </c>
      <c r="AB33" s="246">
        <v>0</v>
      </c>
      <c r="AC33" s="246">
        <v>0</v>
      </c>
      <c r="AD33" s="246">
        <v>0</v>
      </c>
      <c r="AE33" s="246">
        <v>0</v>
      </c>
      <c r="AF33" s="246">
        <v>0</v>
      </c>
      <c r="AG33" s="246">
        <v>0</v>
      </c>
      <c r="AH33" s="246">
        <v>0</v>
      </c>
      <c r="AI33" s="279">
        <f t="shared" si="9"/>
        <v>0</v>
      </c>
      <c r="AJ33" s="390">
        <f>SUM(AI33*4.99)</f>
        <v>0</v>
      </c>
      <c r="AK33" s="494">
        <f>SUM(AI33*0.00235)</f>
        <v>0</v>
      </c>
      <c r="AL33" s="246">
        <v>0</v>
      </c>
      <c r="AM33" s="246">
        <v>0</v>
      </c>
      <c r="AN33" s="246">
        <v>0</v>
      </c>
      <c r="AO33" s="246">
        <v>0</v>
      </c>
      <c r="AP33" s="246">
        <v>0</v>
      </c>
      <c r="AQ33" s="246">
        <v>0</v>
      </c>
      <c r="AR33" s="246">
        <v>0</v>
      </c>
      <c r="AS33" s="246">
        <v>0</v>
      </c>
      <c r="AT33" s="246">
        <v>0</v>
      </c>
      <c r="AU33" s="246">
        <v>0</v>
      </c>
      <c r="AV33" s="246">
        <v>0</v>
      </c>
      <c r="AW33" s="246">
        <v>0</v>
      </c>
      <c r="AX33" s="246">
        <v>0</v>
      </c>
      <c r="AY33" s="279">
        <f t="shared" si="10"/>
        <v>0</v>
      </c>
      <c r="AZ33" s="390">
        <f>SUM(AY33*4.99)</f>
        <v>0</v>
      </c>
      <c r="BA33" s="494">
        <f>SUM(AY33*0.00235)</f>
        <v>0</v>
      </c>
      <c r="BB33" s="246"/>
      <c r="BC33" s="247"/>
      <c r="BD33" s="247"/>
      <c r="BE33" s="247"/>
      <c r="BF33" s="301"/>
      <c r="BG33" s="247"/>
      <c r="BH33" s="247"/>
      <c r="BI33" s="247"/>
      <c r="BJ33" s="247"/>
      <c r="BK33" s="247"/>
      <c r="BL33" s="247"/>
      <c r="BM33" s="247"/>
      <c r="BN33" s="247"/>
      <c r="BO33" s="279">
        <f t="shared" si="11"/>
        <v>0</v>
      </c>
      <c r="BP33" s="390">
        <f>SUM(BO33*4.99)</f>
        <v>0</v>
      </c>
      <c r="BQ33" s="494">
        <f>SUM(BO33*0.00235)</f>
        <v>0</v>
      </c>
    </row>
    <row r="34" spans="1:69" ht="16.05" customHeight="1" x14ac:dyDescent="0.3">
      <c r="A34" s="343" t="s">
        <v>135</v>
      </c>
      <c r="B34" s="306">
        <v>2140</v>
      </c>
      <c r="C34" s="327"/>
      <c r="D34" s="328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79">
        <f t="shared" si="8"/>
        <v>0</v>
      </c>
      <c r="T34" s="390">
        <f>SUM(S34*15.81)</f>
        <v>0</v>
      </c>
      <c r="U34" s="494">
        <f>SUM(S34*0.003)</f>
        <v>0</v>
      </c>
      <c r="V34" s="246">
        <v>0</v>
      </c>
      <c r="W34" s="246">
        <v>0</v>
      </c>
      <c r="X34" s="246">
        <v>0</v>
      </c>
      <c r="Y34" s="246">
        <v>0</v>
      </c>
      <c r="Z34" s="246">
        <v>0</v>
      </c>
      <c r="AA34" s="246">
        <v>0</v>
      </c>
      <c r="AB34" s="246">
        <v>0</v>
      </c>
      <c r="AC34" s="246">
        <v>0</v>
      </c>
      <c r="AD34" s="246">
        <v>0</v>
      </c>
      <c r="AE34" s="246">
        <v>0</v>
      </c>
      <c r="AF34" s="246">
        <v>0</v>
      </c>
      <c r="AG34" s="246">
        <v>0</v>
      </c>
      <c r="AH34" s="246">
        <v>0</v>
      </c>
      <c r="AI34" s="279">
        <f t="shared" si="9"/>
        <v>0</v>
      </c>
      <c r="AJ34" s="390">
        <f>SUM(AI34*15.81)</f>
        <v>0</v>
      </c>
      <c r="AK34" s="494">
        <f>SUM(AI34*0.003)</f>
        <v>0</v>
      </c>
      <c r="AL34" s="246">
        <v>0</v>
      </c>
      <c r="AM34" s="246">
        <v>0</v>
      </c>
      <c r="AN34" s="246">
        <v>0</v>
      </c>
      <c r="AO34" s="246">
        <v>0</v>
      </c>
      <c r="AP34" s="246">
        <v>0</v>
      </c>
      <c r="AQ34" s="246">
        <v>0</v>
      </c>
      <c r="AR34" s="246">
        <v>0</v>
      </c>
      <c r="AS34" s="246">
        <v>0</v>
      </c>
      <c r="AT34" s="246">
        <v>0</v>
      </c>
      <c r="AU34" s="246">
        <v>0</v>
      </c>
      <c r="AV34" s="246">
        <v>0</v>
      </c>
      <c r="AW34" s="246">
        <v>0</v>
      </c>
      <c r="AX34" s="246">
        <v>0</v>
      </c>
      <c r="AY34" s="279">
        <f t="shared" si="10"/>
        <v>0</v>
      </c>
      <c r="AZ34" s="390">
        <f>SUM(AY34*15.81)</f>
        <v>0</v>
      </c>
      <c r="BA34" s="494">
        <f>SUM(AY34*0.003)</f>
        <v>0</v>
      </c>
      <c r="BB34" s="246"/>
      <c r="BC34" s="247"/>
      <c r="BD34" s="247"/>
      <c r="BE34" s="247"/>
      <c r="BF34" s="301"/>
      <c r="BG34" s="247"/>
      <c r="BH34" s="247"/>
      <c r="BI34" s="247"/>
      <c r="BJ34" s="247"/>
      <c r="BK34" s="247"/>
      <c r="BL34" s="247"/>
      <c r="BM34" s="247"/>
      <c r="BN34" s="247"/>
      <c r="BO34" s="279">
        <f t="shared" si="11"/>
        <v>0</v>
      </c>
      <c r="BP34" s="390">
        <f>SUM(BO34*15.81)</f>
        <v>0</v>
      </c>
      <c r="BQ34" s="494">
        <f>SUM(BO34*0.003)</f>
        <v>0</v>
      </c>
    </row>
    <row r="35" spans="1:69" ht="16.05" customHeight="1" x14ac:dyDescent="0.3">
      <c r="A35" s="343" t="s">
        <v>134</v>
      </c>
      <c r="B35" s="306">
        <v>2142</v>
      </c>
      <c r="C35" s="327"/>
      <c r="D35" s="328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79">
        <f t="shared" si="8"/>
        <v>0</v>
      </c>
      <c r="T35" s="390">
        <f>SUM(S35*3.64)</f>
        <v>0</v>
      </c>
      <c r="U35" s="494">
        <f>SUM(S35*0.00115)</f>
        <v>0</v>
      </c>
      <c r="V35" s="246">
        <v>0</v>
      </c>
      <c r="W35" s="246">
        <v>0</v>
      </c>
      <c r="X35" s="246">
        <v>0</v>
      </c>
      <c r="Y35" s="246">
        <v>0</v>
      </c>
      <c r="Z35" s="246">
        <v>0</v>
      </c>
      <c r="AA35" s="246">
        <v>0</v>
      </c>
      <c r="AB35" s="246">
        <v>0</v>
      </c>
      <c r="AC35" s="246">
        <v>0</v>
      </c>
      <c r="AD35" s="246">
        <v>0</v>
      </c>
      <c r="AE35" s="246">
        <v>0</v>
      </c>
      <c r="AF35" s="246">
        <v>0</v>
      </c>
      <c r="AG35" s="246">
        <v>0</v>
      </c>
      <c r="AH35" s="246">
        <v>0</v>
      </c>
      <c r="AI35" s="279">
        <f t="shared" si="9"/>
        <v>0</v>
      </c>
      <c r="AJ35" s="390">
        <f>SUM(AI35*3.64)</f>
        <v>0</v>
      </c>
      <c r="AK35" s="494">
        <f>SUM(AI35*0.00115)</f>
        <v>0</v>
      </c>
      <c r="AL35" s="246">
        <v>0</v>
      </c>
      <c r="AM35" s="246">
        <v>0</v>
      </c>
      <c r="AN35" s="246">
        <v>0</v>
      </c>
      <c r="AO35" s="246">
        <v>0</v>
      </c>
      <c r="AP35" s="246">
        <v>0</v>
      </c>
      <c r="AQ35" s="246">
        <v>0</v>
      </c>
      <c r="AR35" s="246">
        <v>0</v>
      </c>
      <c r="AS35" s="246">
        <v>0</v>
      </c>
      <c r="AT35" s="246">
        <v>0</v>
      </c>
      <c r="AU35" s="246">
        <v>0</v>
      </c>
      <c r="AV35" s="246">
        <v>0</v>
      </c>
      <c r="AW35" s="246">
        <v>0</v>
      </c>
      <c r="AX35" s="246">
        <v>0</v>
      </c>
      <c r="AY35" s="279">
        <f t="shared" si="10"/>
        <v>0</v>
      </c>
      <c r="AZ35" s="390">
        <f>SUM(AY35*3.64)</f>
        <v>0</v>
      </c>
      <c r="BA35" s="494">
        <f>SUM(AY35*0.00115)</f>
        <v>0</v>
      </c>
      <c r="BB35" s="246"/>
      <c r="BC35" s="247"/>
      <c r="BD35" s="247"/>
      <c r="BE35" s="247"/>
      <c r="BF35" s="301"/>
      <c r="BG35" s="247"/>
      <c r="BH35" s="247"/>
      <c r="BI35" s="247"/>
      <c r="BJ35" s="247"/>
      <c r="BK35" s="247"/>
      <c r="BL35" s="247"/>
      <c r="BM35" s="247"/>
      <c r="BN35" s="247"/>
      <c r="BO35" s="279">
        <f t="shared" si="11"/>
        <v>0</v>
      </c>
      <c r="BP35" s="390">
        <f>SUM(BO35*3.64)</f>
        <v>0</v>
      </c>
      <c r="BQ35" s="494">
        <f>SUM(BO35*0.00115)</f>
        <v>0</v>
      </c>
    </row>
    <row r="36" spans="1:69" ht="16.05" customHeight="1" x14ac:dyDescent="0.3">
      <c r="A36" s="343" t="s">
        <v>136</v>
      </c>
      <c r="B36" s="306">
        <v>2143</v>
      </c>
      <c r="C36" s="327"/>
      <c r="D36" s="328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79">
        <f t="shared" si="8"/>
        <v>0</v>
      </c>
      <c r="T36" s="390">
        <f>SUM(S36*9.72)</f>
        <v>0</v>
      </c>
      <c r="U36" s="494">
        <f>SUM(S36*0.0018)</f>
        <v>0</v>
      </c>
      <c r="V36" s="246">
        <v>0</v>
      </c>
      <c r="W36" s="246">
        <v>0</v>
      </c>
      <c r="X36" s="246">
        <v>0</v>
      </c>
      <c r="Y36" s="246">
        <v>0</v>
      </c>
      <c r="Z36" s="246">
        <v>0</v>
      </c>
      <c r="AA36" s="246">
        <v>0</v>
      </c>
      <c r="AB36" s="246">
        <v>0</v>
      </c>
      <c r="AC36" s="246">
        <v>0</v>
      </c>
      <c r="AD36" s="246">
        <v>0</v>
      </c>
      <c r="AE36" s="246">
        <v>0</v>
      </c>
      <c r="AF36" s="246">
        <v>0</v>
      </c>
      <c r="AG36" s="246">
        <v>0</v>
      </c>
      <c r="AH36" s="246">
        <v>0</v>
      </c>
      <c r="AI36" s="279">
        <f t="shared" si="9"/>
        <v>0</v>
      </c>
      <c r="AJ36" s="390">
        <f>SUM(AI36*9.72)</f>
        <v>0</v>
      </c>
      <c r="AK36" s="494">
        <f>SUM(AI36*0.0018)</f>
        <v>0</v>
      </c>
      <c r="AL36" s="246">
        <v>0</v>
      </c>
      <c r="AM36" s="246">
        <v>0</v>
      </c>
      <c r="AN36" s="246">
        <v>0</v>
      </c>
      <c r="AO36" s="246">
        <v>0</v>
      </c>
      <c r="AP36" s="246">
        <v>0</v>
      </c>
      <c r="AQ36" s="246">
        <v>0</v>
      </c>
      <c r="AR36" s="246">
        <v>0</v>
      </c>
      <c r="AS36" s="246">
        <v>0</v>
      </c>
      <c r="AT36" s="246">
        <v>0</v>
      </c>
      <c r="AU36" s="246">
        <v>0</v>
      </c>
      <c r="AV36" s="246">
        <v>0</v>
      </c>
      <c r="AW36" s="246">
        <v>0</v>
      </c>
      <c r="AX36" s="246">
        <v>0</v>
      </c>
      <c r="AY36" s="279">
        <f t="shared" si="10"/>
        <v>0</v>
      </c>
      <c r="AZ36" s="390">
        <f>SUM(AY36*9.72)</f>
        <v>0</v>
      </c>
      <c r="BA36" s="494">
        <f>SUM(AY36*0.0018)</f>
        <v>0</v>
      </c>
      <c r="BB36" s="246"/>
      <c r="BC36" s="247"/>
      <c r="BD36" s="247"/>
      <c r="BE36" s="247"/>
      <c r="BF36" s="301"/>
      <c r="BG36" s="247"/>
      <c r="BH36" s="247"/>
      <c r="BI36" s="247"/>
      <c r="BJ36" s="247"/>
      <c r="BK36" s="247"/>
      <c r="BL36" s="247"/>
      <c r="BM36" s="247"/>
      <c r="BN36" s="247"/>
      <c r="BO36" s="279">
        <f t="shared" si="11"/>
        <v>0</v>
      </c>
      <c r="BP36" s="390">
        <f>SUM(BO36*9.72)</f>
        <v>0</v>
      </c>
      <c r="BQ36" s="494">
        <f>SUM(BO36*0.0018)</f>
        <v>0</v>
      </c>
    </row>
    <row r="37" spans="1:69" ht="16.05" customHeight="1" thickBot="1" x14ac:dyDescent="0.35">
      <c r="A37" s="344" t="s">
        <v>141</v>
      </c>
      <c r="B37" s="311" t="s">
        <v>46</v>
      </c>
      <c r="C37" s="332"/>
      <c r="D37" s="333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79">
        <f t="shared" si="8"/>
        <v>0</v>
      </c>
      <c r="T37" s="390">
        <f>SUM(S37*28.88)</f>
        <v>0</v>
      </c>
      <c r="U37" s="494">
        <f>SUM(S37*0.023)</f>
        <v>0</v>
      </c>
      <c r="V37" s="248">
        <v>0</v>
      </c>
      <c r="W37" s="248">
        <v>0</v>
      </c>
      <c r="X37" s="248">
        <v>0</v>
      </c>
      <c r="Y37" s="248">
        <v>0</v>
      </c>
      <c r="Z37" s="248">
        <v>0</v>
      </c>
      <c r="AA37" s="248">
        <v>0</v>
      </c>
      <c r="AB37" s="248">
        <v>0</v>
      </c>
      <c r="AC37" s="248">
        <v>0</v>
      </c>
      <c r="AD37" s="248">
        <v>0</v>
      </c>
      <c r="AE37" s="248">
        <v>0</v>
      </c>
      <c r="AF37" s="248">
        <v>0</v>
      </c>
      <c r="AG37" s="248">
        <v>0</v>
      </c>
      <c r="AH37" s="248">
        <v>0</v>
      </c>
      <c r="AI37" s="279">
        <f t="shared" si="9"/>
        <v>0</v>
      </c>
      <c r="AJ37" s="390">
        <f>SUM(AI37*28.88)</f>
        <v>0</v>
      </c>
      <c r="AK37" s="494">
        <f>SUM(AI37*0.023)</f>
        <v>0</v>
      </c>
      <c r="AL37" s="248">
        <v>0</v>
      </c>
      <c r="AM37" s="248">
        <v>0</v>
      </c>
      <c r="AN37" s="248">
        <v>0</v>
      </c>
      <c r="AO37" s="248">
        <v>0</v>
      </c>
      <c r="AP37" s="248">
        <v>0</v>
      </c>
      <c r="AQ37" s="248">
        <v>0</v>
      </c>
      <c r="AR37" s="248">
        <v>0</v>
      </c>
      <c r="AS37" s="248">
        <v>0</v>
      </c>
      <c r="AT37" s="248">
        <v>0</v>
      </c>
      <c r="AU37" s="248">
        <v>0</v>
      </c>
      <c r="AV37" s="248">
        <v>0</v>
      </c>
      <c r="AW37" s="248">
        <v>0</v>
      </c>
      <c r="AX37" s="248">
        <v>0</v>
      </c>
      <c r="AY37" s="279">
        <f t="shared" si="10"/>
        <v>0</v>
      </c>
      <c r="AZ37" s="390">
        <f>SUM(AY37*28.88)</f>
        <v>0</v>
      </c>
      <c r="BA37" s="494">
        <f>SUM(AY37*0.023)</f>
        <v>0</v>
      </c>
      <c r="BB37" s="248"/>
      <c r="BC37" s="249"/>
      <c r="BD37" s="249"/>
      <c r="BE37" s="249"/>
      <c r="BF37" s="302"/>
      <c r="BG37" s="249"/>
      <c r="BH37" s="249"/>
      <c r="BI37" s="249"/>
      <c r="BJ37" s="249"/>
      <c r="BK37" s="249"/>
      <c r="BL37" s="249"/>
      <c r="BM37" s="249"/>
      <c r="BN37" s="249"/>
      <c r="BO37" s="279">
        <f t="shared" si="11"/>
        <v>0</v>
      </c>
      <c r="BP37" s="390">
        <f>SUM(BO37*28.88)</f>
        <v>0</v>
      </c>
      <c r="BQ37" s="494">
        <f>SUM(BO37*0.023)</f>
        <v>0</v>
      </c>
    </row>
    <row r="38" spans="1:69" ht="16.05" customHeight="1" thickTop="1" thickBot="1" x14ac:dyDescent="0.35">
      <c r="A38" s="25"/>
      <c r="B38" s="345"/>
      <c r="C38" s="43"/>
      <c r="D38" s="346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559" t="s">
        <v>271</v>
      </c>
      <c r="Q38" s="566"/>
      <c r="R38" s="560" t="s">
        <v>168</v>
      </c>
      <c r="S38" s="348">
        <f>SUM(S5:S37)</f>
        <v>0</v>
      </c>
      <c r="T38" s="348">
        <f>SUM(T5:T37)</f>
        <v>0</v>
      </c>
      <c r="U38" s="348">
        <f>SUM(U5:U37)</f>
        <v>0</v>
      </c>
      <c r="V38" s="349"/>
      <c r="W38" s="347"/>
      <c r="X38" s="347"/>
      <c r="Y38" s="347"/>
      <c r="Z38" s="347"/>
      <c r="AA38" s="347"/>
      <c r="AB38" s="347"/>
      <c r="AC38" s="347"/>
      <c r="AD38" s="347"/>
      <c r="AE38" s="347"/>
      <c r="AF38" s="347"/>
      <c r="AG38" s="559" t="s">
        <v>272</v>
      </c>
      <c r="AH38" s="560" t="s">
        <v>168</v>
      </c>
      <c r="AI38" s="348">
        <f>SUM(AI5:AI37)</f>
        <v>0</v>
      </c>
      <c r="AJ38" s="348">
        <f>SUM(AJ5:AJ37)</f>
        <v>0</v>
      </c>
      <c r="AK38" s="348">
        <f>SUM(AK5:AK37)</f>
        <v>0</v>
      </c>
      <c r="AL38" s="349"/>
      <c r="AM38" s="347"/>
      <c r="AN38" s="347"/>
      <c r="AO38" s="347"/>
      <c r="AP38" s="347"/>
      <c r="AQ38" s="347"/>
      <c r="AR38" s="347"/>
      <c r="AS38" s="347"/>
      <c r="AT38" s="347"/>
      <c r="AU38" s="347"/>
      <c r="AV38" s="347"/>
      <c r="AW38" s="559" t="s">
        <v>273</v>
      </c>
      <c r="AX38" s="560" t="s">
        <v>168</v>
      </c>
      <c r="AY38" s="348">
        <f>SUM(AY5:AY37)</f>
        <v>0</v>
      </c>
      <c r="AZ38" s="348">
        <f>SUM(AZ5:AZ37)</f>
        <v>0</v>
      </c>
      <c r="BA38" s="348">
        <f>SUM(BA5:BA37)</f>
        <v>0</v>
      </c>
      <c r="BB38" s="347"/>
      <c r="BC38" s="347"/>
      <c r="BD38" s="347"/>
      <c r="BE38" s="347"/>
      <c r="BF38" s="347"/>
      <c r="BG38" s="350"/>
      <c r="BH38" s="347"/>
      <c r="BI38" s="347"/>
      <c r="BJ38" s="347"/>
      <c r="BK38" s="347"/>
      <c r="BL38" s="347"/>
      <c r="BM38" s="559" t="s">
        <v>274</v>
      </c>
      <c r="BN38" s="560" t="s">
        <v>168</v>
      </c>
      <c r="BO38" s="348">
        <f>SUM(BO5:BO37)</f>
        <v>0</v>
      </c>
      <c r="BP38" s="348">
        <f>SUM(BP5:BP37)</f>
        <v>0</v>
      </c>
      <c r="BQ38" s="348">
        <f>SUM(BQ5:BQ37)</f>
        <v>0</v>
      </c>
    </row>
    <row r="39" spans="1:69" ht="12.75" customHeight="1" thickTop="1" x14ac:dyDescent="0.3">
      <c r="A39" s="21"/>
      <c r="B39" s="27"/>
    </row>
    <row r="40" spans="1:69" ht="12.75" customHeight="1" x14ac:dyDescent="0.3">
      <c r="A40" s="21"/>
      <c r="B40" s="27"/>
    </row>
    <row r="41" spans="1:69" ht="12.75" customHeight="1" x14ac:dyDescent="0.3">
      <c r="A41" s="21"/>
      <c r="B41" s="27"/>
    </row>
    <row r="42" spans="1:69" ht="12.75" customHeight="1" x14ac:dyDescent="0.3">
      <c r="A42" s="21"/>
      <c r="B42" s="27"/>
    </row>
    <row r="43" spans="1:69" ht="12.75" customHeight="1" x14ac:dyDescent="0.3">
      <c r="A43" s="21"/>
      <c r="B43" s="27"/>
    </row>
    <row r="44" spans="1:69" ht="12.75" customHeight="1" x14ac:dyDescent="0.3">
      <c r="A44" s="21"/>
      <c r="B44" s="27"/>
    </row>
    <row r="45" spans="1:69" ht="12.75" customHeight="1" x14ac:dyDescent="0.3">
      <c r="A45" s="21"/>
      <c r="B45" s="27"/>
    </row>
    <row r="46" spans="1:69" ht="12.75" customHeight="1" x14ac:dyDescent="0.3">
      <c r="A46" s="21"/>
      <c r="B46" s="27"/>
    </row>
    <row r="47" spans="1:69" ht="12.75" customHeight="1" x14ac:dyDescent="0.3">
      <c r="A47" s="21"/>
      <c r="B47" s="27"/>
    </row>
    <row r="48" spans="1:69" ht="12.75" customHeight="1" x14ac:dyDescent="0.3">
      <c r="A48" s="21"/>
      <c r="B48" s="27"/>
    </row>
    <row r="49" spans="1:2" ht="12.75" customHeight="1" x14ac:dyDescent="0.3">
      <c r="A49" s="21"/>
      <c r="B49" s="27"/>
    </row>
    <row r="50" spans="1:2" ht="12.75" customHeight="1" x14ac:dyDescent="0.3">
      <c r="A50" s="21"/>
      <c r="B50" s="27"/>
    </row>
    <row r="51" spans="1:2" ht="12.75" customHeight="1" x14ac:dyDescent="0.3">
      <c r="A51" s="21"/>
      <c r="B51" s="27"/>
    </row>
    <row r="52" spans="1:2" ht="12.75" customHeight="1" x14ac:dyDescent="0.3">
      <c r="A52" s="21"/>
      <c r="B52" s="27"/>
    </row>
    <row r="53" spans="1:2" ht="12.75" customHeight="1" x14ac:dyDescent="0.3">
      <c r="A53" s="21"/>
      <c r="B53" s="27"/>
    </row>
    <row r="54" spans="1:2" ht="12.75" customHeight="1" x14ac:dyDescent="0.3">
      <c r="A54" s="21"/>
      <c r="B54" s="27"/>
    </row>
    <row r="55" spans="1:2" ht="12.75" customHeight="1" x14ac:dyDescent="0.3">
      <c r="A55" s="21"/>
      <c r="B55" s="27"/>
    </row>
    <row r="56" spans="1:2" ht="12.75" customHeight="1" x14ac:dyDescent="0.3">
      <c r="A56" s="21"/>
      <c r="B56" s="27"/>
    </row>
    <row r="57" spans="1:2" ht="12.75" customHeight="1" x14ac:dyDescent="0.3">
      <c r="A57" s="21"/>
      <c r="B57" s="27"/>
    </row>
    <row r="58" spans="1:2" ht="12.75" customHeight="1" x14ac:dyDescent="0.3">
      <c r="A58" s="21"/>
      <c r="B58" s="27"/>
    </row>
    <row r="59" spans="1:2" ht="12.75" customHeight="1" x14ac:dyDescent="0.3">
      <c r="A59" s="21"/>
      <c r="B59" s="27"/>
    </row>
    <row r="60" spans="1:2" ht="12.75" customHeight="1" x14ac:dyDescent="0.3">
      <c r="A60" s="21"/>
      <c r="B60" s="27"/>
    </row>
    <row r="61" spans="1:2" ht="12.75" customHeight="1" x14ac:dyDescent="0.3">
      <c r="A61" s="21"/>
      <c r="B61" s="27"/>
    </row>
    <row r="62" spans="1:2" x14ac:dyDescent="0.3">
      <c r="A62" s="21"/>
      <c r="B62" s="27"/>
    </row>
    <row r="63" spans="1:2" ht="12.75" customHeight="1" x14ac:dyDescent="0.3">
      <c r="A63" s="21"/>
      <c r="B63" s="27"/>
    </row>
    <row r="64" spans="1:2" ht="12.75" customHeight="1" x14ac:dyDescent="0.3">
      <c r="A64" s="21"/>
      <c r="B64" s="27"/>
    </row>
    <row r="65" spans="1:2" ht="12.75" customHeight="1" x14ac:dyDescent="0.3">
      <c r="A65" s="21"/>
      <c r="B65" s="27"/>
    </row>
    <row r="66" spans="1:2" ht="12.75" customHeight="1" x14ac:dyDescent="0.3">
      <c r="A66" s="21"/>
      <c r="B66" s="27"/>
    </row>
    <row r="67" spans="1:2" ht="12.75" customHeight="1" x14ac:dyDescent="0.3">
      <c r="A67" s="21"/>
      <c r="B67" s="27"/>
    </row>
    <row r="68" spans="1:2" ht="12.75" customHeight="1" x14ac:dyDescent="0.3">
      <c r="A68" s="21"/>
      <c r="B68" s="27"/>
    </row>
    <row r="69" spans="1:2" ht="12.75" customHeight="1" x14ac:dyDescent="0.3">
      <c r="A69" s="21"/>
      <c r="B69" s="27"/>
    </row>
    <row r="70" spans="1:2" ht="12.75" customHeight="1" x14ac:dyDescent="0.3">
      <c r="A70" s="21"/>
      <c r="B70" s="27"/>
    </row>
    <row r="71" spans="1:2" ht="12.75" customHeight="1" x14ac:dyDescent="0.3">
      <c r="A71" s="21"/>
      <c r="B71" s="27"/>
    </row>
    <row r="72" spans="1:2" ht="12.75" customHeight="1" x14ac:dyDescent="0.3">
      <c r="A72" s="21"/>
      <c r="B72" s="27"/>
    </row>
    <row r="73" spans="1:2" ht="12.75" customHeight="1" x14ac:dyDescent="0.3">
      <c r="A73" s="21"/>
      <c r="B73" s="27"/>
    </row>
    <row r="74" spans="1:2" ht="12.75" customHeight="1" x14ac:dyDescent="0.3">
      <c r="A74" s="21"/>
      <c r="B74" s="27"/>
    </row>
    <row r="75" spans="1:2" ht="12.75" customHeight="1" x14ac:dyDescent="0.3">
      <c r="A75" s="21"/>
      <c r="B75" s="27"/>
    </row>
    <row r="76" spans="1:2" ht="12.75" customHeight="1" x14ac:dyDescent="0.3">
      <c r="A76" s="21"/>
      <c r="B76" s="27"/>
    </row>
    <row r="77" spans="1:2" ht="12.75" customHeight="1" x14ac:dyDescent="0.3">
      <c r="A77" s="21"/>
      <c r="B77" s="27"/>
    </row>
    <row r="78" spans="1:2" ht="12.75" customHeight="1" x14ac:dyDescent="0.3">
      <c r="A78" s="21"/>
      <c r="B78" s="27"/>
    </row>
    <row r="79" spans="1:2" ht="12.75" customHeight="1" x14ac:dyDescent="0.3">
      <c r="A79" s="21"/>
      <c r="B79" s="27"/>
    </row>
    <row r="80" spans="1:2" ht="12.75" customHeight="1" x14ac:dyDescent="0.3">
      <c r="A80" s="21"/>
      <c r="B80" s="27"/>
    </row>
    <row r="81" spans="1:2" ht="12.75" customHeight="1" x14ac:dyDescent="0.3">
      <c r="A81" s="21"/>
      <c r="B81" s="27"/>
    </row>
    <row r="82" spans="1:2" ht="12.75" customHeight="1" x14ac:dyDescent="0.3"/>
    <row r="83" spans="1:2" ht="12.75" customHeight="1" x14ac:dyDescent="0.3"/>
    <row r="84" spans="1:2" ht="12.75" customHeight="1" x14ac:dyDescent="0.3"/>
    <row r="85" spans="1:2" ht="12.75" customHeight="1" x14ac:dyDescent="0.3"/>
    <row r="86" spans="1:2" ht="12.75" customHeight="1" x14ac:dyDescent="0.3"/>
    <row r="87" spans="1:2" ht="12.75" customHeight="1" x14ac:dyDescent="0.3"/>
    <row r="88" spans="1:2" ht="12.75" customHeight="1" x14ac:dyDescent="0.3"/>
    <row r="89" spans="1:2" ht="12.75" customHeight="1" x14ac:dyDescent="0.3"/>
    <row r="90" spans="1:2" ht="12.75" customHeight="1" x14ac:dyDescent="0.3"/>
    <row r="91" spans="1:2" ht="12.75" customHeight="1" x14ac:dyDescent="0.3"/>
    <row r="92" spans="1:2" ht="12.75" customHeight="1" x14ac:dyDescent="0.3"/>
    <row r="93" spans="1:2" ht="12.75" customHeight="1" x14ac:dyDescent="0.3"/>
    <row r="94" spans="1:2" ht="12.75" customHeight="1" x14ac:dyDescent="0.3"/>
    <row r="95" spans="1:2" ht="12.75" customHeight="1" x14ac:dyDescent="0.3"/>
    <row r="96" spans="1:2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</sheetData>
  <mergeCells count="24">
    <mergeCell ref="P38:R38"/>
    <mergeCell ref="AG38:AH38"/>
    <mergeCell ref="AW38:AX38"/>
    <mergeCell ref="BM38:BN38"/>
    <mergeCell ref="AY3:AY4"/>
    <mergeCell ref="AZ3:AZ4"/>
    <mergeCell ref="BA3:BA4"/>
    <mergeCell ref="BO3:BO4"/>
    <mergeCell ref="BP3:BP4"/>
    <mergeCell ref="BQ3:BQ4"/>
    <mergeCell ref="S3:S4"/>
    <mergeCell ref="T3:T4"/>
    <mergeCell ref="U3:U4"/>
    <mergeCell ref="AI3:AI4"/>
    <mergeCell ref="AJ3:AJ4"/>
    <mergeCell ref="AK3:AK4"/>
    <mergeCell ref="S1:U1"/>
    <mergeCell ref="AI1:AK1"/>
    <mergeCell ref="AY1:BA1"/>
    <mergeCell ref="BO1:BQ1"/>
    <mergeCell ref="A2:B2"/>
    <mergeCell ref="C2:D2"/>
    <mergeCell ref="T2:U2"/>
    <mergeCell ref="AI2:A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L179"/>
  <sheetViews>
    <sheetView workbookViewId="0">
      <pane ySplit="4" topLeftCell="A44" activePane="bottomLeft" state="frozen"/>
      <selection pane="bottomLeft" activeCell="O19" sqref="O19"/>
    </sheetView>
  </sheetViews>
  <sheetFormatPr defaultColWidth="9.21875" defaultRowHeight="15.6" x14ac:dyDescent="0.3"/>
  <cols>
    <col min="1" max="1" width="32" style="22" customWidth="1"/>
    <col min="2" max="2" width="12.77734375" style="33" customWidth="1"/>
    <col min="3" max="3" width="11.5546875" style="22" customWidth="1"/>
    <col min="4" max="4" width="13" style="22" customWidth="1"/>
    <col min="5" max="17" width="9.5546875" style="35" customWidth="1"/>
    <col min="18" max="18" width="9.5546875" style="51" customWidth="1"/>
    <col min="19" max="19" width="12.21875" style="391" customWidth="1"/>
    <col min="20" max="20" width="9.5546875" style="7" customWidth="1"/>
    <col min="21" max="22" width="9.5546875" style="6" customWidth="1"/>
    <col min="23" max="23" width="0.21875" style="6" customWidth="1"/>
    <col min="24" max="34" width="9.5546875" style="6" customWidth="1"/>
    <col min="35" max="35" width="9.5546875" style="392" customWidth="1"/>
    <col min="36" max="36" width="10.44140625" style="6" customWidth="1"/>
    <col min="37" max="50" width="9.5546875" style="6" customWidth="1"/>
    <col min="51" max="51" width="9.5546875" style="391" customWidth="1"/>
    <col min="52" max="66" width="9.5546875" style="6" customWidth="1"/>
    <col min="67" max="67" width="9.5546875" style="391" customWidth="1"/>
    <col min="68" max="68" width="9.5546875" style="6" customWidth="1"/>
    <col min="69" max="96" width="9.21875" style="6"/>
    <col min="97" max="16384" width="9.21875" style="1"/>
  </cols>
  <sheetData>
    <row r="1" spans="1:116" s="53" customFormat="1" ht="24.75" customHeight="1" thickTop="1" x14ac:dyDescent="0.3">
      <c r="A1" s="251" t="s">
        <v>194</v>
      </c>
      <c r="B1" s="252"/>
      <c r="C1" s="253"/>
      <c r="D1" s="253"/>
      <c r="E1" s="254" t="s">
        <v>0</v>
      </c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568" t="s">
        <v>263</v>
      </c>
      <c r="S1" s="569"/>
      <c r="T1" s="570"/>
      <c r="U1" s="190" t="s">
        <v>1</v>
      </c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568" t="s">
        <v>264</v>
      </c>
      <c r="AI1" s="569"/>
      <c r="AJ1" s="570"/>
      <c r="AK1" s="257" t="s">
        <v>5</v>
      </c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8"/>
      <c r="AX1" s="568" t="s">
        <v>265</v>
      </c>
      <c r="AY1" s="569"/>
      <c r="AZ1" s="570"/>
      <c r="BA1" s="257" t="s">
        <v>3</v>
      </c>
      <c r="BB1" s="256"/>
      <c r="BC1" s="256"/>
      <c r="BD1" s="256"/>
      <c r="BE1" s="256"/>
      <c r="BF1" s="256"/>
      <c r="BG1" s="256"/>
      <c r="BH1" s="256"/>
      <c r="BI1" s="256"/>
      <c r="BJ1" s="256"/>
      <c r="BK1" s="258"/>
      <c r="BL1" s="303"/>
      <c r="BM1" s="303"/>
      <c r="BN1" s="568" t="s">
        <v>266</v>
      </c>
      <c r="BO1" s="569"/>
      <c r="BP1" s="570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</row>
    <row r="2" spans="1:116" ht="15.6" customHeight="1" thickBot="1" x14ac:dyDescent="0.35">
      <c r="A2" s="542"/>
      <c r="B2" s="541"/>
      <c r="C2" s="542"/>
      <c r="D2" s="541"/>
      <c r="E2" s="259" t="s">
        <v>4</v>
      </c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1"/>
      <c r="S2" s="543"/>
      <c r="T2" s="544"/>
      <c r="U2" s="262" t="s">
        <v>4</v>
      </c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543"/>
      <c r="AI2" s="543"/>
      <c r="AJ2" s="264"/>
      <c r="AK2" s="262" t="s">
        <v>4</v>
      </c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5"/>
      <c r="AX2" s="266"/>
      <c r="AY2" s="393"/>
      <c r="AZ2" s="267"/>
      <c r="BA2" s="262" t="s">
        <v>4</v>
      </c>
      <c r="BB2" s="263"/>
      <c r="BC2" s="263"/>
      <c r="BD2" s="263"/>
      <c r="BE2" s="263"/>
      <c r="BF2" s="263"/>
      <c r="BG2" s="263"/>
      <c r="BH2" s="263"/>
      <c r="BI2" s="263"/>
      <c r="BJ2" s="263"/>
      <c r="BK2" s="265"/>
      <c r="BL2" s="268"/>
      <c r="BM2" s="268"/>
      <c r="BN2" s="268"/>
      <c r="BO2" s="396"/>
      <c r="BP2" s="269"/>
    </row>
    <row r="3" spans="1:116" s="12" customFormat="1" ht="23.1" customHeight="1" thickTop="1" thickBot="1" x14ac:dyDescent="0.35">
      <c r="A3" s="270"/>
      <c r="B3" s="272" t="s">
        <v>6</v>
      </c>
      <c r="C3" s="271" t="s">
        <v>7</v>
      </c>
      <c r="D3" s="358" t="s">
        <v>182</v>
      </c>
      <c r="E3" s="359">
        <v>43192</v>
      </c>
      <c r="F3" s="351">
        <v>43199</v>
      </c>
      <c r="G3" s="359">
        <v>43206</v>
      </c>
      <c r="H3" s="351">
        <v>43213</v>
      </c>
      <c r="I3" s="359">
        <v>43220</v>
      </c>
      <c r="J3" s="351">
        <v>43227</v>
      </c>
      <c r="K3" s="359">
        <v>43234</v>
      </c>
      <c r="L3" s="351">
        <v>43241</v>
      </c>
      <c r="M3" s="359">
        <v>43248</v>
      </c>
      <c r="N3" s="351">
        <v>43255</v>
      </c>
      <c r="O3" s="359">
        <v>43262</v>
      </c>
      <c r="P3" s="351">
        <v>43269</v>
      </c>
      <c r="Q3" s="359">
        <v>43276</v>
      </c>
      <c r="R3" s="545" t="s">
        <v>260</v>
      </c>
      <c r="S3" s="547" t="s">
        <v>262</v>
      </c>
      <c r="T3" s="565" t="s">
        <v>261</v>
      </c>
      <c r="U3" s="508">
        <v>43283</v>
      </c>
      <c r="V3" s="508">
        <v>43290</v>
      </c>
      <c r="W3" s="508">
        <v>43297</v>
      </c>
      <c r="X3" s="508">
        <v>43304</v>
      </c>
      <c r="Y3" s="508">
        <v>43311</v>
      </c>
      <c r="Z3" s="508">
        <v>43318</v>
      </c>
      <c r="AA3" s="508">
        <v>43325</v>
      </c>
      <c r="AB3" s="508">
        <v>43332</v>
      </c>
      <c r="AC3" s="508">
        <v>43339</v>
      </c>
      <c r="AD3" s="508">
        <v>43346</v>
      </c>
      <c r="AE3" s="508">
        <v>43353</v>
      </c>
      <c r="AF3" s="508">
        <v>43360</v>
      </c>
      <c r="AG3" s="508">
        <v>43367</v>
      </c>
      <c r="AH3" s="545" t="s">
        <v>260</v>
      </c>
      <c r="AI3" s="547" t="s">
        <v>262</v>
      </c>
      <c r="AJ3" s="565" t="s">
        <v>261</v>
      </c>
      <c r="AK3" s="360">
        <v>43374</v>
      </c>
      <c r="AL3" s="242">
        <v>43746</v>
      </c>
      <c r="AM3" s="360">
        <v>44118</v>
      </c>
      <c r="AN3" s="242">
        <v>44490</v>
      </c>
      <c r="AO3" s="360">
        <v>44862</v>
      </c>
      <c r="AP3" s="242">
        <v>45234</v>
      </c>
      <c r="AQ3" s="360">
        <v>45606</v>
      </c>
      <c r="AR3" s="242">
        <v>45978</v>
      </c>
      <c r="AS3" s="360">
        <v>46350</v>
      </c>
      <c r="AT3" s="242">
        <v>46722</v>
      </c>
      <c r="AU3" s="360">
        <v>47094</v>
      </c>
      <c r="AV3" s="242">
        <v>47466</v>
      </c>
      <c r="AW3" s="360">
        <v>47838</v>
      </c>
      <c r="AX3" s="545" t="s">
        <v>260</v>
      </c>
      <c r="AY3" s="547" t="s">
        <v>262</v>
      </c>
      <c r="AZ3" s="565" t="s">
        <v>261</v>
      </c>
      <c r="BA3" s="360">
        <v>43466</v>
      </c>
      <c r="BB3" s="242">
        <v>43472</v>
      </c>
      <c r="BC3" s="360">
        <v>43479</v>
      </c>
      <c r="BD3" s="242">
        <v>43486</v>
      </c>
      <c r="BE3" s="360">
        <v>43493</v>
      </c>
      <c r="BF3" s="242">
        <v>43500</v>
      </c>
      <c r="BG3" s="360">
        <v>43507</v>
      </c>
      <c r="BH3" s="242">
        <v>43514</v>
      </c>
      <c r="BI3" s="360">
        <v>43521</v>
      </c>
      <c r="BJ3" s="242">
        <v>43528</v>
      </c>
      <c r="BK3" s="360">
        <v>43535</v>
      </c>
      <c r="BL3" s="242">
        <v>43542</v>
      </c>
      <c r="BM3" s="360">
        <v>43549</v>
      </c>
      <c r="BN3" s="545" t="s">
        <v>260</v>
      </c>
      <c r="BO3" s="547" t="s">
        <v>262</v>
      </c>
      <c r="BP3" s="565" t="s">
        <v>261</v>
      </c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1:116" s="6" customFormat="1" ht="16.05" customHeight="1" x14ac:dyDescent="0.3">
      <c r="A4" s="38" t="s">
        <v>47</v>
      </c>
      <c r="B4" s="29"/>
      <c r="C4" s="273"/>
      <c r="D4" s="46"/>
      <c r="E4" s="274" t="s">
        <v>9</v>
      </c>
      <c r="F4" s="275" t="s">
        <v>9</v>
      </c>
      <c r="G4" s="275" t="s">
        <v>9</v>
      </c>
      <c r="H4" s="275" t="s">
        <v>9</v>
      </c>
      <c r="I4" s="275" t="s">
        <v>9</v>
      </c>
      <c r="J4" s="275" t="s">
        <v>9</v>
      </c>
      <c r="K4" s="275" t="s">
        <v>9</v>
      </c>
      <c r="L4" s="275" t="s">
        <v>9</v>
      </c>
      <c r="M4" s="275" t="s">
        <v>9</v>
      </c>
      <c r="N4" s="275" t="s">
        <v>9</v>
      </c>
      <c r="O4" s="275" t="s">
        <v>9</v>
      </c>
      <c r="P4" s="275" t="s">
        <v>9</v>
      </c>
      <c r="Q4" s="275" t="s">
        <v>9</v>
      </c>
      <c r="R4" s="546"/>
      <c r="S4" s="548"/>
      <c r="T4" s="567"/>
      <c r="U4" s="276" t="s">
        <v>9</v>
      </c>
      <c r="V4" s="243" t="s">
        <v>9</v>
      </c>
      <c r="W4" s="243" t="s">
        <v>9</v>
      </c>
      <c r="X4" s="243" t="s">
        <v>9</v>
      </c>
      <c r="Y4" s="243" t="s">
        <v>9</v>
      </c>
      <c r="Z4" s="243" t="s">
        <v>9</v>
      </c>
      <c r="AA4" s="243" t="s">
        <v>9</v>
      </c>
      <c r="AB4" s="243" t="s">
        <v>9</v>
      </c>
      <c r="AC4" s="243" t="s">
        <v>9</v>
      </c>
      <c r="AD4" s="243" t="s">
        <v>9</v>
      </c>
      <c r="AE4" s="243" t="s">
        <v>9</v>
      </c>
      <c r="AF4" s="243" t="s">
        <v>9</v>
      </c>
      <c r="AG4" s="243" t="s">
        <v>9</v>
      </c>
      <c r="AH4" s="546"/>
      <c r="AI4" s="548"/>
      <c r="AJ4" s="567"/>
      <c r="AK4" s="243" t="s">
        <v>9</v>
      </c>
      <c r="AL4" s="243" t="s">
        <v>9</v>
      </c>
      <c r="AM4" s="243" t="s">
        <v>9</v>
      </c>
      <c r="AN4" s="243" t="s">
        <v>9</v>
      </c>
      <c r="AO4" s="243" t="s">
        <v>9</v>
      </c>
      <c r="AP4" s="243" t="s">
        <v>9</v>
      </c>
      <c r="AQ4" s="243" t="s">
        <v>9</v>
      </c>
      <c r="AR4" s="243" t="s">
        <v>9</v>
      </c>
      <c r="AS4" s="243" t="s">
        <v>9</v>
      </c>
      <c r="AT4" s="243" t="s">
        <v>9</v>
      </c>
      <c r="AU4" s="243" t="s">
        <v>9</v>
      </c>
      <c r="AV4" s="243" t="s">
        <v>9</v>
      </c>
      <c r="AW4" s="243" t="s">
        <v>9</v>
      </c>
      <c r="AX4" s="546"/>
      <c r="AY4" s="548"/>
      <c r="AZ4" s="567"/>
      <c r="BA4" s="243" t="s">
        <v>9</v>
      </c>
      <c r="BB4" s="243" t="s">
        <v>9</v>
      </c>
      <c r="BC4" s="243" t="s">
        <v>9</v>
      </c>
      <c r="BD4" s="243" t="s">
        <v>9</v>
      </c>
      <c r="BE4" s="243" t="s">
        <v>9</v>
      </c>
      <c r="BF4" s="243" t="s">
        <v>9</v>
      </c>
      <c r="BG4" s="243" t="s">
        <v>9</v>
      </c>
      <c r="BH4" s="243" t="s">
        <v>9</v>
      </c>
      <c r="BI4" s="243" t="s">
        <v>9</v>
      </c>
      <c r="BJ4" s="243" t="s">
        <v>9</v>
      </c>
      <c r="BK4" s="243" t="s">
        <v>9</v>
      </c>
      <c r="BL4" s="243" t="s">
        <v>9</v>
      </c>
      <c r="BM4" s="243" t="s">
        <v>9</v>
      </c>
      <c r="BN4" s="546"/>
      <c r="BO4" s="548"/>
      <c r="BP4" s="567"/>
    </row>
    <row r="5" spans="1:116" s="6" customFormat="1" ht="16.05" customHeight="1" x14ac:dyDescent="0.3">
      <c r="A5" s="312" t="s">
        <v>223</v>
      </c>
      <c r="B5" s="313">
        <v>1465</v>
      </c>
      <c r="C5" s="277"/>
      <c r="D5" s="278"/>
      <c r="E5" s="246"/>
      <c r="F5" s="247"/>
      <c r="G5" s="247"/>
      <c r="H5" s="247"/>
      <c r="I5" s="244"/>
      <c r="J5" s="244"/>
      <c r="K5" s="244"/>
      <c r="L5" s="244"/>
      <c r="M5" s="244"/>
      <c r="N5" s="244"/>
      <c r="O5" s="244"/>
      <c r="P5" s="244"/>
      <c r="Q5" s="244"/>
      <c r="R5" s="279">
        <f>SUM(E5:Q5)</f>
        <v>0</v>
      </c>
      <c r="S5" s="390">
        <f>SUM(R5*7.25)</f>
        <v>0</v>
      </c>
      <c r="T5" s="494">
        <f>SUM(R5*0.00098)</f>
        <v>0</v>
      </c>
      <c r="U5" s="246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79">
        <f t="shared" ref="AH5:AH12" si="0">SUM(U5:AG5)</f>
        <v>0</v>
      </c>
      <c r="AI5" s="390">
        <f>SUM(AH5*7.25)</f>
        <v>0</v>
      </c>
      <c r="AJ5" s="494">
        <f>SUM(AH5*0.00098)</f>
        <v>0</v>
      </c>
      <c r="AK5" s="246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79">
        <f t="shared" ref="AX5:AX12" si="1">SUM(AK5:AW5)</f>
        <v>0</v>
      </c>
      <c r="AY5" s="390">
        <f>SUM(AX5*7.25)</f>
        <v>0</v>
      </c>
      <c r="AZ5" s="494">
        <f>SUM(AX5*0.00098)</f>
        <v>0</v>
      </c>
      <c r="BA5" s="246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301"/>
      <c r="BN5" s="279">
        <f t="shared" ref="BN5:BN12" si="2">SUM(BA5:BM5)</f>
        <v>0</v>
      </c>
      <c r="BO5" s="390">
        <f>SUM(BN5*7.25)</f>
        <v>0</v>
      </c>
      <c r="BP5" s="512">
        <f>SUM(BN5*0.00098)</f>
        <v>0</v>
      </c>
    </row>
    <row r="6" spans="1:116" s="6" customFormat="1" ht="16.05" customHeight="1" x14ac:dyDescent="0.3">
      <c r="A6" s="314" t="s">
        <v>222</v>
      </c>
      <c r="B6" s="315">
        <v>1467</v>
      </c>
      <c r="C6" s="280"/>
      <c r="D6" s="278"/>
      <c r="E6" s="246"/>
      <c r="F6" s="247"/>
      <c r="G6" s="247"/>
      <c r="H6" s="247"/>
      <c r="I6" s="244"/>
      <c r="J6" s="244"/>
      <c r="K6" s="244"/>
      <c r="L6" s="244"/>
      <c r="M6" s="244"/>
      <c r="N6" s="244"/>
      <c r="O6" s="244"/>
      <c r="P6" s="244"/>
      <c r="Q6" s="244"/>
      <c r="R6" s="279">
        <f>SUM(E6:Q6)</f>
        <v>0</v>
      </c>
      <c r="S6" s="390">
        <f>SUM(R6*7.25)</f>
        <v>0</v>
      </c>
      <c r="T6" s="494">
        <f>SUM(R6*0.0009)</f>
        <v>0</v>
      </c>
      <c r="U6" s="246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79">
        <f t="shared" si="0"/>
        <v>0</v>
      </c>
      <c r="AI6" s="390">
        <f>SUM(AH6*7.25)</f>
        <v>0</v>
      </c>
      <c r="AJ6" s="494">
        <f>SUM(AH6*0.0009)</f>
        <v>0</v>
      </c>
      <c r="AK6" s="246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79">
        <f t="shared" si="1"/>
        <v>0</v>
      </c>
      <c r="AY6" s="390">
        <f>SUM(AX6*7.25)</f>
        <v>0</v>
      </c>
      <c r="AZ6" s="494">
        <f>SUM(AX6*0.0009)</f>
        <v>0</v>
      </c>
      <c r="BA6" s="246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301"/>
      <c r="BN6" s="279">
        <f t="shared" si="2"/>
        <v>0</v>
      </c>
      <c r="BO6" s="390">
        <f>SUM(BN6*7.25)</f>
        <v>0</v>
      </c>
      <c r="BP6" s="512">
        <f>SUM(BN6*0.0009)</f>
        <v>0</v>
      </c>
    </row>
    <row r="7" spans="1:116" s="6" customFormat="1" ht="16.05" customHeight="1" x14ac:dyDescent="0.3">
      <c r="A7" s="312" t="s">
        <v>221</v>
      </c>
      <c r="B7" s="313">
        <v>1476</v>
      </c>
      <c r="C7" s="277"/>
      <c r="D7" s="278"/>
      <c r="E7" s="246"/>
      <c r="F7" s="247"/>
      <c r="G7" s="247"/>
      <c r="H7" s="247"/>
      <c r="I7" s="244"/>
      <c r="J7" s="244"/>
      <c r="K7" s="244"/>
      <c r="L7" s="244"/>
      <c r="M7" s="244"/>
      <c r="N7" s="244"/>
      <c r="O7" s="244"/>
      <c r="P7" s="244"/>
      <c r="Q7" s="244"/>
      <c r="R7" s="279">
        <f>SUM(E7:Q7)</f>
        <v>0</v>
      </c>
      <c r="S7" s="390">
        <f>SUM(R7*4.85)</f>
        <v>0</v>
      </c>
      <c r="T7" s="494">
        <f>SUM(R7*0.00075)</f>
        <v>0</v>
      </c>
      <c r="U7" s="246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79">
        <f t="shared" si="0"/>
        <v>0</v>
      </c>
      <c r="AI7" s="390">
        <f>SUM(AH7*4.85)</f>
        <v>0</v>
      </c>
      <c r="AJ7" s="494">
        <f>SUM(AH7*0.00075)</f>
        <v>0</v>
      </c>
      <c r="AK7" s="246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79">
        <f t="shared" si="1"/>
        <v>0</v>
      </c>
      <c r="AY7" s="390">
        <f>SUM(AX7*4.85)</f>
        <v>0</v>
      </c>
      <c r="AZ7" s="494">
        <f>SUM(AX7*0.00075)</f>
        <v>0</v>
      </c>
      <c r="BA7" s="246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301"/>
      <c r="BN7" s="279">
        <f t="shared" si="2"/>
        <v>0</v>
      </c>
      <c r="BO7" s="390">
        <f>SUM(BN7*4.85)</f>
        <v>0</v>
      </c>
      <c r="BP7" s="512">
        <f>SUM(BN7*0.00075)</f>
        <v>0</v>
      </c>
    </row>
    <row r="8" spans="1:116" s="6" customFormat="1" ht="16.05" customHeight="1" x14ac:dyDescent="0.3">
      <c r="A8" s="312" t="s">
        <v>220</v>
      </c>
      <c r="B8" s="313">
        <v>1478</v>
      </c>
      <c r="C8" s="277"/>
      <c r="D8" s="278"/>
      <c r="E8" s="246"/>
      <c r="F8" s="247"/>
      <c r="G8" s="247"/>
      <c r="H8" s="247"/>
      <c r="I8" s="244"/>
      <c r="J8" s="244"/>
      <c r="K8" s="244"/>
      <c r="L8" s="244"/>
      <c r="M8" s="244"/>
      <c r="N8" s="244"/>
      <c r="O8" s="244"/>
      <c r="P8" s="244"/>
      <c r="Q8" s="244"/>
      <c r="R8" s="279">
        <f>SUM(E8:Q8)</f>
        <v>0</v>
      </c>
      <c r="S8" s="390">
        <f>SUM(R8*4.51)</f>
        <v>0</v>
      </c>
      <c r="T8" s="494">
        <f>SUM(R8*0.00064)</f>
        <v>0</v>
      </c>
      <c r="U8" s="246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79">
        <f t="shared" si="0"/>
        <v>0</v>
      </c>
      <c r="AI8" s="390">
        <f>SUM(AH8*4.51)</f>
        <v>0</v>
      </c>
      <c r="AJ8" s="494">
        <f>SUM(AH8*0.00064)</f>
        <v>0</v>
      </c>
      <c r="AK8" s="246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79">
        <f t="shared" si="1"/>
        <v>0</v>
      </c>
      <c r="AY8" s="390">
        <f>SUM(AX8*4.51)</f>
        <v>0</v>
      </c>
      <c r="AZ8" s="494">
        <f>SUM(AX8*0.00064)</f>
        <v>0</v>
      </c>
      <c r="BA8" s="246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301"/>
      <c r="BN8" s="279">
        <f t="shared" si="2"/>
        <v>0</v>
      </c>
      <c r="BO8" s="390">
        <f>SUM(BN8*4.51)</f>
        <v>0</v>
      </c>
      <c r="BP8" s="512">
        <f>SUM(BN8*0.00064)</f>
        <v>0</v>
      </c>
    </row>
    <row r="9" spans="1:116" s="6" customFormat="1" ht="16.05" customHeight="1" x14ac:dyDescent="0.3">
      <c r="A9" s="312" t="s">
        <v>219</v>
      </c>
      <c r="B9" s="313">
        <v>1483</v>
      </c>
      <c r="C9" s="277"/>
      <c r="D9" s="278"/>
      <c r="E9" s="246"/>
      <c r="F9" s="247"/>
      <c r="G9" s="247"/>
      <c r="H9" s="247"/>
      <c r="I9" s="244"/>
      <c r="J9" s="244"/>
      <c r="K9" s="244"/>
      <c r="L9" s="244"/>
      <c r="M9" s="244"/>
      <c r="N9" s="244"/>
      <c r="O9" s="244"/>
      <c r="P9" s="244"/>
      <c r="Q9" s="244"/>
      <c r="R9" s="279">
        <f>SUM(E9:Q9)</f>
        <v>0</v>
      </c>
      <c r="S9" s="390">
        <f>SUM(R9*0.85)</f>
        <v>0</v>
      </c>
      <c r="T9" s="494">
        <f>SUM(R9*0.00014)</f>
        <v>0</v>
      </c>
      <c r="U9" s="246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79">
        <f t="shared" si="0"/>
        <v>0</v>
      </c>
      <c r="AI9" s="390">
        <f>SUM(AH9*0.85)</f>
        <v>0</v>
      </c>
      <c r="AJ9" s="494">
        <f>SUM(AH9*0.00014)</f>
        <v>0</v>
      </c>
      <c r="AK9" s="246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79">
        <f t="shared" si="1"/>
        <v>0</v>
      </c>
      <c r="AY9" s="390">
        <f>SUM(AX9*0.85)</f>
        <v>0</v>
      </c>
      <c r="AZ9" s="494">
        <f>SUM(AX9*0.00014)</f>
        <v>0</v>
      </c>
      <c r="BA9" s="246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301"/>
      <c r="BN9" s="279">
        <f t="shared" si="2"/>
        <v>0</v>
      </c>
      <c r="BO9" s="390">
        <f>SUM(BN9*0.85)</f>
        <v>0</v>
      </c>
      <c r="BP9" s="512">
        <f>SUM(BN9*0.00014)</f>
        <v>0</v>
      </c>
    </row>
    <row r="10" spans="1:116" ht="16.05" customHeight="1" x14ac:dyDescent="0.3">
      <c r="A10" s="312" t="s">
        <v>218</v>
      </c>
      <c r="B10" s="313">
        <v>1485</v>
      </c>
      <c r="C10" s="277"/>
      <c r="D10" s="278"/>
      <c r="E10" s="246"/>
      <c r="F10" s="247"/>
      <c r="G10" s="247"/>
      <c r="H10" s="247"/>
      <c r="I10" s="244"/>
      <c r="J10" s="244"/>
      <c r="K10" s="244"/>
      <c r="L10" s="244"/>
      <c r="M10" s="244"/>
      <c r="N10" s="244"/>
      <c r="O10" s="244"/>
      <c r="P10" s="244"/>
      <c r="Q10" s="244"/>
      <c r="R10" s="279">
        <f>P10</f>
        <v>0</v>
      </c>
      <c r="S10" s="390">
        <f>SUM(R10*7.89)</f>
        <v>0</v>
      </c>
      <c r="T10" s="494">
        <f>SUM(R10*0.0009)</f>
        <v>0</v>
      </c>
      <c r="U10" s="246"/>
      <c r="V10" s="246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79">
        <f t="shared" si="0"/>
        <v>0</v>
      </c>
      <c r="AI10" s="390">
        <f>SUM(AH10*7.89)</f>
        <v>0</v>
      </c>
      <c r="AJ10" s="494">
        <f>SUM(AH10*0.0009)</f>
        <v>0</v>
      </c>
      <c r="AK10" s="246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79">
        <f t="shared" si="1"/>
        <v>0</v>
      </c>
      <c r="AY10" s="390">
        <f>SUM(AX10*7.89)</f>
        <v>0</v>
      </c>
      <c r="AZ10" s="494">
        <f>SUM(AX10*0.0009)</f>
        <v>0</v>
      </c>
      <c r="BA10" s="246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301"/>
      <c r="BN10" s="279">
        <f t="shared" si="2"/>
        <v>0</v>
      </c>
      <c r="BO10" s="390">
        <f>SUM(BN10*7.89)</f>
        <v>0</v>
      </c>
      <c r="BP10" s="512">
        <f>SUM(BN10*0.0009)</f>
        <v>0</v>
      </c>
    </row>
    <row r="11" spans="1:116" ht="16.05" customHeight="1" x14ac:dyDescent="0.3">
      <c r="A11" s="312" t="s">
        <v>101</v>
      </c>
      <c r="B11" s="313">
        <v>1486</v>
      </c>
      <c r="C11" s="277"/>
      <c r="D11" s="278"/>
      <c r="E11" s="246"/>
      <c r="F11" s="247"/>
      <c r="G11" s="247"/>
      <c r="H11" s="247"/>
      <c r="I11" s="244"/>
      <c r="J11" s="244"/>
      <c r="K11" s="244"/>
      <c r="L11" s="244"/>
      <c r="M11" s="244"/>
      <c r="N11" s="244"/>
      <c r="O11" s="244"/>
      <c r="P11" s="244"/>
      <c r="Q11" s="244"/>
      <c r="R11" s="279">
        <f>SUM(E11:Q11)</f>
        <v>0</v>
      </c>
      <c r="S11" s="390">
        <f>SUM(R11*7.34)</f>
        <v>0</v>
      </c>
      <c r="T11" s="494">
        <f>SUM(R11*0.0007)</f>
        <v>0</v>
      </c>
      <c r="U11" s="246"/>
      <c r="V11" s="246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79">
        <f t="shared" si="0"/>
        <v>0</v>
      </c>
      <c r="AI11" s="390">
        <f>SUM(AH11*7.34)</f>
        <v>0</v>
      </c>
      <c r="AJ11" s="494">
        <f>SUM(AH11*0.0007)</f>
        <v>0</v>
      </c>
      <c r="AK11" s="246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79">
        <f t="shared" si="1"/>
        <v>0</v>
      </c>
      <c r="AY11" s="390">
        <f>SUM(AX11*7.34)</f>
        <v>0</v>
      </c>
      <c r="AZ11" s="494">
        <f>SUM(AX11*0.0007)</f>
        <v>0</v>
      </c>
      <c r="BA11" s="246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301"/>
      <c r="BN11" s="279">
        <f t="shared" si="2"/>
        <v>0</v>
      </c>
      <c r="BO11" s="390">
        <f>SUM(BN11*7.34)</f>
        <v>0</v>
      </c>
      <c r="BP11" s="512">
        <f>SUM(BN11*0.0007)</f>
        <v>0</v>
      </c>
    </row>
    <row r="12" spans="1:116" ht="16.05" customHeight="1" thickBot="1" x14ac:dyDescent="0.35">
      <c r="A12" s="316" t="s">
        <v>227</v>
      </c>
      <c r="B12" s="317">
        <v>1494</v>
      </c>
      <c r="C12" s="281"/>
      <c r="D12" s="282"/>
      <c r="E12" s="248"/>
      <c r="F12" s="249"/>
      <c r="G12" s="249"/>
      <c r="H12" s="249"/>
      <c r="I12" s="245"/>
      <c r="J12" s="245"/>
      <c r="K12" s="245"/>
      <c r="L12" s="245"/>
      <c r="M12" s="245"/>
      <c r="N12" s="245"/>
      <c r="O12" s="245"/>
      <c r="P12" s="245"/>
      <c r="Q12" s="244"/>
      <c r="R12" s="279">
        <f>SUM(E12:Q12)</f>
        <v>0</v>
      </c>
      <c r="S12" s="390">
        <f>SUM(R12*0.88)</f>
        <v>0</v>
      </c>
      <c r="T12" s="494">
        <f>SUM(R12*0.0003)</f>
        <v>0</v>
      </c>
      <c r="U12" s="246"/>
      <c r="V12" s="246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79">
        <f t="shared" si="0"/>
        <v>0</v>
      </c>
      <c r="AI12" s="390">
        <f>SUM(AH12*0.88)</f>
        <v>0</v>
      </c>
      <c r="AJ12" s="494">
        <f>SUM(AH12*0.0003)</f>
        <v>0</v>
      </c>
      <c r="AK12" s="246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79">
        <f t="shared" si="1"/>
        <v>0</v>
      </c>
      <c r="AY12" s="390">
        <f>SUM(AX12*0.88)</f>
        <v>0</v>
      </c>
      <c r="AZ12" s="494">
        <f>SUM(AX12*0.0003)</f>
        <v>0</v>
      </c>
      <c r="BA12" s="246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301"/>
      <c r="BN12" s="279">
        <f t="shared" si="2"/>
        <v>0</v>
      </c>
      <c r="BO12" s="390">
        <f>SUM(BN12*0.88)</f>
        <v>0</v>
      </c>
      <c r="BP12" s="512">
        <f>SUM(BN12*0.0003)</f>
        <v>0</v>
      </c>
    </row>
    <row r="13" spans="1:116" s="5" customFormat="1" ht="16.05" customHeight="1" thickTop="1" x14ac:dyDescent="0.3">
      <c r="A13" s="283" t="s">
        <v>48</v>
      </c>
      <c r="B13" s="42"/>
      <c r="C13" s="284"/>
      <c r="D13" s="285"/>
      <c r="E13" s="304"/>
      <c r="F13" s="286"/>
      <c r="G13" s="286"/>
      <c r="H13" s="286"/>
      <c r="I13" s="287"/>
      <c r="J13" s="287"/>
      <c r="K13" s="287"/>
      <c r="L13" s="287"/>
      <c r="M13" s="287"/>
      <c r="N13" s="287"/>
      <c r="O13" s="287"/>
      <c r="P13" s="287"/>
      <c r="Q13" s="287"/>
      <c r="R13" s="288"/>
      <c r="S13" s="397"/>
      <c r="T13" s="39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8"/>
      <c r="AI13" s="397"/>
      <c r="AJ13" s="39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8"/>
      <c r="AY13" s="397"/>
      <c r="AZ13" s="399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  <c r="BM13" s="289"/>
      <c r="BN13" s="279"/>
      <c r="BO13" s="390"/>
      <c r="BP13" s="515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</row>
    <row r="14" spans="1:116" ht="16.05" customHeight="1" x14ac:dyDescent="0.3">
      <c r="A14" s="312" t="s">
        <v>106</v>
      </c>
      <c r="B14" s="313">
        <v>1521</v>
      </c>
      <c r="C14" s="277"/>
      <c r="D14" s="278"/>
      <c r="E14" s="246"/>
      <c r="F14" s="247"/>
      <c r="G14" s="247"/>
      <c r="H14" s="247"/>
      <c r="I14" s="244"/>
      <c r="J14" s="244"/>
      <c r="K14" s="244"/>
      <c r="L14" s="246"/>
      <c r="M14" s="244"/>
      <c r="N14" s="244"/>
      <c r="O14" s="244"/>
      <c r="P14" s="244"/>
      <c r="Q14" s="244"/>
      <c r="R14" s="279">
        <f>SUM(E14:Q14)</f>
        <v>0</v>
      </c>
      <c r="S14" s="390">
        <f>SUM(R14*4.8)</f>
        <v>0</v>
      </c>
      <c r="T14" s="494">
        <f>SUM(R14*0.00035)</f>
        <v>0</v>
      </c>
      <c r="U14" s="246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79"/>
      <c r="AI14" s="390">
        <f>SUM(AH14*4.8)</f>
        <v>0</v>
      </c>
      <c r="AJ14" s="494">
        <f>SUM(AH14*0.00035)</f>
        <v>0</v>
      </c>
      <c r="AK14" s="246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79">
        <f>SUM(AK14:AW14)</f>
        <v>0</v>
      </c>
      <c r="AY14" s="390">
        <f>SUM(AX14*4.8)</f>
        <v>0</v>
      </c>
      <c r="AZ14" s="494">
        <f>SUM(AX14*0.00035)</f>
        <v>0</v>
      </c>
      <c r="BA14" s="246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301"/>
      <c r="BN14" s="279">
        <f>SUM(BA14:BM14)</f>
        <v>0</v>
      </c>
      <c r="BO14" s="390">
        <f>SUM(BN14*4.8)</f>
        <v>0</v>
      </c>
      <c r="BP14" s="512">
        <f>SUM(BN14*0.00035)</f>
        <v>0</v>
      </c>
    </row>
    <row r="15" spans="1:116" ht="16.05" customHeight="1" x14ac:dyDescent="0.3">
      <c r="A15" s="312" t="s">
        <v>243</v>
      </c>
      <c r="B15" s="313">
        <v>1531</v>
      </c>
      <c r="C15" s="277"/>
      <c r="D15" s="278"/>
      <c r="E15" s="246"/>
      <c r="F15" s="247"/>
      <c r="G15" s="247"/>
      <c r="H15" s="247"/>
      <c r="I15" s="244"/>
      <c r="J15" s="244"/>
      <c r="K15" s="244"/>
      <c r="L15" s="246"/>
      <c r="M15" s="244"/>
      <c r="N15" s="244"/>
      <c r="O15" s="244"/>
      <c r="P15" s="244"/>
      <c r="Q15" s="244"/>
      <c r="R15" s="279">
        <f>SUM(E15:Q15)</f>
        <v>0</v>
      </c>
      <c r="S15" s="390">
        <f>SUM(R15*3.02)</f>
        <v>0</v>
      </c>
      <c r="T15" s="494">
        <f>SUM(R15*0.00044)</f>
        <v>0</v>
      </c>
      <c r="U15" s="246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79"/>
      <c r="AI15" s="390">
        <f>SUM(AH15*3.02)</f>
        <v>0</v>
      </c>
      <c r="AJ15" s="494">
        <f>SUM(AH15*0.00044)</f>
        <v>0</v>
      </c>
      <c r="AK15" s="246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79">
        <f>SUM(AK15:AW15)</f>
        <v>0</v>
      </c>
      <c r="AY15" s="390">
        <f>SUM(AX15*3.02)</f>
        <v>0</v>
      </c>
      <c r="AZ15" s="494">
        <f>SUM(AX15*0.00044)</f>
        <v>0</v>
      </c>
      <c r="BA15" s="246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301"/>
      <c r="BN15" s="279">
        <f>SUM(BA15:BM15)</f>
        <v>0</v>
      </c>
      <c r="BO15" s="390">
        <f>SUM(BN15*3.02)</f>
        <v>0</v>
      </c>
      <c r="BP15" s="512">
        <f>SUM(BN15*0.00044)</f>
        <v>0</v>
      </c>
    </row>
    <row r="16" spans="1:116" ht="16.05" customHeight="1" x14ac:dyDescent="0.3">
      <c r="A16" s="312" t="s">
        <v>105</v>
      </c>
      <c r="B16" s="313">
        <v>1536</v>
      </c>
      <c r="C16" s="277"/>
      <c r="D16" s="278"/>
      <c r="E16" s="246"/>
      <c r="F16" s="247"/>
      <c r="G16" s="247"/>
      <c r="H16" s="247"/>
      <c r="I16" s="244"/>
      <c r="J16" s="244"/>
      <c r="K16" s="244"/>
      <c r="L16" s="246"/>
      <c r="M16" s="244"/>
      <c r="N16" s="244"/>
      <c r="O16" s="244"/>
      <c r="P16" s="244"/>
      <c r="Q16" s="244"/>
      <c r="R16" s="279">
        <f>SUM(E16:Q16)</f>
        <v>0</v>
      </c>
      <c r="S16" s="390">
        <f>SUM(R16*0.97)</f>
        <v>0</v>
      </c>
      <c r="T16" s="494">
        <f>SUM(R16*0.00011)</f>
        <v>0</v>
      </c>
      <c r="U16" s="246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79"/>
      <c r="AI16" s="390">
        <f>SUM(AH16*0.97)</f>
        <v>0</v>
      </c>
      <c r="AJ16" s="494">
        <f>SUM(AH16*0.00011)</f>
        <v>0</v>
      </c>
      <c r="AK16" s="246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79">
        <f>SUM(AK16:AW16)</f>
        <v>0</v>
      </c>
      <c r="AY16" s="390">
        <f>SUM(AX16*0.97)</f>
        <v>0</v>
      </c>
      <c r="AZ16" s="494">
        <f>SUM(AX16*0.00011)</f>
        <v>0</v>
      </c>
      <c r="BA16" s="246"/>
      <c r="BB16" s="247"/>
      <c r="BC16" s="247"/>
      <c r="BD16" s="247"/>
      <c r="BE16" s="247"/>
      <c r="BF16" s="247"/>
      <c r="BG16" s="247"/>
      <c r="BH16" s="247"/>
      <c r="BI16" s="247"/>
      <c r="BJ16" s="247"/>
      <c r="BK16" s="247"/>
      <c r="BL16" s="247"/>
      <c r="BM16" s="301"/>
      <c r="BN16" s="279">
        <f>SUM(BA16:BM16)</f>
        <v>0</v>
      </c>
      <c r="BO16" s="390">
        <f>SUM(BN16*0.97)</f>
        <v>0</v>
      </c>
      <c r="BP16" s="512">
        <f>SUM(BN16*0.00011)</f>
        <v>0</v>
      </c>
    </row>
    <row r="17" spans="1:96" ht="16.05" customHeight="1" x14ac:dyDescent="0.3">
      <c r="A17" s="314" t="s">
        <v>49</v>
      </c>
      <c r="B17" s="315">
        <v>1537</v>
      </c>
      <c r="C17" s="280"/>
      <c r="D17" s="290"/>
      <c r="E17" s="246"/>
      <c r="F17" s="247"/>
      <c r="G17" s="247"/>
      <c r="H17" s="247"/>
      <c r="I17" s="244"/>
      <c r="J17" s="244"/>
      <c r="K17" s="244"/>
      <c r="L17" s="246"/>
      <c r="M17" s="244"/>
      <c r="N17" s="244"/>
      <c r="O17" s="244"/>
      <c r="P17" s="244"/>
      <c r="Q17" s="244"/>
      <c r="R17" s="279">
        <f>SUM(E17:Q17)</f>
        <v>0</v>
      </c>
      <c r="S17" s="390">
        <f>SUM(R17*0.22)</f>
        <v>0</v>
      </c>
      <c r="T17" s="494">
        <f>SUM(R17*0.0001)</f>
        <v>0</v>
      </c>
      <c r="U17" s="246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79"/>
      <c r="AI17" s="390">
        <f>SUM(AH17*0.22)</f>
        <v>0</v>
      </c>
      <c r="AJ17" s="494">
        <f>SUM(AH17*0.0001)</f>
        <v>0</v>
      </c>
      <c r="AK17" s="246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79">
        <f>SUM(AK17:AW17)</f>
        <v>0</v>
      </c>
      <c r="AY17" s="390">
        <f>SUM(AX17*0.22)</f>
        <v>0</v>
      </c>
      <c r="AZ17" s="494">
        <f>SUM(AX17*0.0001)</f>
        <v>0</v>
      </c>
      <c r="BA17" s="246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301"/>
      <c r="BN17" s="279">
        <f>SUM(BA17:BM17)</f>
        <v>0</v>
      </c>
      <c r="BO17" s="390">
        <f>SUM(BN17*0.22)</f>
        <v>0</v>
      </c>
      <c r="BP17" s="512">
        <f>SUM(BN17*0.0001)</f>
        <v>0</v>
      </c>
    </row>
    <row r="18" spans="1:96" ht="16.05" customHeight="1" thickBot="1" x14ac:dyDescent="0.35">
      <c r="A18" s="318" t="s">
        <v>50</v>
      </c>
      <c r="B18" s="319">
        <v>1927</v>
      </c>
      <c r="C18" s="291"/>
      <c r="D18" s="292"/>
      <c r="E18" s="248"/>
      <c r="F18" s="249"/>
      <c r="G18" s="249"/>
      <c r="H18" s="249"/>
      <c r="I18" s="245"/>
      <c r="J18" s="245"/>
      <c r="K18" s="245"/>
      <c r="L18" s="248"/>
      <c r="M18" s="245"/>
      <c r="N18" s="245"/>
      <c r="O18" s="245"/>
      <c r="P18" s="245"/>
      <c r="Q18" s="244"/>
      <c r="R18" s="279">
        <f>SUM(E18:Q18)</f>
        <v>0</v>
      </c>
      <c r="S18" s="390">
        <f>SUM(R18*0.77)</f>
        <v>0</v>
      </c>
      <c r="T18" s="494">
        <f>SUM(R18*0.0001)</f>
        <v>0</v>
      </c>
      <c r="U18" s="246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79"/>
      <c r="AI18" s="390">
        <f>SUM(AH18*0.77)</f>
        <v>0</v>
      </c>
      <c r="AJ18" s="494">
        <f>SUM(AH18*0.0001)</f>
        <v>0</v>
      </c>
      <c r="AK18" s="246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79">
        <f>SUM(AK18:AW18)</f>
        <v>0</v>
      </c>
      <c r="AY18" s="390">
        <f>SUM(AX18*0.77)</f>
        <v>0</v>
      </c>
      <c r="AZ18" s="494">
        <f>SUM(AX18*0.0001)</f>
        <v>0</v>
      </c>
      <c r="BA18" s="246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301"/>
      <c r="BN18" s="279">
        <f>SUM(BA18:BM18)</f>
        <v>0</v>
      </c>
      <c r="BO18" s="390">
        <f>SUM(BN18*0.77)</f>
        <v>0</v>
      </c>
      <c r="BP18" s="512">
        <f>SUM(BN18*0.0001)</f>
        <v>0</v>
      </c>
    </row>
    <row r="19" spans="1:96" s="5" customFormat="1" ht="16.05" customHeight="1" thickTop="1" x14ac:dyDescent="0.3">
      <c r="A19" s="283" t="s">
        <v>224</v>
      </c>
      <c r="B19" s="42"/>
      <c r="C19" s="284"/>
      <c r="D19" s="285"/>
      <c r="E19" s="304"/>
      <c r="F19" s="286"/>
      <c r="G19" s="286"/>
      <c r="H19" s="286"/>
      <c r="I19" s="287"/>
      <c r="J19" s="287"/>
      <c r="K19" s="287"/>
      <c r="L19" s="287"/>
      <c r="M19" s="287"/>
      <c r="N19" s="287"/>
      <c r="O19" s="287"/>
      <c r="P19" s="287"/>
      <c r="Q19" s="287"/>
      <c r="R19" s="288"/>
      <c r="S19" s="397"/>
      <c r="T19" s="39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8"/>
      <c r="AI19" s="397"/>
      <c r="AJ19" s="39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8"/>
      <c r="AY19" s="397"/>
      <c r="AZ19" s="399"/>
      <c r="BA19" s="289"/>
      <c r="BB19" s="289"/>
      <c r="BC19" s="289"/>
      <c r="BD19" s="289"/>
      <c r="BE19" s="289"/>
      <c r="BF19" s="289"/>
      <c r="BG19" s="289"/>
      <c r="BH19" s="289"/>
      <c r="BI19" s="289"/>
      <c r="BJ19" s="289"/>
      <c r="BK19" s="289"/>
      <c r="BL19" s="289"/>
      <c r="BM19" s="289"/>
      <c r="BN19" s="279"/>
      <c r="BO19" s="390"/>
      <c r="BP19" s="515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</row>
    <row r="20" spans="1:96" ht="16.05" customHeight="1" x14ac:dyDescent="0.3">
      <c r="A20" s="312" t="s">
        <v>111</v>
      </c>
      <c r="B20" s="313" t="s">
        <v>177</v>
      </c>
      <c r="C20" s="277"/>
      <c r="D20" s="278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79">
        <f t="shared" ref="R20:R29" si="3">SUM(E20:Q20)</f>
        <v>0</v>
      </c>
      <c r="S20" s="390">
        <f>SUM(R20*7)</f>
        <v>0</v>
      </c>
      <c r="T20" s="494">
        <f>SUM(R20*0.0003)</f>
        <v>0</v>
      </c>
      <c r="U20" s="246">
        <v>0</v>
      </c>
      <c r="V20" s="246">
        <v>0</v>
      </c>
      <c r="W20" s="246">
        <v>0</v>
      </c>
      <c r="X20" s="246">
        <v>0</v>
      </c>
      <c r="Y20" s="246">
        <v>0</v>
      </c>
      <c r="Z20" s="246">
        <v>0</v>
      </c>
      <c r="AA20" s="246">
        <v>0</v>
      </c>
      <c r="AB20" s="246">
        <v>0</v>
      </c>
      <c r="AC20" s="246">
        <v>0</v>
      </c>
      <c r="AD20" s="246">
        <v>0</v>
      </c>
      <c r="AE20" s="246">
        <v>0</v>
      </c>
      <c r="AF20" s="246">
        <v>0</v>
      </c>
      <c r="AG20" s="246">
        <v>0</v>
      </c>
      <c r="AH20" s="279">
        <f t="shared" ref="AH20:AH29" si="4">SUM(U20:AG20)</f>
        <v>0</v>
      </c>
      <c r="AI20" s="390">
        <f>SUM(AH20*7)</f>
        <v>0</v>
      </c>
      <c r="AJ20" s="494">
        <f>SUM(AH20*0.0003)</f>
        <v>0</v>
      </c>
      <c r="AK20" s="246"/>
      <c r="AL20" s="246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79">
        <f t="shared" ref="AX20:AX29" si="5">SUM(AK20:AW20)</f>
        <v>0</v>
      </c>
      <c r="AY20" s="390">
        <f>SUM(AX20*7)</f>
        <v>0</v>
      </c>
      <c r="AZ20" s="494">
        <f>SUM(AX20*0.0003)</f>
        <v>0</v>
      </c>
      <c r="BA20" s="246"/>
      <c r="BB20" s="247"/>
      <c r="BC20" s="247"/>
      <c r="BD20" s="247"/>
      <c r="BE20" s="247"/>
      <c r="BF20" s="247"/>
      <c r="BG20" s="247"/>
      <c r="BH20" s="247"/>
      <c r="BI20" s="247"/>
      <c r="BJ20" s="247"/>
      <c r="BK20" s="247"/>
      <c r="BL20" s="247"/>
      <c r="BM20" s="301"/>
      <c r="BN20" s="279">
        <f t="shared" ref="BN20:BN29" si="6">SUM(BA20:BM20)</f>
        <v>0</v>
      </c>
      <c r="BO20" s="390">
        <f>SUM(BN20*7)</f>
        <v>0</v>
      </c>
      <c r="BP20" s="512">
        <f>SUM(BN20*0.0003)</f>
        <v>0</v>
      </c>
    </row>
    <row r="21" spans="1:96" ht="16.05" customHeight="1" x14ac:dyDescent="0.3">
      <c r="A21" s="312" t="s">
        <v>59</v>
      </c>
      <c r="B21" s="313">
        <v>1668</v>
      </c>
      <c r="C21" s="277"/>
      <c r="D21" s="278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79">
        <f t="shared" si="3"/>
        <v>0</v>
      </c>
      <c r="S21" s="390">
        <f>SUM(R21*0.08)</f>
        <v>0</v>
      </c>
      <c r="T21" s="494">
        <f>SUM(R21*0.0001)</f>
        <v>0</v>
      </c>
      <c r="U21" s="246">
        <v>0</v>
      </c>
      <c r="V21" s="246">
        <v>0</v>
      </c>
      <c r="W21" s="246">
        <v>0</v>
      </c>
      <c r="X21" s="246">
        <v>0</v>
      </c>
      <c r="Y21" s="246">
        <v>0</v>
      </c>
      <c r="Z21" s="246">
        <v>0</v>
      </c>
      <c r="AA21" s="246">
        <v>0</v>
      </c>
      <c r="AB21" s="246">
        <v>0</v>
      </c>
      <c r="AC21" s="246">
        <v>0</v>
      </c>
      <c r="AD21" s="246">
        <v>0</v>
      </c>
      <c r="AE21" s="246">
        <v>0</v>
      </c>
      <c r="AF21" s="246">
        <v>0</v>
      </c>
      <c r="AG21" s="246">
        <v>0</v>
      </c>
      <c r="AH21" s="279">
        <f t="shared" si="4"/>
        <v>0</v>
      </c>
      <c r="AI21" s="390">
        <f>SUM(AH21*0.08)</f>
        <v>0</v>
      </c>
      <c r="AJ21" s="494">
        <f>SUM(AH21*0.0001)</f>
        <v>0</v>
      </c>
      <c r="AK21" s="246"/>
      <c r="AL21" s="246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79">
        <f t="shared" si="5"/>
        <v>0</v>
      </c>
      <c r="AY21" s="390">
        <f>SUM(AX21*0.08)</f>
        <v>0</v>
      </c>
      <c r="AZ21" s="494">
        <f>SUM(AX21*0.0001)</f>
        <v>0</v>
      </c>
      <c r="BA21" s="246"/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301"/>
      <c r="BN21" s="279">
        <f t="shared" si="6"/>
        <v>0</v>
      </c>
      <c r="BO21" s="390">
        <f>SUM(BN21*0.08)</f>
        <v>0</v>
      </c>
      <c r="BP21" s="512">
        <f>SUM(BN21*0.0001)</f>
        <v>0</v>
      </c>
    </row>
    <row r="22" spans="1:96" ht="16.05" customHeight="1" x14ac:dyDescent="0.3">
      <c r="A22" s="312" t="s">
        <v>108</v>
      </c>
      <c r="B22" s="313">
        <v>1669</v>
      </c>
      <c r="C22" s="277"/>
      <c r="D22" s="278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79">
        <f t="shared" si="3"/>
        <v>0</v>
      </c>
      <c r="S22" s="390">
        <f>SUM(R22*0.13)</f>
        <v>0</v>
      </c>
      <c r="T22" s="494">
        <f>SUM(R22*0.00015)</f>
        <v>0</v>
      </c>
      <c r="U22" s="246">
        <v>0</v>
      </c>
      <c r="V22" s="246">
        <v>0</v>
      </c>
      <c r="W22" s="246">
        <v>0</v>
      </c>
      <c r="X22" s="246">
        <v>0</v>
      </c>
      <c r="Y22" s="246">
        <v>0</v>
      </c>
      <c r="Z22" s="246">
        <v>0</v>
      </c>
      <c r="AA22" s="246">
        <v>0</v>
      </c>
      <c r="AB22" s="246">
        <v>0</v>
      </c>
      <c r="AC22" s="246">
        <v>0</v>
      </c>
      <c r="AD22" s="246">
        <v>0</v>
      </c>
      <c r="AE22" s="246">
        <v>0</v>
      </c>
      <c r="AF22" s="246">
        <v>0</v>
      </c>
      <c r="AG22" s="246">
        <v>0</v>
      </c>
      <c r="AH22" s="279">
        <f t="shared" si="4"/>
        <v>0</v>
      </c>
      <c r="AI22" s="390">
        <f>SUM(AH22*0.13)</f>
        <v>0</v>
      </c>
      <c r="AJ22" s="494">
        <f>SUM(AH22*0.00015)</f>
        <v>0</v>
      </c>
      <c r="AK22" s="246"/>
      <c r="AL22" s="246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79">
        <f t="shared" si="5"/>
        <v>0</v>
      </c>
      <c r="AY22" s="390">
        <f>SUM(AX22*0.13)</f>
        <v>0</v>
      </c>
      <c r="AZ22" s="494">
        <f>SUM(AX22*0.00015)</f>
        <v>0</v>
      </c>
      <c r="BA22" s="246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301"/>
      <c r="BN22" s="279">
        <f t="shared" si="6"/>
        <v>0</v>
      </c>
      <c r="BO22" s="390">
        <f>SUM(BN22*0.13)</f>
        <v>0</v>
      </c>
      <c r="BP22" s="512">
        <f>SUM(BN22*0.00015)</f>
        <v>0</v>
      </c>
    </row>
    <row r="23" spans="1:96" ht="16.05" customHeight="1" x14ac:dyDescent="0.3">
      <c r="A23" s="312" t="s">
        <v>57</v>
      </c>
      <c r="B23" s="313">
        <v>1670</v>
      </c>
      <c r="C23" s="277"/>
      <c r="D23" s="278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79">
        <f t="shared" si="3"/>
        <v>0</v>
      </c>
      <c r="S23" s="390">
        <f>SUM(R23*0.14)</f>
        <v>0</v>
      </c>
      <c r="T23" s="494">
        <f>SUM(R23*0.00015)</f>
        <v>0</v>
      </c>
      <c r="U23" s="246">
        <v>0</v>
      </c>
      <c r="V23" s="246">
        <v>0</v>
      </c>
      <c r="W23" s="246">
        <v>0</v>
      </c>
      <c r="X23" s="246">
        <v>0</v>
      </c>
      <c r="Y23" s="246">
        <v>0</v>
      </c>
      <c r="Z23" s="246">
        <v>0</v>
      </c>
      <c r="AA23" s="246">
        <v>0</v>
      </c>
      <c r="AB23" s="246">
        <v>0</v>
      </c>
      <c r="AC23" s="246">
        <v>0</v>
      </c>
      <c r="AD23" s="246">
        <v>0</v>
      </c>
      <c r="AE23" s="246">
        <v>0</v>
      </c>
      <c r="AF23" s="246">
        <v>0</v>
      </c>
      <c r="AG23" s="246">
        <v>0</v>
      </c>
      <c r="AH23" s="279">
        <f t="shared" si="4"/>
        <v>0</v>
      </c>
      <c r="AI23" s="390">
        <f>SUM(AH23*0.14)</f>
        <v>0</v>
      </c>
      <c r="AJ23" s="494">
        <f>SUM(AH23*0.00015)</f>
        <v>0</v>
      </c>
      <c r="AK23" s="246"/>
      <c r="AL23" s="246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79">
        <f t="shared" si="5"/>
        <v>0</v>
      </c>
      <c r="AY23" s="390">
        <f>SUM(AX23*0.14)</f>
        <v>0</v>
      </c>
      <c r="AZ23" s="494">
        <f>SUM(AX23*0.00015)</f>
        <v>0</v>
      </c>
      <c r="BA23" s="246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301"/>
      <c r="BN23" s="279">
        <f t="shared" si="6"/>
        <v>0</v>
      </c>
      <c r="BO23" s="390">
        <f>SUM(BN23*0.14)</f>
        <v>0</v>
      </c>
      <c r="BP23" s="512">
        <f>SUM(BN23*0.00015)</f>
        <v>0</v>
      </c>
    </row>
    <row r="24" spans="1:96" ht="16.05" customHeight="1" x14ac:dyDescent="0.3">
      <c r="A24" s="312" t="s">
        <v>56</v>
      </c>
      <c r="B24" s="313">
        <v>1671</v>
      </c>
      <c r="C24" s="277"/>
      <c r="D24" s="278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79">
        <f t="shared" si="3"/>
        <v>0</v>
      </c>
      <c r="S24" s="390">
        <f>SUM(R24*0.09)</f>
        <v>0</v>
      </c>
      <c r="T24" s="494">
        <f>SUM(R24*0.0001)</f>
        <v>0</v>
      </c>
      <c r="U24" s="246">
        <v>0</v>
      </c>
      <c r="V24" s="246">
        <v>0</v>
      </c>
      <c r="W24" s="246">
        <v>0</v>
      </c>
      <c r="X24" s="246">
        <v>0</v>
      </c>
      <c r="Y24" s="246">
        <v>0</v>
      </c>
      <c r="Z24" s="246">
        <v>0</v>
      </c>
      <c r="AA24" s="246">
        <v>0</v>
      </c>
      <c r="AB24" s="246">
        <v>0</v>
      </c>
      <c r="AC24" s="246">
        <v>0</v>
      </c>
      <c r="AD24" s="246">
        <v>0</v>
      </c>
      <c r="AE24" s="246">
        <v>0</v>
      </c>
      <c r="AF24" s="246">
        <v>0</v>
      </c>
      <c r="AG24" s="246">
        <v>0</v>
      </c>
      <c r="AH24" s="279">
        <f t="shared" si="4"/>
        <v>0</v>
      </c>
      <c r="AI24" s="390">
        <f>SUM(AH24*0.09)</f>
        <v>0</v>
      </c>
      <c r="AJ24" s="494">
        <f>SUM(AH24*0.0001)</f>
        <v>0</v>
      </c>
      <c r="AK24" s="246"/>
      <c r="AL24" s="246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79">
        <f t="shared" si="5"/>
        <v>0</v>
      </c>
      <c r="AY24" s="390">
        <f>SUM(AX24*0.09)</f>
        <v>0</v>
      </c>
      <c r="AZ24" s="494">
        <f>SUM(AX24*0.0001)</f>
        <v>0</v>
      </c>
      <c r="BA24" s="246"/>
      <c r="BB24" s="247"/>
      <c r="BC24" s="247"/>
      <c r="BD24" s="247"/>
      <c r="BE24" s="247"/>
      <c r="BF24" s="247"/>
      <c r="BG24" s="247"/>
      <c r="BH24" s="247"/>
      <c r="BI24" s="247"/>
      <c r="BJ24" s="247"/>
      <c r="BK24" s="247"/>
      <c r="BL24" s="247"/>
      <c r="BM24" s="301"/>
      <c r="BN24" s="279">
        <f t="shared" si="6"/>
        <v>0</v>
      </c>
      <c r="BO24" s="390">
        <f>SUM(BN24*0.09)</f>
        <v>0</v>
      </c>
      <c r="BP24" s="512">
        <f>SUM(BN24*0.0001)</f>
        <v>0</v>
      </c>
    </row>
    <row r="25" spans="1:96" ht="16.05" customHeight="1" x14ac:dyDescent="0.3">
      <c r="A25" s="312" t="s">
        <v>100</v>
      </c>
      <c r="B25" s="313">
        <v>1673</v>
      </c>
      <c r="C25" s="277"/>
      <c r="D25" s="278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79">
        <f t="shared" si="3"/>
        <v>0</v>
      </c>
      <c r="S25" s="390">
        <f>SUM(R25*0.23)</f>
        <v>0</v>
      </c>
      <c r="T25" s="494">
        <f>SUM(R25*0.00015)</f>
        <v>0</v>
      </c>
      <c r="U25" s="246">
        <v>0</v>
      </c>
      <c r="V25" s="246">
        <v>0</v>
      </c>
      <c r="W25" s="246">
        <v>0</v>
      </c>
      <c r="X25" s="246">
        <v>0</v>
      </c>
      <c r="Y25" s="246">
        <v>0</v>
      </c>
      <c r="Z25" s="246">
        <v>0</v>
      </c>
      <c r="AA25" s="246">
        <v>0</v>
      </c>
      <c r="AB25" s="246">
        <v>0</v>
      </c>
      <c r="AC25" s="246">
        <v>0</v>
      </c>
      <c r="AD25" s="246">
        <v>0</v>
      </c>
      <c r="AE25" s="246">
        <v>0</v>
      </c>
      <c r="AF25" s="246">
        <v>0</v>
      </c>
      <c r="AG25" s="246">
        <v>0</v>
      </c>
      <c r="AH25" s="279">
        <f t="shared" si="4"/>
        <v>0</v>
      </c>
      <c r="AI25" s="390">
        <f>SUM(AH25*0.23)</f>
        <v>0</v>
      </c>
      <c r="AJ25" s="494">
        <f>SUM(AH25*0.00015)</f>
        <v>0</v>
      </c>
      <c r="AK25" s="246"/>
      <c r="AL25" s="246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79">
        <f t="shared" si="5"/>
        <v>0</v>
      </c>
      <c r="AY25" s="390">
        <f>SUM(AX25*0.23)</f>
        <v>0</v>
      </c>
      <c r="AZ25" s="494">
        <f>SUM(AX25*0.00015)</f>
        <v>0</v>
      </c>
      <c r="BA25" s="246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301"/>
      <c r="BN25" s="279">
        <f t="shared" si="6"/>
        <v>0</v>
      </c>
      <c r="BO25" s="390">
        <f>SUM(BN25*0.23)</f>
        <v>0</v>
      </c>
      <c r="BP25" s="512">
        <f>SUM(BN25*0.00015)</f>
        <v>0</v>
      </c>
    </row>
    <row r="26" spans="1:96" ht="16.05" customHeight="1" x14ac:dyDescent="0.3">
      <c r="A26" s="312" t="s">
        <v>54</v>
      </c>
      <c r="B26" s="313">
        <v>1678</v>
      </c>
      <c r="C26" s="277"/>
      <c r="D26" s="278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79">
        <f t="shared" si="3"/>
        <v>0</v>
      </c>
      <c r="S26" s="390">
        <f>SUM(R26*0.62)</f>
        <v>0</v>
      </c>
      <c r="T26" s="494">
        <f>SUM(R26*0.0002)</f>
        <v>0</v>
      </c>
      <c r="U26" s="246">
        <v>0</v>
      </c>
      <c r="V26" s="246">
        <v>0</v>
      </c>
      <c r="W26" s="246">
        <v>0</v>
      </c>
      <c r="X26" s="246">
        <v>0</v>
      </c>
      <c r="Y26" s="246">
        <v>0</v>
      </c>
      <c r="Z26" s="246">
        <v>0</v>
      </c>
      <c r="AA26" s="246">
        <v>0</v>
      </c>
      <c r="AB26" s="246">
        <v>0</v>
      </c>
      <c r="AC26" s="246">
        <v>0</v>
      </c>
      <c r="AD26" s="246">
        <v>0</v>
      </c>
      <c r="AE26" s="246">
        <v>0</v>
      </c>
      <c r="AF26" s="246">
        <v>0</v>
      </c>
      <c r="AG26" s="246">
        <v>0</v>
      </c>
      <c r="AH26" s="279">
        <f t="shared" si="4"/>
        <v>0</v>
      </c>
      <c r="AI26" s="390">
        <f>SUM(AH26*0.62)</f>
        <v>0</v>
      </c>
      <c r="AJ26" s="494">
        <f>SUM(AH26*0.0002)</f>
        <v>0</v>
      </c>
      <c r="AK26" s="246"/>
      <c r="AL26" s="246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79">
        <f t="shared" si="5"/>
        <v>0</v>
      </c>
      <c r="AY26" s="390">
        <f>SUM(AX26*0.62)</f>
        <v>0</v>
      </c>
      <c r="AZ26" s="494">
        <f>SUM(AX26*0.0002)</f>
        <v>0</v>
      </c>
      <c r="BA26" s="246"/>
      <c r="BB26" s="247"/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301"/>
      <c r="BN26" s="279">
        <f t="shared" si="6"/>
        <v>0</v>
      </c>
      <c r="BO26" s="390">
        <f>SUM(BN26*0.62)</f>
        <v>0</v>
      </c>
      <c r="BP26" s="512">
        <f>SUM(BN26*0.0002)</f>
        <v>0</v>
      </c>
    </row>
    <row r="27" spans="1:96" ht="16.05" customHeight="1" x14ac:dyDescent="0.3">
      <c r="A27" s="312" t="s">
        <v>55</v>
      </c>
      <c r="B27" s="313">
        <v>1679</v>
      </c>
      <c r="C27" s="277"/>
      <c r="D27" s="278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79">
        <f t="shared" si="3"/>
        <v>0</v>
      </c>
      <c r="S27" s="390">
        <f>SUM(R27*0.05)</f>
        <v>0</v>
      </c>
      <c r="T27" s="494">
        <f>SUM(R27*0.00005)</f>
        <v>0</v>
      </c>
      <c r="U27" s="246">
        <v>0</v>
      </c>
      <c r="V27" s="246">
        <v>0</v>
      </c>
      <c r="W27" s="246">
        <v>0</v>
      </c>
      <c r="X27" s="246">
        <v>0</v>
      </c>
      <c r="Y27" s="246">
        <v>0</v>
      </c>
      <c r="Z27" s="246">
        <v>0</v>
      </c>
      <c r="AA27" s="246">
        <v>0</v>
      </c>
      <c r="AB27" s="246">
        <v>0</v>
      </c>
      <c r="AC27" s="246">
        <v>0</v>
      </c>
      <c r="AD27" s="246">
        <v>0</v>
      </c>
      <c r="AE27" s="246">
        <v>0</v>
      </c>
      <c r="AF27" s="246">
        <v>0</v>
      </c>
      <c r="AG27" s="246">
        <v>0</v>
      </c>
      <c r="AH27" s="279">
        <f t="shared" si="4"/>
        <v>0</v>
      </c>
      <c r="AI27" s="390">
        <f>SUM(AH27*0.05)</f>
        <v>0</v>
      </c>
      <c r="AJ27" s="494">
        <f>SUM(AH27*0.00005)</f>
        <v>0</v>
      </c>
      <c r="AK27" s="246"/>
      <c r="AL27" s="246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79">
        <f t="shared" si="5"/>
        <v>0</v>
      </c>
      <c r="AY27" s="390">
        <f>SUM(AX27*0.05)</f>
        <v>0</v>
      </c>
      <c r="AZ27" s="494">
        <f>SUM(AX27*0.00005)</f>
        <v>0</v>
      </c>
      <c r="BA27" s="246"/>
      <c r="BB27" s="247"/>
      <c r="BC27" s="247"/>
      <c r="BD27" s="247"/>
      <c r="BE27" s="247"/>
      <c r="BF27" s="247"/>
      <c r="BG27" s="247"/>
      <c r="BH27" s="247"/>
      <c r="BI27" s="247"/>
      <c r="BJ27" s="247"/>
      <c r="BK27" s="247"/>
      <c r="BL27" s="247"/>
      <c r="BM27" s="301"/>
      <c r="BN27" s="279">
        <f t="shared" si="6"/>
        <v>0</v>
      </c>
      <c r="BO27" s="390">
        <f>SUM(BN27*0.05)</f>
        <v>0</v>
      </c>
      <c r="BP27" s="512">
        <f>SUM(BN27*0.00005)</f>
        <v>0</v>
      </c>
    </row>
    <row r="28" spans="1:96" ht="16.05" customHeight="1" x14ac:dyDescent="0.3">
      <c r="A28" s="312" t="s">
        <v>58</v>
      </c>
      <c r="B28" s="313">
        <v>1680</v>
      </c>
      <c r="C28" s="277"/>
      <c r="D28" s="278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79">
        <f t="shared" si="3"/>
        <v>0</v>
      </c>
      <c r="S28" s="390">
        <f>SUM(R28*0.05)</f>
        <v>0</v>
      </c>
      <c r="T28" s="494">
        <f>SUM(R28*0.00005)</f>
        <v>0</v>
      </c>
      <c r="U28" s="246">
        <v>0</v>
      </c>
      <c r="V28" s="246">
        <v>0</v>
      </c>
      <c r="W28" s="246">
        <v>0</v>
      </c>
      <c r="X28" s="246">
        <v>0</v>
      </c>
      <c r="Y28" s="246">
        <v>0</v>
      </c>
      <c r="Z28" s="246">
        <v>0</v>
      </c>
      <c r="AA28" s="246">
        <v>0</v>
      </c>
      <c r="AB28" s="246">
        <v>0</v>
      </c>
      <c r="AC28" s="246">
        <v>0</v>
      </c>
      <c r="AD28" s="246">
        <v>0</v>
      </c>
      <c r="AE28" s="246">
        <v>0</v>
      </c>
      <c r="AF28" s="246">
        <v>0</v>
      </c>
      <c r="AG28" s="246">
        <v>0</v>
      </c>
      <c r="AH28" s="279">
        <f t="shared" si="4"/>
        <v>0</v>
      </c>
      <c r="AI28" s="390">
        <f>SUM(AH28*0.05)</f>
        <v>0</v>
      </c>
      <c r="AJ28" s="494">
        <f>SUM(AH28*0.00005)</f>
        <v>0</v>
      </c>
      <c r="AK28" s="246"/>
      <c r="AL28" s="246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79">
        <f t="shared" si="5"/>
        <v>0</v>
      </c>
      <c r="AY28" s="390">
        <f>SUM(AX28*0.05)</f>
        <v>0</v>
      </c>
      <c r="AZ28" s="494">
        <f>SUM(AX28*0.00005)</f>
        <v>0</v>
      </c>
      <c r="BA28" s="246"/>
      <c r="BB28" s="247"/>
      <c r="BC28" s="247"/>
      <c r="BD28" s="247"/>
      <c r="BE28" s="247"/>
      <c r="BF28" s="247"/>
      <c r="BG28" s="247"/>
      <c r="BH28" s="247"/>
      <c r="BI28" s="247"/>
      <c r="BJ28" s="247"/>
      <c r="BK28" s="247"/>
      <c r="BL28" s="247"/>
      <c r="BM28" s="301"/>
      <c r="BN28" s="279">
        <f t="shared" si="6"/>
        <v>0</v>
      </c>
      <c r="BO28" s="390">
        <f>SUM(BN28*0.05)</f>
        <v>0</v>
      </c>
      <c r="BP28" s="512">
        <f>SUM(BN28*0.00005)</f>
        <v>0</v>
      </c>
    </row>
    <row r="29" spans="1:96" ht="16.05" customHeight="1" thickBot="1" x14ac:dyDescent="0.35">
      <c r="A29" s="318" t="s">
        <v>53</v>
      </c>
      <c r="B29" s="319">
        <v>1681</v>
      </c>
      <c r="C29" s="291"/>
      <c r="D29" s="292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79">
        <f t="shared" si="3"/>
        <v>0</v>
      </c>
      <c r="S29" s="390">
        <f>SUM(R29*0.05)</f>
        <v>0</v>
      </c>
      <c r="T29" s="494">
        <f>SUM(R29*0.00005)</f>
        <v>0</v>
      </c>
      <c r="U29" s="246">
        <v>0</v>
      </c>
      <c r="V29" s="246">
        <v>0</v>
      </c>
      <c r="W29" s="246">
        <v>0</v>
      </c>
      <c r="X29" s="246">
        <v>0</v>
      </c>
      <c r="Y29" s="246">
        <v>0</v>
      </c>
      <c r="Z29" s="246">
        <v>0</v>
      </c>
      <c r="AA29" s="246">
        <v>0</v>
      </c>
      <c r="AB29" s="246">
        <v>0</v>
      </c>
      <c r="AC29" s="246">
        <v>0</v>
      </c>
      <c r="AD29" s="246">
        <v>0</v>
      </c>
      <c r="AE29" s="246">
        <v>0</v>
      </c>
      <c r="AF29" s="246">
        <v>0</v>
      </c>
      <c r="AG29" s="246">
        <v>0</v>
      </c>
      <c r="AH29" s="279">
        <f t="shared" si="4"/>
        <v>0</v>
      </c>
      <c r="AI29" s="390">
        <f>SUM(AH29*0.05)</f>
        <v>0</v>
      </c>
      <c r="AJ29" s="494">
        <f>SUM(AH29*0.00005)</f>
        <v>0</v>
      </c>
      <c r="AK29" s="246"/>
      <c r="AL29" s="246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79">
        <f t="shared" si="5"/>
        <v>0</v>
      </c>
      <c r="AY29" s="390">
        <f>SUM(AX29*0.05)</f>
        <v>0</v>
      </c>
      <c r="AZ29" s="494">
        <f>SUM(AX29*0.00005)</f>
        <v>0</v>
      </c>
      <c r="BA29" s="246"/>
      <c r="BB29" s="247"/>
      <c r="BC29" s="247"/>
      <c r="BD29" s="247"/>
      <c r="BE29" s="247"/>
      <c r="BF29" s="247"/>
      <c r="BG29" s="247"/>
      <c r="BH29" s="247"/>
      <c r="BI29" s="247"/>
      <c r="BJ29" s="247"/>
      <c r="BK29" s="247"/>
      <c r="BL29" s="247"/>
      <c r="BM29" s="301"/>
      <c r="BN29" s="279">
        <f t="shared" si="6"/>
        <v>0</v>
      </c>
      <c r="BO29" s="390">
        <f>SUM(BN29*0.05)</f>
        <v>0</v>
      </c>
      <c r="BP29" s="512">
        <f>SUM(BN29*0.00005)</f>
        <v>0</v>
      </c>
    </row>
    <row r="30" spans="1:96" s="5" customFormat="1" ht="16.05" customHeight="1" thickTop="1" x14ac:dyDescent="0.3">
      <c r="A30" s="39" t="s">
        <v>225</v>
      </c>
      <c r="B30" s="40"/>
      <c r="C30" s="284"/>
      <c r="D30" s="285"/>
      <c r="E30" s="304"/>
      <c r="F30" s="286"/>
      <c r="G30" s="286"/>
      <c r="H30" s="286"/>
      <c r="I30" s="287"/>
      <c r="J30" s="287"/>
      <c r="K30" s="287"/>
      <c r="L30" s="287"/>
      <c r="M30" s="287"/>
      <c r="N30" s="287"/>
      <c r="O30" s="287"/>
      <c r="P30" s="287"/>
      <c r="Q30" s="287"/>
      <c r="R30" s="288"/>
      <c r="S30" s="397"/>
      <c r="T30" s="39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8"/>
      <c r="AI30" s="397"/>
      <c r="AJ30" s="39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8"/>
      <c r="AY30" s="397"/>
      <c r="AZ30" s="399"/>
      <c r="BA30" s="289"/>
      <c r="BB30" s="289"/>
      <c r="BC30" s="289"/>
      <c r="BD30" s="289"/>
      <c r="BE30" s="289"/>
      <c r="BF30" s="289"/>
      <c r="BG30" s="289"/>
      <c r="BH30" s="289"/>
      <c r="BI30" s="289"/>
      <c r="BJ30" s="289"/>
      <c r="BK30" s="289"/>
      <c r="BL30" s="289"/>
      <c r="BM30" s="289"/>
      <c r="BN30" s="279"/>
      <c r="BO30" s="390"/>
      <c r="BP30" s="515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</row>
    <row r="31" spans="1:96" ht="16.05" customHeight="1" x14ac:dyDescent="0.3">
      <c r="A31" s="312" t="s">
        <v>156</v>
      </c>
      <c r="B31" s="313" t="s">
        <v>178</v>
      </c>
      <c r="C31" s="277"/>
      <c r="D31" s="278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79">
        <f t="shared" ref="R31:R44" si="7">SUM(E31:Q31)</f>
        <v>0</v>
      </c>
      <c r="S31" s="390">
        <f>SUM(R31*1.75)</f>
        <v>0</v>
      </c>
      <c r="T31" s="494">
        <f>SUM(R31*0.00063)</f>
        <v>0</v>
      </c>
      <c r="U31" s="246">
        <v>0</v>
      </c>
      <c r="V31" s="246">
        <v>0</v>
      </c>
      <c r="W31" s="246">
        <v>0</v>
      </c>
      <c r="X31" s="246">
        <v>0</v>
      </c>
      <c r="Y31" s="246">
        <v>0</v>
      </c>
      <c r="Z31" s="246">
        <v>0</v>
      </c>
      <c r="AA31" s="246">
        <v>0</v>
      </c>
      <c r="AB31" s="246">
        <v>0</v>
      </c>
      <c r="AC31" s="246">
        <v>0</v>
      </c>
      <c r="AD31" s="246">
        <v>0</v>
      </c>
      <c r="AE31" s="246">
        <v>0</v>
      </c>
      <c r="AF31" s="246">
        <v>0</v>
      </c>
      <c r="AG31" s="246">
        <v>0</v>
      </c>
      <c r="AH31" s="279">
        <f>SUM(U31:AG31)</f>
        <v>0</v>
      </c>
      <c r="AI31" s="390">
        <f>SUM(AH31*1.75)</f>
        <v>0</v>
      </c>
      <c r="AJ31" s="494">
        <f>SUM(AH31*0.00063)</f>
        <v>0</v>
      </c>
      <c r="AK31" s="246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79">
        <f t="shared" ref="AX31:AX44" si="8">SUM(AK31:AW31)</f>
        <v>0</v>
      </c>
      <c r="AY31" s="390">
        <f>SUM(AX31*1.75)</f>
        <v>0</v>
      </c>
      <c r="AZ31" s="494">
        <f>SUM(AX31*0.00063)</f>
        <v>0</v>
      </c>
      <c r="BA31" s="246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301"/>
      <c r="BN31" s="279">
        <f t="shared" ref="BN31:BN44" si="9">SUM(BA31:BM31)</f>
        <v>0</v>
      </c>
      <c r="BO31" s="390">
        <f>SUM(BN31*1.75)</f>
        <v>0</v>
      </c>
      <c r="BP31" s="512">
        <f>SUM(BN31*0.00063)</f>
        <v>0</v>
      </c>
    </row>
    <row r="32" spans="1:96" ht="16.05" customHeight="1" x14ac:dyDescent="0.3">
      <c r="A32" s="312" t="s">
        <v>107</v>
      </c>
      <c r="B32" s="313" t="s">
        <v>179</v>
      </c>
      <c r="C32" s="277"/>
      <c r="D32" s="278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79">
        <f t="shared" si="7"/>
        <v>0</v>
      </c>
      <c r="S32" s="390">
        <f>SUM(R32*7.93)</f>
        <v>0</v>
      </c>
      <c r="T32" s="494">
        <f>SUM(R32*0.0034)</f>
        <v>0</v>
      </c>
      <c r="U32" s="246">
        <v>0</v>
      </c>
      <c r="V32" s="246">
        <v>0</v>
      </c>
      <c r="W32" s="246">
        <v>0</v>
      </c>
      <c r="X32" s="246">
        <v>0</v>
      </c>
      <c r="Y32" s="246">
        <v>0</v>
      </c>
      <c r="Z32" s="246">
        <v>0</v>
      </c>
      <c r="AA32" s="246">
        <v>0</v>
      </c>
      <c r="AB32" s="246">
        <v>0</v>
      </c>
      <c r="AC32" s="246">
        <v>0</v>
      </c>
      <c r="AD32" s="246">
        <v>0</v>
      </c>
      <c r="AE32" s="246">
        <v>0</v>
      </c>
      <c r="AF32" s="246">
        <v>0</v>
      </c>
      <c r="AG32" s="246">
        <v>0</v>
      </c>
      <c r="AH32" s="279">
        <f>SUM(U32:AG32)</f>
        <v>0</v>
      </c>
      <c r="AI32" s="390">
        <f>SUM(AH32*7.93)</f>
        <v>0</v>
      </c>
      <c r="AJ32" s="494">
        <f>SUM(AH32*0.0034)</f>
        <v>0</v>
      </c>
      <c r="AK32" s="246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79">
        <f t="shared" si="8"/>
        <v>0</v>
      </c>
      <c r="AY32" s="390">
        <f>SUM(AX32*7.93)</f>
        <v>0</v>
      </c>
      <c r="AZ32" s="494">
        <f>SUM(AX32*0.0034)</f>
        <v>0</v>
      </c>
      <c r="BA32" s="246"/>
      <c r="BB32" s="247"/>
      <c r="BC32" s="247"/>
      <c r="BD32" s="247"/>
      <c r="BE32" s="247"/>
      <c r="BF32" s="247"/>
      <c r="BG32" s="247"/>
      <c r="BH32" s="247"/>
      <c r="BI32" s="247"/>
      <c r="BJ32" s="247"/>
      <c r="BK32" s="247"/>
      <c r="BL32" s="247"/>
      <c r="BM32" s="301"/>
      <c r="BN32" s="279">
        <f t="shared" si="9"/>
        <v>0</v>
      </c>
      <c r="BO32" s="390">
        <f>SUM(BN32*7.93)</f>
        <v>0</v>
      </c>
      <c r="BP32" s="512">
        <f>SUM(BN32*0.0034)</f>
        <v>0</v>
      </c>
    </row>
    <row r="33" spans="1:96" ht="16.05" customHeight="1" x14ac:dyDescent="0.3">
      <c r="A33" s="312" t="s">
        <v>157</v>
      </c>
      <c r="B33" s="313" t="s">
        <v>180</v>
      </c>
      <c r="C33" s="277"/>
      <c r="D33" s="278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79">
        <f t="shared" si="7"/>
        <v>0</v>
      </c>
      <c r="S33" s="390">
        <f>SUM(R33*1.4)</f>
        <v>0</v>
      </c>
      <c r="T33" s="494">
        <f>SUM(R33*0.0006)</f>
        <v>0</v>
      </c>
      <c r="U33" s="246">
        <v>0</v>
      </c>
      <c r="V33" s="246">
        <v>0</v>
      </c>
      <c r="W33" s="246">
        <v>0</v>
      </c>
      <c r="X33" s="246">
        <v>0</v>
      </c>
      <c r="Y33" s="246">
        <v>0</v>
      </c>
      <c r="Z33" s="246">
        <v>0</v>
      </c>
      <c r="AA33" s="246">
        <v>0</v>
      </c>
      <c r="AB33" s="246">
        <v>0</v>
      </c>
      <c r="AC33" s="246">
        <v>0</v>
      </c>
      <c r="AD33" s="246">
        <v>0</v>
      </c>
      <c r="AE33" s="246">
        <v>0</v>
      </c>
      <c r="AF33" s="246">
        <v>0</v>
      </c>
      <c r="AG33" s="246">
        <v>0</v>
      </c>
      <c r="AH33" s="279">
        <f>SUM(U33:AG33)</f>
        <v>0</v>
      </c>
      <c r="AI33" s="390">
        <f>SUM(AH33*1.4)</f>
        <v>0</v>
      </c>
      <c r="AJ33" s="494">
        <f>SUM(AH33*0.0006)</f>
        <v>0</v>
      </c>
      <c r="AK33" s="246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79">
        <f t="shared" si="8"/>
        <v>0</v>
      </c>
      <c r="AY33" s="390">
        <f>SUM(AX33*1.4)</f>
        <v>0</v>
      </c>
      <c r="AZ33" s="494">
        <f>SUM(AX33*0.0006)</f>
        <v>0</v>
      </c>
      <c r="BA33" s="246"/>
      <c r="BB33" s="247"/>
      <c r="BC33" s="247"/>
      <c r="BD33" s="247"/>
      <c r="BE33" s="247"/>
      <c r="BF33" s="247"/>
      <c r="BG33" s="247"/>
      <c r="BH33" s="247"/>
      <c r="BI33" s="247"/>
      <c r="BJ33" s="247"/>
      <c r="BK33" s="247"/>
      <c r="BL33" s="247"/>
      <c r="BM33" s="301"/>
      <c r="BN33" s="279">
        <f t="shared" si="9"/>
        <v>0</v>
      </c>
      <c r="BO33" s="390">
        <f>SUM(BN33*1.4)</f>
        <v>0</v>
      </c>
      <c r="BP33" s="512">
        <f>SUM(BN33*0.0006)</f>
        <v>0</v>
      </c>
    </row>
    <row r="34" spans="1:96" ht="16.05" customHeight="1" x14ac:dyDescent="0.3">
      <c r="A34" s="312" t="s">
        <v>104</v>
      </c>
      <c r="B34" s="313">
        <v>1495</v>
      </c>
      <c r="C34" s="277"/>
      <c r="D34" s="278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79">
        <f t="shared" si="7"/>
        <v>0</v>
      </c>
      <c r="S34" s="390">
        <f>SUM(R34*1.05)</f>
        <v>0</v>
      </c>
      <c r="T34" s="494">
        <f>SUM(R34*0.0009)</f>
        <v>0</v>
      </c>
      <c r="U34" s="246">
        <v>0</v>
      </c>
      <c r="V34" s="246">
        <v>0</v>
      </c>
      <c r="W34" s="247">
        <v>8</v>
      </c>
      <c r="X34" s="247"/>
      <c r="Y34" s="246">
        <v>0</v>
      </c>
      <c r="Z34" s="246">
        <v>0</v>
      </c>
      <c r="AA34" s="246">
        <v>0</v>
      </c>
      <c r="AB34" s="246">
        <v>0</v>
      </c>
      <c r="AC34" s="246">
        <v>0</v>
      </c>
      <c r="AD34" s="246">
        <v>0</v>
      </c>
      <c r="AE34" s="246">
        <v>0</v>
      </c>
      <c r="AF34" s="246">
        <v>0</v>
      </c>
      <c r="AG34" s="246">
        <v>0</v>
      </c>
      <c r="AH34" s="279">
        <f>SUM(X34:AG34)</f>
        <v>0</v>
      </c>
      <c r="AI34" s="390">
        <f>SUM(AH34*1.05)</f>
        <v>0</v>
      </c>
      <c r="AJ34" s="494">
        <f>SUM(AH34*0.0009)</f>
        <v>0</v>
      </c>
      <c r="AK34" s="246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79">
        <f t="shared" si="8"/>
        <v>0</v>
      </c>
      <c r="AY34" s="390">
        <f>SUM(AX34*1.05)</f>
        <v>0</v>
      </c>
      <c r="AZ34" s="494">
        <f>SUM(AX34*0.0009)</f>
        <v>0</v>
      </c>
      <c r="BA34" s="246"/>
      <c r="BB34" s="247"/>
      <c r="BC34" s="247"/>
      <c r="BD34" s="247"/>
      <c r="BE34" s="247"/>
      <c r="BF34" s="247"/>
      <c r="BG34" s="247"/>
      <c r="BH34" s="247"/>
      <c r="BI34" s="247"/>
      <c r="BJ34" s="247"/>
      <c r="BK34" s="247"/>
      <c r="BL34" s="247"/>
      <c r="BM34" s="301"/>
      <c r="BN34" s="279">
        <f t="shared" si="9"/>
        <v>0</v>
      </c>
      <c r="BO34" s="390">
        <f>SUM(BN34*1.05)</f>
        <v>0</v>
      </c>
      <c r="BP34" s="512">
        <f>SUM(BN34*0.0009)</f>
        <v>0</v>
      </c>
    </row>
    <row r="35" spans="1:96" ht="16.05" customHeight="1" x14ac:dyDescent="0.3">
      <c r="A35" s="312" t="s">
        <v>66</v>
      </c>
      <c r="B35" s="313">
        <v>1526</v>
      </c>
      <c r="C35" s="277"/>
      <c r="D35" s="278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79">
        <f t="shared" si="7"/>
        <v>0</v>
      </c>
      <c r="S35" s="390">
        <f>SUM(R35*0.83)</f>
        <v>0</v>
      </c>
      <c r="T35" s="494">
        <f>SUM(R35*0.00014)</f>
        <v>0</v>
      </c>
      <c r="U35" s="246">
        <v>0</v>
      </c>
      <c r="V35" s="246">
        <v>0</v>
      </c>
      <c r="W35" s="246">
        <v>0</v>
      </c>
      <c r="X35" s="246">
        <v>0</v>
      </c>
      <c r="Y35" s="246">
        <v>0</v>
      </c>
      <c r="Z35" s="246">
        <v>0</v>
      </c>
      <c r="AA35" s="246">
        <v>0</v>
      </c>
      <c r="AB35" s="246">
        <v>0</v>
      </c>
      <c r="AC35" s="246">
        <v>0</v>
      </c>
      <c r="AD35" s="246">
        <v>0</v>
      </c>
      <c r="AE35" s="246">
        <v>0</v>
      </c>
      <c r="AF35" s="246">
        <v>0</v>
      </c>
      <c r="AG35" s="246">
        <v>0</v>
      </c>
      <c r="AH35" s="279">
        <f t="shared" ref="AH35:AH44" si="10">SUM(U35:AG35)</f>
        <v>0</v>
      </c>
      <c r="AI35" s="390">
        <f>SUM(AH35*0.83)</f>
        <v>0</v>
      </c>
      <c r="AJ35" s="494">
        <f>SUM(AH35*0.00014)</f>
        <v>0</v>
      </c>
      <c r="AK35" s="246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79">
        <f t="shared" si="8"/>
        <v>0</v>
      </c>
      <c r="AY35" s="390">
        <f>SUM(AX35*0.83)</f>
        <v>0</v>
      </c>
      <c r="AZ35" s="494">
        <f>SUM(AX35*0.00014)</f>
        <v>0</v>
      </c>
      <c r="BA35" s="246"/>
      <c r="BB35" s="247"/>
      <c r="BC35" s="247"/>
      <c r="BD35" s="247"/>
      <c r="BE35" s="247"/>
      <c r="BF35" s="247"/>
      <c r="BG35" s="247"/>
      <c r="BH35" s="247"/>
      <c r="BI35" s="247"/>
      <c r="BJ35" s="247"/>
      <c r="BK35" s="247"/>
      <c r="BL35" s="247"/>
      <c r="BM35" s="301"/>
      <c r="BN35" s="279">
        <f t="shared" si="9"/>
        <v>0</v>
      </c>
      <c r="BO35" s="390">
        <f>SUM(BN35*0.83)</f>
        <v>0</v>
      </c>
      <c r="BP35" s="512">
        <f>SUM(BN35*0.00014)</f>
        <v>0</v>
      </c>
    </row>
    <row r="36" spans="1:96" ht="16.05" customHeight="1" x14ac:dyDescent="0.3">
      <c r="A36" s="312" t="s">
        <v>63</v>
      </c>
      <c r="B36" s="313">
        <v>1653</v>
      </c>
      <c r="C36" s="277"/>
      <c r="D36" s="278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79">
        <f t="shared" si="7"/>
        <v>0</v>
      </c>
      <c r="S36" s="390">
        <f>SUM(R36*0.38)</f>
        <v>0</v>
      </c>
      <c r="T36" s="494">
        <f>SUM(R36*0.0001)</f>
        <v>0</v>
      </c>
      <c r="U36" s="246">
        <v>0</v>
      </c>
      <c r="V36" s="246">
        <v>0</v>
      </c>
      <c r="W36" s="246">
        <v>0</v>
      </c>
      <c r="X36" s="246">
        <v>0</v>
      </c>
      <c r="Y36" s="246">
        <v>0</v>
      </c>
      <c r="Z36" s="246">
        <v>0</v>
      </c>
      <c r="AA36" s="246">
        <v>0</v>
      </c>
      <c r="AB36" s="246">
        <v>0</v>
      </c>
      <c r="AC36" s="246">
        <v>0</v>
      </c>
      <c r="AD36" s="246">
        <v>0</v>
      </c>
      <c r="AE36" s="246">
        <v>0</v>
      </c>
      <c r="AF36" s="246">
        <v>0</v>
      </c>
      <c r="AG36" s="246">
        <v>0</v>
      </c>
      <c r="AH36" s="279">
        <f t="shared" si="10"/>
        <v>0</v>
      </c>
      <c r="AI36" s="390">
        <f>SUM(AH36*0.38)</f>
        <v>0</v>
      </c>
      <c r="AJ36" s="494">
        <f>SUM(AH36*0.0001)</f>
        <v>0</v>
      </c>
      <c r="AK36" s="246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79">
        <f t="shared" si="8"/>
        <v>0</v>
      </c>
      <c r="AY36" s="390">
        <f>SUM(AX36*0.38)</f>
        <v>0</v>
      </c>
      <c r="AZ36" s="494">
        <f>SUM(AX36*0.0001)</f>
        <v>0</v>
      </c>
      <c r="BA36" s="246"/>
      <c r="BB36" s="247"/>
      <c r="BC36" s="247"/>
      <c r="BD36" s="247"/>
      <c r="BE36" s="247"/>
      <c r="BF36" s="247"/>
      <c r="BG36" s="247"/>
      <c r="BH36" s="247"/>
      <c r="BI36" s="247"/>
      <c r="BJ36" s="247"/>
      <c r="BK36" s="247"/>
      <c r="BL36" s="247"/>
      <c r="BM36" s="301"/>
      <c r="BN36" s="279">
        <f t="shared" si="9"/>
        <v>0</v>
      </c>
      <c r="BO36" s="390">
        <f>SUM(BN36*0.38)</f>
        <v>0</v>
      </c>
      <c r="BP36" s="512">
        <f>SUM(BN36*0.0001)</f>
        <v>0</v>
      </c>
    </row>
    <row r="37" spans="1:96" ht="16.05" customHeight="1" x14ac:dyDescent="0.3">
      <c r="A37" s="312" t="s">
        <v>67</v>
      </c>
      <c r="B37" s="313">
        <v>1688</v>
      </c>
      <c r="C37" s="277"/>
      <c r="D37" s="278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79">
        <f t="shared" si="7"/>
        <v>0</v>
      </c>
      <c r="S37" s="390">
        <f>SUM(R37*0.47)</f>
        <v>0</v>
      </c>
      <c r="T37" s="494">
        <f>SUM(R37*0.0003)</f>
        <v>0</v>
      </c>
      <c r="U37" s="246">
        <v>0</v>
      </c>
      <c r="V37" s="246">
        <v>0</v>
      </c>
      <c r="W37" s="246">
        <v>0</v>
      </c>
      <c r="X37" s="246">
        <v>0</v>
      </c>
      <c r="Y37" s="246">
        <v>0</v>
      </c>
      <c r="Z37" s="246">
        <v>0</v>
      </c>
      <c r="AA37" s="246">
        <v>0</v>
      </c>
      <c r="AB37" s="246">
        <v>0</v>
      </c>
      <c r="AC37" s="246">
        <v>0</v>
      </c>
      <c r="AD37" s="246">
        <v>0</v>
      </c>
      <c r="AE37" s="246">
        <v>0</v>
      </c>
      <c r="AF37" s="246">
        <v>0</v>
      </c>
      <c r="AG37" s="246">
        <v>0</v>
      </c>
      <c r="AH37" s="279">
        <f t="shared" si="10"/>
        <v>0</v>
      </c>
      <c r="AI37" s="390">
        <f>SUM(AH37*0.47)</f>
        <v>0</v>
      </c>
      <c r="AJ37" s="494">
        <f>SUM(AH37*0.0003)</f>
        <v>0</v>
      </c>
      <c r="AK37" s="246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79">
        <f t="shared" si="8"/>
        <v>0</v>
      </c>
      <c r="AY37" s="390">
        <f>SUM(AX37*0.47)</f>
        <v>0</v>
      </c>
      <c r="AZ37" s="494">
        <f>SUM(AX37*0.0003)</f>
        <v>0</v>
      </c>
      <c r="BA37" s="246"/>
      <c r="BB37" s="247"/>
      <c r="BC37" s="247"/>
      <c r="BD37" s="247"/>
      <c r="BE37" s="247"/>
      <c r="BF37" s="247"/>
      <c r="BG37" s="247"/>
      <c r="BH37" s="247"/>
      <c r="BI37" s="247"/>
      <c r="BJ37" s="247"/>
      <c r="BK37" s="247"/>
      <c r="BL37" s="247"/>
      <c r="BM37" s="301"/>
      <c r="BN37" s="279">
        <f t="shared" si="9"/>
        <v>0</v>
      </c>
      <c r="BO37" s="390">
        <f>SUM(BN37*0.47)</f>
        <v>0</v>
      </c>
      <c r="BP37" s="512">
        <f>SUM(BN37*0.0003)</f>
        <v>0</v>
      </c>
    </row>
    <row r="38" spans="1:96" ht="16.05" customHeight="1" x14ac:dyDescent="0.3">
      <c r="A38" s="312" t="s">
        <v>244</v>
      </c>
      <c r="B38" s="313">
        <v>1689</v>
      </c>
      <c r="C38" s="277"/>
      <c r="D38" s="278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79">
        <f t="shared" si="7"/>
        <v>0</v>
      </c>
      <c r="S38" s="390">
        <f>SUM(R38*0.64)</f>
        <v>0</v>
      </c>
      <c r="T38" s="494">
        <f>SUM(R38*0.001)</f>
        <v>0</v>
      </c>
      <c r="U38" s="246">
        <v>0</v>
      </c>
      <c r="V38" s="246">
        <v>0</v>
      </c>
      <c r="W38" s="246">
        <v>0</v>
      </c>
      <c r="X38" s="246">
        <v>0</v>
      </c>
      <c r="Y38" s="246">
        <v>0</v>
      </c>
      <c r="Z38" s="246">
        <v>0</v>
      </c>
      <c r="AA38" s="246">
        <v>0</v>
      </c>
      <c r="AB38" s="246">
        <v>0</v>
      </c>
      <c r="AC38" s="246">
        <v>0</v>
      </c>
      <c r="AD38" s="246">
        <v>0</v>
      </c>
      <c r="AE38" s="246">
        <v>0</v>
      </c>
      <c r="AF38" s="246">
        <v>0</v>
      </c>
      <c r="AG38" s="246">
        <v>0</v>
      </c>
      <c r="AH38" s="279">
        <f t="shared" si="10"/>
        <v>0</v>
      </c>
      <c r="AI38" s="390">
        <f>SUM(AH38*0.64)</f>
        <v>0</v>
      </c>
      <c r="AJ38" s="494">
        <f>SUM(AH38*0.001)</f>
        <v>0</v>
      </c>
      <c r="AK38" s="246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79">
        <f t="shared" si="8"/>
        <v>0</v>
      </c>
      <c r="AY38" s="390">
        <f>SUM(AX38*0.64)</f>
        <v>0</v>
      </c>
      <c r="AZ38" s="494">
        <f>SUM(AX38*0.001)</f>
        <v>0</v>
      </c>
      <c r="BA38" s="246"/>
      <c r="BB38" s="247"/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301"/>
      <c r="BN38" s="279">
        <f t="shared" si="9"/>
        <v>0</v>
      </c>
      <c r="BO38" s="390">
        <f>SUM(BN38*0.64)</f>
        <v>0</v>
      </c>
      <c r="BP38" s="512">
        <f>SUM(BN38*0.001)</f>
        <v>0</v>
      </c>
    </row>
    <row r="39" spans="1:96" ht="16.05" customHeight="1" x14ac:dyDescent="0.3">
      <c r="A39" s="312" t="s">
        <v>62</v>
      </c>
      <c r="B39" s="313">
        <v>1690</v>
      </c>
      <c r="C39" s="277"/>
      <c r="D39" s="278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79">
        <f t="shared" si="7"/>
        <v>0</v>
      </c>
      <c r="S39" s="390">
        <f>SUM(R39*0.18)</f>
        <v>0</v>
      </c>
      <c r="T39" s="494">
        <f>SUM(R39*0.00035)</f>
        <v>0</v>
      </c>
      <c r="U39" s="246">
        <v>0</v>
      </c>
      <c r="V39" s="246">
        <v>0</v>
      </c>
      <c r="W39" s="246">
        <v>0</v>
      </c>
      <c r="X39" s="246">
        <v>0</v>
      </c>
      <c r="Y39" s="246">
        <v>0</v>
      </c>
      <c r="Z39" s="246">
        <v>0</v>
      </c>
      <c r="AA39" s="246">
        <v>0</v>
      </c>
      <c r="AB39" s="246">
        <v>0</v>
      </c>
      <c r="AC39" s="246">
        <v>0</v>
      </c>
      <c r="AD39" s="246">
        <v>0</v>
      </c>
      <c r="AE39" s="246">
        <v>0</v>
      </c>
      <c r="AF39" s="246">
        <v>0</v>
      </c>
      <c r="AG39" s="246">
        <v>0</v>
      </c>
      <c r="AH39" s="279">
        <f t="shared" si="10"/>
        <v>0</v>
      </c>
      <c r="AI39" s="390">
        <f>SUM(AH39*0.18)</f>
        <v>0</v>
      </c>
      <c r="AJ39" s="494">
        <f>SUM(AH39*0.00035)</f>
        <v>0</v>
      </c>
      <c r="AK39" s="246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79">
        <f t="shared" si="8"/>
        <v>0</v>
      </c>
      <c r="AY39" s="390">
        <f>SUM(AX39*0.18)</f>
        <v>0</v>
      </c>
      <c r="AZ39" s="494">
        <f>SUM(AX39*0.00035)</f>
        <v>0</v>
      </c>
      <c r="BA39" s="246"/>
      <c r="BB39" s="247"/>
      <c r="BC39" s="247"/>
      <c r="BD39" s="247"/>
      <c r="BE39" s="247"/>
      <c r="BF39" s="247"/>
      <c r="BG39" s="247"/>
      <c r="BH39" s="247"/>
      <c r="BI39" s="247"/>
      <c r="BJ39" s="247"/>
      <c r="BK39" s="247"/>
      <c r="BL39" s="247"/>
      <c r="BM39" s="301"/>
      <c r="BN39" s="279">
        <f t="shared" si="9"/>
        <v>0</v>
      </c>
      <c r="BO39" s="390">
        <f>SUM(BN39*0.18)</f>
        <v>0</v>
      </c>
      <c r="BP39" s="512">
        <f>SUM(BN39*0.00035)</f>
        <v>0</v>
      </c>
    </row>
    <row r="40" spans="1:96" ht="16.05" customHeight="1" x14ac:dyDescent="0.3">
      <c r="A40" s="312" t="s">
        <v>155</v>
      </c>
      <c r="B40" s="313">
        <v>1933</v>
      </c>
      <c r="C40" s="277"/>
      <c r="D40" s="278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79">
        <f t="shared" si="7"/>
        <v>0</v>
      </c>
      <c r="S40" s="390">
        <f>SUM(R40*0.79)</f>
        <v>0</v>
      </c>
      <c r="T40" s="494">
        <f>SUM(R40*0.0017)</f>
        <v>0</v>
      </c>
      <c r="U40" s="246">
        <v>0</v>
      </c>
      <c r="V40" s="246">
        <v>0</v>
      </c>
      <c r="W40" s="246">
        <v>0</v>
      </c>
      <c r="X40" s="246">
        <v>0</v>
      </c>
      <c r="Y40" s="246">
        <v>0</v>
      </c>
      <c r="Z40" s="246">
        <v>0</v>
      </c>
      <c r="AA40" s="246">
        <v>0</v>
      </c>
      <c r="AB40" s="246">
        <v>0</v>
      </c>
      <c r="AC40" s="246">
        <v>0</v>
      </c>
      <c r="AD40" s="246">
        <v>0</v>
      </c>
      <c r="AE40" s="246">
        <v>0</v>
      </c>
      <c r="AF40" s="246">
        <v>0</v>
      </c>
      <c r="AG40" s="246">
        <v>0</v>
      </c>
      <c r="AH40" s="279">
        <f t="shared" si="10"/>
        <v>0</v>
      </c>
      <c r="AI40" s="390">
        <f>SUM(AH40*0.79)</f>
        <v>0</v>
      </c>
      <c r="AJ40" s="494">
        <f>SUM(AH40*0.0017)</f>
        <v>0</v>
      </c>
      <c r="AK40" s="246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79">
        <f t="shared" si="8"/>
        <v>0</v>
      </c>
      <c r="AY40" s="390">
        <f>SUM(AX40*0.79)</f>
        <v>0</v>
      </c>
      <c r="AZ40" s="494">
        <f>SUM(AX40*0.0017)</f>
        <v>0</v>
      </c>
      <c r="BA40" s="246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301"/>
      <c r="BN40" s="279">
        <f t="shared" si="9"/>
        <v>0</v>
      </c>
      <c r="BO40" s="390">
        <f>SUM(BN40*0.79)</f>
        <v>0</v>
      </c>
      <c r="BP40" s="512">
        <f>SUM(BN40*0.0017)</f>
        <v>0</v>
      </c>
    </row>
    <row r="41" spans="1:96" ht="16.05" customHeight="1" x14ac:dyDescent="0.3">
      <c r="A41" s="312" t="s">
        <v>109</v>
      </c>
      <c r="B41" s="313">
        <v>1946</v>
      </c>
      <c r="C41" s="277"/>
      <c r="D41" s="278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79">
        <f t="shared" si="7"/>
        <v>0</v>
      </c>
      <c r="S41" s="390">
        <f>SUM(R41*0.65)</f>
        <v>0</v>
      </c>
      <c r="T41" s="494">
        <f>SUM(R41*0.0005)</f>
        <v>0</v>
      </c>
      <c r="U41" s="246">
        <v>0</v>
      </c>
      <c r="V41" s="246">
        <v>0</v>
      </c>
      <c r="W41" s="246">
        <v>0</v>
      </c>
      <c r="X41" s="246">
        <v>0</v>
      </c>
      <c r="Y41" s="246">
        <v>0</v>
      </c>
      <c r="Z41" s="246">
        <v>0</v>
      </c>
      <c r="AA41" s="246">
        <v>0</v>
      </c>
      <c r="AB41" s="246">
        <v>0</v>
      </c>
      <c r="AC41" s="246">
        <v>0</v>
      </c>
      <c r="AD41" s="246">
        <v>0</v>
      </c>
      <c r="AE41" s="246">
        <v>0</v>
      </c>
      <c r="AF41" s="246">
        <v>0</v>
      </c>
      <c r="AG41" s="246">
        <v>0</v>
      </c>
      <c r="AH41" s="279">
        <f t="shared" si="10"/>
        <v>0</v>
      </c>
      <c r="AI41" s="390">
        <f>SUM(AH41*0.65)</f>
        <v>0</v>
      </c>
      <c r="AJ41" s="494">
        <f>SUM(AH41*0.0005)</f>
        <v>0</v>
      </c>
      <c r="AK41" s="246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  <c r="AX41" s="279">
        <f t="shared" si="8"/>
        <v>0</v>
      </c>
      <c r="AY41" s="390">
        <f>SUM(AX41*0.65)</f>
        <v>0</v>
      </c>
      <c r="AZ41" s="494">
        <f>SUM(AX41*0.0005)</f>
        <v>0</v>
      </c>
      <c r="BA41" s="246"/>
      <c r="BB41" s="247"/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301"/>
      <c r="BN41" s="279">
        <f t="shared" si="9"/>
        <v>0</v>
      </c>
      <c r="BO41" s="390">
        <f>SUM(BN41*0.65)</f>
        <v>0</v>
      </c>
      <c r="BP41" s="512">
        <f>SUM(BN41*0.0005)</f>
        <v>0</v>
      </c>
    </row>
    <row r="42" spans="1:96" ht="16.05" customHeight="1" x14ac:dyDescent="0.3">
      <c r="A42" s="312" t="s">
        <v>64</v>
      </c>
      <c r="B42" s="313">
        <v>1954</v>
      </c>
      <c r="C42" s="277"/>
      <c r="D42" s="278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79">
        <f t="shared" si="7"/>
        <v>0</v>
      </c>
      <c r="S42" s="390">
        <f>SUM(R42*1.55)</f>
        <v>0</v>
      </c>
      <c r="T42" s="494">
        <f>SUM(R42*0.0004)</f>
        <v>0</v>
      </c>
      <c r="U42" s="246">
        <v>0</v>
      </c>
      <c r="V42" s="246">
        <v>0</v>
      </c>
      <c r="W42" s="246">
        <v>0</v>
      </c>
      <c r="X42" s="246">
        <v>0</v>
      </c>
      <c r="Y42" s="246">
        <v>0</v>
      </c>
      <c r="Z42" s="246">
        <v>0</v>
      </c>
      <c r="AA42" s="246">
        <v>0</v>
      </c>
      <c r="AB42" s="246">
        <v>0</v>
      </c>
      <c r="AC42" s="246">
        <v>0</v>
      </c>
      <c r="AD42" s="246">
        <v>0</v>
      </c>
      <c r="AE42" s="246">
        <v>0</v>
      </c>
      <c r="AF42" s="246">
        <v>0</v>
      </c>
      <c r="AG42" s="246">
        <v>0</v>
      </c>
      <c r="AH42" s="279">
        <f t="shared" si="10"/>
        <v>0</v>
      </c>
      <c r="AI42" s="390">
        <f>SUM(AH42*1.55)</f>
        <v>0</v>
      </c>
      <c r="AJ42" s="494">
        <f>SUM(AH42*0.0004)</f>
        <v>0</v>
      </c>
      <c r="AK42" s="246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79">
        <f t="shared" si="8"/>
        <v>0</v>
      </c>
      <c r="AY42" s="390">
        <f>SUM(AX42*1.55)</f>
        <v>0</v>
      </c>
      <c r="AZ42" s="494">
        <f>SUM(AX42*0.0004)</f>
        <v>0</v>
      </c>
      <c r="BA42" s="246"/>
      <c r="BB42" s="247"/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301"/>
      <c r="BN42" s="279">
        <f t="shared" si="9"/>
        <v>0</v>
      </c>
      <c r="BO42" s="390">
        <f>SUM(BN42*1.55)</f>
        <v>0</v>
      </c>
      <c r="BP42" s="512">
        <f>SUM(BN42*0.0004)</f>
        <v>0</v>
      </c>
    </row>
    <row r="43" spans="1:96" s="5" customFormat="1" ht="16.05" customHeight="1" x14ac:dyDescent="0.3">
      <c r="A43" s="312" t="s">
        <v>154</v>
      </c>
      <c r="B43" s="313">
        <v>1955</v>
      </c>
      <c r="C43" s="277"/>
      <c r="D43" s="278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79">
        <f t="shared" si="7"/>
        <v>0</v>
      </c>
      <c r="S43" s="390">
        <f>SUM(R43*1.29)</f>
        <v>0</v>
      </c>
      <c r="T43" s="494">
        <f>SUM(R43*0.0004)</f>
        <v>0</v>
      </c>
      <c r="U43" s="246">
        <v>0</v>
      </c>
      <c r="V43" s="246">
        <v>0</v>
      </c>
      <c r="W43" s="246">
        <v>0</v>
      </c>
      <c r="X43" s="246">
        <v>0</v>
      </c>
      <c r="Y43" s="246">
        <v>0</v>
      </c>
      <c r="Z43" s="246">
        <v>0</v>
      </c>
      <c r="AA43" s="246">
        <v>0</v>
      </c>
      <c r="AB43" s="246">
        <v>0</v>
      </c>
      <c r="AC43" s="246">
        <v>0</v>
      </c>
      <c r="AD43" s="246">
        <v>0</v>
      </c>
      <c r="AE43" s="246">
        <v>0</v>
      </c>
      <c r="AF43" s="246">
        <v>0</v>
      </c>
      <c r="AG43" s="246">
        <v>0</v>
      </c>
      <c r="AH43" s="279">
        <f t="shared" si="10"/>
        <v>0</v>
      </c>
      <c r="AI43" s="390">
        <f>SUM(AH43*1.29)</f>
        <v>0</v>
      </c>
      <c r="AJ43" s="494">
        <f>SUM(AH43*0.0004)</f>
        <v>0</v>
      </c>
      <c r="AK43" s="246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79">
        <f t="shared" si="8"/>
        <v>0</v>
      </c>
      <c r="AY43" s="390">
        <f>SUM(AX43*1.29)</f>
        <v>0</v>
      </c>
      <c r="AZ43" s="494">
        <f>SUM(AX43*0.0004)</f>
        <v>0</v>
      </c>
      <c r="BA43" s="246"/>
      <c r="BB43" s="247"/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301"/>
      <c r="BN43" s="279">
        <f t="shared" si="9"/>
        <v>0</v>
      </c>
      <c r="BO43" s="390">
        <f>SUM(BN43*1.29)</f>
        <v>0</v>
      </c>
      <c r="BP43" s="512">
        <f>SUM(BN43*0.0004)</f>
        <v>0</v>
      </c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</row>
    <row r="44" spans="1:96" ht="16.05" customHeight="1" thickBot="1" x14ac:dyDescent="0.35">
      <c r="A44" s="318" t="s">
        <v>65</v>
      </c>
      <c r="B44" s="319">
        <v>1957</v>
      </c>
      <c r="C44" s="291"/>
      <c r="D44" s="292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79">
        <f t="shared" si="7"/>
        <v>0</v>
      </c>
      <c r="S44" s="390">
        <f>SUM(R44*0.54)</f>
        <v>0</v>
      </c>
      <c r="T44" s="494">
        <f>SUM(R44*0.0004)</f>
        <v>0</v>
      </c>
      <c r="U44" s="246">
        <v>0</v>
      </c>
      <c r="V44" s="246">
        <v>0</v>
      </c>
      <c r="W44" s="246">
        <v>0</v>
      </c>
      <c r="X44" s="246">
        <v>0</v>
      </c>
      <c r="Y44" s="246">
        <v>0</v>
      </c>
      <c r="Z44" s="246">
        <v>0</v>
      </c>
      <c r="AA44" s="246">
        <v>0</v>
      </c>
      <c r="AB44" s="246">
        <v>0</v>
      </c>
      <c r="AC44" s="246">
        <v>0</v>
      </c>
      <c r="AD44" s="246">
        <v>0</v>
      </c>
      <c r="AE44" s="246">
        <v>0</v>
      </c>
      <c r="AF44" s="246">
        <v>0</v>
      </c>
      <c r="AG44" s="246">
        <v>0</v>
      </c>
      <c r="AH44" s="279">
        <f t="shared" si="10"/>
        <v>0</v>
      </c>
      <c r="AI44" s="390">
        <f>SUM(AH44*0.54)</f>
        <v>0</v>
      </c>
      <c r="AJ44" s="494">
        <f>SUM(AH44*0.0004)</f>
        <v>0</v>
      </c>
      <c r="AK44" s="246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79">
        <f t="shared" si="8"/>
        <v>0</v>
      </c>
      <c r="AY44" s="390">
        <f>SUM(AX44*0.54)</f>
        <v>0</v>
      </c>
      <c r="AZ44" s="494">
        <f>SUM(AX44*0.0004)</f>
        <v>0</v>
      </c>
      <c r="BA44" s="246"/>
      <c r="BB44" s="247"/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301"/>
      <c r="BN44" s="279">
        <f t="shared" si="9"/>
        <v>0</v>
      </c>
      <c r="BO44" s="390">
        <f>SUM(BN44*0.54)</f>
        <v>0</v>
      </c>
      <c r="BP44" s="512">
        <f>SUM(BN44*0.0004)</f>
        <v>0</v>
      </c>
    </row>
    <row r="45" spans="1:96" s="5" customFormat="1" ht="16.05" customHeight="1" thickTop="1" x14ac:dyDescent="0.3">
      <c r="A45" s="283" t="s">
        <v>226</v>
      </c>
      <c r="B45" s="42"/>
      <c r="C45" s="284"/>
      <c r="D45" s="285"/>
      <c r="E45" s="304"/>
      <c r="F45" s="286"/>
      <c r="G45" s="286"/>
      <c r="H45" s="286"/>
      <c r="I45" s="287"/>
      <c r="J45" s="287"/>
      <c r="K45" s="287"/>
      <c r="L45" s="287"/>
      <c r="M45" s="287"/>
      <c r="N45" s="287"/>
      <c r="O45" s="287"/>
      <c r="P45" s="287"/>
      <c r="Q45" s="287"/>
      <c r="R45" s="288"/>
      <c r="S45" s="397"/>
      <c r="T45" s="399"/>
      <c r="U45" s="289"/>
      <c r="V45" s="289"/>
      <c r="W45" s="246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8"/>
      <c r="AI45" s="397"/>
      <c r="AJ45" s="39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8"/>
      <c r="AY45" s="397"/>
      <c r="AZ45" s="399"/>
      <c r="BA45" s="289"/>
      <c r="BB45" s="289"/>
      <c r="BC45" s="289"/>
      <c r="BD45" s="289"/>
      <c r="BE45" s="289"/>
      <c r="BF45" s="289"/>
      <c r="BG45" s="289"/>
      <c r="BH45" s="289"/>
      <c r="BI45" s="289"/>
      <c r="BJ45" s="289"/>
      <c r="BK45" s="289"/>
      <c r="BL45" s="289"/>
      <c r="BM45" s="289"/>
      <c r="BN45" s="279"/>
      <c r="BO45" s="390"/>
      <c r="BP45" s="515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</row>
    <row r="46" spans="1:96" ht="16.05" customHeight="1" x14ac:dyDescent="0.3">
      <c r="A46" s="312" t="s">
        <v>73</v>
      </c>
      <c r="B46" s="313">
        <v>1626</v>
      </c>
      <c r="C46" s="277"/>
      <c r="D46" s="278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79">
        <f t="shared" ref="R46:R51" si="11">SUM(E46:Q46)</f>
        <v>0</v>
      </c>
      <c r="S46" s="390">
        <f>SUM(R46*4.7)</f>
        <v>0</v>
      </c>
      <c r="T46" s="494">
        <f>SUM(R46*0.001)</f>
        <v>0</v>
      </c>
      <c r="U46" s="246">
        <v>0</v>
      </c>
      <c r="V46" s="246">
        <v>0</v>
      </c>
      <c r="W46" s="246">
        <v>0</v>
      </c>
      <c r="X46" s="246">
        <v>0</v>
      </c>
      <c r="Y46" s="246">
        <v>0</v>
      </c>
      <c r="Z46" s="246">
        <v>0</v>
      </c>
      <c r="AA46" s="246">
        <v>0</v>
      </c>
      <c r="AB46" s="247">
        <v>0</v>
      </c>
      <c r="AC46" s="247">
        <v>0</v>
      </c>
      <c r="AD46" s="247">
        <v>0</v>
      </c>
      <c r="AE46" s="247">
        <v>0</v>
      </c>
      <c r="AF46" s="247">
        <v>0</v>
      </c>
      <c r="AG46" s="247">
        <v>0</v>
      </c>
      <c r="AH46" s="279">
        <f t="shared" ref="AH46:AH51" si="12">SUM(U46:AG46)</f>
        <v>0</v>
      </c>
      <c r="AI46" s="390">
        <f>SUM(AH46*4.7)</f>
        <v>0</v>
      </c>
      <c r="AJ46" s="494">
        <f>SUM(AH46*0.001)</f>
        <v>0</v>
      </c>
      <c r="AK46" s="246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  <c r="AW46" s="247"/>
      <c r="AX46" s="279">
        <f t="shared" ref="AX46:AX51" si="13">SUM(AK46:AW46)</f>
        <v>0</v>
      </c>
      <c r="AY46" s="390">
        <f>SUM(AX46*4.7)</f>
        <v>0</v>
      </c>
      <c r="AZ46" s="494">
        <f>SUM(AX46*0.001)</f>
        <v>0</v>
      </c>
      <c r="BA46" s="246"/>
      <c r="BB46" s="247"/>
      <c r="BC46" s="247"/>
      <c r="BD46" s="247"/>
      <c r="BE46" s="247"/>
      <c r="BF46" s="247"/>
      <c r="BG46" s="247"/>
      <c r="BH46" s="247"/>
      <c r="BI46" s="247"/>
      <c r="BJ46" s="247"/>
      <c r="BK46" s="247"/>
      <c r="BL46" s="247"/>
      <c r="BM46" s="301"/>
      <c r="BN46" s="279">
        <f t="shared" ref="BN46:BN51" si="14">SUM(BA46:BM46)</f>
        <v>0</v>
      </c>
      <c r="BO46" s="390">
        <f>SUM(BN46*4.7)</f>
        <v>0</v>
      </c>
      <c r="BP46" s="512">
        <f>SUM(BN46*0.001)</f>
        <v>0</v>
      </c>
    </row>
    <row r="47" spans="1:96" ht="16.05" customHeight="1" x14ac:dyDescent="0.3">
      <c r="A47" s="312" t="s">
        <v>70</v>
      </c>
      <c r="B47" s="313">
        <v>1631</v>
      </c>
      <c r="C47" s="277"/>
      <c r="D47" s="278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79">
        <f t="shared" si="11"/>
        <v>0</v>
      </c>
      <c r="S47" s="390">
        <f>SUM(R47*22.75)</f>
        <v>0</v>
      </c>
      <c r="T47" s="494">
        <f>SUM(R47*0.0025)</f>
        <v>0</v>
      </c>
      <c r="U47" s="246">
        <v>0</v>
      </c>
      <c r="V47" s="246">
        <v>0</v>
      </c>
      <c r="W47" s="246">
        <v>0</v>
      </c>
      <c r="X47" s="246">
        <v>0</v>
      </c>
      <c r="Y47" s="246">
        <v>0</v>
      </c>
      <c r="Z47" s="246">
        <v>0</v>
      </c>
      <c r="AA47" s="246">
        <v>0</v>
      </c>
      <c r="AB47" s="247">
        <v>0</v>
      </c>
      <c r="AC47" s="247">
        <v>0</v>
      </c>
      <c r="AD47" s="247">
        <v>0</v>
      </c>
      <c r="AE47" s="247">
        <v>0</v>
      </c>
      <c r="AF47" s="247">
        <v>0</v>
      </c>
      <c r="AG47" s="247">
        <v>0</v>
      </c>
      <c r="AH47" s="279">
        <f t="shared" si="12"/>
        <v>0</v>
      </c>
      <c r="AI47" s="390">
        <f>SUM(AH47*22.75)</f>
        <v>0</v>
      </c>
      <c r="AJ47" s="494">
        <f>SUM(AH47*0.0025)</f>
        <v>0</v>
      </c>
      <c r="AK47" s="246"/>
      <c r="AL47" s="247"/>
      <c r="AM47" s="247"/>
      <c r="AN47" s="247"/>
      <c r="AO47" s="247"/>
      <c r="AP47" s="247"/>
      <c r="AQ47" s="247"/>
      <c r="AR47" s="247"/>
      <c r="AS47" s="247"/>
      <c r="AT47" s="247"/>
      <c r="AU47" s="247"/>
      <c r="AV47" s="247"/>
      <c r="AW47" s="247"/>
      <c r="AX47" s="279">
        <f t="shared" si="13"/>
        <v>0</v>
      </c>
      <c r="AY47" s="390">
        <f>SUM(AX47*22.75)</f>
        <v>0</v>
      </c>
      <c r="AZ47" s="494">
        <f>SUM(AX47*0.0025)</f>
        <v>0</v>
      </c>
      <c r="BA47" s="246"/>
      <c r="BB47" s="247"/>
      <c r="BC47" s="247"/>
      <c r="BD47" s="247"/>
      <c r="BE47" s="247"/>
      <c r="BF47" s="247"/>
      <c r="BG47" s="247"/>
      <c r="BH47" s="247"/>
      <c r="BI47" s="247"/>
      <c r="BJ47" s="247"/>
      <c r="BK47" s="247"/>
      <c r="BL47" s="247"/>
      <c r="BM47" s="301"/>
      <c r="BN47" s="279">
        <f t="shared" si="14"/>
        <v>0</v>
      </c>
      <c r="BO47" s="390">
        <f>SUM(BN47*22.75)</f>
        <v>0</v>
      </c>
      <c r="BP47" s="512">
        <f>SUM(BN47*0.0025)</f>
        <v>0</v>
      </c>
    </row>
    <row r="48" spans="1:96" ht="16.05" customHeight="1" x14ac:dyDescent="0.3">
      <c r="A48" s="312" t="s">
        <v>71</v>
      </c>
      <c r="B48" s="313">
        <v>1632</v>
      </c>
      <c r="C48" s="277"/>
      <c r="D48" s="278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79">
        <f t="shared" si="11"/>
        <v>0</v>
      </c>
      <c r="S48" s="390">
        <f>SUM(R48*5.59)</f>
        <v>0</v>
      </c>
      <c r="T48" s="494">
        <f>SUM(R48*0.0015)</f>
        <v>0</v>
      </c>
      <c r="U48" s="246">
        <v>0</v>
      </c>
      <c r="V48" s="246">
        <v>0</v>
      </c>
      <c r="W48" s="246">
        <v>0</v>
      </c>
      <c r="X48" s="246">
        <v>0</v>
      </c>
      <c r="Y48" s="246">
        <v>0</v>
      </c>
      <c r="Z48" s="246">
        <v>0</v>
      </c>
      <c r="AA48" s="246">
        <v>0</v>
      </c>
      <c r="AB48" s="247">
        <v>0</v>
      </c>
      <c r="AC48" s="247">
        <v>0</v>
      </c>
      <c r="AD48" s="247">
        <v>0</v>
      </c>
      <c r="AE48" s="247">
        <v>0</v>
      </c>
      <c r="AF48" s="247">
        <v>0</v>
      </c>
      <c r="AG48" s="247">
        <v>0</v>
      </c>
      <c r="AH48" s="279">
        <f t="shared" si="12"/>
        <v>0</v>
      </c>
      <c r="AI48" s="390">
        <f>SUM(AH48*5.59)</f>
        <v>0</v>
      </c>
      <c r="AJ48" s="494">
        <f>SUM(AH48*0.0015)</f>
        <v>0</v>
      </c>
      <c r="AK48" s="246"/>
      <c r="AL48" s="247"/>
      <c r="AM48" s="247"/>
      <c r="AN48" s="247"/>
      <c r="AO48" s="247"/>
      <c r="AP48" s="247"/>
      <c r="AQ48" s="247"/>
      <c r="AR48" s="247"/>
      <c r="AS48" s="247"/>
      <c r="AT48" s="247"/>
      <c r="AU48" s="247"/>
      <c r="AV48" s="247"/>
      <c r="AW48" s="247"/>
      <c r="AX48" s="279">
        <f t="shared" si="13"/>
        <v>0</v>
      </c>
      <c r="AY48" s="390">
        <f>SUM(AX48*5.59)</f>
        <v>0</v>
      </c>
      <c r="AZ48" s="494">
        <f>SUM(AX48*0.0015)</f>
        <v>0</v>
      </c>
      <c r="BA48" s="246"/>
      <c r="BB48" s="247"/>
      <c r="BC48" s="247"/>
      <c r="BD48" s="247"/>
      <c r="BE48" s="247"/>
      <c r="BF48" s="247"/>
      <c r="BG48" s="247"/>
      <c r="BH48" s="247"/>
      <c r="BI48" s="247"/>
      <c r="BJ48" s="247"/>
      <c r="BK48" s="247"/>
      <c r="BL48" s="247"/>
      <c r="BM48" s="301"/>
      <c r="BN48" s="279">
        <f t="shared" si="14"/>
        <v>0</v>
      </c>
      <c r="BO48" s="390">
        <f>SUM(BN48*5.59)</f>
        <v>0</v>
      </c>
      <c r="BP48" s="512">
        <f>SUM(BN48*0.0015)</f>
        <v>0</v>
      </c>
    </row>
    <row r="49" spans="1:96" ht="16.05" customHeight="1" x14ac:dyDescent="0.3">
      <c r="A49" s="312" t="s">
        <v>69</v>
      </c>
      <c r="B49" s="313">
        <v>1659</v>
      </c>
      <c r="C49" s="277"/>
      <c r="D49" s="278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79">
        <f t="shared" si="11"/>
        <v>0</v>
      </c>
      <c r="S49" s="390">
        <f>SUM(R49*0.32)</f>
        <v>0</v>
      </c>
      <c r="T49" s="494">
        <f>SUM(R49*0.0005)</f>
        <v>0</v>
      </c>
      <c r="U49" s="246">
        <v>0</v>
      </c>
      <c r="V49" s="246">
        <v>0</v>
      </c>
      <c r="W49" s="246">
        <v>0</v>
      </c>
      <c r="X49" s="246">
        <v>0</v>
      </c>
      <c r="Y49" s="246">
        <v>0</v>
      </c>
      <c r="Z49" s="246">
        <v>0</v>
      </c>
      <c r="AA49" s="246">
        <v>0</v>
      </c>
      <c r="AB49" s="247">
        <v>0</v>
      </c>
      <c r="AC49" s="247">
        <v>0</v>
      </c>
      <c r="AD49" s="247">
        <v>0</v>
      </c>
      <c r="AE49" s="247">
        <v>0</v>
      </c>
      <c r="AF49" s="247">
        <v>0</v>
      </c>
      <c r="AG49" s="247">
        <v>0</v>
      </c>
      <c r="AH49" s="279">
        <f t="shared" si="12"/>
        <v>0</v>
      </c>
      <c r="AI49" s="390">
        <f>SUM(AH49*0.32)</f>
        <v>0</v>
      </c>
      <c r="AJ49" s="494">
        <f>SUM(AH49*0.0005)</f>
        <v>0</v>
      </c>
      <c r="AK49" s="246"/>
      <c r="AL49" s="247"/>
      <c r="AM49" s="247"/>
      <c r="AN49" s="247"/>
      <c r="AO49" s="247"/>
      <c r="AP49" s="247"/>
      <c r="AQ49" s="247"/>
      <c r="AR49" s="247"/>
      <c r="AS49" s="247"/>
      <c r="AT49" s="247"/>
      <c r="AU49" s="247"/>
      <c r="AV49" s="247"/>
      <c r="AW49" s="247"/>
      <c r="AX49" s="279">
        <f t="shared" si="13"/>
        <v>0</v>
      </c>
      <c r="AY49" s="390">
        <f>SUM(AX49*0.32)</f>
        <v>0</v>
      </c>
      <c r="AZ49" s="494">
        <f>SUM(AX49*0.0005)</f>
        <v>0</v>
      </c>
      <c r="BA49" s="246"/>
      <c r="BB49" s="247"/>
      <c r="BC49" s="247"/>
      <c r="BD49" s="247"/>
      <c r="BE49" s="247"/>
      <c r="BF49" s="247"/>
      <c r="BG49" s="247"/>
      <c r="BH49" s="247"/>
      <c r="BI49" s="247"/>
      <c r="BJ49" s="247"/>
      <c r="BK49" s="247"/>
      <c r="BL49" s="247"/>
      <c r="BM49" s="301"/>
      <c r="BN49" s="279">
        <f t="shared" si="14"/>
        <v>0</v>
      </c>
      <c r="BO49" s="390">
        <f>SUM(BN49*0.32)</f>
        <v>0</v>
      </c>
      <c r="BP49" s="512">
        <f>SUM(BN49*0.0005)</f>
        <v>0</v>
      </c>
    </row>
    <row r="50" spans="1:96" ht="16.05" customHeight="1" x14ac:dyDescent="0.3">
      <c r="A50" s="312" t="s">
        <v>74</v>
      </c>
      <c r="B50" s="313">
        <v>1661</v>
      </c>
      <c r="C50" s="277"/>
      <c r="D50" s="278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79">
        <f t="shared" si="11"/>
        <v>0</v>
      </c>
      <c r="S50" s="390">
        <f>SUM(R50*0.13)</f>
        <v>0</v>
      </c>
      <c r="T50" s="494">
        <f>SUM(R50*0.00025)</f>
        <v>0</v>
      </c>
      <c r="U50" s="246">
        <v>0</v>
      </c>
      <c r="V50" s="246">
        <v>0</v>
      </c>
      <c r="W50" s="246">
        <v>0</v>
      </c>
      <c r="X50" s="246">
        <v>0</v>
      </c>
      <c r="Y50" s="246">
        <v>0</v>
      </c>
      <c r="Z50" s="246">
        <v>0</v>
      </c>
      <c r="AA50" s="246">
        <v>0</v>
      </c>
      <c r="AB50" s="247">
        <v>0</v>
      </c>
      <c r="AC50" s="247">
        <v>0</v>
      </c>
      <c r="AD50" s="247">
        <v>0</v>
      </c>
      <c r="AE50" s="247">
        <v>0</v>
      </c>
      <c r="AF50" s="247">
        <v>0</v>
      </c>
      <c r="AG50" s="247">
        <v>0</v>
      </c>
      <c r="AH50" s="279">
        <f t="shared" si="12"/>
        <v>0</v>
      </c>
      <c r="AI50" s="390">
        <f>SUM(AH50*0.13)</f>
        <v>0</v>
      </c>
      <c r="AJ50" s="494">
        <f>SUM(AH50*0.00025)</f>
        <v>0</v>
      </c>
      <c r="AK50" s="246"/>
      <c r="AL50" s="247"/>
      <c r="AM50" s="247"/>
      <c r="AN50" s="247"/>
      <c r="AO50" s="247"/>
      <c r="AP50" s="247"/>
      <c r="AQ50" s="247"/>
      <c r="AR50" s="247"/>
      <c r="AS50" s="247"/>
      <c r="AT50" s="247"/>
      <c r="AU50" s="247"/>
      <c r="AV50" s="247"/>
      <c r="AW50" s="247"/>
      <c r="AX50" s="279">
        <f t="shared" si="13"/>
        <v>0</v>
      </c>
      <c r="AY50" s="390">
        <f>SUM(AX50*0.13)</f>
        <v>0</v>
      </c>
      <c r="AZ50" s="494">
        <f>SUM(AX50*0.00025)</f>
        <v>0</v>
      </c>
      <c r="BA50" s="246"/>
      <c r="BB50" s="247"/>
      <c r="BC50" s="247"/>
      <c r="BD50" s="247"/>
      <c r="BE50" s="247"/>
      <c r="BF50" s="247"/>
      <c r="BG50" s="247"/>
      <c r="BH50" s="247"/>
      <c r="BI50" s="247"/>
      <c r="BJ50" s="247"/>
      <c r="BK50" s="247"/>
      <c r="BL50" s="247"/>
      <c r="BM50" s="301"/>
      <c r="BN50" s="279">
        <f t="shared" si="14"/>
        <v>0</v>
      </c>
      <c r="BO50" s="390">
        <f>SUM(BN50*0.13)</f>
        <v>0</v>
      </c>
      <c r="BP50" s="512">
        <f>SUM(BN50*0.00025)</f>
        <v>0</v>
      </c>
    </row>
    <row r="51" spans="1:96" ht="16.05" customHeight="1" thickBot="1" x14ac:dyDescent="0.35">
      <c r="A51" s="312" t="s">
        <v>110</v>
      </c>
      <c r="B51" s="313">
        <v>1810</v>
      </c>
      <c r="C51" s="277"/>
      <c r="D51" s="27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79">
        <f t="shared" si="11"/>
        <v>0</v>
      </c>
      <c r="S51" s="390">
        <f>SUM(R51*3.49)</f>
        <v>0</v>
      </c>
      <c r="T51" s="494">
        <f>SUM(R51*0.001)</f>
        <v>0</v>
      </c>
      <c r="U51" s="246">
        <v>0</v>
      </c>
      <c r="V51" s="246">
        <v>0</v>
      </c>
      <c r="W51" s="246">
        <v>0</v>
      </c>
      <c r="X51" s="246">
        <v>0</v>
      </c>
      <c r="Y51" s="246">
        <v>0</v>
      </c>
      <c r="Z51" s="246">
        <v>0</v>
      </c>
      <c r="AA51" s="246">
        <v>0</v>
      </c>
      <c r="AB51" s="247">
        <v>0</v>
      </c>
      <c r="AC51" s="247">
        <v>0</v>
      </c>
      <c r="AD51" s="247">
        <v>0</v>
      </c>
      <c r="AE51" s="247">
        <v>0</v>
      </c>
      <c r="AF51" s="247">
        <v>0</v>
      </c>
      <c r="AG51" s="247">
        <v>0</v>
      </c>
      <c r="AH51" s="279">
        <f t="shared" si="12"/>
        <v>0</v>
      </c>
      <c r="AI51" s="390">
        <f>SUM(AH51*3.49)</f>
        <v>0</v>
      </c>
      <c r="AJ51" s="494">
        <f>SUM(AH51*0.001)</f>
        <v>0</v>
      </c>
      <c r="AK51" s="246"/>
      <c r="AL51" s="247"/>
      <c r="AM51" s="247"/>
      <c r="AN51" s="247"/>
      <c r="AO51" s="247"/>
      <c r="AP51" s="247"/>
      <c r="AQ51" s="247"/>
      <c r="AR51" s="247"/>
      <c r="AS51" s="247"/>
      <c r="AT51" s="247"/>
      <c r="AU51" s="247"/>
      <c r="AV51" s="247"/>
      <c r="AW51" s="247"/>
      <c r="AX51" s="279">
        <f t="shared" si="13"/>
        <v>0</v>
      </c>
      <c r="AY51" s="390">
        <f>SUM(AX51*3.49)</f>
        <v>0</v>
      </c>
      <c r="AZ51" s="494">
        <f>SUM(AX51*0.001)</f>
        <v>0</v>
      </c>
      <c r="BA51" s="246"/>
      <c r="BB51" s="247"/>
      <c r="BC51" s="247"/>
      <c r="BD51" s="247"/>
      <c r="BE51" s="247"/>
      <c r="BF51" s="247"/>
      <c r="BG51" s="247"/>
      <c r="BH51" s="247"/>
      <c r="BI51" s="247"/>
      <c r="BJ51" s="247"/>
      <c r="BK51" s="247"/>
      <c r="BL51" s="247"/>
      <c r="BM51" s="301"/>
      <c r="BN51" s="279">
        <f t="shared" si="14"/>
        <v>0</v>
      </c>
      <c r="BO51" s="390">
        <f>SUM(BN51*3.49)</f>
        <v>0</v>
      </c>
      <c r="BP51" s="512">
        <f>SUM(BN51*0.001)</f>
        <v>0</v>
      </c>
    </row>
    <row r="52" spans="1:96" s="3" customFormat="1" ht="16.05" customHeight="1" thickTop="1" x14ac:dyDescent="0.3">
      <c r="A52" s="41" t="s">
        <v>77</v>
      </c>
      <c r="B52" s="31"/>
      <c r="C52" s="284"/>
      <c r="D52" s="293"/>
      <c r="E52" s="304"/>
      <c r="F52" s="286"/>
      <c r="G52" s="286"/>
      <c r="H52" s="286"/>
      <c r="I52" s="287"/>
      <c r="J52" s="287"/>
      <c r="K52" s="287"/>
      <c r="L52" s="287"/>
      <c r="M52" s="287"/>
      <c r="N52" s="287"/>
      <c r="O52" s="287"/>
      <c r="P52" s="287"/>
      <c r="Q52" s="287"/>
      <c r="R52" s="288"/>
      <c r="S52" s="397"/>
      <c r="T52" s="399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88"/>
      <c r="AI52" s="397"/>
      <c r="AJ52" s="399"/>
      <c r="AK52" s="289"/>
      <c r="AL52" s="289"/>
      <c r="AM52" s="289"/>
      <c r="AN52" s="289"/>
      <c r="AO52" s="289"/>
      <c r="AP52" s="289"/>
      <c r="AQ52" s="289"/>
      <c r="AR52" s="289"/>
      <c r="AS52" s="289"/>
      <c r="AT52" s="289"/>
      <c r="AU52" s="289"/>
      <c r="AV52" s="289"/>
      <c r="AW52" s="289"/>
      <c r="AX52" s="288"/>
      <c r="AY52" s="397"/>
      <c r="AZ52" s="399"/>
      <c r="BA52" s="289"/>
      <c r="BB52" s="289"/>
      <c r="BC52" s="289"/>
      <c r="BD52" s="289"/>
      <c r="BE52" s="289"/>
      <c r="BF52" s="289"/>
      <c r="BG52" s="289"/>
      <c r="BH52" s="289"/>
      <c r="BI52" s="289"/>
      <c r="BJ52" s="289"/>
      <c r="BK52" s="289"/>
      <c r="BL52" s="289"/>
      <c r="BM52" s="289"/>
      <c r="BN52" s="279"/>
      <c r="BO52" s="390"/>
      <c r="BP52" s="515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</row>
    <row r="53" spans="1:96" ht="16.05" customHeight="1" x14ac:dyDescent="0.3">
      <c r="A53" s="312" t="s">
        <v>78</v>
      </c>
      <c r="B53" s="313">
        <v>1878</v>
      </c>
      <c r="C53" s="277"/>
      <c r="D53" s="278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79">
        <f>SUM(E53:Q53)</f>
        <v>0</v>
      </c>
      <c r="S53" s="390">
        <f>SUM(R53*234.27)</f>
        <v>0</v>
      </c>
      <c r="T53" s="494">
        <f>SUM(R53*0.015)</f>
        <v>0</v>
      </c>
      <c r="U53" s="246">
        <v>0</v>
      </c>
      <c r="V53" s="246">
        <v>0</v>
      </c>
      <c r="W53" s="246">
        <v>0</v>
      </c>
      <c r="X53" s="246">
        <v>0</v>
      </c>
      <c r="Y53" s="246">
        <v>0</v>
      </c>
      <c r="Z53" s="247">
        <v>0</v>
      </c>
      <c r="AA53" s="247">
        <v>0</v>
      </c>
      <c r="AB53" s="247">
        <v>0</v>
      </c>
      <c r="AC53" s="247">
        <v>0</v>
      </c>
      <c r="AD53" s="247">
        <v>0</v>
      </c>
      <c r="AE53" s="247">
        <v>0</v>
      </c>
      <c r="AF53" s="247">
        <v>0</v>
      </c>
      <c r="AG53" s="247">
        <v>0</v>
      </c>
      <c r="AH53" s="279">
        <f>SUM(U53:AG53)</f>
        <v>0</v>
      </c>
      <c r="AI53" s="390">
        <f>SUM(AH53*234.27)</f>
        <v>0</v>
      </c>
      <c r="AJ53" s="494">
        <f>SUM(AH53*0.015)</f>
        <v>0</v>
      </c>
      <c r="AK53" s="246"/>
      <c r="AL53" s="247"/>
      <c r="AM53" s="247"/>
      <c r="AN53" s="247"/>
      <c r="AO53" s="247"/>
      <c r="AP53" s="247"/>
      <c r="AQ53" s="247"/>
      <c r="AR53" s="247"/>
      <c r="AS53" s="247"/>
      <c r="AT53" s="247"/>
      <c r="AU53" s="247"/>
      <c r="AV53" s="247"/>
      <c r="AW53" s="247"/>
      <c r="AX53" s="279">
        <f>SUM(AK53:AW53)</f>
        <v>0</v>
      </c>
      <c r="AY53" s="390">
        <f>SUM(AX53*234.27)</f>
        <v>0</v>
      </c>
      <c r="AZ53" s="494">
        <f>SUM(AX53*0.015)</f>
        <v>0</v>
      </c>
      <c r="BA53" s="246"/>
      <c r="BB53" s="247"/>
      <c r="BC53" s="247"/>
      <c r="BD53" s="247"/>
      <c r="BE53" s="247"/>
      <c r="BF53" s="247"/>
      <c r="BG53" s="247"/>
      <c r="BH53" s="247"/>
      <c r="BI53" s="247"/>
      <c r="BJ53" s="247"/>
      <c r="BK53" s="247"/>
      <c r="BL53" s="247"/>
      <c r="BM53" s="301"/>
      <c r="BN53" s="279">
        <f>SUM(BA53:BM53)</f>
        <v>0</v>
      </c>
      <c r="BO53" s="390">
        <f>SUM(BN53*234.27)</f>
        <v>0</v>
      </c>
      <c r="BP53" s="512">
        <f>SUM(BN53*0.015)</f>
        <v>0</v>
      </c>
    </row>
    <row r="54" spans="1:96" ht="16.05" customHeight="1" x14ac:dyDescent="0.3">
      <c r="A54" s="312" t="s">
        <v>82</v>
      </c>
      <c r="B54" s="313">
        <v>2035</v>
      </c>
      <c r="C54" s="277"/>
      <c r="D54" s="278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79">
        <f>SUM(E54:Q54)</f>
        <v>0</v>
      </c>
      <c r="S54" s="390">
        <f>SUM(R54*54.91)</f>
        <v>0</v>
      </c>
      <c r="T54" s="494">
        <f>SUM(R54*0.0097)</f>
        <v>0</v>
      </c>
      <c r="U54" s="246">
        <v>0</v>
      </c>
      <c r="V54" s="246">
        <v>0</v>
      </c>
      <c r="W54" s="246">
        <v>0</v>
      </c>
      <c r="X54" s="246">
        <v>0</v>
      </c>
      <c r="Y54" s="246">
        <v>0</v>
      </c>
      <c r="Z54" s="247">
        <v>0</v>
      </c>
      <c r="AA54" s="247">
        <v>0</v>
      </c>
      <c r="AB54" s="247">
        <v>0</v>
      </c>
      <c r="AC54" s="247">
        <v>0</v>
      </c>
      <c r="AD54" s="247">
        <v>0</v>
      </c>
      <c r="AE54" s="247">
        <v>0</v>
      </c>
      <c r="AF54" s="247">
        <v>0</v>
      </c>
      <c r="AG54" s="247">
        <v>0</v>
      </c>
      <c r="AH54" s="279">
        <f>SUM(U54:AG54)</f>
        <v>0</v>
      </c>
      <c r="AI54" s="390">
        <f>SUM(AH54*54.91)</f>
        <v>0</v>
      </c>
      <c r="AJ54" s="494">
        <f>SUM(AH54*0.0097)</f>
        <v>0</v>
      </c>
      <c r="AK54" s="246"/>
      <c r="AL54" s="247"/>
      <c r="AM54" s="247"/>
      <c r="AN54" s="247"/>
      <c r="AO54" s="247"/>
      <c r="AP54" s="247"/>
      <c r="AQ54" s="247"/>
      <c r="AR54" s="247"/>
      <c r="AS54" s="247"/>
      <c r="AT54" s="247"/>
      <c r="AU54" s="247"/>
      <c r="AV54" s="247"/>
      <c r="AW54" s="247"/>
      <c r="AX54" s="279">
        <f>SUM(AK54:AW54)</f>
        <v>0</v>
      </c>
      <c r="AY54" s="390">
        <f>SUM(AX54*54.91)</f>
        <v>0</v>
      </c>
      <c r="AZ54" s="494">
        <f>SUM(AX54*0.0097)</f>
        <v>0</v>
      </c>
      <c r="BA54" s="246"/>
      <c r="BB54" s="247"/>
      <c r="BC54" s="247"/>
      <c r="BD54" s="247"/>
      <c r="BE54" s="247"/>
      <c r="BF54" s="247"/>
      <c r="BG54" s="247"/>
      <c r="BH54" s="247"/>
      <c r="BI54" s="247"/>
      <c r="BJ54" s="247"/>
      <c r="BK54" s="247"/>
      <c r="BL54" s="247"/>
      <c r="BM54" s="301"/>
      <c r="BN54" s="279">
        <f>SUM(BA54:BM54)</f>
        <v>0</v>
      </c>
      <c r="BO54" s="390">
        <f>SUM(BN54*54.91)</f>
        <v>0</v>
      </c>
      <c r="BP54" s="512">
        <f>SUM(BN54*0.0097)</f>
        <v>0</v>
      </c>
    </row>
    <row r="55" spans="1:96" ht="16.05" customHeight="1" x14ac:dyDescent="0.3">
      <c r="A55" s="312" t="s">
        <v>80</v>
      </c>
      <c r="B55" s="313">
        <v>2036</v>
      </c>
      <c r="C55" s="277"/>
      <c r="D55" s="278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79">
        <f>SUM(E55:Q55)</f>
        <v>0</v>
      </c>
      <c r="S55" s="390">
        <f>SUM(R55*377.25)</f>
        <v>0</v>
      </c>
      <c r="T55" s="494">
        <f>SUM(R55*0.03)</f>
        <v>0</v>
      </c>
      <c r="U55" s="246">
        <v>0</v>
      </c>
      <c r="V55" s="246">
        <v>0</v>
      </c>
      <c r="W55" s="246">
        <v>0</v>
      </c>
      <c r="X55" s="246">
        <v>0</v>
      </c>
      <c r="Y55" s="246">
        <v>0</v>
      </c>
      <c r="Z55" s="247">
        <v>0</v>
      </c>
      <c r="AA55" s="247">
        <v>0</v>
      </c>
      <c r="AB55" s="247">
        <v>0</v>
      </c>
      <c r="AC55" s="247">
        <v>0</v>
      </c>
      <c r="AD55" s="247">
        <v>0</v>
      </c>
      <c r="AE55" s="247">
        <v>0</v>
      </c>
      <c r="AF55" s="247">
        <v>0</v>
      </c>
      <c r="AG55" s="247">
        <v>0</v>
      </c>
      <c r="AH55" s="279">
        <f>SUM(U55:AG55)</f>
        <v>0</v>
      </c>
      <c r="AI55" s="390">
        <f>SUM(AH55*377.25)</f>
        <v>0</v>
      </c>
      <c r="AJ55" s="494">
        <f>SUM(AH55*0.03)</f>
        <v>0</v>
      </c>
      <c r="AK55" s="246"/>
      <c r="AL55" s="247"/>
      <c r="AM55" s="247"/>
      <c r="AN55" s="247"/>
      <c r="AO55" s="247"/>
      <c r="AP55" s="247"/>
      <c r="AQ55" s="247"/>
      <c r="AR55" s="247"/>
      <c r="AS55" s="247"/>
      <c r="AT55" s="247"/>
      <c r="AU55" s="247"/>
      <c r="AV55" s="247"/>
      <c r="AW55" s="247"/>
      <c r="AX55" s="279">
        <f>SUM(AK55:AW55)</f>
        <v>0</v>
      </c>
      <c r="AY55" s="390">
        <f>SUM(AX55*377.25)</f>
        <v>0</v>
      </c>
      <c r="AZ55" s="494">
        <f>SUM(AX55*0.03)</f>
        <v>0</v>
      </c>
      <c r="BA55" s="246"/>
      <c r="BB55" s="247"/>
      <c r="BC55" s="247"/>
      <c r="BD55" s="247"/>
      <c r="BE55" s="247"/>
      <c r="BF55" s="247"/>
      <c r="BG55" s="247"/>
      <c r="BH55" s="247"/>
      <c r="BI55" s="247"/>
      <c r="BJ55" s="247"/>
      <c r="BK55" s="247"/>
      <c r="BL55" s="247"/>
      <c r="BM55" s="301"/>
      <c r="BN55" s="279">
        <f>SUM(BA55:BM55)</f>
        <v>0</v>
      </c>
      <c r="BO55" s="390">
        <f>SUM(BN55*377.25)</f>
        <v>0</v>
      </c>
      <c r="BP55" s="512">
        <f>SUM(BN55*0.03)</f>
        <v>0</v>
      </c>
    </row>
    <row r="56" spans="1:96" ht="16.05" customHeight="1" x14ac:dyDescent="0.3">
      <c r="A56" s="312" t="s">
        <v>79</v>
      </c>
      <c r="B56" s="313">
        <v>2042</v>
      </c>
      <c r="C56" s="277"/>
      <c r="D56" s="278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79">
        <f>SUM(E56:Q56)</f>
        <v>0</v>
      </c>
      <c r="S56" s="390">
        <f>SUM(R56*96.27)</f>
        <v>0</v>
      </c>
      <c r="T56" s="494">
        <f>SUM(R56*0.018)</f>
        <v>0</v>
      </c>
      <c r="U56" s="246">
        <v>0</v>
      </c>
      <c r="V56" s="246">
        <v>0</v>
      </c>
      <c r="W56" s="246">
        <v>0</v>
      </c>
      <c r="X56" s="246">
        <v>0</v>
      </c>
      <c r="Y56" s="246">
        <v>0</v>
      </c>
      <c r="Z56" s="247">
        <v>0</v>
      </c>
      <c r="AA56" s="247">
        <v>0</v>
      </c>
      <c r="AB56" s="247">
        <v>0</v>
      </c>
      <c r="AC56" s="247">
        <v>0</v>
      </c>
      <c r="AD56" s="247">
        <v>0</v>
      </c>
      <c r="AE56" s="247">
        <v>0</v>
      </c>
      <c r="AF56" s="247">
        <v>0</v>
      </c>
      <c r="AG56" s="247">
        <v>0</v>
      </c>
      <c r="AH56" s="279">
        <f>SUM(U56:AG56)</f>
        <v>0</v>
      </c>
      <c r="AI56" s="390">
        <f>SUM(AH56*96.27)</f>
        <v>0</v>
      </c>
      <c r="AJ56" s="494">
        <f>SUM(AH56*0.018)</f>
        <v>0</v>
      </c>
      <c r="AK56" s="246"/>
      <c r="AL56" s="247"/>
      <c r="AM56" s="247"/>
      <c r="AN56" s="247"/>
      <c r="AO56" s="247"/>
      <c r="AP56" s="247"/>
      <c r="AQ56" s="247"/>
      <c r="AR56" s="247"/>
      <c r="AS56" s="247"/>
      <c r="AT56" s="247"/>
      <c r="AU56" s="247"/>
      <c r="AV56" s="247"/>
      <c r="AW56" s="247"/>
      <c r="AX56" s="279">
        <f>SUM(AK56:AW56)</f>
        <v>0</v>
      </c>
      <c r="AY56" s="390">
        <f>SUM(AX56*96.27)</f>
        <v>0</v>
      </c>
      <c r="AZ56" s="494">
        <f>SUM(AX56*0.018)</f>
        <v>0</v>
      </c>
      <c r="BA56" s="246"/>
      <c r="BB56" s="247"/>
      <c r="BC56" s="247"/>
      <c r="BD56" s="247"/>
      <c r="BE56" s="247"/>
      <c r="BF56" s="247"/>
      <c r="BG56" s="247"/>
      <c r="BH56" s="247"/>
      <c r="BI56" s="247"/>
      <c r="BJ56" s="247"/>
      <c r="BK56" s="247"/>
      <c r="BL56" s="247"/>
      <c r="BM56" s="301"/>
      <c r="BN56" s="279">
        <f>SUM(BA56:BM56)</f>
        <v>0</v>
      </c>
      <c r="BO56" s="390">
        <f>SUM(BN56*96.27)</f>
        <v>0</v>
      </c>
      <c r="BP56" s="512">
        <f>SUM(BN56*0.018)</f>
        <v>0</v>
      </c>
    </row>
    <row r="57" spans="1:96" ht="16.05" customHeight="1" thickBot="1" x14ac:dyDescent="0.35">
      <c r="A57" s="318" t="s">
        <v>81</v>
      </c>
      <c r="B57" s="317">
        <v>2043</v>
      </c>
      <c r="C57" s="291"/>
      <c r="D57" s="292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79">
        <f>SUM(E57:Q57)</f>
        <v>0</v>
      </c>
      <c r="S57" s="390">
        <f>SUM(R57*32.03)</f>
        <v>0</v>
      </c>
      <c r="T57" s="494">
        <f>SUM(R57*0.018)</f>
        <v>0</v>
      </c>
      <c r="U57" s="246">
        <v>0</v>
      </c>
      <c r="V57" s="246">
        <v>0</v>
      </c>
      <c r="W57" s="246">
        <v>0</v>
      </c>
      <c r="X57" s="246">
        <v>0</v>
      </c>
      <c r="Y57" s="246">
        <v>0</v>
      </c>
      <c r="Z57" s="247">
        <v>0</v>
      </c>
      <c r="AA57" s="247">
        <v>0</v>
      </c>
      <c r="AB57" s="247">
        <v>0</v>
      </c>
      <c r="AC57" s="247">
        <v>0</v>
      </c>
      <c r="AD57" s="247">
        <v>0</v>
      </c>
      <c r="AE57" s="247">
        <v>0</v>
      </c>
      <c r="AF57" s="247">
        <v>0</v>
      </c>
      <c r="AG57" s="247">
        <v>0</v>
      </c>
      <c r="AH57" s="279">
        <f>SUM(U57:AG57)</f>
        <v>0</v>
      </c>
      <c r="AI57" s="390">
        <f>SUM(AH57*32.03)</f>
        <v>0</v>
      </c>
      <c r="AJ57" s="494">
        <f>SUM(AH57*0.018)</f>
        <v>0</v>
      </c>
      <c r="AK57" s="246"/>
      <c r="AL57" s="247"/>
      <c r="AM57" s="247"/>
      <c r="AN57" s="247"/>
      <c r="AO57" s="247"/>
      <c r="AP57" s="247"/>
      <c r="AQ57" s="247"/>
      <c r="AR57" s="247"/>
      <c r="AS57" s="247"/>
      <c r="AT57" s="247"/>
      <c r="AU57" s="247"/>
      <c r="AV57" s="247"/>
      <c r="AW57" s="305"/>
      <c r="AX57" s="279">
        <f>SUM(AK57:AW57)</f>
        <v>0</v>
      </c>
      <c r="AY57" s="390">
        <f>SUM(AX57*32.03)</f>
        <v>0</v>
      </c>
      <c r="AZ57" s="494">
        <f>SUM(AX57*0.018)</f>
        <v>0</v>
      </c>
      <c r="BA57" s="246"/>
      <c r="BB57" s="247"/>
      <c r="BC57" s="247"/>
      <c r="BD57" s="247"/>
      <c r="BE57" s="247"/>
      <c r="BF57" s="247"/>
      <c r="BG57" s="247"/>
      <c r="BH57" s="247"/>
      <c r="BI57" s="247"/>
      <c r="BJ57" s="247"/>
      <c r="BK57" s="247"/>
      <c r="BL57" s="247"/>
      <c r="BM57" s="514"/>
      <c r="BN57" s="279">
        <f>SUM(BA57:BM57)</f>
        <v>0</v>
      </c>
      <c r="BO57" s="390">
        <f>SUM(BN57*32.03)</f>
        <v>0</v>
      </c>
      <c r="BP57" s="512">
        <f>SUM(BN57*0.018)</f>
        <v>0</v>
      </c>
    </row>
    <row r="58" spans="1:96" ht="16.05" customHeight="1" thickTop="1" thickBot="1" x14ac:dyDescent="0.35">
      <c r="A58" s="25"/>
      <c r="B58" s="30"/>
      <c r="C58" s="43"/>
      <c r="D58" s="4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559" t="s">
        <v>271</v>
      </c>
      <c r="Q58" s="560" t="s">
        <v>168</v>
      </c>
      <c r="R58" s="300">
        <f>SUM(R5:R57)</f>
        <v>0</v>
      </c>
      <c r="S58" s="300">
        <f>SUM(S5:S57)</f>
        <v>0</v>
      </c>
      <c r="T58" s="300">
        <f>SUM(T5:T57)</f>
        <v>0</v>
      </c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559" t="s">
        <v>272</v>
      </c>
      <c r="AG58" s="560" t="s">
        <v>168</v>
      </c>
      <c r="AH58" s="300">
        <f>SUM(AH5:AH57)</f>
        <v>0</v>
      </c>
      <c r="AI58" s="300">
        <f>SUM(AI5:AI57)</f>
        <v>0</v>
      </c>
      <c r="AJ58" s="300">
        <f>SUM(AJ5:AJ57)</f>
        <v>0</v>
      </c>
      <c r="AK58" s="296"/>
      <c r="AL58" s="295"/>
      <c r="AM58" s="295"/>
      <c r="AN58" s="295"/>
      <c r="AO58" s="295"/>
      <c r="AP58" s="295"/>
      <c r="AQ58" s="295"/>
      <c r="AR58" s="295"/>
      <c r="AS58" s="295"/>
      <c r="AT58" s="295"/>
      <c r="AU58" s="295"/>
      <c r="AV58" s="559" t="s">
        <v>273</v>
      </c>
      <c r="AW58" s="560" t="s">
        <v>168</v>
      </c>
      <c r="AX58" s="300">
        <f>SUM(AX5:AX57)</f>
        <v>0</v>
      </c>
      <c r="AY58" s="300">
        <f>SUM(AY5:AY57)</f>
        <v>0</v>
      </c>
      <c r="AZ58" s="300">
        <f>SUM(AZ5:AZ57)</f>
        <v>0</v>
      </c>
      <c r="BA58" s="296"/>
      <c r="BB58" s="295"/>
      <c r="BC58" s="295"/>
      <c r="BD58" s="295"/>
      <c r="BE58" s="295"/>
      <c r="BF58" s="295"/>
      <c r="BG58" s="295"/>
      <c r="BH58" s="295"/>
      <c r="BI58" s="295"/>
      <c r="BJ58" s="295"/>
      <c r="BK58" s="295"/>
      <c r="BL58" s="559" t="s">
        <v>274</v>
      </c>
      <c r="BM58" s="561" t="s">
        <v>168</v>
      </c>
      <c r="BN58" s="516">
        <f>SUM(BN5:BN57)</f>
        <v>0</v>
      </c>
      <c r="BO58" s="516">
        <f>SUM(BO5:BO57)</f>
        <v>0</v>
      </c>
      <c r="BP58" s="516">
        <f>SUM(BP5:BP57)</f>
        <v>0</v>
      </c>
    </row>
    <row r="59" spans="1:96" ht="12.75" customHeight="1" thickTop="1" x14ac:dyDescent="0.3">
      <c r="A59" s="21"/>
      <c r="B59" s="32"/>
    </row>
    <row r="60" spans="1:96" ht="12.75" customHeight="1" x14ac:dyDescent="0.3">
      <c r="A60" s="21"/>
      <c r="B60" s="32"/>
    </row>
    <row r="61" spans="1:96" ht="12.75" customHeight="1" x14ac:dyDescent="0.3">
      <c r="A61" s="21"/>
      <c r="B61" s="32"/>
    </row>
    <row r="62" spans="1:96" ht="12.75" customHeight="1" x14ac:dyDescent="0.3">
      <c r="A62" s="21"/>
      <c r="B62" s="32"/>
    </row>
    <row r="63" spans="1:96" ht="12.75" customHeight="1" x14ac:dyDescent="0.3">
      <c r="A63" s="21"/>
      <c r="B63" s="32"/>
    </row>
    <row r="64" spans="1:96" ht="12.75" customHeight="1" x14ac:dyDescent="0.3">
      <c r="A64" s="21"/>
      <c r="B64" s="32"/>
    </row>
    <row r="65" spans="1:2" ht="12.75" customHeight="1" x14ac:dyDescent="0.3">
      <c r="A65" s="21"/>
      <c r="B65" s="32"/>
    </row>
    <row r="66" spans="1:2" ht="12.75" customHeight="1" x14ac:dyDescent="0.3">
      <c r="A66" s="21"/>
      <c r="B66" s="32"/>
    </row>
    <row r="67" spans="1:2" ht="12.75" customHeight="1" x14ac:dyDescent="0.3">
      <c r="A67" s="21"/>
      <c r="B67" s="32"/>
    </row>
    <row r="68" spans="1:2" ht="12.75" customHeight="1" x14ac:dyDescent="0.3">
      <c r="A68" s="21"/>
      <c r="B68" s="32"/>
    </row>
    <row r="69" spans="1:2" ht="12.75" customHeight="1" x14ac:dyDescent="0.3">
      <c r="A69" s="21"/>
      <c r="B69" s="32"/>
    </row>
    <row r="70" spans="1:2" ht="12.75" customHeight="1" x14ac:dyDescent="0.3">
      <c r="A70" s="21"/>
      <c r="B70" s="32"/>
    </row>
    <row r="71" spans="1:2" ht="12.75" customHeight="1" x14ac:dyDescent="0.3">
      <c r="A71" s="21"/>
      <c r="B71" s="32"/>
    </row>
    <row r="72" spans="1:2" ht="12.75" customHeight="1" x14ac:dyDescent="0.3">
      <c r="A72" s="21"/>
      <c r="B72" s="32"/>
    </row>
    <row r="73" spans="1:2" ht="12.75" customHeight="1" x14ac:dyDescent="0.3">
      <c r="A73" s="21"/>
      <c r="B73" s="32"/>
    </row>
    <row r="74" spans="1:2" ht="12.75" customHeight="1" x14ac:dyDescent="0.3">
      <c r="A74" s="21"/>
      <c r="B74" s="32"/>
    </row>
    <row r="75" spans="1:2" ht="12.75" customHeight="1" x14ac:dyDescent="0.3">
      <c r="A75" s="21"/>
      <c r="B75" s="32"/>
    </row>
    <row r="76" spans="1:2" ht="12.75" customHeight="1" x14ac:dyDescent="0.3">
      <c r="A76" s="21"/>
      <c r="B76" s="32"/>
    </row>
    <row r="77" spans="1:2" ht="12.75" customHeight="1" x14ac:dyDescent="0.3">
      <c r="A77" s="21"/>
      <c r="B77" s="32"/>
    </row>
    <row r="78" spans="1:2" ht="12.75" customHeight="1" x14ac:dyDescent="0.3">
      <c r="A78" s="21"/>
      <c r="B78" s="32"/>
    </row>
    <row r="79" spans="1:2" ht="12.75" customHeight="1" x14ac:dyDescent="0.3">
      <c r="A79" s="21"/>
      <c r="B79" s="32"/>
    </row>
    <row r="80" spans="1:2" ht="12.75" customHeight="1" x14ac:dyDescent="0.3">
      <c r="A80" s="21"/>
      <c r="B80" s="32"/>
    </row>
    <row r="81" spans="1:2" ht="12.75" customHeight="1" x14ac:dyDescent="0.3">
      <c r="A81" s="21"/>
      <c r="B81" s="32"/>
    </row>
    <row r="82" spans="1:2" x14ac:dyDescent="0.3">
      <c r="A82" s="21"/>
      <c r="B82" s="32"/>
    </row>
    <row r="83" spans="1:2" ht="12.75" customHeight="1" x14ac:dyDescent="0.3">
      <c r="A83" s="21"/>
      <c r="B83" s="32"/>
    </row>
    <row r="84" spans="1:2" ht="12.75" customHeight="1" x14ac:dyDescent="0.3">
      <c r="A84" s="21"/>
      <c r="B84" s="32"/>
    </row>
    <row r="85" spans="1:2" ht="12.75" customHeight="1" x14ac:dyDescent="0.3">
      <c r="A85" s="21"/>
      <c r="B85" s="32"/>
    </row>
    <row r="86" spans="1:2" ht="12.75" customHeight="1" x14ac:dyDescent="0.3">
      <c r="A86" s="21"/>
      <c r="B86" s="32"/>
    </row>
    <row r="87" spans="1:2" ht="12.75" customHeight="1" x14ac:dyDescent="0.3">
      <c r="A87" s="21"/>
      <c r="B87" s="32"/>
    </row>
    <row r="88" spans="1:2" ht="12.75" customHeight="1" x14ac:dyDescent="0.3">
      <c r="A88" s="21"/>
      <c r="B88" s="32"/>
    </row>
    <row r="89" spans="1:2" ht="12.75" customHeight="1" x14ac:dyDescent="0.3">
      <c r="A89" s="21"/>
      <c r="B89" s="32"/>
    </row>
    <row r="90" spans="1:2" ht="12.75" customHeight="1" x14ac:dyDescent="0.3">
      <c r="A90" s="21"/>
      <c r="B90" s="32"/>
    </row>
    <row r="91" spans="1:2" ht="12.75" customHeight="1" x14ac:dyDescent="0.3">
      <c r="A91" s="21"/>
      <c r="B91" s="32"/>
    </row>
    <row r="92" spans="1:2" ht="12.75" customHeight="1" x14ac:dyDescent="0.3">
      <c r="A92" s="21"/>
      <c r="B92" s="32"/>
    </row>
    <row r="93" spans="1:2" ht="12.75" customHeight="1" x14ac:dyDescent="0.3">
      <c r="A93" s="21"/>
      <c r="B93" s="32"/>
    </row>
    <row r="94" spans="1:2" ht="12.75" customHeight="1" x14ac:dyDescent="0.3">
      <c r="A94" s="21"/>
      <c r="B94" s="32"/>
    </row>
    <row r="95" spans="1:2" ht="12.75" customHeight="1" x14ac:dyDescent="0.3">
      <c r="A95" s="21"/>
      <c r="B95" s="32"/>
    </row>
    <row r="96" spans="1:2" ht="12.75" customHeight="1" x14ac:dyDescent="0.3">
      <c r="A96" s="21"/>
      <c r="B96" s="32"/>
    </row>
    <row r="97" spans="1:2" ht="12.75" customHeight="1" x14ac:dyDescent="0.3">
      <c r="A97" s="21"/>
      <c r="B97" s="32"/>
    </row>
    <row r="98" spans="1:2" ht="12.75" customHeight="1" x14ac:dyDescent="0.3">
      <c r="A98" s="21"/>
      <c r="B98" s="32"/>
    </row>
    <row r="99" spans="1:2" ht="12.75" customHeight="1" x14ac:dyDescent="0.3">
      <c r="A99" s="21"/>
      <c r="B99" s="32"/>
    </row>
    <row r="100" spans="1:2" ht="12.75" customHeight="1" x14ac:dyDescent="0.3">
      <c r="A100" s="21"/>
      <c r="B100" s="32"/>
    </row>
    <row r="101" spans="1:2" ht="12.75" customHeight="1" x14ac:dyDescent="0.3">
      <c r="A101" s="21"/>
      <c r="B101" s="32"/>
    </row>
    <row r="102" spans="1:2" ht="12.75" customHeight="1" x14ac:dyDescent="0.3"/>
    <row r="103" spans="1:2" ht="12.75" customHeight="1" x14ac:dyDescent="0.3"/>
    <row r="104" spans="1:2" ht="12.75" customHeight="1" x14ac:dyDescent="0.3"/>
    <row r="105" spans="1:2" ht="12.75" customHeight="1" x14ac:dyDescent="0.3"/>
    <row r="106" spans="1:2" ht="12.75" customHeight="1" x14ac:dyDescent="0.3"/>
    <row r="107" spans="1:2" ht="12.75" customHeight="1" x14ac:dyDescent="0.3"/>
    <row r="108" spans="1:2" ht="12.75" customHeight="1" x14ac:dyDescent="0.3"/>
    <row r="109" spans="1:2" ht="12.75" customHeight="1" x14ac:dyDescent="0.3"/>
    <row r="110" spans="1:2" ht="12.75" customHeight="1" x14ac:dyDescent="0.3"/>
    <row r="111" spans="1:2" ht="12.75" customHeight="1" x14ac:dyDescent="0.3"/>
    <row r="112" spans="1: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</sheetData>
  <mergeCells count="24">
    <mergeCell ref="R1:T1"/>
    <mergeCell ref="AH1:AJ1"/>
    <mergeCell ref="AX1:AZ1"/>
    <mergeCell ref="BN1:BP1"/>
    <mergeCell ref="A2:B2"/>
    <mergeCell ref="C2:D2"/>
    <mergeCell ref="S2:T2"/>
    <mergeCell ref="AH2:AI2"/>
    <mergeCell ref="BN3:BN4"/>
    <mergeCell ref="BO3:BO4"/>
    <mergeCell ref="BP3:BP4"/>
    <mergeCell ref="R3:R4"/>
    <mergeCell ref="S3:S4"/>
    <mergeCell ref="T3:T4"/>
    <mergeCell ref="AH3:AH4"/>
    <mergeCell ref="AI3:AI4"/>
    <mergeCell ref="AJ3:AJ4"/>
    <mergeCell ref="P58:Q58"/>
    <mergeCell ref="AF58:AG58"/>
    <mergeCell ref="AV58:AW58"/>
    <mergeCell ref="BL58:BM58"/>
    <mergeCell ref="AX3:AX4"/>
    <mergeCell ref="AY3:AY4"/>
    <mergeCell ref="AZ3:AZ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0"/>
  <sheetViews>
    <sheetView workbookViewId="0">
      <selection activeCell="H22" sqref="H22:M22"/>
    </sheetView>
  </sheetViews>
  <sheetFormatPr defaultRowHeight="13.2" x14ac:dyDescent="0.25"/>
  <cols>
    <col min="1" max="1" width="44.77734375" customWidth="1"/>
    <col min="2" max="2" width="10.77734375" customWidth="1"/>
    <col min="3" max="4" width="9.21875" customWidth="1"/>
    <col min="5" max="6" width="13.21875" customWidth="1"/>
    <col min="8" max="8" width="37.44140625" customWidth="1"/>
    <col min="9" max="9" width="10.77734375" customWidth="1"/>
    <col min="10" max="11" width="9.21875" customWidth="1"/>
    <col min="12" max="13" width="13.21875" customWidth="1"/>
  </cols>
  <sheetData>
    <row r="1" spans="1:14" ht="32.1" customHeight="1" thickTop="1" x14ac:dyDescent="0.3">
      <c r="A1" s="472" t="s">
        <v>320</v>
      </c>
      <c r="B1" s="574" t="s">
        <v>329</v>
      </c>
      <c r="C1" s="575"/>
      <c r="D1" s="575"/>
      <c r="E1" s="575"/>
      <c r="F1" s="576"/>
      <c r="G1" s="81"/>
      <c r="H1" s="472" t="s">
        <v>320</v>
      </c>
      <c r="I1" s="574" t="s">
        <v>330</v>
      </c>
      <c r="J1" s="575"/>
      <c r="K1" s="575"/>
      <c r="L1" s="575"/>
      <c r="M1" s="576"/>
      <c r="N1" s="72"/>
    </row>
    <row r="2" spans="1:14" ht="31.5" customHeight="1" x14ac:dyDescent="0.3">
      <c r="A2" s="571" t="s">
        <v>239</v>
      </c>
      <c r="B2" s="572"/>
      <c r="C2" s="572"/>
      <c r="D2" s="572"/>
      <c r="E2" s="572"/>
      <c r="F2" s="573"/>
      <c r="G2" s="81"/>
      <c r="H2" s="571" t="s">
        <v>239</v>
      </c>
      <c r="I2" s="572"/>
      <c r="J2" s="572"/>
      <c r="K2" s="572"/>
      <c r="L2" s="572"/>
      <c r="M2" s="573"/>
      <c r="N2" s="72"/>
    </row>
    <row r="3" spans="1:14" ht="43.5" customHeight="1" x14ac:dyDescent="0.3">
      <c r="A3" s="73" t="s">
        <v>83</v>
      </c>
      <c r="B3" s="125" t="s">
        <v>253</v>
      </c>
      <c r="C3" s="125" t="s">
        <v>254</v>
      </c>
      <c r="D3" s="126" t="s">
        <v>255</v>
      </c>
      <c r="E3" s="74" t="s">
        <v>84</v>
      </c>
      <c r="F3" s="75" t="s">
        <v>238</v>
      </c>
      <c r="G3" s="81"/>
      <c r="H3" s="73" t="s">
        <v>83</v>
      </c>
      <c r="I3" s="125" t="s">
        <v>253</v>
      </c>
      <c r="J3" s="125" t="s">
        <v>254</v>
      </c>
      <c r="K3" s="126" t="s">
        <v>255</v>
      </c>
      <c r="L3" s="74" t="s">
        <v>84</v>
      </c>
      <c r="M3" s="75" t="s">
        <v>238</v>
      </c>
      <c r="N3" s="72"/>
    </row>
    <row r="4" spans="1:14" ht="16.5" customHeight="1" x14ac:dyDescent="0.3">
      <c r="A4" s="127"/>
      <c r="B4" s="128"/>
      <c r="C4" s="129"/>
      <c r="D4" s="130">
        <v>0</v>
      </c>
      <c r="E4" s="400">
        <f t="shared" ref="E4:E18" si="0">SUM(B4*D4)</f>
        <v>0</v>
      </c>
      <c r="F4" s="76">
        <f t="shared" ref="F4:F18" si="1">SUM(C4*D4)</f>
        <v>0</v>
      </c>
      <c r="G4" s="81"/>
      <c r="H4" s="127"/>
      <c r="I4" s="128"/>
      <c r="J4" s="129"/>
      <c r="K4" s="130">
        <v>0</v>
      </c>
      <c r="L4" s="400">
        <f t="shared" ref="L4:L18" si="2">SUM(I4*K4)</f>
        <v>0</v>
      </c>
      <c r="M4" s="76">
        <f t="shared" ref="M4:M18" si="3">SUM(J4*K4)</f>
        <v>0</v>
      </c>
      <c r="N4" s="72"/>
    </row>
    <row r="5" spans="1:14" ht="16.5" customHeight="1" x14ac:dyDescent="0.3">
      <c r="A5" s="127"/>
      <c r="B5" s="128"/>
      <c r="C5" s="129"/>
      <c r="D5" s="130">
        <v>0</v>
      </c>
      <c r="E5" s="400">
        <f t="shared" si="0"/>
        <v>0</v>
      </c>
      <c r="F5" s="76">
        <f t="shared" si="1"/>
        <v>0</v>
      </c>
      <c r="G5" s="81"/>
      <c r="H5" s="127"/>
      <c r="I5" s="128"/>
      <c r="J5" s="129"/>
      <c r="K5" s="130">
        <v>0</v>
      </c>
      <c r="L5" s="400">
        <f t="shared" si="2"/>
        <v>0</v>
      </c>
      <c r="M5" s="76">
        <f t="shared" si="3"/>
        <v>0</v>
      </c>
      <c r="N5" s="72"/>
    </row>
    <row r="6" spans="1:14" ht="16.5" customHeight="1" x14ac:dyDescent="0.3">
      <c r="A6" s="127"/>
      <c r="B6" s="128"/>
      <c r="C6" s="129"/>
      <c r="D6" s="130">
        <v>0</v>
      </c>
      <c r="E6" s="400">
        <f t="shared" si="0"/>
        <v>0</v>
      </c>
      <c r="F6" s="76">
        <f t="shared" si="1"/>
        <v>0</v>
      </c>
      <c r="G6" s="81"/>
      <c r="H6" s="127"/>
      <c r="I6" s="128"/>
      <c r="J6" s="129"/>
      <c r="K6" s="130">
        <v>0</v>
      </c>
      <c r="L6" s="400">
        <f t="shared" si="2"/>
        <v>0</v>
      </c>
      <c r="M6" s="76">
        <f t="shared" si="3"/>
        <v>0</v>
      </c>
      <c r="N6" s="72"/>
    </row>
    <row r="7" spans="1:14" ht="16.5" customHeight="1" x14ac:dyDescent="0.3">
      <c r="A7" s="127"/>
      <c r="B7" s="128"/>
      <c r="C7" s="129"/>
      <c r="D7" s="130">
        <v>0</v>
      </c>
      <c r="E7" s="400">
        <f t="shared" si="0"/>
        <v>0</v>
      </c>
      <c r="F7" s="76">
        <f t="shared" si="1"/>
        <v>0</v>
      </c>
      <c r="G7" s="81"/>
      <c r="H7" s="127"/>
      <c r="I7" s="128"/>
      <c r="J7" s="129"/>
      <c r="K7" s="130">
        <v>0</v>
      </c>
      <c r="L7" s="400">
        <f t="shared" si="2"/>
        <v>0</v>
      </c>
      <c r="M7" s="76">
        <f t="shared" si="3"/>
        <v>0</v>
      </c>
      <c r="N7" s="72"/>
    </row>
    <row r="8" spans="1:14" ht="16.5" customHeight="1" x14ac:dyDescent="0.3">
      <c r="A8" s="127"/>
      <c r="B8" s="128"/>
      <c r="C8" s="129"/>
      <c r="D8" s="130">
        <v>0</v>
      </c>
      <c r="E8" s="400">
        <f t="shared" si="0"/>
        <v>0</v>
      </c>
      <c r="F8" s="76">
        <f t="shared" si="1"/>
        <v>0</v>
      </c>
      <c r="G8" s="81"/>
      <c r="H8" s="127"/>
      <c r="I8" s="128"/>
      <c r="J8" s="129"/>
      <c r="K8" s="130">
        <v>0</v>
      </c>
      <c r="L8" s="400">
        <f t="shared" si="2"/>
        <v>0</v>
      </c>
      <c r="M8" s="76">
        <f t="shared" si="3"/>
        <v>0</v>
      </c>
      <c r="N8" s="72"/>
    </row>
    <row r="9" spans="1:14" ht="16.5" customHeight="1" x14ac:dyDescent="0.3">
      <c r="A9" s="127"/>
      <c r="B9" s="128"/>
      <c r="C9" s="129"/>
      <c r="D9" s="130">
        <v>0</v>
      </c>
      <c r="E9" s="400">
        <f t="shared" si="0"/>
        <v>0</v>
      </c>
      <c r="F9" s="76">
        <f t="shared" si="1"/>
        <v>0</v>
      </c>
      <c r="G9" s="81"/>
      <c r="H9" s="127"/>
      <c r="I9" s="128"/>
      <c r="J9" s="129"/>
      <c r="K9" s="130">
        <v>0</v>
      </c>
      <c r="L9" s="400">
        <f t="shared" si="2"/>
        <v>0</v>
      </c>
      <c r="M9" s="76">
        <f t="shared" si="3"/>
        <v>0</v>
      </c>
      <c r="N9" s="72"/>
    </row>
    <row r="10" spans="1:14" ht="16.5" customHeight="1" x14ac:dyDescent="0.3">
      <c r="A10" s="127"/>
      <c r="B10" s="128"/>
      <c r="C10" s="129"/>
      <c r="D10" s="130">
        <v>0</v>
      </c>
      <c r="E10" s="400">
        <f t="shared" si="0"/>
        <v>0</v>
      </c>
      <c r="F10" s="76">
        <f t="shared" si="1"/>
        <v>0</v>
      </c>
      <c r="G10" s="81"/>
      <c r="H10" s="127"/>
      <c r="I10" s="128"/>
      <c r="J10" s="129"/>
      <c r="K10" s="130">
        <v>0</v>
      </c>
      <c r="L10" s="400">
        <f t="shared" si="2"/>
        <v>0</v>
      </c>
      <c r="M10" s="76">
        <f t="shared" si="3"/>
        <v>0</v>
      </c>
      <c r="N10" s="72"/>
    </row>
    <row r="11" spans="1:14" ht="16.5" customHeight="1" x14ac:dyDescent="0.3">
      <c r="A11" s="127"/>
      <c r="B11" s="128"/>
      <c r="C11" s="129"/>
      <c r="D11" s="130">
        <v>0</v>
      </c>
      <c r="E11" s="400">
        <f t="shared" si="0"/>
        <v>0</v>
      </c>
      <c r="F11" s="76">
        <f t="shared" si="1"/>
        <v>0</v>
      </c>
      <c r="G11" s="81"/>
      <c r="H11" s="127"/>
      <c r="I11" s="128"/>
      <c r="J11" s="129"/>
      <c r="K11" s="130">
        <v>0</v>
      </c>
      <c r="L11" s="400">
        <f t="shared" si="2"/>
        <v>0</v>
      </c>
      <c r="M11" s="76">
        <f t="shared" si="3"/>
        <v>0</v>
      </c>
      <c r="N11" s="72"/>
    </row>
    <row r="12" spans="1:14" ht="16.5" customHeight="1" x14ac:dyDescent="0.3">
      <c r="A12" s="127"/>
      <c r="B12" s="128"/>
      <c r="C12" s="129"/>
      <c r="D12" s="130">
        <v>0</v>
      </c>
      <c r="E12" s="400">
        <f t="shared" si="0"/>
        <v>0</v>
      </c>
      <c r="F12" s="76">
        <f t="shared" si="1"/>
        <v>0</v>
      </c>
      <c r="G12" s="81"/>
      <c r="H12" s="127"/>
      <c r="I12" s="128"/>
      <c r="J12" s="129"/>
      <c r="K12" s="130">
        <v>0</v>
      </c>
      <c r="L12" s="400">
        <f t="shared" si="2"/>
        <v>0</v>
      </c>
      <c r="M12" s="76">
        <f t="shared" si="3"/>
        <v>0</v>
      </c>
      <c r="N12" s="72"/>
    </row>
    <row r="13" spans="1:14" ht="16.5" customHeight="1" x14ac:dyDescent="0.3">
      <c r="A13" s="127"/>
      <c r="B13" s="128"/>
      <c r="C13" s="129"/>
      <c r="D13" s="130">
        <v>0</v>
      </c>
      <c r="E13" s="400">
        <f t="shared" si="0"/>
        <v>0</v>
      </c>
      <c r="F13" s="76">
        <f t="shared" si="1"/>
        <v>0</v>
      </c>
      <c r="G13" s="81"/>
      <c r="H13" s="127"/>
      <c r="I13" s="128"/>
      <c r="J13" s="129"/>
      <c r="K13" s="130">
        <v>0</v>
      </c>
      <c r="L13" s="400">
        <f t="shared" si="2"/>
        <v>0</v>
      </c>
      <c r="M13" s="76">
        <f t="shared" si="3"/>
        <v>0</v>
      </c>
      <c r="N13" s="72"/>
    </row>
    <row r="14" spans="1:14" ht="16.5" customHeight="1" x14ac:dyDescent="0.3">
      <c r="A14" s="127"/>
      <c r="B14" s="128"/>
      <c r="C14" s="129"/>
      <c r="D14" s="130">
        <v>0</v>
      </c>
      <c r="E14" s="400">
        <f t="shared" si="0"/>
        <v>0</v>
      </c>
      <c r="F14" s="76">
        <f t="shared" si="1"/>
        <v>0</v>
      </c>
      <c r="G14" s="81"/>
      <c r="H14" s="127"/>
      <c r="I14" s="128"/>
      <c r="J14" s="129"/>
      <c r="K14" s="130">
        <v>0</v>
      </c>
      <c r="L14" s="400">
        <f t="shared" si="2"/>
        <v>0</v>
      </c>
      <c r="M14" s="76">
        <f t="shared" si="3"/>
        <v>0</v>
      </c>
      <c r="N14" s="72"/>
    </row>
    <row r="15" spans="1:14" ht="16.5" customHeight="1" x14ac:dyDescent="0.3">
      <c r="A15" s="127"/>
      <c r="B15" s="128"/>
      <c r="C15" s="129"/>
      <c r="D15" s="130">
        <v>0</v>
      </c>
      <c r="E15" s="400">
        <f t="shared" si="0"/>
        <v>0</v>
      </c>
      <c r="F15" s="76">
        <f t="shared" si="1"/>
        <v>0</v>
      </c>
      <c r="G15" s="81"/>
      <c r="H15" s="127"/>
      <c r="I15" s="128"/>
      <c r="J15" s="129"/>
      <c r="K15" s="130">
        <v>0</v>
      </c>
      <c r="L15" s="400">
        <f t="shared" si="2"/>
        <v>0</v>
      </c>
      <c r="M15" s="76">
        <f t="shared" si="3"/>
        <v>0</v>
      </c>
      <c r="N15" s="72"/>
    </row>
    <row r="16" spans="1:14" ht="16.5" customHeight="1" x14ac:dyDescent="0.3">
      <c r="A16" s="127"/>
      <c r="B16" s="128"/>
      <c r="C16" s="129"/>
      <c r="D16" s="130">
        <v>0</v>
      </c>
      <c r="E16" s="400">
        <f t="shared" si="0"/>
        <v>0</v>
      </c>
      <c r="F16" s="76">
        <f t="shared" si="1"/>
        <v>0</v>
      </c>
      <c r="G16" s="81"/>
      <c r="H16" s="127"/>
      <c r="I16" s="128"/>
      <c r="J16" s="129"/>
      <c r="K16" s="130">
        <v>0</v>
      </c>
      <c r="L16" s="400">
        <f t="shared" si="2"/>
        <v>0</v>
      </c>
      <c r="M16" s="76">
        <f t="shared" si="3"/>
        <v>0</v>
      </c>
      <c r="N16" s="72"/>
    </row>
    <row r="17" spans="1:14" ht="16.5" customHeight="1" x14ac:dyDescent="0.3">
      <c r="A17" s="127"/>
      <c r="B17" s="128"/>
      <c r="C17" s="129"/>
      <c r="D17" s="130">
        <v>0</v>
      </c>
      <c r="E17" s="400">
        <f t="shared" si="0"/>
        <v>0</v>
      </c>
      <c r="F17" s="76">
        <f t="shared" si="1"/>
        <v>0</v>
      </c>
      <c r="G17" s="81"/>
      <c r="H17" s="127"/>
      <c r="I17" s="128"/>
      <c r="J17" s="129"/>
      <c r="K17" s="130">
        <v>0</v>
      </c>
      <c r="L17" s="400">
        <f t="shared" si="2"/>
        <v>0</v>
      </c>
      <c r="M17" s="76">
        <f t="shared" si="3"/>
        <v>0</v>
      </c>
      <c r="N17" s="72"/>
    </row>
    <row r="18" spans="1:14" ht="16.5" customHeight="1" thickBot="1" x14ac:dyDescent="0.35">
      <c r="A18" s="127"/>
      <c r="B18" s="128"/>
      <c r="C18" s="129"/>
      <c r="D18" s="130">
        <v>0</v>
      </c>
      <c r="E18" s="400">
        <f t="shared" si="0"/>
        <v>0</v>
      </c>
      <c r="F18" s="76">
        <f t="shared" si="1"/>
        <v>0</v>
      </c>
      <c r="G18" s="81"/>
      <c r="H18" s="127"/>
      <c r="I18" s="128"/>
      <c r="J18" s="129"/>
      <c r="K18" s="130">
        <v>0</v>
      </c>
      <c r="L18" s="400">
        <f t="shared" si="2"/>
        <v>0</v>
      </c>
      <c r="M18" s="76">
        <f t="shared" si="3"/>
        <v>0</v>
      </c>
      <c r="N18" s="72"/>
    </row>
    <row r="19" spans="1:14" ht="16.5" customHeight="1" thickBot="1" x14ac:dyDescent="0.35">
      <c r="A19" s="78"/>
      <c r="B19" s="79"/>
      <c r="C19" s="77"/>
      <c r="D19" s="80" t="s">
        <v>196</v>
      </c>
      <c r="E19" s="401">
        <f>SUM(E4:E18)</f>
        <v>0</v>
      </c>
      <c r="F19" s="398">
        <f>SUM(F4:F18)</f>
        <v>0</v>
      </c>
      <c r="G19" s="81"/>
      <c r="H19" s="78"/>
      <c r="I19" s="79"/>
      <c r="J19" s="77"/>
      <c r="K19" s="80" t="s">
        <v>196</v>
      </c>
      <c r="L19" s="401">
        <f>SUM(L4:L18)</f>
        <v>0</v>
      </c>
      <c r="M19" s="398">
        <f>SUM(M4:M18)</f>
        <v>0</v>
      </c>
      <c r="N19" s="72"/>
    </row>
    <row r="20" spans="1:14" ht="16.8" thickTop="1" thickBot="1" x14ac:dyDescent="0.3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72"/>
    </row>
    <row r="21" spans="1:14" ht="32.1" customHeight="1" thickTop="1" x14ac:dyDescent="0.25">
      <c r="A21" s="472" t="s">
        <v>320</v>
      </c>
      <c r="B21" s="574" t="s">
        <v>331</v>
      </c>
      <c r="C21" s="575"/>
      <c r="D21" s="575"/>
      <c r="E21" s="575"/>
      <c r="F21" s="576"/>
      <c r="G21" s="70"/>
      <c r="H21" s="472" t="s">
        <v>320</v>
      </c>
      <c r="I21" s="574" t="s">
        <v>332</v>
      </c>
      <c r="J21" s="575"/>
      <c r="K21" s="575"/>
      <c r="L21" s="575"/>
      <c r="M21" s="576"/>
    </row>
    <row r="22" spans="1:14" ht="32.1" customHeight="1" x14ac:dyDescent="0.25">
      <c r="A22" s="571" t="s">
        <v>239</v>
      </c>
      <c r="B22" s="572"/>
      <c r="C22" s="572"/>
      <c r="D22" s="572"/>
      <c r="E22" s="572"/>
      <c r="F22" s="573"/>
      <c r="G22" s="70"/>
      <c r="H22" s="571" t="s">
        <v>239</v>
      </c>
      <c r="I22" s="572"/>
      <c r="J22" s="572"/>
      <c r="K22" s="572"/>
      <c r="L22" s="572"/>
      <c r="M22" s="573"/>
    </row>
    <row r="23" spans="1:14" ht="43.2" x14ac:dyDescent="0.25">
      <c r="A23" s="73" t="s">
        <v>83</v>
      </c>
      <c r="B23" s="125" t="s">
        <v>253</v>
      </c>
      <c r="C23" s="125" t="s">
        <v>254</v>
      </c>
      <c r="D23" s="126" t="s">
        <v>255</v>
      </c>
      <c r="E23" s="74" t="s">
        <v>84</v>
      </c>
      <c r="F23" s="75" t="s">
        <v>238</v>
      </c>
      <c r="G23" s="70"/>
      <c r="H23" s="73" t="s">
        <v>83</v>
      </c>
      <c r="I23" s="125" t="s">
        <v>253</v>
      </c>
      <c r="J23" s="125" t="s">
        <v>254</v>
      </c>
      <c r="K23" s="126" t="s">
        <v>255</v>
      </c>
      <c r="L23" s="74" t="s">
        <v>84</v>
      </c>
      <c r="M23" s="75" t="s">
        <v>238</v>
      </c>
    </row>
    <row r="24" spans="1:14" ht="16.5" customHeight="1" x14ac:dyDescent="0.3">
      <c r="A24" s="517"/>
      <c r="B24" s="128"/>
      <c r="C24" s="129"/>
      <c r="D24" s="130">
        <v>0</v>
      </c>
      <c r="E24" s="400">
        <f t="shared" ref="E24:E38" si="4">SUM(B24*D24)</f>
        <v>0</v>
      </c>
      <c r="F24" s="76">
        <f t="shared" ref="F24:F38" si="5">SUM(C24*D24)</f>
        <v>0</v>
      </c>
      <c r="G24" s="70"/>
      <c r="H24" s="127"/>
      <c r="I24" s="128"/>
      <c r="J24" s="129"/>
      <c r="K24" s="130"/>
      <c r="L24" s="400">
        <f t="shared" ref="L24:L38" si="6">SUM(I24*K24)</f>
        <v>0</v>
      </c>
      <c r="M24" s="76">
        <f t="shared" ref="M24:M38" si="7">SUM(J24*K24)</f>
        <v>0</v>
      </c>
    </row>
    <row r="25" spans="1:14" ht="16.5" customHeight="1" x14ac:dyDescent="0.3">
      <c r="A25" s="518"/>
      <c r="B25" s="128"/>
      <c r="C25" s="129"/>
      <c r="D25" s="130">
        <v>0</v>
      </c>
      <c r="E25" s="400">
        <f t="shared" si="4"/>
        <v>0</v>
      </c>
      <c r="F25" s="76">
        <f t="shared" si="5"/>
        <v>0</v>
      </c>
      <c r="G25" s="70"/>
      <c r="H25" s="127"/>
      <c r="I25" s="128"/>
      <c r="J25" s="129"/>
      <c r="K25" s="130"/>
      <c r="L25" s="400">
        <f t="shared" si="6"/>
        <v>0</v>
      </c>
      <c r="M25" s="76">
        <f t="shared" si="7"/>
        <v>0</v>
      </c>
    </row>
    <row r="26" spans="1:14" ht="16.5" customHeight="1" x14ac:dyDescent="0.3">
      <c r="A26" s="127"/>
      <c r="B26" s="128"/>
      <c r="C26" s="129"/>
      <c r="D26" s="130">
        <v>0</v>
      </c>
      <c r="E26" s="400">
        <f t="shared" si="4"/>
        <v>0</v>
      </c>
      <c r="F26" s="76">
        <f t="shared" si="5"/>
        <v>0</v>
      </c>
      <c r="G26" s="70"/>
      <c r="H26" s="127"/>
      <c r="I26" s="128"/>
      <c r="J26" s="129"/>
      <c r="K26" s="130"/>
      <c r="L26" s="400">
        <f t="shared" si="6"/>
        <v>0</v>
      </c>
      <c r="M26" s="76">
        <f t="shared" si="7"/>
        <v>0</v>
      </c>
    </row>
    <row r="27" spans="1:14" ht="16.5" customHeight="1" x14ac:dyDescent="0.3">
      <c r="A27" s="127"/>
      <c r="B27" s="128"/>
      <c r="C27" s="129"/>
      <c r="D27" s="130">
        <v>0</v>
      </c>
      <c r="E27" s="400">
        <f t="shared" si="4"/>
        <v>0</v>
      </c>
      <c r="F27" s="76">
        <f t="shared" si="5"/>
        <v>0</v>
      </c>
      <c r="G27" s="70"/>
      <c r="H27" s="127"/>
      <c r="I27" s="128"/>
      <c r="J27" s="129"/>
      <c r="K27" s="130"/>
      <c r="L27" s="400">
        <f t="shared" si="6"/>
        <v>0</v>
      </c>
      <c r="M27" s="76">
        <f t="shared" si="7"/>
        <v>0</v>
      </c>
    </row>
    <row r="28" spans="1:14" ht="16.5" customHeight="1" x14ac:dyDescent="0.3">
      <c r="A28" s="127"/>
      <c r="B28" s="128"/>
      <c r="C28" s="129"/>
      <c r="D28" s="130">
        <v>0</v>
      </c>
      <c r="E28" s="400">
        <f t="shared" si="4"/>
        <v>0</v>
      </c>
      <c r="F28" s="76">
        <f t="shared" si="5"/>
        <v>0</v>
      </c>
      <c r="G28" s="70"/>
      <c r="H28" s="127"/>
      <c r="I28" s="128"/>
      <c r="J28" s="129"/>
      <c r="K28" s="130"/>
      <c r="L28" s="400">
        <f t="shared" si="6"/>
        <v>0</v>
      </c>
      <c r="M28" s="76">
        <f t="shared" si="7"/>
        <v>0</v>
      </c>
    </row>
    <row r="29" spans="1:14" ht="16.5" customHeight="1" x14ac:dyDescent="0.3">
      <c r="A29" s="127"/>
      <c r="B29" s="128"/>
      <c r="C29" s="129"/>
      <c r="D29" s="130">
        <v>0</v>
      </c>
      <c r="E29" s="400">
        <f t="shared" si="4"/>
        <v>0</v>
      </c>
      <c r="F29" s="76">
        <f t="shared" si="5"/>
        <v>0</v>
      </c>
      <c r="G29" s="70"/>
      <c r="H29" s="127"/>
      <c r="I29" s="128"/>
      <c r="J29" s="129"/>
      <c r="K29" s="130"/>
      <c r="L29" s="400">
        <f t="shared" si="6"/>
        <v>0</v>
      </c>
      <c r="M29" s="76">
        <f t="shared" si="7"/>
        <v>0</v>
      </c>
    </row>
    <row r="30" spans="1:14" ht="16.5" customHeight="1" x14ac:dyDescent="0.3">
      <c r="A30" s="127"/>
      <c r="B30" s="128"/>
      <c r="C30" s="129"/>
      <c r="D30" s="130">
        <v>0</v>
      </c>
      <c r="E30" s="400">
        <f t="shared" si="4"/>
        <v>0</v>
      </c>
      <c r="F30" s="76">
        <f t="shared" si="5"/>
        <v>0</v>
      </c>
      <c r="G30" s="70"/>
      <c r="H30" s="127"/>
      <c r="I30" s="128"/>
      <c r="J30" s="129"/>
      <c r="K30" s="130"/>
      <c r="L30" s="400">
        <f t="shared" si="6"/>
        <v>0</v>
      </c>
      <c r="M30" s="76">
        <f t="shared" si="7"/>
        <v>0</v>
      </c>
    </row>
    <row r="31" spans="1:14" ht="16.5" customHeight="1" x14ac:dyDescent="0.3">
      <c r="A31" s="127"/>
      <c r="B31" s="128"/>
      <c r="C31" s="129"/>
      <c r="D31" s="130">
        <v>0</v>
      </c>
      <c r="E31" s="400">
        <f t="shared" si="4"/>
        <v>0</v>
      </c>
      <c r="F31" s="76">
        <f t="shared" si="5"/>
        <v>0</v>
      </c>
      <c r="G31" s="70"/>
      <c r="H31" s="127"/>
      <c r="I31" s="128"/>
      <c r="J31" s="129"/>
      <c r="K31" s="130"/>
      <c r="L31" s="400">
        <f t="shared" si="6"/>
        <v>0</v>
      </c>
      <c r="M31" s="76">
        <f t="shared" si="7"/>
        <v>0</v>
      </c>
    </row>
    <row r="32" spans="1:14" ht="16.5" customHeight="1" x14ac:dyDescent="0.3">
      <c r="A32" s="127"/>
      <c r="B32" s="128"/>
      <c r="C32" s="129"/>
      <c r="D32" s="130">
        <v>0</v>
      </c>
      <c r="E32" s="400">
        <f t="shared" si="4"/>
        <v>0</v>
      </c>
      <c r="F32" s="76">
        <f t="shared" si="5"/>
        <v>0</v>
      </c>
      <c r="G32" s="70"/>
      <c r="H32" s="127"/>
      <c r="I32" s="128"/>
      <c r="J32" s="129"/>
      <c r="K32" s="130"/>
      <c r="L32" s="400">
        <f t="shared" si="6"/>
        <v>0</v>
      </c>
      <c r="M32" s="76">
        <f t="shared" si="7"/>
        <v>0</v>
      </c>
    </row>
    <row r="33" spans="1:13" ht="16.5" customHeight="1" x14ac:dyDescent="0.3">
      <c r="A33" s="127"/>
      <c r="B33" s="128"/>
      <c r="C33" s="129"/>
      <c r="D33" s="130">
        <v>0</v>
      </c>
      <c r="E33" s="400">
        <f t="shared" si="4"/>
        <v>0</v>
      </c>
      <c r="F33" s="76">
        <f t="shared" si="5"/>
        <v>0</v>
      </c>
      <c r="G33" s="70"/>
      <c r="H33" s="127"/>
      <c r="I33" s="128"/>
      <c r="J33" s="129"/>
      <c r="K33" s="130"/>
      <c r="L33" s="400">
        <f t="shared" si="6"/>
        <v>0</v>
      </c>
      <c r="M33" s="76">
        <f t="shared" si="7"/>
        <v>0</v>
      </c>
    </row>
    <row r="34" spans="1:13" ht="16.5" customHeight="1" x14ac:dyDescent="0.3">
      <c r="A34" s="127"/>
      <c r="B34" s="128"/>
      <c r="C34" s="129"/>
      <c r="D34" s="130">
        <v>0</v>
      </c>
      <c r="E34" s="400">
        <f t="shared" si="4"/>
        <v>0</v>
      </c>
      <c r="F34" s="76">
        <f t="shared" si="5"/>
        <v>0</v>
      </c>
      <c r="G34" s="70"/>
      <c r="H34" s="127"/>
      <c r="I34" s="128"/>
      <c r="J34" s="129"/>
      <c r="K34" s="130"/>
      <c r="L34" s="400">
        <f t="shared" si="6"/>
        <v>0</v>
      </c>
      <c r="M34" s="76">
        <f t="shared" si="7"/>
        <v>0</v>
      </c>
    </row>
    <row r="35" spans="1:13" ht="16.5" customHeight="1" x14ac:dyDescent="0.3">
      <c r="A35" s="127"/>
      <c r="B35" s="128"/>
      <c r="C35" s="129"/>
      <c r="D35" s="130">
        <v>0</v>
      </c>
      <c r="E35" s="400">
        <f t="shared" si="4"/>
        <v>0</v>
      </c>
      <c r="F35" s="76">
        <f t="shared" si="5"/>
        <v>0</v>
      </c>
      <c r="G35" s="70"/>
      <c r="H35" s="127"/>
      <c r="I35" s="128"/>
      <c r="J35" s="129"/>
      <c r="K35" s="130"/>
      <c r="L35" s="400">
        <f t="shared" si="6"/>
        <v>0</v>
      </c>
      <c r="M35" s="76">
        <f t="shared" si="7"/>
        <v>0</v>
      </c>
    </row>
    <row r="36" spans="1:13" ht="16.5" customHeight="1" x14ac:dyDescent="0.3">
      <c r="A36" s="127"/>
      <c r="B36" s="128"/>
      <c r="C36" s="129"/>
      <c r="D36" s="130">
        <v>0</v>
      </c>
      <c r="E36" s="400">
        <f t="shared" si="4"/>
        <v>0</v>
      </c>
      <c r="F36" s="76">
        <f t="shared" si="5"/>
        <v>0</v>
      </c>
      <c r="G36" s="70"/>
      <c r="H36" s="127"/>
      <c r="I36" s="128"/>
      <c r="J36" s="129"/>
      <c r="K36" s="130"/>
      <c r="L36" s="400">
        <f t="shared" si="6"/>
        <v>0</v>
      </c>
      <c r="M36" s="76">
        <f t="shared" si="7"/>
        <v>0</v>
      </c>
    </row>
    <row r="37" spans="1:13" ht="16.5" customHeight="1" x14ac:dyDescent="0.3">
      <c r="A37" s="127"/>
      <c r="B37" s="128"/>
      <c r="C37" s="129"/>
      <c r="D37" s="130">
        <v>0</v>
      </c>
      <c r="E37" s="400">
        <f t="shared" si="4"/>
        <v>0</v>
      </c>
      <c r="F37" s="76">
        <f t="shared" si="5"/>
        <v>0</v>
      </c>
      <c r="G37" s="70"/>
      <c r="H37" s="127"/>
      <c r="I37" s="128"/>
      <c r="J37" s="129"/>
      <c r="K37" s="130"/>
      <c r="L37" s="400">
        <f t="shared" si="6"/>
        <v>0</v>
      </c>
      <c r="M37" s="76">
        <f t="shared" si="7"/>
        <v>0</v>
      </c>
    </row>
    <row r="38" spans="1:13" ht="16.5" customHeight="1" thickBot="1" x14ac:dyDescent="0.35">
      <c r="A38" s="127"/>
      <c r="B38" s="128"/>
      <c r="C38" s="129"/>
      <c r="D38" s="130">
        <v>0</v>
      </c>
      <c r="E38" s="400">
        <f t="shared" si="4"/>
        <v>0</v>
      </c>
      <c r="F38" s="76">
        <f t="shared" si="5"/>
        <v>0</v>
      </c>
      <c r="G38" s="70"/>
      <c r="H38" s="127"/>
      <c r="I38" s="128"/>
      <c r="J38" s="129"/>
      <c r="K38" s="130"/>
      <c r="L38" s="400">
        <f t="shared" si="6"/>
        <v>0</v>
      </c>
      <c r="M38" s="76">
        <f t="shared" si="7"/>
        <v>0</v>
      </c>
    </row>
    <row r="39" spans="1:13" ht="16.5" customHeight="1" thickBot="1" x14ac:dyDescent="0.35">
      <c r="A39" s="78"/>
      <c r="B39" s="79"/>
      <c r="C39" s="77"/>
      <c r="D39" s="80" t="s">
        <v>196</v>
      </c>
      <c r="E39" s="401">
        <f>SUM(E24:E38)</f>
        <v>0</v>
      </c>
      <c r="F39" s="398">
        <f>SUM(F24:F38)</f>
        <v>0</v>
      </c>
      <c r="G39" s="70"/>
      <c r="H39" s="78"/>
      <c r="I39" s="79"/>
      <c r="J39" s="77"/>
      <c r="K39" s="80" t="s">
        <v>196</v>
      </c>
      <c r="L39" s="401">
        <f>SUM(L24:L38)</f>
        <v>0</v>
      </c>
      <c r="M39" s="398">
        <f>SUM(M24:M38)</f>
        <v>0</v>
      </c>
    </row>
    <row r="40" spans="1:13" ht="13.8" thickTop="1" x14ac:dyDescent="0.25"/>
  </sheetData>
  <mergeCells count="8">
    <mergeCell ref="A22:F22"/>
    <mergeCell ref="H22:M22"/>
    <mergeCell ref="B1:F1"/>
    <mergeCell ref="I1:M1"/>
    <mergeCell ref="A2:F2"/>
    <mergeCell ref="H2:M2"/>
    <mergeCell ref="B21:F21"/>
    <mergeCell ref="I21:M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Management Summary</vt:lpstr>
      <vt:lpstr>Waste Data Q1</vt:lpstr>
      <vt:lpstr>Waste Data Q2</vt:lpstr>
      <vt:lpstr>Waste Data Q3</vt:lpstr>
      <vt:lpstr>Waste Data Q4</vt:lpstr>
      <vt:lpstr>Clothing</vt:lpstr>
      <vt:lpstr>Furniture</vt:lpstr>
      <vt:lpstr>Equipment</vt:lpstr>
      <vt:lpstr>other Items</vt:lpstr>
      <vt:lpstr>Employment &amp; Education</vt:lpstr>
      <vt:lpstr>Print Tally sheets</vt:lpstr>
      <vt:lpstr>'Employment &amp; Education'!Print_Area</vt:lpstr>
      <vt:lpstr>'Management Summary'!Print_Area</vt:lpstr>
      <vt:lpstr>'Print Tally sheets'!Print_Area</vt:lpstr>
    </vt:vector>
  </TitlesOfParts>
  <Manager>NCF84F;Derek Hannan</Manager>
  <Company>MoJ Estate Directorate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WMMS 2012-13 - Public Sector</dc:title>
  <dc:subject>Performance monitoring &amp; reporting</dc:subject>
  <dc:creator>Derek Hannan</dc:creator>
  <cp:lastModifiedBy>Mota, Hashim</cp:lastModifiedBy>
  <cp:lastPrinted>2016-05-23T14:45:28Z</cp:lastPrinted>
  <dcterms:created xsi:type="dcterms:W3CDTF">2003-01-07T08:47:38Z</dcterms:created>
  <dcterms:modified xsi:type="dcterms:W3CDTF">2021-04-19T15:01:23Z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